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drawings/drawing3.xml" ContentType="application/vnd.openxmlformats-officedocument.drawing+xml"/>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drawings/drawing4.xml" ContentType="application/vnd.openxmlformats-officedocument.drawing+xml"/>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drawings/drawing5.xml" ContentType="application/vnd.openxmlformats-officedocument.drawing+xml"/>
  <Override PartName="/xl/activeX/activeX12.xml" ContentType="application/vnd.ms-office.activeX+xml"/>
  <Override PartName="/xl/activeX/activeX12.bin" ContentType="application/vnd.ms-office.activeX"/>
  <Override PartName="/xl/drawings/drawing6.xml" ContentType="application/vnd.openxmlformats-officedocument.drawing+xml"/>
  <Override PartName="/xl/activeX/activeX13.xml" ContentType="application/vnd.ms-office.activeX+xml"/>
  <Override PartName="/xl/activeX/activeX13.bin" ContentType="application/vnd.ms-office.activeX"/>
  <Override PartName="/xl/drawings/drawing7.xml" ContentType="application/vnd.openxmlformats-officedocument.drawing+xml"/>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drawings/drawing8.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sskinner\Downloads\"/>
    </mc:Choice>
  </mc:AlternateContent>
  <bookViews>
    <workbookView xWindow="0" yWindow="0" windowWidth="28800" windowHeight="13500" tabRatio="743"/>
  </bookViews>
  <sheets>
    <sheet name="Summary" sheetId="5" r:id="rId1"/>
    <sheet name="Vessel" sheetId="37" r:id="rId2"/>
    <sheet name="Voyage" sheetId="6" r:id="rId3"/>
    <sheet name="Waste" sheetId="1" r:id="rId4"/>
    <sheet name="Incoming Bunkers" sheetId="41" r:id="rId5"/>
    <sheet name="Incoming Hazmat" sheetId="33" r:id="rId6"/>
    <sheet name="Outgoing Bunkers" sheetId="42" r:id="rId7"/>
    <sheet name="Outgoing Hazmat" sheetId="35" r:id="rId8"/>
    <sheet name="Security" sheetId="3" r:id="rId9"/>
    <sheet name="Notes" sheetId="31" r:id="rId10"/>
    <sheet name="FAQ and Help" sheetId="40" r:id="rId11"/>
    <sheet name="Validator" sheetId="39" state="hidden" r:id="rId12"/>
    <sheet name="Tmp data" sheetId="38" state="hidden" r:id="rId13"/>
    <sheet name="Reference data" sheetId="26" state="hidden" r:id="rId14"/>
  </sheets>
  <definedNames>
    <definedName name="_xlnm._FilterDatabase" localSheetId="5" hidden="1">'Incoming Hazmat'!$C$12:$AE$263</definedName>
    <definedName name="_xlnm._FilterDatabase" localSheetId="7" hidden="1">'Outgoing Hazmat'!$C$12:$Y$263</definedName>
    <definedName name="_xlnm._FilterDatabase" localSheetId="13" hidden="1">'Reference data'!$AM$1:$AM$17811</definedName>
    <definedName name="Activity" localSheetId="5">'Reference data'!$AJ$2:$AJ$16</definedName>
    <definedName name="Activity" localSheetId="7">'Reference data'!$AJ$2:$AJ$16</definedName>
    <definedName name="BOOLEAN" localSheetId="5">'Reference data'!$AF$2:$AF$3</definedName>
    <definedName name="BOOLEAN" localSheetId="7">'Reference data'!$AF$2:$AF$3</definedName>
    <definedName name="Cargo_associated_waste" localSheetId="5">'Reference data'!$AC$2:$AC$4</definedName>
    <definedName name="Cargo_associated_waste" localSheetId="7">'Reference data'!$AC$2:$AC$4</definedName>
    <definedName name="Cargo_associated_waste">'Reference data'!$AC$2:$AC$4</definedName>
    <definedName name="Cargo_residues" localSheetId="5">'Reference data'!$AD$2:$AD$14</definedName>
    <definedName name="Cargo_residues" localSheetId="7">'Reference data'!$AD$2:$AD$14</definedName>
    <definedName name="Cargo_residues">'Reference data'!$AD$2:$AD$14</definedName>
    <definedName name="Garbage">'Reference data'!$AA$2:$AA$16</definedName>
    <definedName name="Hazmat_types">'Reference data'!$Q$2:$Q$3</definedName>
    <definedName name="IBK_BNK_BNKONBOARD">'Incoming Bunkers'!$C$6</definedName>
    <definedName name="IBK_BNK_DESC">'Incoming Bunkers'!$C$10:$C$24</definedName>
    <definedName name="IBK_BNK_QUANTITY">'Incoming Bunkers'!$D$10:$D$24</definedName>
    <definedName name="IBK_BNK_TYPE">'Incoming Bunkers'!$B$10:$B$24</definedName>
    <definedName name="IBK_BNK_UNIT">'Incoming Bunkers'!$E$10:$E$24</definedName>
    <definedName name="IBK_DOC_KEY">'Incoming Bunkers'!$C$26</definedName>
    <definedName name="IBK_EMPTY_RES">Validator!$W$3</definedName>
    <definedName name="IBK_STATUS">Validator!$W$2</definedName>
    <definedName name="IBK_VALID">Validator!$W$4</definedName>
    <definedName name="IBK_VALID_RES">Validator!$X$1</definedName>
    <definedName name="IHZ_CON_EMAIL">'Incoming Hazmat'!$J$9:$K$9</definedName>
    <definedName name="IHZ_CON_FAX">'Incoming Hazmat'!$J$8:$J$8</definedName>
    <definedName name="IHZ_CON_FIRSTNAME">'Incoming Hazmat'!$G$7</definedName>
    <definedName name="IHZ_CON_LASTNAME">'Incoming Hazmat'!$G$8</definedName>
    <definedName name="IHZ_CON_LOCODE">'Incoming Hazmat'!$G$9</definedName>
    <definedName name="IHZ_CON_PHONE">'Incoming Hazmat'!$J$7:$J$7</definedName>
    <definedName name="IHZ_DET_DOCTYPE">'Incoming Hazmat'!$N$8:$S$8</definedName>
    <definedName name="IHZ_DET_HAZONBOARD">'Incoming Hazmat'!$D$6</definedName>
    <definedName name="IHZ_DET_INFSHIPCLA">'Incoming Hazmat'!$D$7</definedName>
    <definedName name="IHZ_DET_URL">'Incoming Hazmat'!$N$7:$S$7</definedName>
    <definedName name="IHZ_DOC_KEY">'Incoming Hazmat'!$C$265</definedName>
    <definedName name="IHZ_EMPTY_RES">Validator!$G$3</definedName>
    <definedName name="IHZ_HAZ_ADDITIONAL">'Incoming Hazmat'!$W$14:$W$263</definedName>
    <definedName name="IHZ_HAZ_AMOUNT">'Incoming Hazmat'!$AD$14:$AD$263</definedName>
    <definedName name="IHZ_HAZ_CONSIGNMENT">'Incoming Hazmat'!$C$14:$C$263</definedName>
    <definedName name="IHZ_HAZ_DGCLASSIFI">'Incoming Hazmat'!$J$14:$J$263</definedName>
    <definedName name="IHZ_HAZ_DPGREF">'Incoming Hazmat'!$I$14:$I$263</definedName>
    <definedName name="IHZ_HAZ_EMS">'Incoming Hazmat'!$X$14:$X$263</definedName>
    <definedName name="IHZ_HAZ_FLASHPOINT">'Incoming Hazmat'!$R$14:$R$263</definedName>
    <definedName name="IHZ_HAZ_IMOHAZARDC">'Incoming Hazmat'!$L$14:$L$263</definedName>
    <definedName name="IHZ_HAZ_ITEMS">'Incoming Hazmat'!$C$14:$AF$263</definedName>
    <definedName name="IHZ_HAZ_LOCATION">'Incoming Hazmat'!$AB$14:$AB$263</definedName>
    <definedName name="IHZ_HAZ_MARPOLCODE">'Incoming Hazmat'!$S$14:$S$263</definedName>
    <definedName name="IHZ_HAZ_NETGROSS">'Incoming Hazmat'!$AE$14:$AE$263</definedName>
    <definedName name="IHZ_HAZ_PACKAGECOD">'Incoming Hazmat'!$U$14:$U$263</definedName>
    <definedName name="IHZ_HAZ_PACKAGES">'Incoming Hazmat'!$AC$14:$AC$263</definedName>
    <definedName name="IHZ_HAZ_PACKINGGRO">'Incoming Hazmat'!$Q$14:$Q$263</definedName>
    <definedName name="IHZ_HAZ_PACTYPE">'Incoming Hazmat'!$T$14:$T$263</definedName>
    <definedName name="IHZ_HAZ_PORTOFDISCHARGE">'Incoming Hazmat'!$G$14:$G$263</definedName>
    <definedName name="IHZ_HAZ_PORTOFLOADING">'Incoming Hazmat'!$E$14:$E$263</definedName>
    <definedName name="IHZ_HAZ_SUBSIDIARY">'Incoming Hazmat'!$Y$14:$Y$263</definedName>
    <definedName name="IHZ_HAZ_TEUID">'Incoming Hazmat'!$AA$14:$AA$263</definedName>
    <definedName name="IHZ_HAZ_TEXTUALREF">'Incoming Hazmat'!$K$14:$K$263</definedName>
    <definedName name="IHZ_HAZ_TOTALPACKA">'Incoming Hazmat'!$V$14:$V$263</definedName>
    <definedName name="IHZ_HAZ_TOTAMOUNT">'Incoming Hazmat'!$N$14:$N$263</definedName>
    <definedName name="IHZ_HAZ_TOTNETGROSS">'Incoming Hazmat'!$O$14:$O$263</definedName>
    <definedName name="IHZ_HAZ_TOTUNIT">'Incoming Hazmat'!$P$14:$P$263</definedName>
    <definedName name="IHZ_HAZ_TRANSDOCID">'Incoming Hazmat'!$D$14:$D$263</definedName>
    <definedName name="IHZ_HAZ_UNIT">'Incoming Hazmat'!$AF$14:$AF$263</definedName>
    <definedName name="IHZ_HAZ_UNITTYPE">'Incoming Hazmat'!$Z$14:$Z$263</definedName>
    <definedName name="IHZ_HAZ_UNNUMBER">'Incoming Hazmat'!$M$14:$M$263</definedName>
    <definedName name="IHZ_LOCODE_LOOKUP" localSheetId="5">'Incoming Hazmat'!$W$9:$AA$9</definedName>
    <definedName name="IHZ_STATUS">Validator!$G$2</definedName>
    <definedName name="IHZ_VALID">Validator!$G$4</definedName>
    <definedName name="IHZ_VALID_RES">Validator!$H$1</definedName>
    <definedName name="IMO_Hazard_Class">'Reference data'!$H$2:$H$26</definedName>
    <definedName name="INF_ship_classes">'Reference data'!$G$2:$G$4</definedName>
    <definedName name="ISSC_types">'Reference data'!$R$2:$R$3</definedName>
    <definedName name="LOCODE">'Reference data'!$AN$2:$AN$17811</definedName>
    <definedName name="LOCODE_RANGE">'Reference data'!$AM$2:$AO$17811</definedName>
    <definedName name="MARPOL_codes">'Reference data'!$L$2:$L$6</definedName>
    <definedName name="OBK_BNK_BNKONBOARD">'Outgoing Bunkers'!$C$6</definedName>
    <definedName name="OBK_BNK_DESC">'Outgoing Bunkers'!$C$10:$C$24</definedName>
    <definedName name="OBK_BNK_QUANTITY">'Outgoing Bunkers'!$D$10:$D$24</definedName>
    <definedName name="OBK_BNK_TYPE">'Outgoing Bunkers'!$B$10:$B$24</definedName>
    <definedName name="OBK_BNK_UNIT">'Outgoing Bunkers'!$E$10:$E$24</definedName>
    <definedName name="OBK_DOC_KEY">'Outgoing Bunkers'!$C$26</definedName>
    <definedName name="OBK_EMPTY_RES">Validator!$Y$3</definedName>
    <definedName name="OBK_STATUS">Validator!$Y$2</definedName>
    <definedName name="OBK_VALID">Validator!$Y$4</definedName>
    <definedName name="OBK_VALID_RES">Validator!$Z$1</definedName>
    <definedName name="OHZ_CON_EMAIL">'Outgoing Hazmat'!$J$9:$J$9</definedName>
    <definedName name="OHZ_CON_FAX">'Outgoing Hazmat'!$J$8:$J$8</definedName>
    <definedName name="OHZ_CON_FIRSTNAME">'Outgoing Hazmat'!$G$7:$H$7</definedName>
    <definedName name="OHZ_CON_LASTNAME">'Outgoing Hazmat'!$G$8:$H$8</definedName>
    <definedName name="OHZ_CON_LOCODE">'Outgoing Hazmat'!$G$9:$H$9</definedName>
    <definedName name="OHZ_CON_PHONE">'Outgoing Hazmat'!$J$7:$J$7</definedName>
    <definedName name="OHZ_DET_DOCTYPE">'Outgoing Hazmat'!$N$8:$S$8</definedName>
    <definedName name="OHZ_DET_HAZONBOARD">'Outgoing Hazmat'!$D$6</definedName>
    <definedName name="OHZ_DET_INFSHIPCLA">'Outgoing Hazmat'!$D$7</definedName>
    <definedName name="OHZ_DET_URL">'Outgoing Hazmat'!$N$7:$S$7</definedName>
    <definedName name="OHZ_DOC_KEY">'Outgoing Hazmat'!$C$265</definedName>
    <definedName name="OHZ_EMPTY_RES">Validator!$J$3</definedName>
    <definedName name="OHZ_HAZ_ADDITIONAL">'Outgoing Hazmat'!$W$14:$W$263</definedName>
    <definedName name="OHZ_HAZ_AMOUNT">'Outgoing Hazmat'!$AD$14:$AD$263</definedName>
    <definedName name="OHZ_HAZ_CONSIGNMENT">'Outgoing Hazmat'!$C$14:$C$263</definedName>
    <definedName name="OHZ_HAZ_DGCLASSIFI">'Outgoing Hazmat'!$J$14:$J$263</definedName>
    <definedName name="OHZ_HAZ_DPGREF">'Outgoing Hazmat'!$I$14:$I$263</definedName>
    <definedName name="OHZ_HAZ_EMS">'Outgoing Hazmat'!$X$14:$X$263</definedName>
    <definedName name="OHZ_HAZ_FLASHPOINT">'Outgoing Hazmat'!$R$14:$R$263</definedName>
    <definedName name="OHZ_HAZ_IMOHAZARDC">'Outgoing Hazmat'!$L$14:$L$263</definedName>
    <definedName name="OHZ_HAZ_ITEMS">'Outgoing Hazmat'!$C$14:$AF$263</definedName>
    <definedName name="OHZ_HAZ_LOCATION">'Outgoing Hazmat'!$AB$14:$AB$263</definedName>
    <definedName name="OHZ_HAZ_MARPOLCODE">'Outgoing Hazmat'!$S$14:$S$263</definedName>
    <definedName name="OHZ_HAZ_NETGROSS">'Outgoing Hazmat'!$AE$14:$AE$263</definedName>
    <definedName name="OHZ_HAZ_PACKAGECOD">'Outgoing Hazmat'!$U$14:$U$263</definedName>
    <definedName name="OHZ_HAZ_PACKAGES">'Outgoing Hazmat'!$AC$14:$AC$263</definedName>
    <definedName name="OHZ_HAZ_PACKINGGRO">'Outgoing Hazmat'!$Q$14:$Q$263</definedName>
    <definedName name="OHZ_HAZ_PACTYPE">'Outgoing Hazmat'!$T$14:$T$263</definedName>
    <definedName name="OHZ_HAZ_PORTOFDISCHARGE">'Outgoing Hazmat'!$G$14:$G$263</definedName>
    <definedName name="OHZ_HAZ_PORTOFLOADING">'Outgoing Hazmat'!$E$14:$E$263</definedName>
    <definedName name="OHZ_HAZ_SUBSIDIARY">'Outgoing Hazmat'!$Y$14:$Y$263</definedName>
    <definedName name="OHZ_HAZ_TEUID">'Outgoing Hazmat'!$AA$14:$AA$263</definedName>
    <definedName name="OHZ_HAZ_TEXTUALREF">'Outgoing Hazmat'!$K$14:$K$263</definedName>
    <definedName name="OHZ_HAZ_TOTALPACKA">'Outgoing Hazmat'!$V$14:$V$263</definedName>
    <definedName name="OHZ_HAZ_TOTAMOUNT">'Outgoing Hazmat'!$N$14:$N$263</definedName>
    <definedName name="OHZ_HAZ_TOTNETGROSS">'Outgoing Hazmat'!$O$14:$O$263</definedName>
    <definedName name="OHZ_HAZ_TOTUNIT">'Outgoing Hazmat'!$P$14:$P$263</definedName>
    <definedName name="OHZ_HAZ_TRANSDOCID">'Outgoing Hazmat'!$D$14:$D$26663</definedName>
    <definedName name="OHZ_HAZ_UNIT">'Outgoing Hazmat'!$AF$14:$AF$263</definedName>
    <definedName name="OHZ_HAZ_UNITTYPE">'Outgoing Hazmat'!$Z$14:$Z$263</definedName>
    <definedName name="OHZ_HAZ_UNNUMBER">'Outgoing Hazmat'!$M$14:$M$263</definedName>
    <definedName name="OHZ_LOCODE_LOOKUP" localSheetId="5">'Outgoing Hazmat'!$W$9</definedName>
    <definedName name="OHZ_LOCODE_LOOKUP" localSheetId="7">'Outgoing Hazmat'!$W$9</definedName>
    <definedName name="OHZ_STATUS">Validator!$J$2</definedName>
    <definedName name="OHZ_VALID">Validator!$J$4</definedName>
    <definedName name="OHZ_VALID_RES">Validator!$K$1</definedName>
    <definedName name="On_off">'Reference data'!$D$2:$D$3</definedName>
    <definedName name="Package_type_code">'Reference data'!$K$2:$K$140</definedName>
    <definedName name="Package_type_name">'Reference data'!$J$2:$J$139</definedName>
    <definedName name="PORTLOCODE">'Reference data'!$AN$2:$AN$17811</definedName>
    <definedName name="PORTNAME">'Reference data'!$AO$2:$AO$17811</definedName>
    <definedName name="_xlnm.Print_Area" localSheetId="5">'Incoming Hazmat'!$B$2:$AG$263</definedName>
    <definedName name="_xlnm.Print_Area" localSheetId="9">Notes!$B$2:$I$37</definedName>
    <definedName name="_xlnm.Print_Area" localSheetId="7">'Outgoing Hazmat'!$A$2:$AG$263</definedName>
    <definedName name="_xlnm.Print_Area" localSheetId="8">Security!$A$2:$X$63</definedName>
    <definedName name="_xlnm.Print_Area" localSheetId="0">Summary!$B$2:$K$116</definedName>
    <definedName name="_xlnm.Print_Area" localSheetId="1">Vessel!$B$2:$I$33</definedName>
    <definedName name="_xlnm.Print_Area" localSheetId="2">Voyage!$B$2:$J$38</definedName>
    <definedName name="_xlnm.Print_Area" localSheetId="3">Waste!$B$2:$Z$60</definedName>
    <definedName name="REF_ACTIVITY">'Reference data'!$AJ$2:$AJ$16</definedName>
    <definedName name="REF_BUNKERTYPE">'Reference data'!$AV$2:$AV$10</definedName>
    <definedName name="REF_BUNKERUNIT">'Reference data'!$AU$2:$AU$3</definedName>
    <definedName name="REF_COUNTRIES" localSheetId="7">REF_COUNTRIES_CODES[Country name]</definedName>
    <definedName name="REF_COUNTRIES">REF_COUNTRIES_CODES[Country name]</definedName>
    <definedName name="REF_DG_CLASSIFICATION">'Reference data'!$B$2:$B$6</definedName>
    <definedName name="REF_DOCTYPES">'Reference data'!$AE$2:$AE$7</definedName>
    <definedName name="REF_ISSUER_TYPE">'Reference data'!$C$2:$C$3</definedName>
    <definedName name="REF_LOCODE_PORTNAME_COUNTRY">'Reference data'!$AN$2:$AO$17811</definedName>
    <definedName name="REF_LOCODES">'Reference data'!$AN$2:$AN$17811</definedName>
    <definedName name="REF_PACKING_GROUP">'Reference data'!$I$2:$I$5</definedName>
    <definedName name="REF_PORT_AND_LOCODE">'Reference data'!$AM$2:$AM$17811</definedName>
    <definedName name="REF_PURPOSES">'Reference data'!$A$2:$A$27</definedName>
    <definedName name="REF_SECURITYLEVELS_OPTIONS">'Reference data'!$E$2:$E$4</definedName>
    <definedName name="REF_UK_LOCODES">'Reference data'!$AS$2:$AS$331</definedName>
    <definedName name="REF_UK_LOCODES_PORTNAMES">'Reference data'!$AS$2:$AT$331</definedName>
    <definedName name="REF_UK_PORTNAMES">'Reference data'!$AT$3:$AT$338</definedName>
    <definedName name="REF_UNITS">'Reference data'!$T$2:$T$4</definedName>
    <definedName name="REF_YES_NO">'Reference data'!$F$2:$F$3</definedName>
    <definedName name="SEC_AGENT_EMAIL">Security!$L$16</definedName>
    <definedName name="SEC_AGENT_FAX">Security!$L$15</definedName>
    <definedName name="SEC_AGENT_NAME">Security!$L$13</definedName>
    <definedName name="SEC_AGENT_PHONE">Security!$L$14</definedName>
    <definedName name="SEC_AVD_LASTUKVISIT">Security!$E$28</definedName>
    <definedName name="SEC_AVD_REPSHIPLOC">Security!$B$30</definedName>
    <definedName name="SEC_CAR_BRIEFCARGO">Security!$P$16</definedName>
    <definedName name="SEC_CSO_EMAIL">Security!$L$10</definedName>
    <definedName name="SEC_CSO_FAX">Security!$L$9</definedName>
    <definedName name="SEC_CSO_FIRSTNAME">Security!$L$6</definedName>
    <definedName name="SEC_CSO_LASTNAME">Security!$L$7</definedName>
    <definedName name="SEC_CSO_PHONE">Security!$L$8</definedName>
    <definedName name="SEC_CURRENTSEC">Security!$S$8</definedName>
    <definedName name="SEC_DOC_KEY">Security!$C$64</definedName>
    <definedName name="SEC_EMPTY_RES">Validator!$A$3</definedName>
    <definedName name="SEC_ISSC_EXPIRY">Security!$L$26</definedName>
    <definedName name="SEC_ISSC_ISSUER">Security!$L$24</definedName>
    <definedName name="SEC_ISSC_ISSUERTYPE">Security!$L$23</definedName>
    <definedName name="SEC_ISSC_ISVALID">Security!$L$27</definedName>
    <definedName name="SEC_ISSC_NUMBER">Security!$L$22</definedName>
    <definedName name="SEC_ISSC_REASON">Security!$I$29</definedName>
    <definedName name="SEC_ISSC_TYPE">Security!$L$21</definedName>
    <definedName name="SEC_LAST_COUNTRY">Security!$E$36:$E$46</definedName>
    <definedName name="SEC_LAST_DATEOFARRI">Security!$C$36:$C$46</definedName>
    <definedName name="SEC_LAST_DATEOFDEPT">Security!$D$36:$D$46</definedName>
    <definedName name="SEC_LAST_FACNAME">Security!$L$36:$L$46</definedName>
    <definedName name="SEC_LAST_MEASURESYORN">Security!$N$36:$P$46</definedName>
    <definedName name="SEC_LAST_PORT">Security!$F$36:$F$46</definedName>
    <definedName name="SEC_LAST_PORTCALLNO">Security!$B$36:$B$45</definedName>
    <definedName name="SEC_LAST_PORTFAC">Security!$G$36:$G$46</definedName>
    <definedName name="SEC_LAST_SECLEVEL">Security!$M$36:$M$46</definedName>
    <definedName name="SEC_LAST_SECMEASURE">Security!$Q$36:$S$46</definedName>
    <definedName name="SEC_LOC_LOCATION">Security!$B$28</definedName>
    <definedName name="SEC_LOCODE_LOOKUP">Security!$V$9</definedName>
    <definedName name="SEC_PAS_CREWLIST">Security!$S$14</definedName>
    <definedName name="SEC_PAS_PASSENGERS">Security!$S$13</definedName>
    <definedName name="SEC_PASSCREWTA">Security!$P$13:$S$14</definedName>
    <definedName name="SEC_PASSENGERCREWLIST">Security!$P$13:$S$14</definedName>
    <definedName name="SEC_PURPOSE">Security!$P$29</definedName>
    <definedName name="SEC_REG_REGCOMPIMO">Security!$E$24</definedName>
    <definedName name="SEC_REG_REGCOMPNAM">Security!$E$23</definedName>
    <definedName name="SEC_REG_REGDATE">Security!$E$21</definedName>
    <definedName name="SEC_REG_REGNUMBER">Security!$E$22</definedName>
    <definedName name="SEC_RELATEDMAT">Security!$P$21</definedName>
    <definedName name="SEC_RSM_DESC">Security!$P$23</definedName>
    <definedName name="SEC_RSM_RSM">Security!$S$21</definedName>
    <definedName name="SEC_SECURITYPL">Security!$S$9</definedName>
    <definedName name="SEC_SHIP_ACTIVITY">Security!$J$50:$L$59</definedName>
    <definedName name="SEC_SHIP_DATEFROM">Security!$C$50:$C$59</definedName>
    <definedName name="SEC_SHIP_DATETO">Security!$D$50:$D$59</definedName>
    <definedName name="SEC_SHIP_LATITUDE">Security!$E$50:$E$59</definedName>
    <definedName name="SEC_SHIP_LOCATION">Security!$G$50:$I$59</definedName>
    <definedName name="SEC_SHIP_LONGITUDE">Security!$F$50:$F$59</definedName>
    <definedName name="SEC_SHIP_MEASURESYORN">Security!$M$50:$N$59</definedName>
    <definedName name="SEC_SHIP_SECURITYME">Security!$O$50:$S$59</definedName>
    <definedName name="SEC_SHIP_SHIPNO">Security!$B$50:$B$59</definedName>
    <definedName name="SEC_SRC_SOURCE">Security!$S$6</definedName>
    <definedName name="SEC_SRC_UPDATED">Security!$S$7</definedName>
    <definedName name="SEC_STATUS">Validator!$A$2</definedName>
    <definedName name="SEC_VALID">Validator!$A$4</definedName>
    <definedName name="SEC_VALID_RES">Validator!$B$1</definedName>
    <definedName name="SEC_VDE_GROSSTONNA">Security!$E$13</definedName>
    <definedName name="SEC_VDE_REGLOCODE">Security!$E$17</definedName>
    <definedName name="SEC_VDE_REGPORT">Security!$E$18</definedName>
    <definedName name="SEC_VDE_SHIPCODE">Security!$E$15</definedName>
    <definedName name="SEC_VDE_SHIPTYPE">Security!$E$14</definedName>
    <definedName name="SEC_VID_CALLSIGN">Security!$E$8</definedName>
    <definedName name="SEC_VID_FLAG">Security!$E$10</definedName>
    <definedName name="SEC_VID_IMO">Security!$E$6</definedName>
    <definedName name="SEC_VID_MMSI">Security!$E$9</definedName>
    <definedName name="SEC_VID_SHIPNAME">Security!$E$7</definedName>
    <definedName name="Sewage">'Reference data'!$AB$2:$AB$2</definedName>
    <definedName name="Ship_configurations">'Reference data'!$M$2:$M$4</definedName>
    <definedName name="Ship_types">'Reference data'!$N$2:$N$90</definedName>
    <definedName name="SUM_DOC_KEY">Summary!$C$117</definedName>
    <definedName name="SUM_DOC_UPDATED">Summary!$K$19</definedName>
    <definedName name="SUM_DOC_UPDATEDNAME">Summary!$K$21</definedName>
    <definedName name="SUM_DOC_VERSION">Summary!$K$18</definedName>
    <definedName name="SUM_INCLUDE_IBK">Summary!$C$23</definedName>
    <definedName name="SUM_INCLUDE_IHZ">Summary!$C$21</definedName>
    <definedName name="SUM_INCLUDE_OBK">Summary!$C$24</definedName>
    <definedName name="SUM_INCLUDE_OHZ">Summary!$C$22</definedName>
    <definedName name="SUM_INCLUDE_SEC">Summary!$C$25</definedName>
    <definedName name="SUM_INCLUDE_VES">Summary!$C$18</definedName>
    <definedName name="SUM_INCLUDE_VOY">Summary!$C$19</definedName>
    <definedName name="SUM_INCLUDE_WAS">Summary!$C$20</definedName>
    <definedName name="SUM_OSVERSION">Summary!$E$117</definedName>
    <definedName name="SUM_OVE_VALID">Summary!$D$29</definedName>
    <definedName name="SUM_OVR_RES">Summary!$B$31</definedName>
    <definedName name="SUM_RELEASE">Summary!$F$117</definedName>
    <definedName name="SUM_SRC_EMAIL">Summary!$H$18</definedName>
    <definedName name="SUM_SRC_SOURCE">Summary!$H$19</definedName>
    <definedName name="SUM_SRC_UPDATED">Summary!$H$20</definedName>
    <definedName name="SUM_SYSTEM">Summary!$D$117</definedName>
    <definedName name="TMP_SUM_ALLOW">'Tmp data'!$C$8:$C$9</definedName>
    <definedName name="TMP_SUM_VAL">NOT(ISBLANK('Tmp data'!$C$9:$C$9))</definedName>
    <definedName name="TMP_SUM_WRITEVALID">'Tmp data'!$C$6:$C$7</definedName>
    <definedName name="TMP_VDE_REGPORT">'Tmp data'!$C$2</definedName>
    <definedName name="TMP_VOY_LASTPORT">'Tmp data'!$C$3</definedName>
    <definedName name="TMP_VOY_NEXTPORT">'Tmp data'!$C$4</definedName>
    <definedName name="TMP_VOY_PORTOFCALL">'Tmp data'!$C$5</definedName>
    <definedName name="Units_description">'Reference data'!$U$2:$U$4</definedName>
    <definedName name="VES_DOC_KEY">Vessel!$C$35</definedName>
    <definedName name="VES_EMPTY_RES">Validator!$M$3</definedName>
    <definedName name="VES_INMARSAT">Vessel!$D$27:$D$31</definedName>
    <definedName name="VES_REG_REGCOMPIMO">Vessel!$D$24</definedName>
    <definedName name="VES_REG_REGCOMPNAM">Vessel!$D$23</definedName>
    <definedName name="VES_REG_REGDATE">Vessel!$D$21</definedName>
    <definedName name="VES_REG_REGNUMBER">Vessel!$D$22</definedName>
    <definedName name="VES_STATUS">Validator!$M$2</definedName>
    <definedName name="VES_VALID">Validator!$M$4</definedName>
    <definedName name="VES_VALID_RES">Validator!$N$1</definedName>
    <definedName name="VES_VDE_GROSSTONNA">Vessel!$D$13</definedName>
    <definedName name="VES_VDE_REGLOCODE">Vessel!$D$17</definedName>
    <definedName name="VES_VDE_REGPORT">Vessel!$D$18</definedName>
    <definedName name="VES_VDE_SHIPCODE">Vessel!$D$15</definedName>
    <definedName name="VES_VDE_SHIPTYPE">Vessel!$D$14</definedName>
    <definedName name="VES_VID_CALLSIGN">Vessel!$D$8</definedName>
    <definedName name="VES_VID_FLAG">Vessel!$D$10</definedName>
    <definedName name="VES_VID_IMO">Vessel!$D$6</definedName>
    <definedName name="VES_VID_MMSI">Vessel!$D$9</definedName>
    <definedName name="VES_VID_SHIPNAME">Vessel!$D$7</definedName>
    <definedName name="VOY_ARR_ANCHORAGE">Voyage!$C$34</definedName>
    <definedName name="VOY_ARR_ATA">Voyage!$C$33</definedName>
    <definedName name="VOY_DEP_ATD">Voyage!$G$29</definedName>
    <definedName name="VOY_DEP_POBNEXTPOC">Voyage!$G$30</definedName>
    <definedName name="VOY_DOC_KEY">Voyage!$C$37</definedName>
    <definedName name="VOY_EMPTY_RES">Validator!$P$3</definedName>
    <definedName name="VOY_POBPOC">Voyage!$C$29</definedName>
    <definedName name="VOY_PURPOSES">Voyage!$G$6:$G$20</definedName>
    <definedName name="VOY_STATUS">Validator!$P$2</definedName>
    <definedName name="VOY_TOTALPURPO">Voyage!$G$21</definedName>
    <definedName name="VOY_VALID">Validator!$P$4</definedName>
    <definedName name="VOY_VALID_RES">Validator!$Q$1</definedName>
    <definedName name="VOY_VOY_BRIEFCARGO">Voyage!$C$21</definedName>
    <definedName name="VOY_VOY_ETA">Voyage!$C$11</definedName>
    <definedName name="VOY_VOY_ETATONEXTP">Voyage!$C$20</definedName>
    <definedName name="VOY_VOY_ETD">Voyage!$C$12</definedName>
    <definedName name="VOY_VOY_ETDFROMPOC">Voyage!$C$16</definedName>
    <definedName name="VOY_VOY_LASTPORT">Voyage!$C$15</definedName>
    <definedName name="VOY_VOY_NEXTPORT">Voyage!$C$19</definedName>
    <definedName name="VOY_VOY_PORTFACILI">Voyage!$C$9</definedName>
    <definedName name="VOY_VOY_PORTOFCALL">Voyage!$C$8</definedName>
    <definedName name="VOY_VOY_POSIINPORT">Voyage!$C$10</definedName>
    <definedName name="WAS_DOC_KEY">Waste!$C$67</definedName>
    <definedName name="WAS_EMPTY_RES">Validator!$D$3</definedName>
    <definedName name="WAS_ITE_CATEGORY">Waste!$B$24:$B$65</definedName>
    <definedName name="WAS_ITE_DELIVERED">Waste!$L$24:$L$65</definedName>
    <definedName name="WAS_ITE_DELIVEREDU">Waste!$M$24:$M$65</definedName>
    <definedName name="WAS_ITE_GENERATED">Waste!$T$24:$T$65</definedName>
    <definedName name="WAS_ITE_GENERATEDU">Waste!$U$24:$U$65</definedName>
    <definedName name="WAS_ITE_LASTPORT">Waste!$J$24:$J$65</definedName>
    <definedName name="WAS_ITE_LASTPORTU">Waste!$K$24:$K$65</definedName>
    <definedName name="WAS_ITE_MAXSTORAG">Waste!$N$24:$O$65</definedName>
    <definedName name="WAS_ITE_MAXSTORAGU">Waste!$P$24:$P$65</definedName>
    <definedName name="WAS_ITE_REMAINING">Waste!$V$24:$V$65</definedName>
    <definedName name="WAS_ITE_RETAINED">Waste!$Q$24:$R$65</definedName>
    <definedName name="WAS_ITE_RETAINEDU">Waste!$S$24:$S$65</definedName>
    <definedName name="WAS_ITE_TYPE">Waste!$C$24:$F$65</definedName>
    <definedName name="WAS_ITE_TYPECODE">Waste!$B$24:$B$65</definedName>
    <definedName name="WAS_ITE_TYPEDESCRI">Waste!$G$24:$I$65</definedName>
    <definedName name="WAS_LOC_LOCNAME">Waste!$J$9</definedName>
    <definedName name="WAS_LOC_LOCODE">Waste!$J$7</definedName>
    <definedName name="WAS_LOCODE_LOOKUP">Waste!$R$10</definedName>
    <definedName name="WAS_OVE_LASTDATE">Waste!$D$17</definedName>
    <definedName name="WAS_OVE_LASTPORT">Waste!$D$15</definedName>
    <definedName name="WAS_OVE_STATUS">Waste!$D$18</definedName>
    <definedName name="WAS_STATUS">Validator!$D$2</definedName>
    <definedName name="WAS_VALID">Validator!$D$4</definedName>
    <definedName name="WAS_VALID_RES">Validator!$E$1</definedName>
    <definedName name="WAS_VID_CALLSIGN">Waste!$D$9</definedName>
    <definedName name="WAS_VID_FLAG">Waste!$D$11</definedName>
    <definedName name="WAS_VID_IMO">Waste!$D$7</definedName>
    <definedName name="WAS_VID_MMSI">Waste!$D$10</definedName>
    <definedName name="WAS_VID_SHIPNAME">Waste!$D$8</definedName>
    <definedName name="WAS_VOY_ETATONEXTP">Waste!$P$18</definedName>
    <definedName name="WAS_VOY_ETDFROMPOC">Waste!$I$18</definedName>
    <definedName name="WAS_VOY_LASTPORT">Waste!$I$17</definedName>
    <definedName name="WAS_VOY_NEXTPORT">Waste!$P$17</definedName>
    <definedName name="Waste_Categories">'Reference data'!$Y$2:$Y$6</definedName>
    <definedName name="Waste_delivery_status">'Reference data'!$S$2:$S$4</definedName>
    <definedName name="Waste_oils">'Reference data'!$Z$2:$Z$5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1" i="39" l="1"/>
  <c r="D18" i="37"/>
  <c r="G1799" i="39" l="1" a="1"/>
  <c r="G1799" i="39" s="1"/>
  <c r="H1799" i="39" a="1"/>
  <c r="H1799" i="39" s="1"/>
  <c r="K1799" i="39" a="1"/>
  <c r="K1799" i="39" s="1"/>
  <c r="J1799" i="39" a="1"/>
  <c r="J1799" i="39" s="1"/>
  <c r="C15" i="6"/>
  <c r="B14" i="33" a="1"/>
  <c r="B14" i="33" s="1"/>
  <c r="J1798" i="39" a="1"/>
  <c r="J1798" i="39" s="1"/>
  <c r="K1798" i="39" a="1"/>
  <c r="K1798" i="39" s="1"/>
  <c r="H1798" i="39" a="1"/>
  <c r="H1798" i="39" s="1"/>
  <c r="G1798" i="39" a="1"/>
  <c r="G1798" i="39" s="1"/>
  <c r="B15" i="35" a="1"/>
  <c r="B15" i="35" s="1"/>
  <c r="B16" i="35" a="1"/>
  <c r="B16" i="35" s="1"/>
  <c r="B17" i="35" a="1"/>
  <c r="B17" i="35" s="1"/>
  <c r="B18" i="35" a="1"/>
  <c r="B18" i="35" s="1"/>
  <c r="B19" i="35" a="1"/>
  <c r="B19" i="35" s="1"/>
  <c r="B20" i="35" a="1"/>
  <c r="B20" i="35" s="1"/>
  <c r="B21" i="35" a="1"/>
  <c r="B21" i="35" s="1"/>
  <c r="B22" i="35" a="1"/>
  <c r="B22" i="35" s="1"/>
  <c r="B23" i="35" a="1"/>
  <c r="B23" i="35" s="1"/>
  <c r="B24" i="35" a="1"/>
  <c r="B24" i="35" s="1"/>
  <c r="B25" i="35" a="1"/>
  <c r="B25" i="35" s="1"/>
  <c r="B26" i="35" a="1"/>
  <c r="B26" i="35" s="1"/>
  <c r="B27" i="35" a="1"/>
  <c r="B27" i="35" s="1"/>
  <c r="B28" i="35" a="1"/>
  <c r="B28" i="35" s="1"/>
  <c r="B29" i="35" a="1"/>
  <c r="B29" i="35" s="1"/>
  <c r="B30" i="35" a="1"/>
  <c r="B30" i="35" s="1"/>
  <c r="B31" i="35" a="1"/>
  <c r="B31" i="35" s="1"/>
  <c r="B32" i="35" a="1"/>
  <c r="B32" i="35" s="1"/>
  <c r="B33" i="35" a="1"/>
  <c r="B33" i="35" s="1"/>
  <c r="B34" i="35" a="1"/>
  <c r="B34" i="35" s="1"/>
  <c r="B35" i="35" a="1"/>
  <c r="B35" i="35" s="1"/>
  <c r="B36" i="35" a="1"/>
  <c r="B36" i="35" s="1"/>
  <c r="B37" i="35" a="1"/>
  <c r="B37" i="35" s="1"/>
  <c r="B38" i="35" a="1"/>
  <c r="B38" i="35" s="1"/>
  <c r="B39" i="35" a="1"/>
  <c r="B39" i="35" s="1"/>
  <c r="B40" i="35" a="1"/>
  <c r="B40" i="35" s="1"/>
  <c r="B41" i="35" a="1"/>
  <c r="B41" i="35" s="1"/>
  <c r="B42" i="35" a="1"/>
  <c r="B42" i="35" s="1"/>
  <c r="B43" i="35" a="1"/>
  <c r="B43" i="35" s="1"/>
  <c r="B44" i="35" a="1"/>
  <c r="B44" i="35" s="1"/>
  <c r="B45" i="35" a="1"/>
  <c r="B45" i="35" s="1"/>
  <c r="B46" i="35" a="1"/>
  <c r="B46" i="35" s="1"/>
  <c r="B47" i="35" a="1"/>
  <c r="B47" i="35" s="1"/>
  <c r="B48" i="35" a="1"/>
  <c r="B48" i="35" s="1"/>
  <c r="B49" i="35" a="1"/>
  <c r="B49" i="35" s="1"/>
  <c r="B50" i="35" a="1"/>
  <c r="B50" i="35" s="1"/>
  <c r="B51" i="35" a="1"/>
  <c r="B51" i="35" s="1"/>
  <c r="B52" i="35" a="1"/>
  <c r="B52" i="35" s="1"/>
  <c r="B53" i="35" a="1"/>
  <c r="B53" i="35" s="1"/>
  <c r="B54" i="35" a="1"/>
  <c r="B54" i="35" s="1"/>
  <c r="B55" i="35" a="1"/>
  <c r="B55" i="35" s="1"/>
  <c r="B56" i="35" a="1"/>
  <c r="B56" i="35" s="1"/>
  <c r="B57" i="35" a="1"/>
  <c r="B57" i="35" s="1"/>
  <c r="B58" i="35" a="1"/>
  <c r="B58" i="35" s="1"/>
  <c r="B59" i="35" a="1"/>
  <c r="B59" i="35" s="1"/>
  <c r="B60" i="35" a="1"/>
  <c r="B60" i="35" s="1"/>
  <c r="B61" i="35" a="1"/>
  <c r="B61" i="35" s="1"/>
  <c r="B62" i="35" a="1"/>
  <c r="B62" i="35" s="1"/>
  <c r="B63" i="35" a="1"/>
  <c r="B63" i="35" s="1"/>
  <c r="B64" i="35" a="1"/>
  <c r="B64" i="35" s="1"/>
  <c r="B65" i="35" a="1"/>
  <c r="B65" i="35" s="1"/>
  <c r="B66" i="35" a="1"/>
  <c r="B66" i="35" s="1"/>
  <c r="B67" i="35" a="1"/>
  <c r="B67" i="35" s="1"/>
  <c r="B68" i="35" a="1"/>
  <c r="B68" i="35" s="1"/>
  <c r="B69" i="35" a="1"/>
  <c r="B69" i="35" s="1"/>
  <c r="B70" i="35" a="1"/>
  <c r="B70" i="35" s="1"/>
  <c r="B71" i="35" a="1"/>
  <c r="B71" i="35" s="1"/>
  <c r="B72" i="35" a="1"/>
  <c r="B72" i="35" s="1"/>
  <c r="B73" i="35" a="1"/>
  <c r="B73" i="35" s="1"/>
  <c r="B74" i="35" a="1"/>
  <c r="B74" i="35" s="1"/>
  <c r="B75" i="35" a="1"/>
  <c r="B75" i="35" s="1"/>
  <c r="B76" i="35" a="1"/>
  <c r="B76" i="35" s="1"/>
  <c r="B77" i="35" a="1"/>
  <c r="B77" i="35" s="1"/>
  <c r="B78" i="35" a="1"/>
  <c r="B78" i="35" s="1"/>
  <c r="B79" i="35" a="1"/>
  <c r="B79" i="35" s="1"/>
  <c r="B80" i="35" a="1"/>
  <c r="B80" i="35" s="1"/>
  <c r="B81" i="35" a="1"/>
  <c r="B81" i="35" s="1"/>
  <c r="B82" i="35" a="1"/>
  <c r="B82" i="35" s="1"/>
  <c r="B83" i="35" a="1"/>
  <c r="B83" i="35" s="1"/>
  <c r="B84" i="35" a="1"/>
  <c r="B84" i="35" s="1"/>
  <c r="B85" i="35" a="1"/>
  <c r="B85" i="35" s="1"/>
  <c r="B86" i="35" a="1"/>
  <c r="B86" i="35" s="1"/>
  <c r="B87" i="35" a="1"/>
  <c r="B87" i="35" s="1"/>
  <c r="B88" i="35" a="1"/>
  <c r="B88" i="35" s="1"/>
  <c r="B89" i="35" a="1"/>
  <c r="B89" i="35" s="1"/>
  <c r="B90" i="35" a="1"/>
  <c r="B90" i="35" s="1"/>
  <c r="B91" i="35" a="1"/>
  <c r="B91" i="35" s="1"/>
  <c r="B92" i="35" a="1"/>
  <c r="B92" i="35" s="1"/>
  <c r="B93" i="35" a="1"/>
  <c r="B93" i="35" s="1"/>
  <c r="B94" i="35" a="1"/>
  <c r="B94" i="35" s="1"/>
  <c r="B95" i="35" a="1"/>
  <c r="B95" i="35" s="1"/>
  <c r="B96" i="35" a="1"/>
  <c r="B96" i="35" s="1"/>
  <c r="B97" i="35" a="1"/>
  <c r="B97" i="35" s="1"/>
  <c r="B98" i="35" a="1"/>
  <c r="B98" i="35" s="1"/>
  <c r="B99" i="35" a="1"/>
  <c r="B99" i="35" s="1"/>
  <c r="B100" i="35" a="1"/>
  <c r="B100" i="35" s="1"/>
  <c r="B101" i="35" a="1"/>
  <c r="B101" i="35" s="1"/>
  <c r="B102" i="35" a="1"/>
  <c r="B102" i="35" s="1"/>
  <c r="B103" i="35" a="1"/>
  <c r="B103" i="35" s="1"/>
  <c r="B104" i="35" a="1"/>
  <c r="B104" i="35" s="1"/>
  <c r="B105" i="35" a="1"/>
  <c r="B105" i="35" s="1"/>
  <c r="B106" i="35" a="1"/>
  <c r="B106" i="35" s="1"/>
  <c r="B107" i="35" a="1"/>
  <c r="B107" i="35" s="1"/>
  <c r="B108" i="35" a="1"/>
  <c r="B108" i="35" s="1"/>
  <c r="B109" i="35" a="1"/>
  <c r="B109" i="35" s="1"/>
  <c r="B110" i="35" a="1"/>
  <c r="B110" i="35" s="1"/>
  <c r="B111" i="35" a="1"/>
  <c r="B111" i="35" s="1"/>
  <c r="B112" i="35" a="1"/>
  <c r="B112" i="35" s="1"/>
  <c r="B113" i="35" a="1"/>
  <c r="B113" i="35" s="1"/>
  <c r="B114" i="35" a="1"/>
  <c r="B114" i="35" s="1"/>
  <c r="B115" i="35" a="1"/>
  <c r="B115" i="35" s="1"/>
  <c r="B116" i="35" a="1"/>
  <c r="B116" i="35" s="1"/>
  <c r="B117" i="35" a="1"/>
  <c r="B117" i="35" s="1"/>
  <c r="B118" i="35" a="1"/>
  <c r="B118" i="35" s="1"/>
  <c r="B119" i="35" a="1"/>
  <c r="B119" i="35" s="1"/>
  <c r="B120" i="35" a="1"/>
  <c r="B120" i="35" s="1"/>
  <c r="B121" i="35" a="1"/>
  <c r="B121" i="35" s="1"/>
  <c r="B122" i="35" a="1"/>
  <c r="B122" i="35" s="1"/>
  <c r="B123" i="35" a="1"/>
  <c r="B123" i="35" s="1"/>
  <c r="B124" i="35" a="1"/>
  <c r="B124" i="35" s="1"/>
  <c r="B125" i="35" a="1"/>
  <c r="B125" i="35" s="1"/>
  <c r="B126" i="35" a="1"/>
  <c r="B126" i="35" s="1"/>
  <c r="B127" i="35" a="1"/>
  <c r="B127" i="35" s="1"/>
  <c r="B128" i="35" a="1"/>
  <c r="B128" i="35" s="1"/>
  <c r="B129" i="35" a="1"/>
  <c r="B129" i="35" s="1"/>
  <c r="B130" i="35" a="1"/>
  <c r="B130" i="35" s="1"/>
  <c r="B131" i="35" a="1"/>
  <c r="B131" i="35" s="1"/>
  <c r="B132" i="35" a="1"/>
  <c r="B132" i="35" s="1"/>
  <c r="B133" i="35" a="1"/>
  <c r="B133" i="35" s="1"/>
  <c r="B134" i="35" a="1"/>
  <c r="B134" i="35" s="1"/>
  <c r="B135" i="35" a="1"/>
  <c r="B135" i="35" s="1"/>
  <c r="B136" i="35" a="1"/>
  <c r="B136" i="35" s="1"/>
  <c r="B137" i="35" a="1"/>
  <c r="B137" i="35" s="1"/>
  <c r="B138" i="35" a="1"/>
  <c r="B138" i="35" s="1"/>
  <c r="B139" i="35" a="1"/>
  <c r="B139" i="35" s="1"/>
  <c r="B140" i="35" a="1"/>
  <c r="B140" i="35" s="1"/>
  <c r="B141" i="35" a="1"/>
  <c r="B141" i="35" s="1"/>
  <c r="B142" i="35" a="1"/>
  <c r="B142" i="35" s="1"/>
  <c r="B143" i="35" a="1"/>
  <c r="B143" i="35" s="1"/>
  <c r="B144" i="35" a="1"/>
  <c r="B144" i="35" s="1"/>
  <c r="B145" i="35" a="1"/>
  <c r="B145" i="35" s="1"/>
  <c r="B146" i="35" a="1"/>
  <c r="B146" i="35" s="1"/>
  <c r="B147" i="35" a="1"/>
  <c r="B147" i="35" s="1"/>
  <c r="B148" i="35" a="1"/>
  <c r="B148" i="35" s="1"/>
  <c r="B149" i="35" a="1"/>
  <c r="B149" i="35" s="1"/>
  <c r="B150" i="35" a="1"/>
  <c r="B150" i="35" s="1"/>
  <c r="B151" i="35" a="1"/>
  <c r="B151" i="35" s="1"/>
  <c r="B152" i="35" a="1"/>
  <c r="B152" i="35" s="1"/>
  <c r="B153" i="35" a="1"/>
  <c r="B153" i="35" s="1"/>
  <c r="B154" i="35" a="1"/>
  <c r="B154" i="35" s="1"/>
  <c r="B155" i="35" a="1"/>
  <c r="B155" i="35" s="1"/>
  <c r="B156" i="35" a="1"/>
  <c r="B156" i="35" s="1"/>
  <c r="B157" i="35" a="1"/>
  <c r="B157" i="35" s="1"/>
  <c r="B158" i="35" a="1"/>
  <c r="B158" i="35" s="1"/>
  <c r="B159" i="35" a="1"/>
  <c r="B159" i="35" s="1"/>
  <c r="B160" i="35" a="1"/>
  <c r="B160" i="35" s="1"/>
  <c r="B161" i="35" a="1"/>
  <c r="B161" i="35" s="1"/>
  <c r="B162" i="35" a="1"/>
  <c r="B162" i="35" s="1"/>
  <c r="B163" i="35" a="1"/>
  <c r="B163" i="35" s="1"/>
  <c r="B164" i="35" a="1"/>
  <c r="B164" i="35" s="1"/>
  <c r="B165" i="35" a="1"/>
  <c r="B165" i="35" s="1"/>
  <c r="B166" i="35" a="1"/>
  <c r="B166" i="35" s="1"/>
  <c r="B167" i="35" a="1"/>
  <c r="B167" i="35" s="1"/>
  <c r="B168" i="35" a="1"/>
  <c r="B168" i="35" s="1"/>
  <c r="B169" i="35" a="1"/>
  <c r="B169" i="35" s="1"/>
  <c r="B170" i="35" a="1"/>
  <c r="B170" i="35" s="1"/>
  <c r="B171" i="35" a="1"/>
  <c r="B171" i="35" s="1"/>
  <c r="B172" i="35" a="1"/>
  <c r="B172" i="35" s="1"/>
  <c r="B173" i="35" a="1"/>
  <c r="B173" i="35" s="1"/>
  <c r="B174" i="35" a="1"/>
  <c r="B174" i="35" s="1"/>
  <c r="B175" i="35" a="1"/>
  <c r="B175" i="35" s="1"/>
  <c r="B176" i="35" a="1"/>
  <c r="B176" i="35" s="1"/>
  <c r="B177" i="35" a="1"/>
  <c r="B177" i="35" s="1"/>
  <c r="B178" i="35" a="1"/>
  <c r="B178" i="35" s="1"/>
  <c r="B179" i="35" a="1"/>
  <c r="B179" i="35" s="1"/>
  <c r="B180" i="35" a="1"/>
  <c r="B180" i="35" s="1"/>
  <c r="B181" i="35" a="1"/>
  <c r="B181" i="35" s="1"/>
  <c r="B182" i="35" a="1"/>
  <c r="B182" i="35" s="1"/>
  <c r="B183" i="35" a="1"/>
  <c r="B183" i="35" s="1"/>
  <c r="B184" i="35" a="1"/>
  <c r="B184" i="35" s="1"/>
  <c r="B185" i="35" a="1"/>
  <c r="B185" i="35" s="1"/>
  <c r="B186" i="35" a="1"/>
  <c r="B186" i="35" s="1"/>
  <c r="B187" i="35" a="1"/>
  <c r="B187" i="35" s="1"/>
  <c r="B188" i="35" a="1"/>
  <c r="B188" i="35" s="1"/>
  <c r="B189" i="35" a="1"/>
  <c r="B189" i="35" s="1"/>
  <c r="B190" i="35" a="1"/>
  <c r="B190" i="35" s="1"/>
  <c r="B191" i="35" a="1"/>
  <c r="B191" i="35" s="1"/>
  <c r="B192" i="35" a="1"/>
  <c r="B192" i="35" s="1"/>
  <c r="B193" i="35" a="1"/>
  <c r="B193" i="35" s="1"/>
  <c r="B194" i="35" a="1"/>
  <c r="B194" i="35" s="1"/>
  <c r="B195" i="35" a="1"/>
  <c r="B195" i="35" s="1"/>
  <c r="B196" i="35" a="1"/>
  <c r="B196" i="35" s="1"/>
  <c r="B197" i="35" a="1"/>
  <c r="B197" i="35" s="1"/>
  <c r="B198" i="35" a="1"/>
  <c r="B198" i="35" s="1"/>
  <c r="B199" i="35" a="1"/>
  <c r="B199" i="35" s="1"/>
  <c r="B200" i="35" a="1"/>
  <c r="B200" i="35" s="1"/>
  <c r="B201" i="35" a="1"/>
  <c r="B201" i="35" s="1"/>
  <c r="B202" i="35" a="1"/>
  <c r="B202" i="35" s="1"/>
  <c r="B203" i="35" a="1"/>
  <c r="B203" i="35" s="1"/>
  <c r="B204" i="35" a="1"/>
  <c r="B204" i="35" s="1"/>
  <c r="B205" i="35" a="1"/>
  <c r="B205" i="35" s="1"/>
  <c r="B206" i="35" a="1"/>
  <c r="B206" i="35" s="1"/>
  <c r="B207" i="35" a="1"/>
  <c r="B207" i="35" s="1"/>
  <c r="B208" i="35" a="1"/>
  <c r="B208" i="35" s="1"/>
  <c r="B209" i="35" a="1"/>
  <c r="B209" i="35" s="1"/>
  <c r="B210" i="35" a="1"/>
  <c r="B210" i="35" s="1"/>
  <c r="B211" i="35" a="1"/>
  <c r="B211" i="35" s="1"/>
  <c r="B212" i="35" a="1"/>
  <c r="B212" i="35" s="1"/>
  <c r="B213" i="35" a="1"/>
  <c r="B213" i="35" s="1"/>
  <c r="B214" i="35" a="1"/>
  <c r="B214" i="35" s="1"/>
  <c r="B215" i="35" a="1"/>
  <c r="B215" i="35" s="1"/>
  <c r="B216" i="35" a="1"/>
  <c r="B216" i="35" s="1"/>
  <c r="B217" i="35" a="1"/>
  <c r="B217" i="35" s="1"/>
  <c r="B218" i="35" a="1"/>
  <c r="B218" i="35" s="1"/>
  <c r="B219" i="35" a="1"/>
  <c r="B219" i="35" s="1"/>
  <c r="B220" i="35" a="1"/>
  <c r="B220" i="35" s="1"/>
  <c r="B221" i="35" a="1"/>
  <c r="B221" i="35" s="1"/>
  <c r="B222" i="35" a="1"/>
  <c r="B222" i="35" s="1"/>
  <c r="B223" i="35" a="1"/>
  <c r="B223" i="35" s="1"/>
  <c r="B224" i="35" a="1"/>
  <c r="B224" i="35" s="1"/>
  <c r="B225" i="35" a="1"/>
  <c r="B225" i="35" s="1"/>
  <c r="B226" i="35" a="1"/>
  <c r="B226" i="35" s="1"/>
  <c r="B227" i="35" a="1"/>
  <c r="B227" i="35" s="1"/>
  <c r="B228" i="35" a="1"/>
  <c r="B228" i="35" s="1"/>
  <c r="B229" i="35" a="1"/>
  <c r="B229" i="35" s="1"/>
  <c r="B230" i="35" a="1"/>
  <c r="B230" i="35" s="1"/>
  <c r="B231" i="35" a="1"/>
  <c r="B231" i="35" s="1"/>
  <c r="B232" i="35" a="1"/>
  <c r="B232" i="35" s="1"/>
  <c r="B233" i="35" a="1"/>
  <c r="B233" i="35" s="1"/>
  <c r="B234" i="35" a="1"/>
  <c r="B234" i="35" s="1"/>
  <c r="B235" i="35" a="1"/>
  <c r="B235" i="35" s="1"/>
  <c r="B236" i="35" a="1"/>
  <c r="B236" i="35" s="1"/>
  <c r="B237" i="35" a="1"/>
  <c r="B237" i="35" s="1"/>
  <c r="B238" i="35" a="1"/>
  <c r="B238" i="35" s="1"/>
  <c r="B239" i="35" a="1"/>
  <c r="B239" i="35" s="1"/>
  <c r="B240" i="35" a="1"/>
  <c r="B240" i="35" s="1"/>
  <c r="B241" i="35" a="1"/>
  <c r="B241" i="35" s="1"/>
  <c r="B242" i="35" a="1"/>
  <c r="B242" i="35" s="1"/>
  <c r="B243" i="35" a="1"/>
  <c r="B243" i="35" s="1"/>
  <c r="B244" i="35" a="1"/>
  <c r="B244" i="35" s="1"/>
  <c r="B245" i="35" a="1"/>
  <c r="B245" i="35" s="1"/>
  <c r="B246" i="35" a="1"/>
  <c r="B246" i="35" s="1"/>
  <c r="B247" i="35" a="1"/>
  <c r="B247" i="35" s="1"/>
  <c r="B248" i="35" a="1"/>
  <c r="B248" i="35" s="1"/>
  <c r="B249" i="35" a="1"/>
  <c r="B249" i="35" s="1"/>
  <c r="B250" i="35" a="1"/>
  <c r="B250" i="35" s="1"/>
  <c r="B251" i="35" a="1"/>
  <c r="B251" i="35" s="1"/>
  <c r="B252" i="35" a="1"/>
  <c r="B252" i="35" s="1"/>
  <c r="B253" i="35" a="1"/>
  <c r="B253" i="35" s="1"/>
  <c r="B254" i="35" a="1"/>
  <c r="B254" i="35" s="1"/>
  <c r="B255" i="35" a="1"/>
  <c r="B255" i="35" s="1"/>
  <c r="B256" i="35" a="1"/>
  <c r="B256" i="35" s="1"/>
  <c r="B257" i="35" a="1"/>
  <c r="B257" i="35" s="1"/>
  <c r="B258" i="35" a="1"/>
  <c r="B258" i="35" s="1"/>
  <c r="B259" i="35" a="1"/>
  <c r="B259" i="35" s="1"/>
  <c r="B260" i="35" a="1"/>
  <c r="B260" i="35" s="1"/>
  <c r="B261" i="35" a="1"/>
  <c r="B261" i="35" s="1"/>
  <c r="B262" i="35" a="1"/>
  <c r="B262" i="35"/>
  <c r="B263" i="35" a="1"/>
  <c r="B263" i="35" s="1"/>
  <c r="B14" i="35" a="1"/>
  <c r="B14" i="35" s="1"/>
  <c r="B15" i="33" a="1"/>
  <c r="B15" i="33" s="1"/>
  <c r="B16" i="33" a="1"/>
  <c r="B16" i="33" s="1"/>
  <c r="B17" i="33" a="1"/>
  <c r="B17" i="33" s="1"/>
  <c r="B18" i="33" a="1"/>
  <c r="B18" i="33" s="1"/>
  <c r="B19" i="33" a="1"/>
  <c r="B19" i="33" s="1"/>
  <c r="B20" i="33" a="1"/>
  <c r="B20" i="33" s="1"/>
  <c r="B21" i="33" a="1"/>
  <c r="B21" i="33" s="1"/>
  <c r="B22" i="33" a="1"/>
  <c r="B22" i="33" s="1"/>
  <c r="B23" i="33" a="1"/>
  <c r="B23" i="33" s="1"/>
  <c r="B24" i="33" a="1"/>
  <c r="B24" i="33" s="1"/>
  <c r="B25" i="33" a="1"/>
  <c r="B25" i="33" s="1"/>
  <c r="B26" i="33" a="1"/>
  <c r="B26" i="33" s="1"/>
  <c r="B27" i="33" a="1"/>
  <c r="B27" i="33" s="1"/>
  <c r="B28" i="33" a="1"/>
  <c r="B28" i="33" s="1"/>
  <c r="B29" i="33" a="1"/>
  <c r="B29" i="33" s="1"/>
  <c r="B30" i="33" a="1"/>
  <c r="B30" i="33" s="1"/>
  <c r="B31" i="33" a="1"/>
  <c r="B31" i="33" s="1"/>
  <c r="B32" i="33" a="1"/>
  <c r="B32" i="33" s="1"/>
  <c r="B33" i="33" a="1"/>
  <c r="B33" i="33" s="1"/>
  <c r="B34" i="33" a="1"/>
  <c r="B34" i="33" s="1"/>
  <c r="B35" i="33" a="1"/>
  <c r="B35" i="33" s="1"/>
  <c r="B36" i="33" a="1"/>
  <c r="B36" i="33" s="1"/>
  <c r="B37" i="33" a="1"/>
  <c r="B37" i="33" s="1"/>
  <c r="B38" i="33" a="1"/>
  <c r="B38" i="33" s="1"/>
  <c r="B39" i="33" a="1"/>
  <c r="B39" i="33" s="1"/>
  <c r="B40" i="33" a="1"/>
  <c r="B40" i="33" s="1"/>
  <c r="B41" i="33" a="1"/>
  <c r="B41" i="33" s="1"/>
  <c r="B42" i="33" a="1"/>
  <c r="B42" i="33" s="1"/>
  <c r="B43" i="33" a="1"/>
  <c r="B43" i="33" s="1"/>
  <c r="B44" i="33" a="1"/>
  <c r="B44" i="33" s="1"/>
  <c r="B45" i="33" a="1"/>
  <c r="B45" i="33" s="1"/>
  <c r="B46" i="33" a="1"/>
  <c r="B46" i="33" s="1"/>
  <c r="B47" i="33" a="1"/>
  <c r="B47" i="33" s="1"/>
  <c r="B48" i="33" a="1"/>
  <c r="B48" i="33" s="1"/>
  <c r="B49" i="33" a="1"/>
  <c r="B49" i="33" s="1"/>
  <c r="B50" i="33" a="1"/>
  <c r="B50" i="33" s="1"/>
  <c r="B51" i="33" a="1"/>
  <c r="B51" i="33" s="1"/>
  <c r="B52" i="33" a="1"/>
  <c r="B52" i="33" s="1"/>
  <c r="B53" i="33" a="1"/>
  <c r="B53" i="33" s="1"/>
  <c r="B54" i="33" a="1"/>
  <c r="B54" i="33" s="1"/>
  <c r="B55" i="33" a="1"/>
  <c r="B55" i="33" s="1"/>
  <c r="B56" i="33" a="1"/>
  <c r="B56" i="33" s="1"/>
  <c r="B57" i="33" a="1"/>
  <c r="B57" i="33" s="1"/>
  <c r="B58" i="33" a="1"/>
  <c r="B58" i="33" s="1"/>
  <c r="B59" i="33" a="1"/>
  <c r="B59" i="33" s="1"/>
  <c r="B60" i="33" a="1"/>
  <c r="B60" i="33" s="1"/>
  <c r="B61" i="33" a="1"/>
  <c r="B61" i="33" s="1"/>
  <c r="B62" i="33" a="1"/>
  <c r="B62" i="33" s="1"/>
  <c r="B63" i="33" a="1"/>
  <c r="B63" i="33" s="1"/>
  <c r="B64" i="33" a="1"/>
  <c r="B64" i="33" s="1"/>
  <c r="B65" i="33" a="1"/>
  <c r="B65" i="33" s="1"/>
  <c r="B66" i="33" a="1"/>
  <c r="B66" i="33" s="1"/>
  <c r="B67" i="33" a="1"/>
  <c r="B67" i="33" s="1"/>
  <c r="B68" i="33" a="1"/>
  <c r="B68" i="33" s="1"/>
  <c r="B69" i="33" a="1"/>
  <c r="B69" i="33" s="1"/>
  <c r="B70" i="33" a="1"/>
  <c r="B70" i="33" s="1"/>
  <c r="B71" i="33" a="1"/>
  <c r="B71" i="33" s="1"/>
  <c r="B72" i="33" a="1"/>
  <c r="B72" i="33" s="1"/>
  <c r="B73" i="33" a="1"/>
  <c r="B73" i="33" s="1"/>
  <c r="B74" i="33" a="1"/>
  <c r="B74" i="33" s="1"/>
  <c r="B75" i="33" a="1"/>
  <c r="B75" i="33" s="1"/>
  <c r="B76" i="33" a="1"/>
  <c r="B76" i="33" s="1"/>
  <c r="B77" i="33" a="1"/>
  <c r="B77" i="33" s="1"/>
  <c r="B78" i="33" a="1"/>
  <c r="B78" i="33" s="1"/>
  <c r="B79" i="33" a="1"/>
  <c r="B79" i="33" s="1"/>
  <c r="B80" i="33" a="1"/>
  <c r="B80" i="33" s="1"/>
  <c r="B81" i="33" a="1"/>
  <c r="B81" i="33" s="1"/>
  <c r="B82" i="33" a="1"/>
  <c r="B82" i="33" s="1"/>
  <c r="B83" i="33" a="1"/>
  <c r="B83" i="33" s="1"/>
  <c r="B84" i="33" a="1"/>
  <c r="B84" i="33" s="1"/>
  <c r="B85" i="33" a="1"/>
  <c r="B85" i="33" s="1"/>
  <c r="B86" i="33" a="1"/>
  <c r="B86" i="33" s="1"/>
  <c r="B87" i="33" a="1"/>
  <c r="B87" i="33" s="1"/>
  <c r="B88" i="33" a="1"/>
  <c r="B88" i="33" s="1"/>
  <c r="B89" i="33" a="1"/>
  <c r="B89" i="33" s="1"/>
  <c r="B90" i="33" a="1"/>
  <c r="B90" i="33" s="1"/>
  <c r="B91" i="33" a="1"/>
  <c r="B91" i="33" s="1"/>
  <c r="B92" i="33" a="1"/>
  <c r="B92" i="33" s="1"/>
  <c r="B93" i="33" a="1"/>
  <c r="B93" i="33" s="1"/>
  <c r="B94" i="33" a="1"/>
  <c r="B94" i="33" s="1"/>
  <c r="B95" i="33" a="1"/>
  <c r="B95" i="33" s="1"/>
  <c r="B96" i="33" a="1"/>
  <c r="B96" i="33" s="1"/>
  <c r="B97" i="33" a="1"/>
  <c r="B97" i="33" s="1"/>
  <c r="B98" i="33" a="1"/>
  <c r="B98" i="33" s="1"/>
  <c r="B99" i="33" a="1"/>
  <c r="B99" i="33" s="1"/>
  <c r="B100" i="33" a="1"/>
  <c r="B100" i="33" s="1"/>
  <c r="B101" i="33" a="1"/>
  <c r="B101" i="33" s="1"/>
  <c r="B102" i="33" a="1"/>
  <c r="B102" i="33" s="1"/>
  <c r="B103" i="33" a="1"/>
  <c r="B103" i="33" s="1"/>
  <c r="B104" i="33" a="1"/>
  <c r="B104" i="33" s="1"/>
  <c r="B105" i="33" a="1"/>
  <c r="B105" i="33" s="1"/>
  <c r="B106" i="33" a="1"/>
  <c r="B106" i="33" s="1"/>
  <c r="B107" i="33" a="1"/>
  <c r="B107" i="33" s="1"/>
  <c r="B108" i="33" a="1"/>
  <c r="B108" i="33" s="1"/>
  <c r="B109" i="33" a="1"/>
  <c r="B109" i="33" s="1"/>
  <c r="B110" i="33" a="1"/>
  <c r="B110" i="33" s="1"/>
  <c r="B111" i="33" a="1"/>
  <c r="B111" i="33" s="1"/>
  <c r="B112" i="33" a="1"/>
  <c r="B112" i="33" s="1"/>
  <c r="B113" i="33" a="1"/>
  <c r="B113" i="33" s="1"/>
  <c r="B114" i="33" a="1"/>
  <c r="B114" i="33" s="1"/>
  <c r="B115" i="33" a="1"/>
  <c r="B115" i="33" s="1"/>
  <c r="B116" i="33" a="1"/>
  <c r="B116" i="33" s="1"/>
  <c r="B117" i="33" a="1"/>
  <c r="B117" i="33" s="1"/>
  <c r="B118" i="33" a="1"/>
  <c r="B118" i="33" s="1"/>
  <c r="B119" i="33" a="1"/>
  <c r="B119" i="33" s="1"/>
  <c r="B120" i="33" a="1"/>
  <c r="B120" i="33" s="1"/>
  <c r="B121" i="33" a="1"/>
  <c r="B121" i="33" s="1"/>
  <c r="B122" i="33" a="1"/>
  <c r="B122" i="33" s="1"/>
  <c r="B123" i="33" a="1"/>
  <c r="B123" i="33" s="1"/>
  <c r="B124" i="33" a="1"/>
  <c r="B124" i="33" s="1"/>
  <c r="B125" i="33" a="1"/>
  <c r="B125" i="33" s="1"/>
  <c r="B126" i="33" a="1"/>
  <c r="B126" i="33" s="1"/>
  <c r="B127" i="33" a="1"/>
  <c r="B127" i="33" s="1"/>
  <c r="B128" i="33" a="1"/>
  <c r="B128" i="33" s="1"/>
  <c r="B129" i="33" a="1"/>
  <c r="B129" i="33" s="1"/>
  <c r="B130" i="33" a="1"/>
  <c r="B130" i="33" s="1"/>
  <c r="B131" i="33" a="1"/>
  <c r="B131" i="33" s="1"/>
  <c r="B132" i="33" a="1"/>
  <c r="B132" i="33" s="1"/>
  <c r="B133" i="33" a="1"/>
  <c r="B133" i="33" s="1"/>
  <c r="B134" i="33" a="1"/>
  <c r="B134" i="33" s="1"/>
  <c r="B135" i="33" a="1"/>
  <c r="B135" i="33" s="1"/>
  <c r="B136" i="33" a="1"/>
  <c r="B136" i="33" s="1"/>
  <c r="B137" i="33" a="1"/>
  <c r="B137" i="33" s="1"/>
  <c r="B138" i="33" a="1"/>
  <c r="B138" i="33" s="1"/>
  <c r="B139" i="33" a="1"/>
  <c r="B139" i="33" s="1"/>
  <c r="B140" i="33" a="1"/>
  <c r="B140" i="33" s="1"/>
  <c r="B141" i="33" a="1"/>
  <c r="B141" i="33" s="1"/>
  <c r="B142" i="33" a="1"/>
  <c r="B142" i="33" s="1"/>
  <c r="B143" i="33" a="1"/>
  <c r="B143" i="33" s="1"/>
  <c r="B144" i="33" a="1"/>
  <c r="B144" i="33" s="1"/>
  <c r="B145" i="33" a="1"/>
  <c r="B145" i="33" s="1"/>
  <c r="B146" i="33" a="1"/>
  <c r="B146" i="33" s="1"/>
  <c r="B147" i="33" a="1"/>
  <c r="B147" i="33" s="1"/>
  <c r="B148" i="33" a="1"/>
  <c r="B148" i="33" s="1"/>
  <c r="B149" i="33" a="1"/>
  <c r="B149" i="33" s="1"/>
  <c r="B150" i="33" a="1"/>
  <c r="B150" i="33" s="1"/>
  <c r="B151" i="33" a="1"/>
  <c r="B151" i="33" s="1"/>
  <c r="B152" i="33" a="1"/>
  <c r="B152" i="33" s="1"/>
  <c r="B153" i="33" a="1"/>
  <c r="B153" i="33" s="1"/>
  <c r="B154" i="33" a="1"/>
  <c r="B154" i="33" s="1"/>
  <c r="B155" i="33" a="1"/>
  <c r="B155" i="33" s="1"/>
  <c r="B156" i="33" a="1"/>
  <c r="B156" i="33" s="1"/>
  <c r="B157" i="33" a="1"/>
  <c r="B157" i="33" s="1"/>
  <c r="B158" i="33" a="1"/>
  <c r="B158" i="33" s="1"/>
  <c r="B159" i="33" a="1"/>
  <c r="B159" i="33" s="1"/>
  <c r="B160" i="33" a="1"/>
  <c r="B160" i="33" s="1"/>
  <c r="B161" i="33" a="1"/>
  <c r="B161" i="33" s="1"/>
  <c r="B162" i="33" a="1"/>
  <c r="B162" i="33" s="1"/>
  <c r="B163" i="33" a="1"/>
  <c r="B163" i="33" s="1"/>
  <c r="B164" i="33" a="1"/>
  <c r="B164" i="33" s="1"/>
  <c r="B165" i="33" a="1"/>
  <c r="B165" i="33" s="1"/>
  <c r="B166" i="33" a="1"/>
  <c r="B166" i="33" s="1"/>
  <c r="B167" i="33" a="1"/>
  <c r="B167" i="33" s="1"/>
  <c r="B168" i="33" a="1"/>
  <c r="B168" i="33" s="1"/>
  <c r="B169" i="33" a="1"/>
  <c r="B169" i="33" s="1"/>
  <c r="B170" i="33" a="1"/>
  <c r="B170" i="33" s="1"/>
  <c r="B171" i="33" a="1"/>
  <c r="B171" i="33" s="1"/>
  <c r="B172" i="33" a="1"/>
  <c r="B172" i="33" s="1"/>
  <c r="B173" i="33" a="1"/>
  <c r="B173" i="33" s="1"/>
  <c r="B174" i="33" a="1"/>
  <c r="B174" i="33" s="1"/>
  <c r="B175" i="33" a="1"/>
  <c r="B175" i="33" s="1"/>
  <c r="B176" i="33" a="1"/>
  <c r="B176" i="33" s="1"/>
  <c r="B177" i="33" a="1"/>
  <c r="B177" i="33" s="1"/>
  <c r="B178" i="33" a="1"/>
  <c r="B178" i="33" s="1"/>
  <c r="B179" i="33" a="1"/>
  <c r="B179" i="33" s="1"/>
  <c r="B180" i="33" a="1"/>
  <c r="B180" i="33" s="1"/>
  <c r="B181" i="33" a="1"/>
  <c r="B181" i="33" s="1"/>
  <c r="B182" i="33" a="1"/>
  <c r="B182" i="33" s="1"/>
  <c r="B183" i="33" a="1"/>
  <c r="B183" i="33" s="1"/>
  <c r="B184" i="33" a="1"/>
  <c r="B184" i="33" s="1"/>
  <c r="B185" i="33" a="1"/>
  <c r="B185" i="33" s="1"/>
  <c r="B186" i="33" a="1"/>
  <c r="B186" i="33" s="1"/>
  <c r="B187" i="33" a="1"/>
  <c r="B187" i="33" s="1"/>
  <c r="B188" i="33" a="1"/>
  <c r="B188" i="33" s="1"/>
  <c r="B189" i="33" a="1"/>
  <c r="B189" i="33" s="1"/>
  <c r="B190" i="33" a="1"/>
  <c r="B190" i="33" s="1"/>
  <c r="B191" i="33" a="1"/>
  <c r="B191" i="33" s="1"/>
  <c r="B192" i="33" a="1"/>
  <c r="B192" i="33" s="1"/>
  <c r="B193" i="33" a="1"/>
  <c r="B193" i="33" s="1"/>
  <c r="B194" i="33" a="1"/>
  <c r="B194" i="33" s="1"/>
  <c r="B195" i="33" a="1"/>
  <c r="B195" i="33" s="1"/>
  <c r="B196" i="33" a="1"/>
  <c r="B196" i="33" s="1"/>
  <c r="B197" i="33" a="1"/>
  <c r="B197" i="33" s="1"/>
  <c r="B198" i="33" a="1"/>
  <c r="B198" i="33" s="1"/>
  <c r="B199" i="33" a="1"/>
  <c r="B199" i="33" s="1"/>
  <c r="B200" i="33" a="1"/>
  <c r="B200" i="33" s="1"/>
  <c r="B201" i="33" a="1"/>
  <c r="B201" i="33" s="1"/>
  <c r="B202" i="33" a="1"/>
  <c r="B202" i="33" s="1"/>
  <c r="B203" i="33" a="1"/>
  <c r="B203" i="33" s="1"/>
  <c r="B204" i="33" a="1"/>
  <c r="B204" i="33" s="1"/>
  <c r="B205" i="33" a="1"/>
  <c r="B205" i="33" s="1"/>
  <c r="B206" i="33" a="1"/>
  <c r="B206" i="33" s="1"/>
  <c r="B207" i="33" a="1"/>
  <c r="B207" i="33" s="1"/>
  <c r="B208" i="33" a="1"/>
  <c r="B208" i="33" s="1"/>
  <c r="B209" i="33" a="1"/>
  <c r="B209" i="33" s="1"/>
  <c r="B210" i="33" a="1"/>
  <c r="B210" i="33" s="1"/>
  <c r="B211" i="33" a="1"/>
  <c r="B211" i="33" s="1"/>
  <c r="B212" i="33" a="1"/>
  <c r="B212" i="33" s="1"/>
  <c r="B213" i="33" a="1"/>
  <c r="B213" i="33" s="1"/>
  <c r="B214" i="33" a="1"/>
  <c r="B214" i="33" s="1"/>
  <c r="B215" i="33" a="1"/>
  <c r="B215" i="33" s="1"/>
  <c r="B216" i="33" a="1"/>
  <c r="B216" i="33" s="1"/>
  <c r="B217" i="33" a="1"/>
  <c r="B217" i="33" s="1"/>
  <c r="B218" i="33" a="1"/>
  <c r="B218" i="33" s="1"/>
  <c r="B219" i="33" a="1"/>
  <c r="B219" i="33" s="1"/>
  <c r="B220" i="33" a="1"/>
  <c r="B220" i="33" s="1"/>
  <c r="B221" i="33" a="1"/>
  <c r="B221" i="33" s="1"/>
  <c r="B222" i="33" a="1"/>
  <c r="B222" i="33" s="1"/>
  <c r="B223" i="33" a="1"/>
  <c r="B223" i="33" s="1"/>
  <c r="B224" i="33" a="1"/>
  <c r="B224" i="33" s="1"/>
  <c r="B225" i="33" a="1"/>
  <c r="B225" i="33" s="1"/>
  <c r="B226" i="33" a="1"/>
  <c r="B226" i="33" s="1"/>
  <c r="B227" i="33" a="1"/>
  <c r="B227" i="33" s="1"/>
  <c r="B228" i="33" a="1"/>
  <c r="B228" i="33" s="1"/>
  <c r="B229" i="33" a="1"/>
  <c r="B229" i="33" s="1"/>
  <c r="B230" i="33" a="1"/>
  <c r="B230" i="33" s="1"/>
  <c r="B231" i="33" a="1"/>
  <c r="B231" i="33" s="1"/>
  <c r="B232" i="33" a="1"/>
  <c r="B232" i="33" s="1"/>
  <c r="B233" i="33" a="1"/>
  <c r="B233" i="33" s="1"/>
  <c r="B234" i="33" a="1"/>
  <c r="B234" i="33" s="1"/>
  <c r="B235" i="33" a="1"/>
  <c r="B235" i="33" s="1"/>
  <c r="B236" i="33" a="1"/>
  <c r="B236" i="33" s="1"/>
  <c r="B237" i="33" a="1"/>
  <c r="B237" i="33" s="1"/>
  <c r="B238" i="33" a="1"/>
  <c r="B238" i="33" s="1"/>
  <c r="B239" i="33" a="1"/>
  <c r="B239" i="33" s="1"/>
  <c r="B240" i="33" a="1"/>
  <c r="B240" i="33" s="1"/>
  <c r="B241" i="33" a="1"/>
  <c r="B241" i="33" s="1"/>
  <c r="B242" i="33" a="1"/>
  <c r="B242" i="33" s="1"/>
  <c r="B243" i="33" a="1"/>
  <c r="B243" i="33" s="1"/>
  <c r="B244" i="33" a="1"/>
  <c r="B244" i="33" s="1"/>
  <c r="B245" i="33" a="1"/>
  <c r="B245" i="33" s="1"/>
  <c r="B246" i="33" a="1"/>
  <c r="B246" i="33" s="1"/>
  <c r="B247" i="33" a="1"/>
  <c r="B247" i="33" s="1"/>
  <c r="B248" i="33" a="1"/>
  <c r="B248" i="33" s="1"/>
  <c r="B249" i="33" a="1"/>
  <c r="B249" i="33" s="1"/>
  <c r="B250" i="33" a="1"/>
  <c r="B250" i="33" s="1"/>
  <c r="B251" i="33" a="1"/>
  <c r="B251" i="33" s="1"/>
  <c r="B252" i="33" a="1"/>
  <c r="B252" i="33" s="1"/>
  <c r="B253" i="33" a="1"/>
  <c r="B253" i="33" s="1"/>
  <c r="B254" i="33" a="1"/>
  <c r="B254" i="33" s="1"/>
  <c r="B255" i="33" a="1"/>
  <c r="B255" i="33" s="1"/>
  <c r="B256" i="33" a="1"/>
  <c r="B256" i="33" s="1"/>
  <c r="B257" i="33" a="1"/>
  <c r="B257" i="33" s="1"/>
  <c r="B258" i="33" a="1"/>
  <c r="B258" i="33" s="1"/>
  <c r="B259" i="33" a="1"/>
  <c r="B259" i="33" s="1"/>
  <c r="B260" i="33" a="1"/>
  <c r="B260" i="33" s="1"/>
  <c r="B261" i="33" a="1"/>
  <c r="B261" i="33" s="1"/>
  <c r="B262" i="33" a="1"/>
  <c r="B262" i="33" s="1"/>
  <c r="B263" i="33" a="1"/>
  <c r="B263" i="33" s="1"/>
  <c r="A99" i="39" l="1"/>
  <c r="B1" i="39"/>
  <c r="A45" i="39"/>
  <c r="Q1" i="39"/>
  <c r="W3" i="39"/>
  <c r="C8" i="6" l="1"/>
  <c r="P5" i="39" s="1"/>
  <c r="I18" i="1"/>
  <c r="C19" i="6"/>
  <c r="AM17170" i="26" l="1"/>
  <c r="AM17171" i="26"/>
  <c r="AM17172" i="26"/>
  <c r="AM17173" i="26"/>
  <c r="AM17174" i="26"/>
  <c r="AM12096" i="26" l="1"/>
  <c r="AM12097" i="26"/>
  <c r="W5" i="39" l="1"/>
  <c r="Y5" i="39"/>
  <c r="D104" i="39" l="1"/>
  <c r="Y15" i="39"/>
  <c r="Y14" i="39"/>
  <c r="Y13" i="39"/>
  <c r="Y12" i="39"/>
  <c r="Y11" i="39"/>
  <c r="Y10" i="39"/>
  <c r="Y9" i="39"/>
  <c r="Y8" i="39"/>
  <c r="Y7" i="39"/>
  <c r="Y6" i="39"/>
  <c r="W15" i="39"/>
  <c r="W14" i="39"/>
  <c r="W13" i="39"/>
  <c r="W12" i="39"/>
  <c r="W11" i="39"/>
  <c r="W10" i="39"/>
  <c r="W9" i="39"/>
  <c r="W8" i="39"/>
  <c r="W7" i="39"/>
  <c r="W6" i="39"/>
  <c r="W17" i="39"/>
  <c r="Y3" i="39"/>
  <c r="J1510" i="39"/>
  <c r="J1509" i="39"/>
  <c r="J1508" i="39"/>
  <c r="J1507" i="39"/>
  <c r="J1506" i="39"/>
  <c r="J1505" i="39"/>
  <c r="J1504" i="39"/>
  <c r="J1503" i="39"/>
  <c r="J1502" i="39"/>
  <c r="J1501" i="39"/>
  <c r="J1500" i="39"/>
  <c r="J1499" i="39"/>
  <c r="J1498" i="39"/>
  <c r="J1497" i="39"/>
  <c r="J1496" i="39"/>
  <c r="J1495" i="39"/>
  <c r="J1494" i="39"/>
  <c r="J1493" i="39"/>
  <c r="J1492" i="39"/>
  <c r="J1491" i="39"/>
  <c r="J1490" i="39"/>
  <c r="J1489" i="39"/>
  <c r="J1488" i="39"/>
  <c r="J1487" i="39"/>
  <c r="J1486" i="39"/>
  <c r="J1485" i="39"/>
  <c r="J1484" i="39"/>
  <c r="J1483" i="39"/>
  <c r="J1482" i="39"/>
  <c r="J1481" i="39"/>
  <c r="J1480" i="39"/>
  <c r="J1479" i="39"/>
  <c r="J1478" i="39"/>
  <c r="J1477" i="39"/>
  <c r="J1476" i="39"/>
  <c r="J1475" i="39"/>
  <c r="J1474" i="39"/>
  <c r="J1473" i="39"/>
  <c r="J1472" i="39"/>
  <c r="J1471" i="39"/>
  <c r="J1470" i="39"/>
  <c r="J1469" i="39"/>
  <c r="J1468" i="39"/>
  <c r="J1467" i="39"/>
  <c r="J1466" i="39"/>
  <c r="J1465" i="39"/>
  <c r="J1464" i="39"/>
  <c r="J1463" i="39"/>
  <c r="J1462" i="39"/>
  <c r="J1461" i="39"/>
  <c r="J1460" i="39"/>
  <c r="J1459" i="39"/>
  <c r="J1458" i="39"/>
  <c r="J1457" i="39"/>
  <c r="J1456" i="39"/>
  <c r="J1455" i="39"/>
  <c r="J1454" i="39"/>
  <c r="J1453" i="39"/>
  <c r="J1452" i="39"/>
  <c r="J1451" i="39"/>
  <c r="J1450" i="39"/>
  <c r="J1449" i="39"/>
  <c r="J1448" i="39"/>
  <c r="J1447" i="39"/>
  <c r="J1446" i="39"/>
  <c r="J1445" i="39"/>
  <c r="J1444" i="39"/>
  <c r="J1441" i="39"/>
  <c r="J1436" i="39"/>
  <c r="J1443" i="39"/>
  <c r="J1442" i="39"/>
  <c r="J1440" i="39"/>
  <c r="J1439" i="39"/>
  <c r="J1438" i="39"/>
  <c r="J1437" i="39"/>
  <c r="J1435" i="39"/>
  <c r="J1434" i="39"/>
  <c r="J1433" i="39"/>
  <c r="J1432" i="39"/>
  <c r="J1431" i="39"/>
  <c r="J1430" i="39"/>
  <c r="J1429" i="39"/>
  <c r="J1428" i="39"/>
  <c r="J1427" i="39"/>
  <c r="J1426" i="39"/>
  <c r="J1425" i="39"/>
  <c r="J1424" i="39"/>
  <c r="J1423" i="39"/>
  <c r="J1422" i="39"/>
  <c r="J1421" i="39"/>
  <c r="J1420" i="39"/>
  <c r="J1419" i="39"/>
  <c r="J1418" i="39"/>
  <c r="J1417" i="39"/>
  <c r="J1416" i="39"/>
  <c r="J1415" i="39"/>
  <c r="J1414" i="39"/>
  <c r="J1413" i="39"/>
  <c r="J1412" i="39"/>
  <c r="J1411" i="39"/>
  <c r="J1410" i="39"/>
  <c r="J1409" i="39"/>
  <c r="J1408" i="39"/>
  <c r="J1407" i="39"/>
  <c r="J1406" i="39"/>
  <c r="J1405" i="39"/>
  <c r="J1404" i="39"/>
  <c r="J1403" i="39"/>
  <c r="J1402" i="39"/>
  <c r="J1401" i="39"/>
  <c r="J1400" i="39"/>
  <c r="J1399" i="39"/>
  <c r="J1398" i="39"/>
  <c r="J1397" i="39"/>
  <c r="J1396" i="39"/>
  <c r="J1395" i="39"/>
  <c r="J1394" i="39"/>
  <c r="J1393" i="39"/>
  <c r="J1389" i="39"/>
  <c r="J1381" i="39"/>
  <c r="J1382" i="39"/>
  <c r="J1377" i="39"/>
  <c r="J1392" i="39"/>
  <c r="J1391" i="39"/>
  <c r="J1390" i="39"/>
  <c r="J1388" i="39"/>
  <c r="J1387" i="39"/>
  <c r="J1386" i="39"/>
  <c r="J1385" i="39"/>
  <c r="J1384" i="39"/>
  <c r="J1383" i="39"/>
  <c r="J1380" i="39"/>
  <c r="J1379" i="39"/>
  <c r="J1378" i="39"/>
  <c r="J1376" i="39"/>
  <c r="J1375" i="39"/>
  <c r="J1374" i="39"/>
  <c r="J1373" i="39"/>
  <c r="J1372" i="39"/>
  <c r="J1371" i="39"/>
  <c r="J1370" i="39"/>
  <c r="J1369" i="39"/>
  <c r="J1368" i="39"/>
  <c r="J1367" i="39"/>
  <c r="J1366" i="39"/>
  <c r="J1365" i="39"/>
  <c r="J1364" i="39"/>
  <c r="J1363" i="39"/>
  <c r="J1362" i="39"/>
  <c r="J1361" i="39"/>
  <c r="J1360" i="39"/>
  <c r="J1359" i="39"/>
  <c r="J1358" i="39"/>
  <c r="J1357" i="39"/>
  <c r="J1356" i="39"/>
  <c r="J1355" i="39"/>
  <c r="J1354" i="39"/>
  <c r="J1353" i="39"/>
  <c r="J1352" i="39"/>
  <c r="J1351" i="39"/>
  <c r="J1350" i="39"/>
  <c r="J1349" i="39"/>
  <c r="J1348" i="39"/>
  <c r="J1347" i="39"/>
  <c r="J1346" i="39"/>
  <c r="J1345" i="39"/>
  <c r="J1344" i="39"/>
  <c r="J1343" i="39"/>
  <c r="J1342" i="39"/>
  <c r="J1341" i="39"/>
  <c r="J1340" i="39"/>
  <c r="J1339" i="39"/>
  <c r="J1338" i="39"/>
  <c r="J1337" i="39"/>
  <c r="J1336" i="39"/>
  <c r="J1335" i="39"/>
  <c r="J1334" i="39"/>
  <c r="J1333" i="39"/>
  <c r="J1332" i="39"/>
  <c r="J1331" i="39"/>
  <c r="J1330" i="39"/>
  <c r="J1329" i="39"/>
  <c r="J1328" i="39"/>
  <c r="J1327" i="39"/>
  <c r="J1326" i="39"/>
  <c r="J1325" i="39"/>
  <c r="J1324" i="39"/>
  <c r="J1323" i="39"/>
  <c r="J1322" i="39"/>
  <c r="J1321" i="39"/>
  <c r="J1320" i="39"/>
  <c r="J1319" i="39"/>
  <c r="J1318" i="39"/>
  <c r="J1317" i="39"/>
  <c r="J1316" i="39"/>
  <c r="J1315" i="39"/>
  <c r="J1314" i="39"/>
  <c r="J1313" i="39"/>
  <c r="J1312" i="39"/>
  <c r="J1311" i="39"/>
  <c r="J1310" i="39"/>
  <c r="J1309" i="39"/>
  <c r="J1308" i="39"/>
  <c r="J1307" i="39"/>
  <c r="J1306" i="39"/>
  <c r="J1305" i="39"/>
  <c r="J1304" i="39"/>
  <c r="J1303" i="39"/>
  <c r="J1302" i="39"/>
  <c r="J1301" i="39"/>
  <c r="J1300" i="39"/>
  <c r="J1299" i="39"/>
  <c r="J1298" i="39"/>
  <c r="J1297" i="39"/>
  <c r="J1296" i="39"/>
  <c r="J1295" i="39"/>
  <c r="J1294" i="39"/>
  <c r="J1293" i="39"/>
  <c r="J1292" i="39"/>
  <c r="J1291" i="39"/>
  <c r="J1290" i="39"/>
  <c r="J1289" i="39"/>
  <c r="J1288" i="39"/>
  <c r="J1287" i="39"/>
  <c r="J1286" i="39"/>
  <c r="J1285" i="39"/>
  <c r="J1284" i="39"/>
  <c r="J1283" i="39"/>
  <c r="J1282" i="39"/>
  <c r="J1281" i="39"/>
  <c r="J1280" i="39"/>
  <c r="J1279" i="39"/>
  <c r="J1278" i="39"/>
  <c r="J1277" i="39"/>
  <c r="J1276" i="39"/>
  <c r="J1275" i="39"/>
  <c r="J1274" i="39"/>
  <c r="J1273" i="39"/>
  <c r="J1272" i="39"/>
  <c r="J1271" i="39"/>
  <c r="J1270" i="39"/>
  <c r="J1269" i="39"/>
  <c r="J1268" i="39"/>
  <c r="J1267" i="39"/>
  <c r="J1266" i="39"/>
  <c r="J1265" i="39"/>
  <c r="J1264" i="39"/>
  <c r="J1263" i="39"/>
  <c r="J1262" i="39"/>
  <c r="J1261" i="39"/>
  <c r="J1260" i="39"/>
  <c r="J1259" i="39"/>
  <c r="J1258" i="39"/>
  <c r="G1512" i="39"/>
  <c r="G1511" i="39"/>
  <c r="G1510" i="39"/>
  <c r="G1509" i="39"/>
  <c r="G1508" i="39"/>
  <c r="G1507" i="39"/>
  <c r="G1506" i="39"/>
  <c r="G1505" i="39"/>
  <c r="G1504" i="39"/>
  <c r="G1503" i="39"/>
  <c r="G1502" i="39"/>
  <c r="G1501" i="39"/>
  <c r="G1500" i="39"/>
  <c r="G1499" i="39"/>
  <c r="G1498" i="39"/>
  <c r="G1497" i="39"/>
  <c r="G1496" i="39"/>
  <c r="G1495" i="39"/>
  <c r="G1494" i="39"/>
  <c r="G1493" i="39"/>
  <c r="G1492" i="39"/>
  <c r="G1491" i="39"/>
  <c r="G1490" i="39"/>
  <c r="G1489" i="39"/>
  <c r="G1488" i="39"/>
  <c r="G1487" i="39"/>
  <c r="G1486" i="39"/>
  <c r="G1485" i="39"/>
  <c r="G1484" i="39"/>
  <c r="G1483" i="39"/>
  <c r="G1482" i="39"/>
  <c r="G1481" i="39"/>
  <c r="G1480" i="39"/>
  <c r="G1479" i="39"/>
  <c r="G1478" i="39"/>
  <c r="G1477" i="39"/>
  <c r="G1476" i="39"/>
  <c r="G1475" i="39"/>
  <c r="G1474" i="39"/>
  <c r="G1473" i="39"/>
  <c r="G1472" i="39"/>
  <c r="G1471" i="39"/>
  <c r="G1470" i="39"/>
  <c r="G1469" i="39"/>
  <c r="G1468" i="39"/>
  <c r="G1467" i="39"/>
  <c r="G1460" i="39"/>
  <c r="G1450" i="39"/>
  <c r="G1466" i="39"/>
  <c r="G1465" i="39"/>
  <c r="G1464" i="39"/>
  <c r="G1463" i="39"/>
  <c r="G1462" i="39"/>
  <c r="G1461" i="39"/>
  <c r="G1459" i="39"/>
  <c r="G1458" i="39"/>
  <c r="G1457" i="39"/>
  <c r="G1456" i="39"/>
  <c r="G1455" i="39"/>
  <c r="G1454" i="39"/>
  <c r="G1453" i="39"/>
  <c r="G1452" i="39"/>
  <c r="G1451" i="39"/>
  <c r="G1449" i="39"/>
  <c r="G1448" i="39"/>
  <c r="G1447" i="39"/>
  <c r="G1446" i="39"/>
  <c r="G1445" i="39"/>
  <c r="G1444" i="39"/>
  <c r="G1443" i="39"/>
  <c r="G1442" i="39"/>
  <c r="G1441" i="39"/>
  <c r="G1440" i="39"/>
  <c r="G1439" i="39"/>
  <c r="G1438" i="39"/>
  <c r="G1437" i="39"/>
  <c r="G1436" i="39"/>
  <c r="G1435" i="39"/>
  <c r="G1434" i="39"/>
  <c r="G1433" i="39"/>
  <c r="G1432" i="39"/>
  <c r="G1431" i="39"/>
  <c r="G1430" i="39"/>
  <c r="G1429" i="39"/>
  <c r="G1428" i="39"/>
  <c r="G1427" i="39"/>
  <c r="G1426" i="39"/>
  <c r="G1425" i="39"/>
  <c r="G1424" i="39"/>
  <c r="G1423" i="39"/>
  <c r="G1422" i="39"/>
  <c r="G1421" i="39"/>
  <c r="G1420" i="39"/>
  <c r="G1419" i="39"/>
  <c r="G1418" i="39"/>
  <c r="G1417" i="39"/>
  <c r="G1416" i="39"/>
  <c r="G1415" i="39"/>
  <c r="G1414" i="39"/>
  <c r="G1413" i="39"/>
  <c r="G1412" i="39"/>
  <c r="G1411" i="39"/>
  <c r="G1410" i="39"/>
  <c r="G1409" i="39"/>
  <c r="G1408" i="39"/>
  <c r="G1407" i="39"/>
  <c r="G1406" i="39"/>
  <c r="G1405" i="39"/>
  <c r="G1404" i="39"/>
  <c r="G1403" i="39"/>
  <c r="G1402" i="39"/>
  <c r="G1401" i="39"/>
  <c r="G1400" i="39"/>
  <c r="G1399" i="39"/>
  <c r="G1398" i="39"/>
  <c r="G1397" i="39"/>
  <c r="G1396" i="39"/>
  <c r="G1395" i="39"/>
  <c r="G1394" i="39"/>
  <c r="G1393" i="39"/>
  <c r="G1392" i="39"/>
  <c r="G1391" i="39"/>
  <c r="G1390" i="39"/>
  <c r="G1389" i="39"/>
  <c r="G1388" i="39"/>
  <c r="G1387" i="39"/>
  <c r="G1386" i="39"/>
  <c r="G1385" i="39"/>
  <c r="G1384" i="39"/>
  <c r="G1383" i="39"/>
  <c r="G1382" i="39"/>
  <c r="G1381" i="39"/>
  <c r="G1380" i="39"/>
  <c r="G1379" i="39"/>
  <c r="G1378" i="39"/>
  <c r="G1377" i="39"/>
  <c r="G1376" i="39"/>
  <c r="G1363" i="39"/>
  <c r="G1362" i="39"/>
  <c r="G1361" i="39"/>
  <c r="G1360" i="39"/>
  <c r="G1359" i="39"/>
  <c r="G1358" i="39"/>
  <c r="G1357" i="39"/>
  <c r="G1356" i="39"/>
  <c r="G1355" i="39"/>
  <c r="G1375" i="39"/>
  <c r="G1374" i="39"/>
  <c r="G1373" i="39"/>
  <c r="G1372" i="39"/>
  <c r="G1371" i="39"/>
  <c r="G1370" i="39"/>
  <c r="G1369" i="39"/>
  <c r="G1368" i="39"/>
  <c r="G1367" i="39"/>
  <c r="G1366" i="39"/>
  <c r="G1365" i="39"/>
  <c r="G1364" i="39"/>
  <c r="G1354" i="39"/>
  <c r="G1353" i="39"/>
  <c r="G1352" i="39"/>
  <c r="G1351" i="39"/>
  <c r="G1350" i="39"/>
  <c r="G1349" i="39"/>
  <c r="G1348" i="39"/>
  <c r="G1347" i="39"/>
  <c r="G1346" i="39"/>
  <c r="G1345" i="39"/>
  <c r="G1344" i="39"/>
  <c r="G1343" i="39"/>
  <c r="G1342" i="39"/>
  <c r="G1341" i="39"/>
  <c r="G1340" i="39"/>
  <c r="G1339" i="39"/>
  <c r="G1338" i="39"/>
  <c r="G1337" i="39"/>
  <c r="G1336" i="39"/>
  <c r="G1335" i="39"/>
  <c r="G1334" i="39"/>
  <c r="G1333" i="39"/>
  <c r="G1332" i="39"/>
  <c r="G1331" i="39"/>
  <c r="G1330" i="39"/>
  <c r="G1329" i="39"/>
  <c r="G1328" i="39"/>
  <c r="G1327" i="39"/>
  <c r="G1326" i="39"/>
  <c r="G1325" i="39"/>
  <c r="G1324" i="39"/>
  <c r="G1323" i="39"/>
  <c r="G1322" i="39"/>
  <c r="G1321" i="39"/>
  <c r="G1320" i="39"/>
  <c r="G1319" i="39"/>
  <c r="G1318" i="39"/>
  <c r="G1317" i="39"/>
  <c r="G1316" i="39"/>
  <c r="G1315" i="39"/>
  <c r="G1314" i="39"/>
  <c r="G1313" i="39"/>
  <c r="G1312" i="39"/>
  <c r="G1311" i="39"/>
  <c r="G1310" i="39"/>
  <c r="G1309" i="39"/>
  <c r="G1308" i="39"/>
  <c r="G1307" i="39"/>
  <c r="G1306" i="39"/>
  <c r="G1305" i="39"/>
  <c r="G1304" i="39"/>
  <c r="G1303" i="39"/>
  <c r="G1302" i="39"/>
  <c r="G1301" i="39"/>
  <c r="G1300" i="39"/>
  <c r="G1299" i="39"/>
  <c r="G1298" i="39"/>
  <c r="G1297" i="39"/>
  <c r="G1296" i="39"/>
  <c r="G1295" i="39"/>
  <c r="G1294" i="39"/>
  <c r="G1293" i="39"/>
  <c r="G1292" i="39"/>
  <c r="G1291" i="39"/>
  <c r="G1290" i="39"/>
  <c r="G1289" i="39"/>
  <c r="G1288" i="39"/>
  <c r="G1287" i="39"/>
  <c r="G1286" i="39"/>
  <c r="G1285" i="39"/>
  <c r="G1284" i="39"/>
  <c r="G1283" i="39"/>
  <c r="G1282" i="39"/>
  <c r="G1281" i="39"/>
  <c r="G1280" i="39"/>
  <c r="G1279" i="39"/>
  <c r="G1278" i="39"/>
  <c r="G1277" i="39"/>
  <c r="G1276" i="39"/>
  <c r="G1275" i="39"/>
  <c r="G1274" i="39"/>
  <c r="G1273" i="39"/>
  <c r="G1272" i="39"/>
  <c r="G1271" i="39"/>
  <c r="G1270" i="39"/>
  <c r="G1269" i="39"/>
  <c r="G1268" i="39"/>
  <c r="G1267" i="39"/>
  <c r="G1266" i="39"/>
  <c r="G1265" i="39"/>
  <c r="G1264" i="39"/>
  <c r="G1263" i="39"/>
  <c r="G1262" i="39"/>
  <c r="G1261" i="39"/>
  <c r="G1260" i="39"/>
  <c r="G1259" i="39"/>
  <c r="G1258" i="39"/>
  <c r="K1259" i="39"/>
  <c r="K1260" i="39"/>
  <c r="K1261" i="39"/>
  <c r="K1262" i="39"/>
  <c r="K1263" i="39"/>
  <c r="K1264" i="39"/>
  <c r="K1265" i="39"/>
  <c r="K1266" i="39"/>
  <c r="K1267" i="39"/>
  <c r="K1268" i="39"/>
  <c r="K1269" i="39"/>
  <c r="K1270" i="39"/>
  <c r="K1271" i="39"/>
  <c r="K1272" i="39"/>
  <c r="K1273" i="39"/>
  <c r="K1274" i="39"/>
  <c r="K1275" i="39"/>
  <c r="K1276" i="39"/>
  <c r="K1277" i="39"/>
  <c r="K1278" i="39"/>
  <c r="K1279" i="39"/>
  <c r="K1280" i="39"/>
  <c r="K1281" i="39"/>
  <c r="K1282" i="39"/>
  <c r="K1283" i="39"/>
  <c r="K1284" i="39"/>
  <c r="K1285" i="39"/>
  <c r="K1286" i="39"/>
  <c r="K1287" i="39"/>
  <c r="K1288" i="39"/>
  <c r="K1289" i="39"/>
  <c r="K1290" i="39"/>
  <c r="K1291" i="39"/>
  <c r="K1292" i="39"/>
  <c r="K1293" i="39"/>
  <c r="K1294" i="39"/>
  <c r="K1295" i="39"/>
  <c r="K1296" i="39"/>
  <c r="K1297" i="39"/>
  <c r="K1298" i="39"/>
  <c r="K1299" i="39"/>
  <c r="K1300" i="39"/>
  <c r="K1301" i="39"/>
  <c r="K1302" i="39"/>
  <c r="K1303" i="39"/>
  <c r="K1304" i="39"/>
  <c r="K1305" i="39"/>
  <c r="K1306" i="39"/>
  <c r="K1307" i="39"/>
  <c r="K1308" i="39"/>
  <c r="K1309" i="39"/>
  <c r="K1310" i="39"/>
  <c r="K1311" i="39"/>
  <c r="K1312" i="39"/>
  <c r="K1313" i="39"/>
  <c r="K1314" i="39"/>
  <c r="K1315" i="39"/>
  <c r="K1316" i="39"/>
  <c r="K1317" i="39"/>
  <c r="K1318" i="39"/>
  <c r="K1319" i="39"/>
  <c r="K1320" i="39"/>
  <c r="K1321" i="39"/>
  <c r="K1322" i="39"/>
  <c r="K1323" i="39"/>
  <c r="K1324" i="39"/>
  <c r="K1325" i="39"/>
  <c r="K1326" i="39"/>
  <c r="K1327" i="39"/>
  <c r="K1328" i="39"/>
  <c r="K1329" i="39"/>
  <c r="K1330" i="39"/>
  <c r="K1331" i="39"/>
  <c r="K1332" i="39"/>
  <c r="K1333" i="39"/>
  <c r="K1334" i="39"/>
  <c r="K1335" i="39"/>
  <c r="K1336" i="39"/>
  <c r="K1337" i="39"/>
  <c r="K1338" i="39"/>
  <c r="K1339" i="39"/>
  <c r="K1340" i="39"/>
  <c r="K1341" i="39"/>
  <c r="K1342" i="39"/>
  <c r="K1343" i="39"/>
  <c r="K1344" i="39"/>
  <c r="K1345" i="39"/>
  <c r="K1346" i="39"/>
  <c r="K1347" i="39"/>
  <c r="K1348" i="39"/>
  <c r="K1349" i="39"/>
  <c r="K1350" i="39"/>
  <c r="K1351" i="39"/>
  <c r="K1352" i="39"/>
  <c r="K1353" i="39"/>
  <c r="K1354" i="39"/>
  <c r="K1355" i="39"/>
  <c r="K1356" i="39"/>
  <c r="K1357" i="39"/>
  <c r="K1358" i="39"/>
  <c r="K1359" i="39"/>
  <c r="K1360" i="39"/>
  <c r="K1361" i="39"/>
  <c r="K1362" i="39"/>
  <c r="K1363" i="39"/>
  <c r="K1364" i="39"/>
  <c r="K1365" i="39"/>
  <c r="K1366" i="39"/>
  <c r="K1367" i="39"/>
  <c r="K1368" i="39"/>
  <c r="K1369" i="39"/>
  <c r="K1370" i="39"/>
  <c r="K1371" i="39"/>
  <c r="K1372" i="39"/>
  <c r="K1373" i="39"/>
  <c r="K1374" i="39"/>
  <c r="K1375" i="39"/>
  <c r="K1376" i="39"/>
  <c r="K1377" i="39"/>
  <c r="K1378" i="39"/>
  <c r="K1379" i="39"/>
  <c r="K1380" i="39"/>
  <c r="K1381" i="39"/>
  <c r="K1382" i="39"/>
  <c r="K1383" i="39"/>
  <c r="K1384" i="39"/>
  <c r="K1385" i="39"/>
  <c r="K1386" i="39"/>
  <c r="K1387" i="39"/>
  <c r="K1388" i="39"/>
  <c r="K1389" i="39"/>
  <c r="K1390" i="39"/>
  <c r="K1391" i="39"/>
  <c r="K1392" i="39"/>
  <c r="K1393" i="39"/>
  <c r="K1394" i="39"/>
  <c r="K1395" i="39"/>
  <c r="K1396" i="39"/>
  <c r="K1397" i="39"/>
  <c r="K1398" i="39"/>
  <c r="K1399" i="39"/>
  <c r="K1400" i="39"/>
  <c r="K1401" i="39"/>
  <c r="K1402" i="39"/>
  <c r="K1403" i="39"/>
  <c r="K1404" i="39"/>
  <c r="K1405" i="39"/>
  <c r="K1406" i="39"/>
  <c r="K1407" i="39"/>
  <c r="K1408" i="39"/>
  <c r="K1409" i="39"/>
  <c r="K1410" i="39"/>
  <c r="K1411" i="39"/>
  <c r="K1412" i="39"/>
  <c r="K1413" i="39"/>
  <c r="K1414" i="39"/>
  <c r="K1415" i="39"/>
  <c r="K1416" i="39"/>
  <c r="K1417" i="39"/>
  <c r="K1418" i="39"/>
  <c r="K1419" i="39"/>
  <c r="K1420" i="39"/>
  <c r="K1421" i="39"/>
  <c r="K1422" i="39"/>
  <c r="K1423" i="39"/>
  <c r="K1424" i="39"/>
  <c r="K1425" i="39"/>
  <c r="K1426" i="39"/>
  <c r="K1427" i="39"/>
  <c r="K1428" i="39"/>
  <c r="K1429" i="39"/>
  <c r="K1430" i="39"/>
  <c r="K1431" i="39"/>
  <c r="K1432" i="39"/>
  <c r="K1433" i="39"/>
  <c r="K1434" i="39"/>
  <c r="K1435" i="39"/>
  <c r="K1436" i="39"/>
  <c r="K1437" i="39"/>
  <c r="K1438" i="39"/>
  <c r="K1439" i="39"/>
  <c r="K1440" i="39"/>
  <c r="K1441" i="39"/>
  <c r="K1442" i="39"/>
  <c r="K1443" i="39"/>
  <c r="K1444" i="39"/>
  <c r="K1445" i="39"/>
  <c r="K1446" i="39"/>
  <c r="K1447" i="39"/>
  <c r="K1448" i="39"/>
  <c r="K1449" i="39"/>
  <c r="K1450" i="39"/>
  <c r="K1451" i="39"/>
  <c r="K1452" i="39"/>
  <c r="K1453" i="39"/>
  <c r="K1454" i="39"/>
  <c r="K1455" i="39"/>
  <c r="K1456" i="39"/>
  <c r="K1457" i="39"/>
  <c r="K1458" i="39"/>
  <c r="K1459" i="39"/>
  <c r="K1460" i="39"/>
  <c r="K1461" i="39"/>
  <c r="K1462" i="39"/>
  <c r="K1463" i="39"/>
  <c r="K1464" i="39"/>
  <c r="K1465" i="39"/>
  <c r="K1466" i="39"/>
  <c r="K1467" i="39"/>
  <c r="K1468" i="39"/>
  <c r="K1469" i="39"/>
  <c r="K1470" i="39"/>
  <c r="K1471" i="39"/>
  <c r="K1472" i="39"/>
  <c r="K1473" i="39"/>
  <c r="K1474" i="39"/>
  <c r="K1475" i="39"/>
  <c r="K1476" i="39"/>
  <c r="K1477" i="39"/>
  <c r="K1478" i="39"/>
  <c r="K1479" i="39"/>
  <c r="K1480" i="39"/>
  <c r="K1481" i="39"/>
  <c r="K1482" i="39"/>
  <c r="K1483" i="39"/>
  <c r="K1484" i="39"/>
  <c r="K1485" i="39"/>
  <c r="K1486" i="39"/>
  <c r="K1487" i="39"/>
  <c r="K1488" i="39"/>
  <c r="K1489" i="39"/>
  <c r="K1490" i="39"/>
  <c r="K1491" i="39"/>
  <c r="K1492" i="39"/>
  <c r="K1493" i="39"/>
  <c r="K1494" i="39"/>
  <c r="K1495" i="39"/>
  <c r="K1496" i="39"/>
  <c r="K1497" i="39"/>
  <c r="K1498" i="39"/>
  <c r="K1499" i="39"/>
  <c r="K1500" i="39"/>
  <c r="K1501" i="39"/>
  <c r="K1502" i="39"/>
  <c r="K1503" i="39"/>
  <c r="K1504" i="39"/>
  <c r="K1505" i="39"/>
  <c r="K1506" i="39"/>
  <c r="K1507" i="39"/>
  <c r="K1258" i="39"/>
  <c r="H1495" i="39"/>
  <c r="H1496" i="39"/>
  <c r="H1497" i="39"/>
  <c r="H1498" i="39"/>
  <c r="H1499" i="39"/>
  <c r="H1500" i="39"/>
  <c r="H1501" i="39"/>
  <c r="H1502" i="39"/>
  <c r="H1503" i="39"/>
  <c r="H1504" i="39"/>
  <c r="H1505" i="39"/>
  <c r="H1506" i="39"/>
  <c r="H1507" i="39"/>
  <c r="H1259" i="39"/>
  <c r="H1260" i="39"/>
  <c r="H1261" i="39"/>
  <c r="H1262" i="39"/>
  <c r="H1263" i="39"/>
  <c r="H1264" i="39"/>
  <c r="H1265" i="39"/>
  <c r="H1266" i="39"/>
  <c r="H1267" i="39"/>
  <c r="H1268" i="39"/>
  <c r="H1269" i="39"/>
  <c r="H1270" i="39"/>
  <c r="H1271" i="39"/>
  <c r="H1272" i="39"/>
  <c r="H1273" i="39"/>
  <c r="H1274" i="39"/>
  <c r="H1275" i="39"/>
  <c r="H1276" i="39"/>
  <c r="H1277" i="39"/>
  <c r="H1278" i="39"/>
  <c r="H1279" i="39"/>
  <c r="H1280" i="39"/>
  <c r="H1281" i="39"/>
  <c r="H1282" i="39"/>
  <c r="H1283" i="39"/>
  <c r="H1284" i="39"/>
  <c r="H1285" i="39"/>
  <c r="H1286" i="39"/>
  <c r="H1287" i="39"/>
  <c r="H1288" i="39"/>
  <c r="H1289" i="39"/>
  <c r="H1290" i="39"/>
  <c r="H1291" i="39"/>
  <c r="H1292" i="39"/>
  <c r="H1293" i="39"/>
  <c r="H1294" i="39"/>
  <c r="H1295" i="39"/>
  <c r="H1296" i="39"/>
  <c r="H1297" i="39"/>
  <c r="H1298" i="39"/>
  <c r="H1299" i="39"/>
  <c r="H1300" i="39"/>
  <c r="H1301" i="39"/>
  <c r="H1302" i="39"/>
  <c r="H1303" i="39"/>
  <c r="H1304" i="39"/>
  <c r="H1305" i="39"/>
  <c r="H1306" i="39"/>
  <c r="H1307" i="39"/>
  <c r="H1308" i="39"/>
  <c r="H1309" i="39"/>
  <c r="H1310" i="39"/>
  <c r="H1311" i="39"/>
  <c r="H1312" i="39"/>
  <c r="H1313" i="39"/>
  <c r="H1314" i="39"/>
  <c r="H1315" i="39"/>
  <c r="H1316" i="39"/>
  <c r="H1317" i="39"/>
  <c r="H1318" i="39"/>
  <c r="H1319" i="39"/>
  <c r="H1320" i="39"/>
  <c r="H1321" i="39"/>
  <c r="H1322" i="39"/>
  <c r="H1323" i="39"/>
  <c r="H1324" i="39"/>
  <c r="H1325" i="39"/>
  <c r="H1326" i="39"/>
  <c r="H1327" i="39"/>
  <c r="H1328" i="39"/>
  <c r="H1329" i="39"/>
  <c r="H1330" i="39"/>
  <c r="H1331" i="39"/>
  <c r="H1332" i="39"/>
  <c r="H1333" i="39"/>
  <c r="H1334" i="39"/>
  <c r="H1335" i="39"/>
  <c r="H1336" i="39"/>
  <c r="H1337" i="39"/>
  <c r="H1338" i="39"/>
  <c r="H1339" i="39"/>
  <c r="H1340" i="39"/>
  <c r="H1341" i="39"/>
  <c r="H1342" i="39"/>
  <c r="H1343" i="39"/>
  <c r="H1344" i="39"/>
  <c r="H1345" i="39"/>
  <c r="H1346" i="39"/>
  <c r="H1347" i="39"/>
  <c r="H1348" i="39"/>
  <c r="H1349" i="39"/>
  <c r="H1350" i="39"/>
  <c r="H1351" i="39"/>
  <c r="H1352" i="39"/>
  <c r="H1353" i="39"/>
  <c r="H1354" i="39"/>
  <c r="H1355" i="39"/>
  <c r="H1356" i="39"/>
  <c r="H1357" i="39"/>
  <c r="H1358" i="39"/>
  <c r="H1359" i="39"/>
  <c r="H1360" i="39"/>
  <c r="H1361" i="39"/>
  <c r="H1362" i="39"/>
  <c r="H1363" i="39"/>
  <c r="H1364" i="39"/>
  <c r="H1365" i="39"/>
  <c r="H1366" i="39"/>
  <c r="H1367" i="39"/>
  <c r="H1368" i="39"/>
  <c r="H1369" i="39"/>
  <c r="H1370" i="39"/>
  <c r="H1371" i="39"/>
  <c r="H1372" i="39"/>
  <c r="H1373" i="39"/>
  <c r="H1374" i="39"/>
  <c r="H1375" i="39"/>
  <c r="H1376" i="39"/>
  <c r="H1377" i="39"/>
  <c r="H1378" i="39"/>
  <c r="H1379" i="39"/>
  <c r="H1380" i="39"/>
  <c r="H1381" i="39"/>
  <c r="H1382" i="39"/>
  <c r="H1383" i="39"/>
  <c r="H1384" i="39"/>
  <c r="H1385" i="39"/>
  <c r="H1386" i="39"/>
  <c r="H1387" i="39"/>
  <c r="H1388" i="39"/>
  <c r="H1389" i="39"/>
  <c r="H1390" i="39"/>
  <c r="H1391" i="39"/>
  <c r="H1392" i="39"/>
  <c r="H1393" i="39"/>
  <c r="H1394" i="39"/>
  <c r="H1395" i="39"/>
  <c r="H1396" i="39"/>
  <c r="H1397" i="39"/>
  <c r="H1398" i="39"/>
  <c r="H1399" i="39"/>
  <c r="H1400" i="39"/>
  <c r="H1401" i="39"/>
  <c r="H1402" i="39"/>
  <c r="H1403" i="39"/>
  <c r="H1404" i="39"/>
  <c r="H1405" i="39"/>
  <c r="H1406" i="39"/>
  <c r="H1407" i="39"/>
  <c r="H1408" i="39"/>
  <c r="H1409" i="39"/>
  <c r="H1410" i="39"/>
  <c r="H1411" i="39"/>
  <c r="H1412" i="39"/>
  <c r="H1413" i="39"/>
  <c r="H1414" i="39"/>
  <c r="H1415" i="39"/>
  <c r="H1416" i="39"/>
  <c r="H1417" i="39"/>
  <c r="H1418" i="39"/>
  <c r="H1419" i="39"/>
  <c r="H1420" i="39"/>
  <c r="H1421" i="39"/>
  <c r="H1422" i="39"/>
  <c r="H1423" i="39"/>
  <c r="H1424" i="39"/>
  <c r="H1425" i="39"/>
  <c r="H1426" i="39"/>
  <c r="H1427" i="39"/>
  <c r="H1428" i="39"/>
  <c r="H1429" i="39"/>
  <c r="H1430" i="39"/>
  <c r="H1431" i="39"/>
  <c r="H1432" i="39"/>
  <c r="H1433" i="39"/>
  <c r="H1434" i="39"/>
  <c r="H1435" i="39"/>
  <c r="H1436" i="39"/>
  <c r="H1437" i="39"/>
  <c r="H1438" i="39"/>
  <c r="H1439" i="39"/>
  <c r="H1440" i="39"/>
  <c r="H1441" i="39"/>
  <c r="H1442" i="39"/>
  <c r="H1443" i="39"/>
  <c r="H1444" i="39"/>
  <c r="H1445" i="39"/>
  <c r="H1446" i="39"/>
  <c r="H1447" i="39"/>
  <c r="H1448" i="39"/>
  <c r="H1449" i="39"/>
  <c r="H1450" i="39"/>
  <c r="H1451" i="39"/>
  <c r="H1452" i="39"/>
  <c r="H1453" i="39"/>
  <c r="H1454" i="39"/>
  <c r="H1455" i="39"/>
  <c r="H1456" i="39"/>
  <c r="H1457" i="39"/>
  <c r="H1458" i="39"/>
  <c r="H1459" i="39"/>
  <c r="H1460" i="39"/>
  <c r="H1461" i="39"/>
  <c r="H1462" i="39"/>
  <c r="H1463" i="39"/>
  <c r="H1464" i="39"/>
  <c r="H1465" i="39"/>
  <c r="H1466" i="39"/>
  <c r="H1467" i="39"/>
  <c r="H1468" i="39"/>
  <c r="H1469" i="39"/>
  <c r="H1470" i="39"/>
  <c r="H1471" i="39"/>
  <c r="H1472" i="39"/>
  <c r="H1473" i="39"/>
  <c r="H1474" i="39"/>
  <c r="H1475" i="39"/>
  <c r="H1476" i="39"/>
  <c r="H1477" i="39"/>
  <c r="H1478" i="39"/>
  <c r="H1479" i="39"/>
  <c r="H1480" i="39"/>
  <c r="H1481" i="39"/>
  <c r="H1482" i="39"/>
  <c r="H1483" i="39"/>
  <c r="H1484" i="39"/>
  <c r="H1485" i="39"/>
  <c r="H1486" i="39"/>
  <c r="H1487" i="39"/>
  <c r="H1488" i="39"/>
  <c r="H1489" i="39"/>
  <c r="H1490" i="39"/>
  <c r="H1491" i="39"/>
  <c r="H1492" i="39"/>
  <c r="H1493" i="39"/>
  <c r="H1494" i="39"/>
  <c r="H1258" i="39"/>
  <c r="D49" i="39"/>
  <c r="D10" i="39" l="1"/>
  <c r="D43" i="39"/>
  <c r="D42" i="39"/>
  <c r="D41" i="39"/>
  <c r="D40" i="39"/>
  <c r="D39" i="39"/>
  <c r="D38" i="39"/>
  <c r="D37" i="39"/>
  <c r="D36" i="39"/>
  <c r="D35" i="39"/>
  <c r="D34" i="39"/>
  <c r="D33" i="39"/>
  <c r="D32" i="39"/>
  <c r="D30" i="39"/>
  <c r="D29" i="39"/>
  <c r="D28" i="39"/>
  <c r="D27" i="39"/>
  <c r="D26" i="39"/>
  <c r="D25" i="39"/>
  <c r="D24" i="39"/>
  <c r="D23" i="39"/>
  <c r="D22" i="39"/>
  <c r="D21" i="39"/>
  <c r="D20" i="39"/>
  <c r="D19" i="39"/>
  <c r="D18" i="39"/>
  <c r="D17" i="39"/>
  <c r="D16" i="39"/>
  <c r="D15" i="39"/>
  <c r="D14" i="39"/>
  <c r="D12" i="39"/>
  <c r="D9" i="39"/>
  <c r="D8" i="39"/>
  <c r="D7" i="39"/>
  <c r="D50" i="39"/>
  <c r="D51" i="39"/>
  <c r="D52" i="39"/>
  <c r="D93" i="39" l="1"/>
  <c r="D84" i="39"/>
  <c r="D82" i="39"/>
  <c r="D80" i="39" l="1"/>
  <c r="D98" i="39"/>
  <c r="D97" i="39"/>
  <c r="D96" i="39"/>
  <c r="D95" i="39"/>
  <c r="Y51" i="1" l="1"/>
  <c r="Y47" i="1"/>
  <c r="D136" i="39"/>
  <c r="D135" i="39"/>
  <c r="Y21" i="39"/>
  <c r="Y20" i="39"/>
  <c r="Y19" i="39"/>
  <c r="Y18" i="39"/>
  <c r="Y17" i="39"/>
  <c r="W21" i="39"/>
  <c r="W20" i="39"/>
  <c r="W19" i="39"/>
  <c r="W18" i="39"/>
  <c r="Z1" i="39" l="1"/>
  <c r="Y4" i="39"/>
  <c r="W4" i="39"/>
  <c r="D118" i="39"/>
  <c r="I2" i="42" l="1"/>
  <c r="Y2" i="39"/>
  <c r="H2" i="42" s="1"/>
  <c r="W32" i="1"/>
  <c r="W47" i="1"/>
  <c r="D24" i="5" l="1"/>
  <c r="I2" i="41"/>
  <c r="W2" i="39"/>
  <c r="D23" i="5" s="1"/>
  <c r="H2" i="41" l="1"/>
  <c r="D10" i="1"/>
  <c r="G1776" i="39"/>
  <c r="J1797" i="39" l="1"/>
  <c r="J1796" i="39"/>
  <c r="G1797" i="39"/>
  <c r="D119" i="39" l="1"/>
  <c r="D133" i="39" l="1"/>
  <c r="D130" i="39"/>
  <c r="D128" i="39"/>
  <c r="D126" i="39"/>
  <c r="G1796" i="39" l="1"/>
  <c r="G1768" i="39"/>
  <c r="J1768" i="39"/>
  <c r="J1772" i="39"/>
  <c r="G1772" i="39"/>
  <c r="F117" i="5" l="1"/>
  <c r="E14" i="3" l="1"/>
  <c r="E23" i="3"/>
  <c r="P18" i="1" l="1"/>
  <c r="M16" i="39" l="1"/>
  <c r="J1785" i="39" l="1"/>
  <c r="G1785" i="39"/>
  <c r="G1761" i="39" l="1"/>
  <c r="G1760" i="39"/>
  <c r="E24" i="3" l="1"/>
  <c r="D7" i="1" l="1"/>
  <c r="E6" i="3"/>
  <c r="H27" i="35" l="1"/>
  <c r="J259" i="39" l="1"/>
  <c r="J258" i="39"/>
  <c r="J257" i="39"/>
  <c r="J256" i="39"/>
  <c r="J255" i="39"/>
  <c r="J254" i="39"/>
  <c r="J253" i="39"/>
  <c r="J252" i="39"/>
  <c r="J251" i="39"/>
  <c r="J250" i="39"/>
  <c r="J249" i="39"/>
  <c r="J248" i="39"/>
  <c r="J247" i="39"/>
  <c r="J246" i="39"/>
  <c r="J245" i="39"/>
  <c r="J244" i="39"/>
  <c r="J243" i="39"/>
  <c r="J237" i="39"/>
  <c r="J242" i="39"/>
  <c r="J241" i="39"/>
  <c r="J240" i="39"/>
  <c r="J239" i="39"/>
  <c r="J238" i="39"/>
  <c r="J236" i="39"/>
  <c r="J235" i="39"/>
  <c r="J234" i="39"/>
  <c r="J233" i="39"/>
  <c r="J232" i="39"/>
  <c r="J231" i="39"/>
  <c r="J230" i="39"/>
  <c r="J229" i="39"/>
  <c r="J219" i="39"/>
  <c r="J228" i="39"/>
  <c r="J227" i="39"/>
  <c r="J226" i="39"/>
  <c r="J225" i="39"/>
  <c r="J224" i="39"/>
  <c r="J223" i="39"/>
  <c r="J222" i="39"/>
  <c r="J221" i="39"/>
  <c r="J220" i="39"/>
  <c r="J218" i="39"/>
  <c r="J217" i="39"/>
  <c r="J216" i="39"/>
  <c r="J215" i="39"/>
  <c r="J214" i="39"/>
  <c r="J213" i="39"/>
  <c r="J212" i="39"/>
  <c r="J211" i="39"/>
  <c r="J210" i="39"/>
  <c r="J209" i="39"/>
  <c r="J208" i="39"/>
  <c r="J207" i="39"/>
  <c r="J206" i="39"/>
  <c r="J205" i="39"/>
  <c r="J204" i="39"/>
  <c r="J203" i="39"/>
  <c r="J202" i="39"/>
  <c r="J201" i="39"/>
  <c r="J200" i="39"/>
  <c r="J199" i="39"/>
  <c r="J198" i="39"/>
  <c r="J197" i="39"/>
  <c r="J196" i="39"/>
  <c r="J195" i="39"/>
  <c r="J194" i="39"/>
  <c r="J193" i="39"/>
  <c r="J192" i="39"/>
  <c r="J191" i="39"/>
  <c r="J190" i="39"/>
  <c r="J189" i="39"/>
  <c r="J188" i="39"/>
  <c r="J187" i="39"/>
  <c r="J186" i="39"/>
  <c r="J185" i="39"/>
  <c r="J184" i="39"/>
  <c r="J183" i="39"/>
  <c r="J182" i="39"/>
  <c r="J181" i="39"/>
  <c r="J180" i="39"/>
  <c r="J179" i="39"/>
  <c r="J178" i="39"/>
  <c r="J177" i="39"/>
  <c r="J176" i="39"/>
  <c r="J175" i="39"/>
  <c r="J174" i="39"/>
  <c r="J173" i="39"/>
  <c r="J172" i="39"/>
  <c r="J171" i="39"/>
  <c r="J170" i="39"/>
  <c r="J169" i="39"/>
  <c r="J168" i="39"/>
  <c r="J167" i="39"/>
  <c r="J166" i="39"/>
  <c r="J165" i="39"/>
  <c r="J164" i="39"/>
  <c r="J163" i="39"/>
  <c r="J162" i="39"/>
  <c r="J161" i="39"/>
  <c r="J160" i="39"/>
  <c r="J159" i="39"/>
  <c r="J158" i="39"/>
  <c r="J157" i="39"/>
  <c r="J156" i="39"/>
  <c r="J155" i="39"/>
  <c r="J154" i="39"/>
  <c r="J153" i="39"/>
  <c r="J152" i="39"/>
  <c r="G151" i="39"/>
  <c r="J145" i="39"/>
  <c r="J151" i="39"/>
  <c r="J150" i="39"/>
  <c r="J149" i="39"/>
  <c r="J148" i="39"/>
  <c r="J147" i="39"/>
  <c r="J146" i="39"/>
  <c r="J144" i="39"/>
  <c r="J143" i="39"/>
  <c r="J142" i="39"/>
  <c r="J141" i="39"/>
  <c r="J140" i="39"/>
  <c r="J139" i="39"/>
  <c r="J138" i="39"/>
  <c r="J137" i="39"/>
  <c r="J136" i="39"/>
  <c r="J135" i="39"/>
  <c r="J134" i="39"/>
  <c r="J133" i="39"/>
  <c r="J132" i="39"/>
  <c r="J131" i="39"/>
  <c r="J130" i="39"/>
  <c r="J129" i="39"/>
  <c r="J128" i="39"/>
  <c r="J127" i="39"/>
  <c r="J126" i="39"/>
  <c r="J125" i="39"/>
  <c r="J124" i="39"/>
  <c r="J123" i="39"/>
  <c r="J122" i="39"/>
  <c r="J121" i="39"/>
  <c r="J120" i="39"/>
  <c r="J119" i="39"/>
  <c r="J118" i="39"/>
  <c r="J117" i="39"/>
  <c r="J116" i="39"/>
  <c r="J115" i="39"/>
  <c r="J114" i="39"/>
  <c r="J113" i="39"/>
  <c r="J112" i="39"/>
  <c r="J111" i="39"/>
  <c r="J110" i="39"/>
  <c r="J109" i="39"/>
  <c r="J108" i="39"/>
  <c r="J107" i="39"/>
  <c r="J106" i="39"/>
  <c r="J105" i="39"/>
  <c r="J104" i="39"/>
  <c r="J103" i="39"/>
  <c r="J102" i="39"/>
  <c r="J101" i="39"/>
  <c r="J100" i="39"/>
  <c r="J99" i="39"/>
  <c r="J98" i="39"/>
  <c r="J97" i="39"/>
  <c r="J96" i="39"/>
  <c r="J95" i="39"/>
  <c r="J94" i="39"/>
  <c r="J93" i="39"/>
  <c r="J92" i="39"/>
  <c r="J91" i="39"/>
  <c r="J90" i="39"/>
  <c r="J89" i="39"/>
  <c r="J88" i="39"/>
  <c r="J87" i="39"/>
  <c r="J86" i="39"/>
  <c r="J85" i="39"/>
  <c r="J84" i="39"/>
  <c r="J83" i="39"/>
  <c r="J82" i="39"/>
  <c r="G257" i="39"/>
  <c r="G256" i="39"/>
  <c r="G255" i="39"/>
  <c r="G254" i="39"/>
  <c r="G253" i="39"/>
  <c r="G252" i="39"/>
  <c r="G251" i="39"/>
  <c r="G250" i="39"/>
  <c r="G249" i="39"/>
  <c r="G248" i="39"/>
  <c r="G247" i="39"/>
  <c r="G246" i="39"/>
  <c r="G245" i="39"/>
  <c r="G244" i="39"/>
  <c r="G243" i="39"/>
  <c r="G242" i="39"/>
  <c r="G241" i="39"/>
  <c r="G240" i="39"/>
  <c r="G239" i="39"/>
  <c r="G238" i="39"/>
  <c r="G237" i="39"/>
  <c r="G236" i="39"/>
  <c r="G235" i="39"/>
  <c r="G234" i="39"/>
  <c r="G233" i="39"/>
  <c r="G232" i="39"/>
  <c r="G231" i="39"/>
  <c r="G230" i="39"/>
  <c r="G229" i="39"/>
  <c r="G228" i="39"/>
  <c r="G227" i="39"/>
  <c r="G226" i="39"/>
  <c r="G225" i="39"/>
  <c r="G224" i="39"/>
  <c r="G223" i="39"/>
  <c r="G222" i="39"/>
  <c r="G221" i="39"/>
  <c r="G220" i="39"/>
  <c r="G219" i="39"/>
  <c r="G218" i="39"/>
  <c r="G217" i="39"/>
  <c r="G216" i="39"/>
  <c r="G215" i="39"/>
  <c r="G214" i="39"/>
  <c r="G213" i="39"/>
  <c r="G212" i="39"/>
  <c r="G211" i="39"/>
  <c r="G210" i="39"/>
  <c r="G209" i="39"/>
  <c r="G208" i="39"/>
  <c r="G207" i="39"/>
  <c r="G206" i="39"/>
  <c r="G205" i="39"/>
  <c r="G204" i="39"/>
  <c r="G203" i="39"/>
  <c r="G202" i="39"/>
  <c r="G201" i="39"/>
  <c r="G200" i="39"/>
  <c r="G199" i="39"/>
  <c r="G198" i="39"/>
  <c r="G197" i="39"/>
  <c r="G196" i="39"/>
  <c r="G195" i="39"/>
  <c r="G194" i="39"/>
  <c r="G193" i="39"/>
  <c r="G192" i="39"/>
  <c r="G191" i="39"/>
  <c r="G190" i="39"/>
  <c r="G189" i="39"/>
  <c r="G188" i="39"/>
  <c r="G187" i="39"/>
  <c r="G186" i="39"/>
  <c r="G185" i="39"/>
  <c r="G184" i="39"/>
  <c r="G183" i="39"/>
  <c r="G182" i="39"/>
  <c r="G181" i="39"/>
  <c r="G180" i="39"/>
  <c r="G179" i="39"/>
  <c r="G178" i="39"/>
  <c r="G177" i="39"/>
  <c r="G176" i="39"/>
  <c r="G175" i="39"/>
  <c r="G174" i="39"/>
  <c r="G173" i="39"/>
  <c r="G172" i="39"/>
  <c r="G171" i="39"/>
  <c r="G170" i="39"/>
  <c r="G169" i="39"/>
  <c r="G168" i="39"/>
  <c r="G162" i="39"/>
  <c r="G150" i="39"/>
  <c r="G139" i="39"/>
  <c r="G119" i="39"/>
  <c r="G99" i="39"/>
  <c r="G131" i="39"/>
  <c r="G130" i="39"/>
  <c r="G129" i="39"/>
  <c r="G128" i="39"/>
  <c r="G127" i="39"/>
  <c r="G126" i="39"/>
  <c r="G167" i="39"/>
  <c r="G166" i="39"/>
  <c r="G165" i="39"/>
  <c r="G164" i="39"/>
  <c r="G163" i="39"/>
  <c r="G161" i="39"/>
  <c r="G160" i="39"/>
  <c r="G159" i="39"/>
  <c r="G158" i="39"/>
  <c r="G157" i="39"/>
  <c r="G156" i="39"/>
  <c r="G155" i="39"/>
  <c r="G154" i="39"/>
  <c r="G153" i="39"/>
  <c r="G152" i="39"/>
  <c r="G149" i="39"/>
  <c r="G148" i="39"/>
  <c r="G147" i="39"/>
  <c r="G146" i="39"/>
  <c r="G145" i="39"/>
  <c r="G144" i="39"/>
  <c r="G143" i="39"/>
  <c r="G142" i="39"/>
  <c r="G141" i="39"/>
  <c r="G140" i="39"/>
  <c r="G138" i="39"/>
  <c r="G137" i="39"/>
  <c r="G136" i="39"/>
  <c r="G135" i="39"/>
  <c r="G134" i="39"/>
  <c r="G133" i="39"/>
  <c r="G132" i="39"/>
  <c r="G125" i="39"/>
  <c r="G124" i="39"/>
  <c r="G123" i="39"/>
  <c r="G122" i="39"/>
  <c r="G121" i="39"/>
  <c r="G120" i="39"/>
  <c r="G118" i="39"/>
  <c r="G117" i="39"/>
  <c r="G116" i="39"/>
  <c r="G115" i="39"/>
  <c r="G114" i="39"/>
  <c r="G113" i="39"/>
  <c r="G112" i="39"/>
  <c r="G111" i="39"/>
  <c r="G110" i="39"/>
  <c r="G109" i="39"/>
  <c r="G108" i="39"/>
  <c r="G107" i="39"/>
  <c r="G106" i="39"/>
  <c r="G105" i="39"/>
  <c r="G104" i="39"/>
  <c r="G103" i="39"/>
  <c r="G102" i="39"/>
  <c r="G101" i="39"/>
  <c r="G100" i="39"/>
  <c r="G98" i="39"/>
  <c r="G97" i="39"/>
  <c r="G96" i="39"/>
  <c r="G95" i="39"/>
  <c r="G94" i="39"/>
  <c r="G93" i="39"/>
  <c r="G92" i="39"/>
  <c r="G91" i="39"/>
  <c r="G90" i="39"/>
  <c r="G89" i="39"/>
  <c r="G88" i="39"/>
  <c r="G87" i="39"/>
  <c r="G86" i="39"/>
  <c r="G85" i="39"/>
  <c r="G84" i="39"/>
  <c r="G83" i="39"/>
  <c r="G82" i="39"/>
  <c r="G81" i="39"/>
  <c r="G80" i="39"/>
  <c r="G79" i="39"/>
  <c r="G78" i="39"/>
  <c r="G77" i="39"/>
  <c r="G76" i="39"/>
  <c r="G75" i="39"/>
  <c r="G74" i="39"/>
  <c r="G73" i="39"/>
  <c r="G72" i="39"/>
  <c r="G71" i="39"/>
  <c r="G70" i="39"/>
  <c r="G69" i="39"/>
  <c r="G68" i="39"/>
  <c r="G67" i="39"/>
  <c r="G66" i="39"/>
  <c r="G65" i="39"/>
  <c r="G64" i="39"/>
  <c r="G63" i="39"/>
  <c r="G62" i="39"/>
  <c r="G61" i="39"/>
  <c r="G60" i="39"/>
  <c r="G59" i="39"/>
  <c r="G58" i="39"/>
  <c r="G57" i="39"/>
  <c r="G56" i="39"/>
  <c r="G55" i="39"/>
  <c r="G54" i="39"/>
  <c r="G53" i="39"/>
  <c r="G52" i="39"/>
  <c r="G51" i="39"/>
  <c r="G50" i="39"/>
  <c r="G49" i="39"/>
  <c r="G48" i="39"/>
  <c r="G47" i="39"/>
  <c r="G46" i="39"/>
  <c r="G45" i="39"/>
  <c r="G44" i="39"/>
  <c r="G43" i="39"/>
  <c r="G42" i="39"/>
  <c r="G41" i="39"/>
  <c r="G40" i="39"/>
  <c r="G39" i="39"/>
  <c r="G38" i="39"/>
  <c r="G37" i="39"/>
  <c r="G36" i="39"/>
  <c r="G35" i="39"/>
  <c r="G34" i="39"/>
  <c r="G33" i="39"/>
  <c r="G32" i="39"/>
  <c r="G31" i="39"/>
  <c r="G30" i="39"/>
  <c r="G29" i="39"/>
  <c r="G28" i="39"/>
  <c r="G27" i="39"/>
  <c r="G26" i="39"/>
  <c r="G25" i="39"/>
  <c r="G24" i="39"/>
  <c r="G23" i="39"/>
  <c r="G22" i="39"/>
  <c r="G21" i="39"/>
  <c r="G20" i="39"/>
  <c r="G19" i="39"/>
  <c r="G18" i="39"/>
  <c r="G17" i="39"/>
  <c r="G16" i="39" l="1"/>
  <c r="G15" i="39"/>
  <c r="G14" i="39"/>
  <c r="G13" i="39"/>
  <c r="G12" i="39"/>
  <c r="G11" i="39"/>
  <c r="G10" i="39"/>
  <c r="G9" i="39"/>
  <c r="J81" i="39"/>
  <c r="J80" i="39"/>
  <c r="J79" i="39"/>
  <c r="J78" i="39"/>
  <c r="J77" i="39"/>
  <c r="J76" i="39"/>
  <c r="J75" i="39"/>
  <c r="J74" i="39"/>
  <c r="J73" i="39"/>
  <c r="J72" i="39"/>
  <c r="J71" i="39"/>
  <c r="J70" i="39"/>
  <c r="J69" i="39"/>
  <c r="J68" i="39"/>
  <c r="J67" i="39"/>
  <c r="J66" i="39"/>
  <c r="J65" i="39"/>
  <c r="J64" i="39"/>
  <c r="J63" i="39"/>
  <c r="J62" i="39"/>
  <c r="J61" i="39"/>
  <c r="J60" i="39"/>
  <c r="J59" i="39"/>
  <c r="J58" i="39"/>
  <c r="J57" i="39"/>
  <c r="J56" i="39"/>
  <c r="J55" i="39"/>
  <c r="J54" i="39"/>
  <c r="J53" i="39"/>
  <c r="J52" i="39"/>
  <c r="J51" i="39"/>
  <c r="J50" i="39"/>
  <c r="J49" i="39"/>
  <c r="J48" i="39"/>
  <c r="J47" i="39"/>
  <c r="J46" i="39"/>
  <c r="J45" i="39"/>
  <c r="J44" i="39"/>
  <c r="J43" i="39"/>
  <c r="J42" i="39"/>
  <c r="J41" i="39"/>
  <c r="J40" i="39"/>
  <c r="J39" i="39"/>
  <c r="J38" i="39"/>
  <c r="J37" i="39"/>
  <c r="J36" i="39"/>
  <c r="J35" i="39"/>
  <c r="J34" i="39"/>
  <c r="J33" i="39"/>
  <c r="J32" i="39"/>
  <c r="J31" i="39"/>
  <c r="J30" i="39"/>
  <c r="J29" i="39"/>
  <c r="J28" i="39"/>
  <c r="J27" i="39"/>
  <c r="J26" i="39"/>
  <c r="J25" i="39"/>
  <c r="J24" i="39"/>
  <c r="J23" i="39"/>
  <c r="J22" i="39"/>
  <c r="J21" i="39"/>
  <c r="J20" i="39"/>
  <c r="J19" i="39"/>
  <c r="J18" i="39"/>
  <c r="J17" i="39"/>
  <c r="J16" i="39"/>
  <c r="J15" i="39"/>
  <c r="J14" i="39"/>
  <c r="J13" i="39"/>
  <c r="J12" i="39"/>
  <c r="J11" i="39"/>
  <c r="J10" i="39"/>
  <c r="J9" i="39"/>
  <c r="M7" i="39" l="1"/>
  <c r="P12" i="39" l="1"/>
  <c r="P11" i="39"/>
  <c r="F6" i="37"/>
  <c r="I6" i="6"/>
  <c r="E15" i="3" l="1"/>
  <c r="D110" i="39" l="1"/>
  <c r="U13" i="3" l="1"/>
  <c r="AC6" i="35"/>
  <c r="AC6" i="33"/>
  <c r="X15" i="1"/>
  <c r="J1769" i="39" l="1"/>
  <c r="D92" i="39" l="1"/>
  <c r="D91" i="39"/>
  <c r="D90" i="39"/>
  <c r="D89" i="39"/>
  <c r="D88" i="39"/>
  <c r="D87" i="39"/>
  <c r="D86" i="39"/>
  <c r="D85" i="39"/>
  <c r="D83" i="39"/>
  <c r="D79" i="39"/>
  <c r="D78" i="39"/>
  <c r="D77" i="39"/>
  <c r="D76" i="39"/>
  <c r="D75" i="39"/>
  <c r="D74" i="39"/>
  <c r="D73" i="39"/>
  <c r="D72" i="39"/>
  <c r="D71" i="39"/>
  <c r="D70" i="39"/>
  <c r="D69" i="39"/>
  <c r="D68" i="39"/>
  <c r="D67" i="39"/>
  <c r="D66" i="39"/>
  <c r="D65" i="39"/>
  <c r="D64" i="39"/>
  <c r="D62" i="39"/>
  <c r="D60" i="39"/>
  <c r="D59" i="39"/>
  <c r="D58" i="39"/>
  <c r="D57" i="39"/>
  <c r="G1762" i="39"/>
  <c r="C9" i="38" l="1"/>
  <c r="G1765" i="39" l="1"/>
  <c r="E117" i="5" l="1"/>
  <c r="D117" i="5"/>
  <c r="A98" i="39" l="1"/>
  <c r="Y60" i="1" l="1"/>
  <c r="Y57" i="1"/>
  <c r="Y56" i="1"/>
  <c r="Y53" i="1"/>
  <c r="Y52" i="1"/>
  <c r="Y50" i="1"/>
  <c r="Y49" i="1"/>
  <c r="Y46" i="1"/>
  <c r="Y45" i="1"/>
  <c r="W62" i="1"/>
  <c r="W63" i="1"/>
  <c r="W64" i="1"/>
  <c r="W65" i="1"/>
  <c r="B63" i="1" l="1"/>
  <c r="B64" i="1"/>
  <c r="B65" i="1"/>
  <c r="B62" i="1"/>
  <c r="W46" i="1"/>
  <c r="D48" i="39" l="1"/>
  <c r="Y65" i="1"/>
  <c r="D47" i="39"/>
  <c r="Y64" i="1"/>
  <c r="D46" i="39"/>
  <c r="Y63" i="1"/>
  <c r="D45" i="39"/>
  <c r="Y62" i="1"/>
  <c r="D125" i="39"/>
  <c r="Y44" i="1"/>
  <c r="Y43" i="1"/>
  <c r="Y42" i="1"/>
  <c r="Y41" i="1"/>
  <c r="Y40" i="1"/>
  <c r="Y39" i="1"/>
  <c r="Y38" i="1"/>
  <c r="Y37" i="1"/>
  <c r="Y36" i="1"/>
  <c r="Y35" i="1"/>
  <c r="Y34" i="1"/>
  <c r="Y33" i="1"/>
  <c r="Y32" i="1"/>
  <c r="Y31" i="1"/>
  <c r="Y29" i="1"/>
  <c r="Y27" i="1"/>
  <c r="Y26" i="1"/>
  <c r="Y25" i="1"/>
  <c r="Y24" i="1"/>
  <c r="A87" i="39" l="1"/>
  <c r="A88" i="39"/>
  <c r="A89" i="39"/>
  <c r="A90" i="39"/>
  <c r="A91" i="39"/>
  <c r="A92" i="39"/>
  <c r="A93" i="39"/>
  <c r="A94" i="39"/>
  <c r="A95" i="39"/>
  <c r="A96" i="39"/>
  <c r="A54" i="39" l="1"/>
  <c r="D3" i="39" l="1"/>
  <c r="J261" i="39"/>
  <c r="J260" i="39"/>
  <c r="G258" i="39"/>
  <c r="G1770" i="39" l="1"/>
  <c r="J1770" i="39"/>
  <c r="J1771" i="39"/>
  <c r="G1771" i="39"/>
  <c r="D114" i="39"/>
  <c r="G8" i="39"/>
  <c r="M9" i="39" l="1"/>
  <c r="J1762" i="39" l="1"/>
  <c r="U14" i="33" l="1"/>
  <c r="G1783" i="39" l="1"/>
  <c r="J1795" i="39"/>
  <c r="G1795" i="39"/>
  <c r="D6" i="39"/>
  <c r="J1767" i="39" l="1"/>
  <c r="A3" i="39" l="1"/>
  <c r="J3" i="39"/>
  <c r="G3" i="39"/>
  <c r="M3" i="39"/>
  <c r="J1776" i="39" l="1"/>
  <c r="J1794" i="39"/>
  <c r="G1794" i="39"/>
  <c r="J1793" i="39"/>
  <c r="G1793" i="39"/>
  <c r="J1792" i="39"/>
  <c r="G1792" i="39"/>
  <c r="J1791" i="39"/>
  <c r="G1791" i="39"/>
  <c r="J1790" i="39"/>
  <c r="G1790" i="39"/>
  <c r="J1789" i="39"/>
  <c r="G1789" i="39"/>
  <c r="J1788" i="39"/>
  <c r="G1788" i="39"/>
  <c r="J1787" i="39"/>
  <c r="G1787" i="39"/>
  <c r="J1786" i="39"/>
  <c r="G1786" i="39"/>
  <c r="J1784" i="39"/>
  <c r="G1784" i="39"/>
  <c r="J1782" i="39"/>
  <c r="G1782" i="39"/>
  <c r="J1781" i="39"/>
  <c r="G1781" i="39"/>
  <c r="J1780" i="39"/>
  <c r="G1780" i="39"/>
  <c r="J1779" i="39"/>
  <c r="G1779" i="39"/>
  <c r="J1778" i="39"/>
  <c r="G1778" i="39"/>
  <c r="J1777" i="39"/>
  <c r="G1777" i="39"/>
  <c r="J1775" i="39"/>
  <c r="G1775" i="39"/>
  <c r="J1774" i="39"/>
  <c r="G1774" i="39"/>
  <c r="J1773" i="39"/>
  <c r="G1773" i="39"/>
  <c r="G1769" i="39"/>
  <c r="C7" i="38" l="1"/>
  <c r="E18" i="3" l="1"/>
  <c r="E17" i="3" s="1"/>
  <c r="A64" i="39" l="1"/>
  <c r="P13" i="39"/>
  <c r="J6" i="39" l="1"/>
  <c r="G1767" i="39"/>
  <c r="P16" i="3" l="1"/>
  <c r="J1560" i="39"/>
  <c r="J1592" i="39"/>
  <c r="J1606" i="39"/>
  <c r="J1615" i="39"/>
  <c r="J1628" i="39"/>
  <c r="J1637" i="39"/>
  <c r="J1647" i="39"/>
  <c r="J1657" i="39"/>
  <c r="J1665" i="39"/>
  <c r="J1677" i="39"/>
  <c r="J1675" i="39"/>
  <c r="J1690" i="39"/>
  <c r="J1705" i="39"/>
  <c r="J1697" i="39"/>
  <c r="J1713" i="39"/>
  <c r="J1719" i="39"/>
  <c r="J1727" i="39"/>
  <c r="J1740" i="39"/>
  <c r="J1753" i="39"/>
  <c r="J1760" i="39"/>
  <c r="J1759" i="39"/>
  <c r="J1758" i="39"/>
  <c r="J1757" i="39"/>
  <c r="J1756" i="39"/>
  <c r="J1755" i="39"/>
  <c r="J1754" i="39"/>
  <c r="J1752" i="39"/>
  <c r="J1751" i="39"/>
  <c r="J1750" i="39"/>
  <c r="J1749" i="39"/>
  <c r="J1748" i="39"/>
  <c r="J1747" i="39"/>
  <c r="J1746" i="39"/>
  <c r="J1745" i="39"/>
  <c r="J1744" i="39"/>
  <c r="J1743" i="39"/>
  <c r="J1742" i="39"/>
  <c r="J1741" i="39"/>
  <c r="J1739" i="39"/>
  <c r="J1738" i="39"/>
  <c r="J1737" i="39"/>
  <c r="J1736" i="39"/>
  <c r="J1735" i="39"/>
  <c r="J1734" i="39"/>
  <c r="J1733" i="39"/>
  <c r="J1732" i="39"/>
  <c r="J1731" i="39"/>
  <c r="J1730" i="39"/>
  <c r="J1729" i="39"/>
  <c r="J1728" i="39"/>
  <c r="J1726" i="39"/>
  <c r="J1725" i="39"/>
  <c r="J1724" i="39"/>
  <c r="J1723" i="39"/>
  <c r="J1722" i="39"/>
  <c r="J1721" i="39"/>
  <c r="J1720" i="39"/>
  <c r="J1718" i="39"/>
  <c r="J1717" i="39"/>
  <c r="J1716" i="39"/>
  <c r="J1715" i="39"/>
  <c r="J1714" i="39"/>
  <c r="J1712" i="39"/>
  <c r="J1711" i="39"/>
  <c r="J1710" i="39"/>
  <c r="J1709" i="39"/>
  <c r="J1708" i="39"/>
  <c r="J1707" i="39"/>
  <c r="J1706" i="39"/>
  <c r="J1704" i="39"/>
  <c r="J1703" i="39"/>
  <c r="J1702" i="39"/>
  <c r="J1701" i="39"/>
  <c r="J1700" i="39"/>
  <c r="J1699" i="39"/>
  <c r="J1698" i="39"/>
  <c r="J1696" i="39"/>
  <c r="J1695" i="39"/>
  <c r="J1694" i="39"/>
  <c r="J1693" i="39"/>
  <c r="J1692" i="39"/>
  <c r="J1691" i="39"/>
  <c r="J1689" i="39"/>
  <c r="J1688" i="39"/>
  <c r="J1687" i="39"/>
  <c r="J1686" i="39"/>
  <c r="J1685" i="39"/>
  <c r="J1684" i="39"/>
  <c r="J1683" i="39"/>
  <c r="J1682" i="39"/>
  <c r="J1681" i="39"/>
  <c r="J1680" i="39"/>
  <c r="J1679" i="39"/>
  <c r="J1678" i="39"/>
  <c r="J1676" i="39"/>
  <c r="J1674" i="39"/>
  <c r="J1673" i="39"/>
  <c r="J1672" i="39"/>
  <c r="J1671" i="39"/>
  <c r="J1670" i="39"/>
  <c r="J1669" i="39"/>
  <c r="J1668" i="39"/>
  <c r="J1667" i="39"/>
  <c r="J1666" i="39"/>
  <c r="J1664" i="39"/>
  <c r="J1663" i="39"/>
  <c r="J1662" i="39"/>
  <c r="J1661" i="39"/>
  <c r="J1660" i="39"/>
  <c r="J1659" i="39"/>
  <c r="J1658" i="39"/>
  <c r="J1656" i="39"/>
  <c r="J1655" i="39"/>
  <c r="J1654" i="39"/>
  <c r="J1653" i="39"/>
  <c r="J1652" i="39"/>
  <c r="J1651" i="39"/>
  <c r="J1650" i="39"/>
  <c r="J1649" i="39"/>
  <c r="J1648" i="39"/>
  <c r="J1646" i="39"/>
  <c r="J1645" i="39"/>
  <c r="J1644" i="39"/>
  <c r="J1643" i="39"/>
  <c r="J1642" i="39"/>
  <c r="J1641" i="39"/>
  <c r="J1640" i="39"/>
  <c r="J1639" i="39"/>
  <c r="J1638" i="39"/>
  <c r="J1636" i="39"/>
  <c r="J1635" i="39"/>
  <c r="J1634" i="39"/>
  <c r="J1633" i="39"/>
  <c r="J1632" i="39"/>
  <c r="J1631" i="39"/>
  <c r="J1630" i="39"/>
  <c r="J1629" i="39"/>
  <c r="J1627" i="39"/>
  <c r="J1626" i="39"/>
  <c r="J1625" i="39"/>
  <c r="J1624" i="39"/>
  <c r="J1623" i="39"/>
  <c r="J1622" i="39"/>
  <c r="J1621" i="39"/>
  <c r="J1620" i="39"/>
  <c r="J1619" i="39"/>
  <c r="J1618" i="39"/>
  <c r="J1617" i="39"/>
  <c r="J1616" i="39"/>
  <c r="J1614" i="39"/>
  <c r="J1613" i="39"/>
  <c r="J1612" i="39"/>
  <c r="J1611" i="39"/>
  <c r="J1610" i="39"/>
  <c r="J1609" i="39"/>
  <c r="J1608" i="39"/>
  <c r="J1607" i="39"/>
  <c r="J1605" i="39"/>
  <c r="J1604" i="39"/>
  <c r="J1603" i="39"/>
  <c r="J1602" i="39"/>
  <c r="J1601" i="39"/>
  <c r="J1600" i="39"/>
  <c r="J1599" i="39"/>
  <c r="J1598" i="39"/>
  <c r="J1597" i="39"/>
  <c r="J1596" i="39"/>
  <c r="J1595" i="39"/>
  <c r="J1594" i="39"/>
  <c r="J1593" i="39"/>
  <c r="J1591" i="39"/>
  <c r="J1590" i="39"/>
  <c r="J1589" i="39"/>
  <c r="J1588" i="39"/>
  <c r="J1587" i="39"/>
  <c r="J1586" i="39"/>
  <c r="J1585" i="39"/>
  <c r="J1584" i="39"/>
  <c r="J1583" i="39"/>
  <c r="J1582" i="39"/>
  <c r="J1581" i="39"/>
  <c r="J1580" i="39"/>
  <c r="J1579" i="39"/>
  <c r="J1578" i="39"/>
  <c r="J1577" i="39"/>
  <c r="J1576" i="39"/>
  <c r="J1575" i="39"/>
  <c r="J1574" i="39"/>
  <c r="J1573" i="39"/>
  <c r="J1572" i="39"/>
  <c r="J1571" i="39"/>
  <c r="J1570" i="39"/>
  <c r="J1569" i="39"/>
  <c r="J1568" i="39"/>
  <c r="J1567" i="39"/>
  <c r="J1566" i="39"/>
  <c r="J1565" i="39"/>
  <c r="J1564" i="39"/>
  <c r="J1563" i="39"/>
  <c r="J1562" i="39"/>
  <c r="J1561" i="39"/>
  <c r="J1559" i="39"/>
  <c r="J1558" i="39"/>
  <c r="J1557" i="39"/>
  <c r="J1556" i="39"/>
  <c r="J1555" i="39"/>
  <c r="J1554" i="39"/>
  <c r="J1553" i="39"/>
  <c r="J1552" i="39"/>
  <c r="J1551" i="39"/>
  <c r="J1550" i="39"/>
  <c r="J1549" i="39"/>
  <c r="J1548" i="39"/>
  <c r="J1547" i="39"/>
  <c r="J1546" i="39"/>
  <c r="J1545" i="39"/>
  <c r="J1544" i="39"/>
  <c r="J1543" i="39"/>
  <c r="J1542" i="39"/>
  <c r="J1541" i="39"/>
  <c r="J1540" i="39"/>
  <c r="J1539" i="39"/>
  <c r="J1538" i="39"/>
  <c r="J1537" i="39"/>
  <c r="J1536" i="39"/>
  <c r="J1535" i="39"/>
  <c r="J1534" i="39"/>
  <c r="J1533" i="39"/>
  <c r="J1532" i="39"/>
  <c r="J1531" i="39"/>
  <c r="J1530" i="39"/>
  <c r="J1529" i="39"/>
  <c r="J1528" i="39"/>
  <c r="J1527" i="39"/>
  <c r="J1526" i="39"/>
  <c r="J1525" i="39"/>
  <c r="J1524" i="39"/>
  <c r="J1523" i="39"/>
  <c r="J1522" i="39"/>
  <c r="J1521" i="39"/>
  <c r="J1520" i="39"/>
  <c r="J1519" i="39"/>
  <c r="J1518" i="39"/>
  <c r="J1517" i="39"/>
  <c r="J1516" i="39"/>
  <c r="J1515" i="39"/>
  <c r="J1514" i="39"/>
  <c r="J1513" i="39"/>
  <c r="G1650" i="39"/>
  <c r="G1663" i="39"/>
  <c r="G1671" i="39"/>
  <c r="G1678" i="39"/>
  <c r="G1683" i="39"/>
  <c r="G1700" i="39"/>
  <c r="G1716" i="39"/>
  <c r="G1740" i="39"/>
  <c r="G1755" i="39"/>
  <c r="G1759" i="39"/>
  <c r="G1758" i="39"/>
  <c r="G1757" i="39"/>
  <c r="G1756" i="39"/>
  <c r="G1754" i="39"/>
  <c r="G1753" i="39"/>
  <c r="G1752" i="39"/>
  <c r="G1751" i="39"/>
  <c r="G1750" i="39"/>
  <c r="G1749" i="39"/>
  <c r="G1748" i="39"/>
  <c r="G1747" i="39"/>
  <c r="G1746" i="39"/>
  <c r="G1745" i="39"/>
  <c r="G1744" i="39"/>
  <c r="G1743" i="39"/>
  <c r="G1742" i="39"/>
  <c r="G1741" i="39"/>
  <c r="G1739" i="39"/>
  <c r="G1738" i="39"/>
  <c r="G1737" i="39"/>
  <c r="G1736" i="39"/>
  <c r="G1735" i="39"/>
  <c r="G1734" i="39"/>
  <c r="G1733" i="39"/>
  <c r="G1732" i="39"/>
  <c r="G1731" i="39"/>
  <c r="G1730" i="39"/>
  <c r="G1729" i="39"/>
  <c r="G1728" i="39"/>
  <c r="G1727" i="39"/>
  <c r="G1726" i="39"/>
  <c r="G1725" i="39"/>
  <c r="G1724" i="39"/>
  <c r="G1723" i="39"/>
  <c r="G1722" i="39"/>
  <c r="G1721" i="39"/>
  <c r="G1720" i="39"/>
  <c r="G1719" i="39"/>
  <c r="G1718" i="39"/>
  <c r="G1717" i="39"/>
  <c r="G1715" i="39"/>
  <c r="G1714" i="39"/>
  <c r="G1713" i="39"/>
  <c r="G1712" i="39"/>
  <c r="G1711" i="39"/>
  <c r="G1710" i="39"/>
  <c r="G1709" i="39"/>
  <c r="G1708" i="39"/>
  <c r="G1707" i="39"/>
  <c r="G1706" i="39"/>
  <c r="G1705" i="39"/>
  <c r="G1704" i="39"/>
  <c r="G1703" i="39"/>
  <c r="G1702" i="39"/>
  <c r="G1701" i="39"/>
  <c r="G1699" i="39"/>
  <c r="G1698" i="39"/>
  <c r="G1697" i="39"/>
  <c r="G1696" i="39"/>
  <c r="G1695" i="39"/>
  <c r="G1694" i="39"/>
  <c r="G1693" i="39"/>
  <c r="G1692" i="39"/>
  <c r="G1691" i="39"/>
  <c r="G1690" i="39"/>
  <c r="G1689" i="39"/>
  <c r="G1688" i="39"/>
  <c r="G1687" i="39"/>
  <c r="G1686" i="39"/>
  <c r="G1685" i="39"/>
  <c r="G1684" i="39"/>
  <c r="G1682" i="39"/>
  <c r="G1681" i="39"/>
  <c r="G1680" i="39"/>
  <c r="G1679" i="39"/>
  <c r="G1677" i="39"/>
  <c r="G1676" i="39"/>
  <c r="G1675" i="39"/>
  <c r="G1674" i="39"/>
  <c r="G1673" i="39"/>
  <c r="G1672" i="39"/>
  <c r="G1670" i="39"/>
  <c r="G1669" i="39"/>
  <c r="G1668" i="39"/>
  <c r="G1667" i="39"/>
  <c r="G1666" i="39"/>
  <c r="G1665" i="39"/>
  <c r="G1664" i="39"/>
  <c r="G1662" i="39"/>
  <c r="G1661" i="39"/>
  <c r="G1660" i="39"/>
  <c r="G1659" i="39"/>
  <c r="G1658" i="39"/>
  <c r="G1657" i="39"/>
  <c r="G1656" i="39"/>
  <c r="G1655" i="39"/>
  <c r="G1654" i="39"/>
  <c r="G1653" i="39"/>
  <c r="G1652" i="39"/>
  <c r="G1651" i="39"/>
  <c r="G1649" i="39"/>
  <c r="G1648" i="39"/>
  <c r="G1647" i="39"/>
  <c r="G1646" i="39"/>
  <c r="G1645" i="39"/>
  <c r="G1644" i="39"/>
  <c r="G1643" i="39"/>
  <c r="G1642" i="39"/>
  <c r="G1641" i="39"/>
  <c r="G1640" i="39"/>
  <c r="G1639" i="39"/>
  <c r="G1638" i="39"/>
  <c r="G1637" i="39"/>
  <c r="G1636" i="39"/>
  <c r="G1635" i="39"/>
  <c r="G1634" i="39"/>
  <c r="G1633" i="39"/>
  <c r="G1632" i="39"/>
  <c r="G1631" i="39"/>
  <c r="G1630" i="39"/>
  <c r="G1629" i="39"/>
  <c r="G1628" i="39"/>
  <c r="G1627" i="39"/>
  <c r="G1626" i="39"/>
  <c r="G1625" i="39"/>
  <c r="G1624" i="39"/>
  <c r="G1623" i="39"/>
  <c r="G1622" i="39"/>
  <c r="G1621" i="39"/>
  <c r="G1620" i="39"/>
  <c r="G1619" i="39"/>
  <c r="G1618" i="39"/>
  <c r="G1617" i="39"/>
  <c r="G1616" i="39"/>
  <c r="G1615" i="39"/>
  <c r="G1614" i="39"/>
  <c r="G1613" i="39"/>
  <c r="G1612" i="39"/>
  <c r="G1611" i="39"/>
  <c r="G1610" i="39"/>
  <c r="G1609" i="39"/>
  <c r="G1608" i="39"/>
  <c r="G1607" i="39"/>
  <c r="G1606" i="39"/>
  <c r="G1605" i="39"/>
  <c r="G1604" i="39"/>
  <c r="G1603" i="39"/>
  <c r="G1602" i="39"/>
  <c r="G1601" i="39"/>
  <c r="G1600" i="39"/>
  <c r="G1599" i="39"/>
  <c r="G1598" i="39"/>
  <c r="G1597" i="39"/>
  <c r="G1596" i="39"/>
  <c r="G1595" i="39"/>
  <c r="G1594" i="39"/>
  <c r="G1593" i="39"/>
  <c r="G1592" i="39"/>
  <c r="G1591" i="39"/>
  <c r="G1590" i="39"/>
  <c r="G1589" i="39"/>
  <c r="G1588" i="39"/>
  <c r="G1587" i="39"/>
  <c r="G1586" i="39"/>
  <c r="G1585" i="39"/>
  <c r="G1584" i="39"/>
  <c r="G1583" i="39"/>
  <c r="G1582" i="39"/>
  <c r="G1581" i="39"/>
  <c r="G1580" i="39"/>
  <c r="G1579" i="39"/>
  <c r="G1578" i="39"/>
  <c r="G1577" i="39"/>
  <c r="G1576" i="39"/>
  <c r="G1575" i="39"/>
  <c r="G1574" i="39"/>
  <c r="G1573" i="39"/>
  <c r="G1572" i="39"/>
  <c r="G1571" i="39"/>
  <c r="G1570" i="39"/>
  <c r="G1569" i="39"/>
  <c r="G1568" i="39"/>
  <c r="G1567" i="39"/>
  <c r="G1566" i="39"/>
  <c r="G1565" i="39"/>
  <c r="G1564" i="39"/>
  <c r="G1563" i="39"/>
  <c r="G1562" i="39"/>
  <c r="G1561" i="39"/>
  <c r="G1560" i="39"/>
  <c r="G1559" i="39"/>
  <c r="G1558" i="39"/>
  <c r="G1557" i="39"/>
  <c r="G1556" i="39"/>
  <c r="G1555" i="39"/>
  <c r="G1554" i="39"/>
  <c r="G1553" i="39"/>
  <c r="G1552" i="39"/>
  <c r="G1551" i="39"/>
  <c r="G1550" i="39"/>
  <c r="G1549" i="39"/>
  <c r="G1548" i="39"/>
  <c r="G1547" i="39"/>
  <c r="G1546" i="39"/>
  <c r="G1545" i="39"/>
  <c r="G1544" i="39"/>
  <c r="G1543" i="39"/>
  <c r="G1542" i="39"/>
  <c r="G1541" i="39"/>
  <c r="G1540" i="39"/>
  <c r="G1539" i="39"/>
  <c r="G1538" i="39"/>
  <c r="G1537" i="39"/>
  <c r="G1536" i="39"/>
  <c r="G1535" i="39"/>
  <c r="G1534" i="39"/>
  <c r="G1533" i="39"/>
  <c r="G1532" i="39"/>
  <c r="G1531" i="39"/>
  <c r="G1530" i="39"/>
  <c r="G1529" i="39"/>
  <c r="G1528" i="39"/>
  <c r="G1527" i="39"/>
  <c r="G1526" i="39"/>
  <c r="G1525" i="39"/>
  <c r="G1524" i="39"/>
  <c r="G1523" i="39"/>
  <c r="G1522" i="39"/>
  <c r="G1521" i="39"/>
  <c r="G1520" i="39"/>
  <c r="G1519" i="39"/>
  <c r="G1518" i="39"/>
  <c r="G1517" i="39"/>
  <c r="G1516" i="39"/>
  <c r="G1515" i="39"/>
  <c r="G1514" i="39"/>
  <c r="G1513" i="39"/>
  <c r="J1512" i="39"/>
  <c r="J1511" i="39"/>
  <c r="E13" i="3"/>
  <c r="M10" i="39" l="1"/>
  <c r="A22" i="39"/>
  <c r="A21" i="39"/>
  <c r="A20" i="39"/>
  <c r="A19" i="39"/>
  <c r="A18" i="39"/>
  <c r="A17" i="39"/>
  <c r="A16" i="39"/>
  <c r="A15" i="39"/>
  <c r="A14" i="39"/>
  <c r="A13" i="39"/>
  <c r="U263" i="33" l="1"/>
  <c r="U262" i="33"/>
  <c r="U261" i="33"/>
  <c r="U260" i="33"/>
  <c r="U259" i="33"/>
  <c r="U258" i="33"/>
  <c r="U257" i="33"/>
  <c r="U256" i="33"/>
  <c r="U255" i="33"/>
  <c r="U254" i="33"/>
  <c r="U253" i="33"/>
  <c r="U252" i="33"/>
  <c r="U251" i="33"/>
  <c r="U250" i="33"/>
  <c r="U249" i="33"/>
  <c r="U248" i="33"/>
  <c r="U247" i="33"/>
  <c r="U246" i="33"/>
  <c r="U245" i="33"/>
  <c r="U244" i="33"/>
  <c r="U243" i="33"/>
  <c r="U242" i="33"/>
  <c r="U241" i="33"/>
  <c r="U240" i="33"/>
  <c r="U239" i="33"/>
  <c r="U238" i="33"/>
  <c r="U237" i="33"/>
  <c r="U236" i="33"/>
  <c r="U235" i="33"/>
  <c r="U234" i="33"/>
  <c r="U233" i="33"/>
  <c r="U232" i="33"/>
  <c r="U231" i="33"/>
  <c r="U230" i="33"/>
  <c r="U229" i="33"/>
  <c r="U228" i="33"/>
  <c r="U227" i="33"/>
  <c r="U226" i="33"/>
  <c r="U225" i="33"/>
  <c r="U224" i="33"/>
  <c r="U223" i="33"/>
  <c r="U222" i="33"/>
  <c r="U221" i="33"/>
  <c r="U220" i="33"/>
  <c r="U219" i="33"/>
  <c r="U218" i="33"/>
  <c r="U217" i="33"/>
  <c r="U216" i="33"/>
  <c r="U215" i="33"/>
  <c r="U214" i="33"/>
  <c r="U213" i="33"/>
  <c r="U212" i="33"/>
  <c r="U211" i="33"/>
  <c r="U210" i="33"/>
  <c r="U209" i="33"/>
  <c r="U208" i="33"/>
  <c r="U207" i="33"/>
  <c r="U206" i="33"/>
  <c r="U205" i="33"/>
  <c r="U204" i="33"/>
  <c r="U203" i="33"/>
  <c r="U202" i="33"/>
  <c r="U201" i="33"/>
  <c r="U200" i="33"/>
  <c r="U199" i="33"/>
  <c r="U198" i="33"/>
  <c r="U197" i="33"/>
  <c r="U196" i="33"/>
  <c r="U195" i="33"/>
  <c r="U194" i="33"/>
  <c r="U193" i="33"/>
  <c r="U192" i="33"/>
  <c r="U191" i="33"/>
  <c r="U190" i="33"/>
  <c r="U189" i="33"/>
  <c r="U188" i="33"/>
  <c r="U187" i="33"/>
  <c r="U186" i="33"/>
  <c r="U185" i="33"/>
  <c r="U184" i="33"/>
  <c r="U183" i="33"/>
  <c r="U182" i="33"/>
  <c r="U181" i="33"/>
  <c r="U180" i="33"/>
  <c r="U179" i="33"/>
  <c r="U178" i="33"/>
  <c r="U177" i="33"/>
  <c r="U176" i="33"/>
  <c r="U175" i="33"/>
  <c r="U174" i="33"/>
  <c r="U173" i="33"/>
  <c r="U172" i="33"/>
  <c r="U171" i="33"/>
  <c r="U170" i="33"/>
  <c r="U169" i="33"/>
  <c r="U168" i="33"/>
  <c r="U167" i="33"/>
  <c r="U166" i="33"/>
  <c r="U165" i="33"/>
  <c r="U164" i="33"/>
  <c r="U163" i="33"/>
  <c r="U162" i="33"/>
  <c r="U161" i="33"/>
  <c r="U160" i="33"/>
  <c r="U159" i="33"/>
  <c r="U158" i="33"/>
  <c r="U157" i="33"/>
  <c r="U156" i="33"/>
  <c r="U155" i="33"/>
  <c r="U154" i="33"/>
  <c r="U153" i="33"/>
  <c r="U152" i="33"/>
  <c r="U151" i="33"/>
  <c r="U150" i="33"/>
  <c r="U149" i="33"/>
  <c r="U148" i="33"/>
  <c r="U147" i="33"/>
  <c r="U146" i="33"/>
  <c r="U145" i="33"/>
  <c r="U144" i="33"/>
  <c r="U143" i="33"/>
  <c r="U142" i="33"/>
  <c r="U141" i="33"/>
  <c r="U140" i="33"/>
  <c r="U139" i="33"/>
  <c r="U138" i="33"/>
  <c r="U137" i="33"/>
  <c r="U136" i="33"/>
  <c r="U135" i="33"/>
  <c r="U134" i="33"/>
  <c r="U133" i="33"/>
  <c r="U132" i="33"/>
  <c r="U131" i="33"/>
  <c r="U130" i="33"/>
  <c r="U129" i="33"/>
  <c r="U128" i="33"/>
  <c r="U127" i="33"/>
  <c r="U126" i="33"/>
  <c r="U125" i="33"/>
  <c r="U124" i="33"/>
  <c r="U123" i="33"/>
  <c r="U122" i="33"/>
  <c r="U121" i="33"/>
  <c r="U120" i="33"/>
  <c r="U119" i="33"/>
  <c r="U118" i="33"/>
  <c r="U117" i="33"/>
  <c r="U116" i="33"/>
  <c r="U115" i="33"/>
  <c r="U114" i="33"/>
  <c r="U113" i="33"/>
  <c r="U112" i="33"/>
  <c r="U111" i="33"/>
  <c r="U110" i="33"/>
  <c r="U109" i="33"/>
  <c r="U108" i="33"/>
  <c r="U107" i="33"/>
  <c r="U106" i="33"/>
  <c r="U105" i="33"/>
  <c r="U104" i="33"/>
  <c r="U103" i="33"/>
  <c r="U102" i="33"/>
  <c r="U101" i="33"/>
  <c r="U100" i="33"/>
  <c r="U99" i="33"/>
  <c r="U98" i="33"/>
  <c r="U97" i="33"/>
  <c r="U96" i="33"/>
  <c r="U95" i="33"/>
  <c r="U94" i="33"/>
  <c r="U93" i="33"/>
  <c r="U92" i="33"/>
  <c r="U91" i="33"/>
  <c r="U90" i="33"/>
  <c r="U89" i="33"/>
  <c r="U88" i="33"/>
  <c r="U87" i="33"/>
  <c r="U86" i="33"/>
  <c r="U85" i="33"/>
  <c r="U84" i="33"/>
  <c r="U83" i="33"/>
  <c r="U82" i="33"/>
  <c r="U81" i="33"/>
  <c r="U80" i="33"/>
  <c r="U79" i="33"/>
  <c r="U78" i="33"/>
  <c r="U77" i="33"/>
  <c r="U76" i="33"/>
  <c r="U75" i="33"/>
  <c r="U74" i="33"/>
  <c r="U73" i="33"/>
  <c r="U72" i="33"/>
  <c r="U71" i="33"/>
  <c r="U70" i="33"/>
  <c r="U69" i="33"/>
  <c r="U68" i="33"/>
  <c r="U67" i="33"/>
  <c r="U66" i="33"/>
  <c r="U65" i="33"/>
  <c r="U64" i="33"/>
  <c r="U63" i="33"/>
  <c r="U62" i="33"/>
  <c r="U61" i="33"/>
  <c r="U60" i="33"/>
  <c r="U59" i="33"/>
  <c r="U58" i="33"/>
  <c r="U57" i="33"/>
  <c r="U56" i="33"/>
  <c r="U55" i="33"/>
  <c r="U54" i="33"/>
  <c r="U53" i="33"/>
  <c r="U52" i="33"/>
  <c r="U51" i="33"/>
  <c r="U50" i="33"/>
  <c r="U49" i="33"/>
  <c r="U48" i="33"/>
  <c r="U47" i="33"/>
  <c r="U46" i="33"/>
  <c r="U45" i="33"/>
  <c r="U44" i="33"/>
  <c r="U43" i="33"/>
  <c r="U42" i="33"/>
  <c r="U41" i="33"/>
  <c r="U40" i="33"/>
  <c r="U39" i="33"/>
  <c r="U38" i="33"/>
  <c r="U37" i="33"/>
  <c r="U36" i="33"/>
  <c r="U35" i="33"/>
  <c r="U34" i="33"/>
  <c r="U33" i="33"/>
  <c r="U32" i="33"/>
  <c r="U31" i="33"/>
  <c r="U30" i="33"/>
  <c r="U29" i="33"/>
  <c r="U28" i="33"/>
  <c r="U27" i="33"/>
  <c r="U26" i="33"/>
  <c r="U25" i="33"/>
  <c r="U24" i="33"/>
  <c r="U23" i="33"/>
  <c r="U22" i="33"/>
  <c r="U21" i="33"/>
  <c r="U20" i="33"/>
  <c r="U19" i="33"/>
  <c r="U18" i="33"/>
  <c r="U17" i="33"/>
  <c r="U16" i="33"/>
  <c r="U15" i="33"/>
  <c r="U263" i="35"/>
  <c r="U262" i="35"/>
  <c r="U261" i="35"/>
  <c r="U260" i="35"/>
  <c r="U259" i="35"/>
  <c r="U258" i="35"/>
  <c r="U257" i="35"/>
  <c r="U256" i="35"/>
  <c r="U255" i="35"/>
  <c r="U254" i="35"/>
  <c r="U253" i="35"/>
  <c r="U252" i="35"/>
  <c r="U251" i="35"/>
  <c r="U250" i="35"/>
  <c r="U249" i="35"/>
  <c r="U248" i="35"/>
  <c r="U247" i="35"/>
  <c r="U246" i="35"/>
  <c r="U245" i="35"/>
  <c r="U244" i="35"/>
  <c r="U243" i="35"/>
  <c r="U242" i="35"/>
  <c r="U241" i="35"/>
  <c r="U240" i="35"/>
  <c r="U239" i="35"/>
  <c r="U238" i="35"/>
  <c r="U237" i="35"/>
  <c r="U236" i="35"/>
  <c r="U235" i="35"/>
  <c r="U234" i="35"/>
  <c r="U233" i="35"/>
  <c r="U232" i="35"/>
  <c r="U231" i="35"/>
  <c r="U230" i="35"/>
  <c r="U229" i="35"/>
  <c r="U228" i="35"/>
  <c r="U227" i="35"/>
  <c r="U226" i="35"/>
  <c r="U225" i="35"/>
  <c r="U224" i="35"/>
  <c r="U223" i="35"/>
  <c r="U222" i="35"/>
  <c r="U221" i="35"/>
  <c r="U220" i="35"/>
  <c r="U219" i="35"/>
  <c r="U218" i="35"/>
  <c r="U217" i="35"/>
  <c r="U216" i="35"/>
  <c r="U215" i="35"/>
  <c r="U214" i="35"/>
  <c r="U213" i="35"/>
  <c r="U212" i="35"/>
  <c r="U211" i="35"/>
  <c r="U210" i="35"/>
  <c r="U209" i="35"/>
  <c r="U208" i="35"/>
  <c r="U207" i="35"/>
  <c r="U206" i="35"/>
  <c r="U205" i="35"/>
  <c r="U204" i="35"/>
  <c r="U203" i="35"/>
  <c r="U202" i="35"/>
  <c r="U201" i="35"/>
  <c r="U200" i="35"/>
  <c r="U199" i="35"/>
  <c r="U198" i="35"/>
  <c r="U197" i="35"/>
  <c r="U196" i="35"/>
  <c r="U195" i="35"/>
  <c r="U194" i="35"/>
  <c r="U193" i="35"/>
  <c r="U192" i="35"/>
  <c r="U191" i="35"/>
  <c r="U190" i="35"/>
  <c r="U189" i="35"/>
  <c r="U188" i="35"/>
  <c r="U187" i="35"/>
  <c r="U186" i="35"/>
  <c r="U185" i="35"/>
  <c r="U184" i="35"/>
  <c r="U183" i="35"/>
  <c r="U182" i="35"/>
  <c r="U181" i="35"/>
  <c r="U180" i="35"/>
  <c r="U179" i="35"/>
  <c r="U178" i="35"/>
  <c r="U177" i="35"/>
  <c r="U176" i="35"/>
  <c r="U175" i="35"/>
  <c r="U174" i="35"/>
  <c r="U173" i="35"/>
  <c r="U172" i="35"/>
  <c r="U171" i="35"/>
  <c r="U170" i="35"/>
  <c r="U169" i="35"/>
  <c r="U168" i="35"/>
  <c r="U167" i="35"/>
  <c r="U166" i="35"/>
  <c r="U165" i="35"/>
  <c r="U164" i="35"/>
  <c r="U163" i="35"/>
  <c r="U162" i="35"/>
  <c r="U161" i="35"/>
  <c r="U160" i="35"/>
  <c r="U159" i="35"/>
  <c r="U158" i="35"/>
  <c r="U157" i="35"/>
  <c r="U156" i="35"/>
  <c r="U155" i="35"/>
  <c r="U154" i="35"/>
  <c r="U153" i="35"/>
  <c r="U152" i="35"/>
  <c r="U151" i="35"/>
  <c r="U150" i="35"/>
  <c r="U149" i="35"/>
  <c r="U148" i="35"/>
  <c r="U147" i="35"/>
  <c r="U146" i="35"/>
  <c r="U145" i="35"/>
  <c r="U144" i="35"/>
  <c r="U143" i="35"/>
  <c r="U142" i="35"/>
  <c r="U141" i="35"/>
  <c r="U140" i="35"/>
  <c r="U139" i="35"/>
  <c r="U138" i="35"/>
  <c r="U137" i="35"/>
  <c r="U136" i="35"/>
  <c r="U135" i="35"/>
  <c r="U134" i="35"/>
  <c r="U133" i="35"/>
  <c r="U132" i="35"/>
  <c r="U131" i="35"/>
  <c r="U130" i="35"/>
  <c r="U129" i="35"/>
  <c r="U128" i="35"/>
  <c r="U127" i="35"/>
  <c r="U126" i="35"/>
  <c r="U125" i="35"/>
  <c r="U124" i="35"/>
  <c r="U123" i="35"/>
  <c r="U122" i="35"/>
  <c r="U121" i="35"/>
  <c r="U120" i="35"/>
  <c r="U119" i="35"/>
  <c r="U118" i="35"/>
  <c r="U117" i="35"/>
  <c r="U116" i="35"/>
  <c r="U115" i="35"/>
  <c r="U114" i="35"/>
  <c r="U113" i="35"/>
  <c r="U112" i="35"/>
  <c r="U111" i="35"/>
  <c r="U110" i="35"/>
  <c r="U109" i="35"/>
  <c r="U108" i="35"/>
  <c r="U107" i="35"/>
  <c r="U106" i="35"/>
  <c r="U105" i="35"/>
  <c r="U104" i="35"/>
  <c r="U103" i="35"/>
  <c r="U102" i="35"/>
  <c r="U101" i="35"/>
  <c r="U100" i="35"/>
  <c r="U99" i="35"/>
  <c r="U98" i="35"/>
  <c r="U97" i="35"/>
  <c r="U96" i="35"/>
  <c r="U95" i="35"/>
  <c r="U94" i="35"/>
  <c r="U93" i="35"/>
  <c r="U92" i="35"/>
  <c r="U91" i="35"/>
  <c r="U90" i="35"/>
  <c r="U89" i="35"/>
  <c r="U88" i="35"/>
  <c r="U87" i="35"/>
  <c r="U86" i="35"/>
  <c r="U85" i="35"/>
  <c r="U84" i="35"/>
  <c r="U83" i="35"/>
  <c r="U82" i="35"/>
  <c r="U81" i="35"/>
  <c r="U80" i="35"/>
  <c r="U79" i="35"/>
  <c r="U78" i="35"/>
  <c r="U77" i="35"/>
  <c r="U76" i="35"/>
  <c r="U75" i="35"/>
  <c r="U74" i="35"/>
  <c r="U73" i="35"/>
  <c r="U72" i="35"/>
  <c r="U71" i="35"/>
  <c r="U70" i="35"/>
  <c r="U69" i="35"/>
  <c r="U68" i="35"/>
  <c r="U67" i="35"/>
  <c r="U66" i="35"/>
  <c r="U65" i="35"/>
  <c r="U64" i="35"/>
  <c r="U63" i="35"/>
  <c r="U62" i="35"/>
  <c r="U61" i="35"/>
  <c r="U60" i="35"/>
  <c r="U59" i="35"/>
  <c r="U58" i="35"/>
  <c r="U57" i="35"/>
  <c r="U56" i="35"/>
  <c r="U55" i="35"/>
  <c r="U54" i="35"/>
  <c r="U53" i="35"/>
  <c r="U52" i="35"/>
  <c r="U51" i="35"/>
  <c r="U50" i="35"/>
  <c r="U49" i="35"/>
  <c r="U48" i="35"/>
  <c r="U47" i="35"/>
  <c r="U46" i="35"/>
  <c r="U45" i="35"/>
  <c r="U44" i="35"/>
  <c r="U43" i="35"/>
  <c r="U42" i="35"/>
  <c r="U41" i="35"/>
  <c r="U40" i="35"/>
  <c r="U39" i="35"/>
  <c r="U38" i="35"/>
  <c r="U37" i="35"/>
  <c r="U36" i="35"/>
  <c r="U35" i="35"/>
  <c r="U34" i="35"/>
  <c r="U33" i="35"/>
  <c r="U32" i="35"/>
  <c r="U31" i="35"/>
  <c r="U30" i="35"/>
  <c r="U29" i="35"/>
  <c r="U28" i="35"/>
  <c r="U27" i="35"/>
  <c r="U26" i="35"/>
  <c r="U25" i="35"/>
  <c r="U24" i="35"/>
  <c r="U23" i="35"/>
  <c r="U22" i="35"/>
  <c r="U21" i="35"/>
  <c r="U20" i="35"/>
  <c r="U19" i="35"/>
  <c r="U18" i="35"/>
  <c r="U17" i="35"/>
  <c r="U16" i="35"/>
  <c r="U15" i="35"/>
  <c r="U14" i="35"/>
  <c r="F263" i="35"/>
  <c r="F262" i="35"/>
  <c r="F261" i="35"/>
  <c r="F260" i="35"/>
  <c r="F259" i="35"/>
  <c r="F258" i="35"/>
  <c r="F257" i="35"/>
  <c r="F256" i="35"/>
  <c r="F255" i="35"/>
  <c r="F254" i="35"/>
  <c r="F253" i="35"/>
  <c r="F252" i="35"/>
  <c r="F251" i="35"/>
  <c r="F250" i="35"/>
  <c r="F249" i="35"/>
  <c r="F248" i="35"/>
  <c r="F247" i="35"/>
  <c r="F246" i="35"/>
  <c r="F245" i="35"/>
  <c r="F244" i="35"/>
  <c r="F243" i="35"/>
  <c r="F242" i="35"/>
  <c r="F241" i="35"/>
  <c r="F240" i="35"/>
  <c r="F239" i="35"/>
  <c r="F238" i="35"/>
  <c r="F237" i="35"/>
  <c r="F236" i="35"/>
  <c r="F235" i="35"/>
  <c r="F234" i="35"/>
  <c r="F233" i="35"/>
  <c r="F232" i="35"/>
  <c r="F231" i="35"/>
  <c r="F230" i="35"/>
  <c r="F229" i="35"/>
  <c r="F228" i="35"/>
  <c r="F227" i="35"/>
  <c r="F226" i="35"/>
  <c r="F225" i="35"/>
  <c r="F224" i="35"/>
  <c r="F223" i="35"/>
  <c r="F222" i="35"/>
  <c r="F221" i="35"/>
  <c r="F220" i="35"/>
  <c r="F219" i="35"/>
  <c r="F218" i="35"/>
  <c r="F217" i="35"/>
  <c r="F216" i="35"/>
  <c r="F215" i="35"/>
  <c r="F214" i="35"/>
  <c r="F213" i="35"/>
  <c r="F212" i="35"/>
  <c r="F211" i="35"/>
  <c r="F210" i="35"/>
  <c r="F209" i="35"/>
  <c r="F208" i="35"/>
  <c r="F207" i="35"/>
  <c r="F206" i="35"/>
  <c r="F205" i="35"/>
  <c r="F204" i="35"/>
  <c r="F203" i="35"/>
  <c r="F202" i="35"/>
  <c r="F201" i="35"/>
  <c r="F200" i="35"/>
  <c r="F199" i="35"/>
  <c r="F198" i="35"/>
  <c r="F197" i="35"/>
  <c r="F196" i="35"/>
  <c r="F195" i="35"/>
  <c r="F194" i="35"/>
  <c r="F193" i="35"/>
  <c r="F192" i="35"/>
  <c r="F191" i="35"/>
  <c r="F190" i="35"/>
  <c r="F189" i="35"/>
  <c r="F188" i="35"/>
  <c r="F187" i="35"/>
  <c r="F186" i="35"/>
  <c r="F185" i="35"/>
  <c r="F184" i="35"/>
  <c r="F183" i="35"/>
  <c r="F182" i="35"/>
  <c r="F181" i="35"/>
  <c r="F180" i="35"/>
  <c r="F179" i="35"/>
  <c r="F178" i="35"/>
  <c r="F177" i="35"/>
  <c r="F176" i="35"/>
  <c r="F175" i="35"/>
  <c r="F174" i="35"/>
  <c r="F173" i="35"/>
  <c r="F172" i="35"/>
  <c r="F171" i="35"/>
  <c r="F170" i="35"/>
  <c r="F169" i="35"/>
  <c r="F168" i="35"/>
  <c r="F167" i="35"/>
  <c r="F166" i="35"/>
  <c r="F165" i="35"/>
  <c r="F164" i="35"/>
  <c r="F163" i="35"/>
  <c r="F162" i="35"/>
  <c r="F161" i="35"/>
  <c r="F160" i="35"/>
  <c r="F159" i="35"/>
  <c r="F158" i="35"/>
  <c r="F157" i="35"/>
  <c r="F156" i="35"/>
  <c r="F155" i="35"/>
  <c r="F154" i="35"/>
  <c r="F153" i="35"/>
  <c r="F152" i="35"/>
  <c r="F151" i="35"/>
  <c r="F150" i="35"/>
  <c r="F149" i="35"/>
  <c r="F148" i="35"/>
  <c r="F147" i="35"/>
  <c r="F146" i="35"/>
  <c r="F145" i="35"/>
  <c r="F144" i="35"/>
  <c r="F143" i="35"/>
  <c r="F142" i="35"/>
  <c r="F141" i="35"/>
  <c r="F140" i="35"/>
  <c r="F139" i="35"/>
  <c r="F138" i="35"/>
  <c r="F137" i="35"/>
  <c r="F136" i="35"/>
  <c r="F135" i="35"/>
  <c r="F134" i="35"/>
  <c r="F133" i="35"/>
  <c r="F132" i="35"/>
  <c r="F131" i="35"/>
  <c r="F130" i="35"/>
  <c r="F129" i="35"/>
  <c r="F128" i="35"/>
  <c r="F127" i="35"/>
  <c r="F126" i="35"/>
  <c r="F125" i="35"/>
  <c r="F124" i="35"/>
  <c r="F123" i="35"/>
  <c r="F122" i="35"/>
  <c r="F121" i="35"/>
  <c r="F120" i="35"/>
  <c r="F119" i="35"/>
  <c r="F118" i="35"/>
  <c r="F117" i="35"/>
  <c r="F116" i="35"/>
  <c r="F115" i="35"/>
  <c r="F114" i="35"/>
  <c r="F113" i="35"/>
  <c r="F112" i="35"/>
  <c r="F111" i="35"/>
  <c r="F110" i="35"/>
  <c r="F109" i="35"/>
  <c r="F108" i="35"/>
  <c r="F107" i="35"/>
  <c r="F106" i="35"/>
  <c r="F105" i="35"/>
  <c r="F104" i="35"/>
  <c r="F103" i="35"/>
  <c r="F102" i="35"/>
  <c r="F101" i="35"/>
  <c r="F100" i="35"/>
  <c r="F99" i="35"/>
  <c r="F98" i="35"/>
  <c r="F97" i="35"/>
  <c r="F96" i="35"/>
  <c r="F95" i="35"/>
  <c r="F94" i="35"/>
  <c r="F93" i="35"/>
  <c r="F92" i="35"/>
  <c r="F91" i="35"/>
  <c r="F90" i="35"/>
  <c r="F89" i="35"/>
  <c r="F88" i="35"/>
  <c r="F87" i="35"/>
  <c r="F86" i="35"/>
  <c r="F85" i="35"/>
  <c r="F84" i="35"/>
  <c r="F83" i="35"/>
  <c r="F82" i="35"/>
  <c r="F81" i="35"/>
  <c r="F80" i="35"/>
  <c r="F79" i="35"/>
  <c r="F78" i="35"/>
  <c r="F77" i="35"/>
  <c r="F76" i="35"/>
  <c r="F75" i="35"/>
  <c r="F74" i="35"/>
  <c r="F73" i="35"/>
  <c r="F72" i="35"/>
  <c r="F71" i="35"/>
  <c r="F70" i="35"/>
  <c r="F69" i="35"/>
  <c r="F68" i="35"/>
  <c r="F67" i="35"/>
  <c r="F66" i="35"/>
  <c r="F65" i="35"/>
  <c r="F64" i="35"/>
  <c r="F63" i="35"/>
  <c r="F62" i="35"/>
  <c r="F61" i="35"/>
  <c r="F60" i="35"/>
  <c r="F59" i="35"/>
  <c r="F58" i="35"/>
  <c r="F57" i="35"/>
  <c r="F56" i="35"/>
  <c r="F55" i="35"/>
  <c r="F54" i="35"/>
  <c r="F53" i="35"/>
  <c r="F52" i="35"/>
  <c r="F51" i="35"/>
  <c r="F50" i="35"/>
  <c r="F49" i="35"/>
  <c r="F48" i="35"/>
  <c r="F47" i="35"/>
  <c r="F46" i="35"/>
  <c r="F45" i="35"/>
  <c r="F44" i="35"/>
  <c r="F43" i="35"/>
  <c r="F42" i="35"/>
  <c r="F41" i="35"/>
  <c r="F40" i="35"/>
  <c r="F39" i="35"/>
  <c r="F38" i="35"/>
  <c r="F37" i="35"/>
  <c r="F36" i="35"/>
  <c r="F35" i="35"/>
  <c r="F34" i="35"/>
  <c r="F33" i="35"/>
  <c r="F32" i="35"/>
  <c r="F31" i="35"/>
  <c r="F30" i="35"/>
  <c r="F29" i="35"/>
  <c r="F28" i="35"/>
  <c r="F27" i="35"/>
  <c r="F26" i="35"/>
  <c r="F25" i="35"/>
  <c r="F24" i="35"/>
  <c r="F23" i="35"/>
  <c r="F22" i="35"/>
  <c r="F21" i="35"/>
  <c r="F20" i="35"/>
  <c r="F19" i="35"/>
  <c r="F18" i="35"/>
  <c r="F17" i="35"/>
  <c r="F16" i="35"/>
  <c r="F15" i="35"/>
  <c r="F14" i="35"/>
  <c r="H263" i="33"/>
  <c r="H262" i="33"/>
  <c r="H261" i="33"/>
  <c r="H260" i="33"/>
  <c r="H259" i="33"/>
  <c r="H258" i="33"/>
  <c r="H257" i="33"/>
  <c r="H256" i="33"/>
  <c r="H255" i="33"/>
  <c r="H254" i="33"/>
  <c r="H253" i="33"/>
  <c r="H252" i="33"/>
  <c r="H251" i="33"/>
  <c r="H250" i="33"/>
  <c r="H249" i="33"/>
  <c r="H248" i="33"/>
  <c r="H247" i="33"/>
  <c r="H246" i="33"/>
  <c r="H245" i="33"/>
  <c r="H244" i="33"/>
  <c r="H243" i="33"/>
  <c r="H242" i="33"/>
  <c r="H241" i="33"/>
  <c r="H240" i="33"/>
  <c r="H239" i="33"/>
  <c r="H238" i="33"/>
  <c r="H237" i="33"/>
  <c r="H236" i="33"/>
  <c r="H235" i="33"/>
  <c r="H234" i="33"/>
  <c r="H233" i="33"/>
  <c r="H232" i="33"/>
  <c r="H231" i="33"/>
  <c r="H230" i="33"/>
  <c r="H229" i="33"/>
  <c r="H228" i="33"/>
  <c r="H227" i="33"/>
  <c r="H226" i="33"/>
  <c r="H225" i="33"/>
  <c r="H224" i="33"/>
  <c r="H223" i="33"/>
  <c r="H222" i="33"/>
  <c r="H221" i="33"/>
  <c r="H220" i="33"/>
  <c r="H219" i="33"/>
  <c r="H218" i="33"/>
  <c r="H217" i="33"/>
  <c r="H216" i="33"/>
  <c r="H215" i="33"/>
  <c r="H214" i="33"/>
  <c r="H213" i="33"/>
  <c r="H212" i="33"/>
  <c r="H211" i="33"/>
  <c r="H210" i="33"/>
  <c r="H209" i="33"/>
  <c r="H208" i="33"/>
  <c r="H207" i="33"/>
  <c r="H206" i="33"/>
  <c r="H205" i="33"/>
  <c r="H204" i="33"/>
  <c r="H203" i="33"/>
  <c r="H202" i="33"/>
  <c r="H201" i="33"/>
  <c r="H200" i="33"/>
  <c r="H199" i="33"/>
  <c r="H198" i="33"/>
  <c r="H197" i="33"/>
  <c r="H196" i="33"/>
  <c r="H195" i="33"/>
  <c r="H194" i="33"/>
  <c r="H193" i="33"/>
  <c r="H192" i="33"/>
  <c r="H191" i="33"/>
  <c r="H190" i="33"/>
  <c r="H189" i="33"/>
  <c r="H188" i="33"/>
  <c r="H187" i="33"/>
  <c r="H186" i="33"/>
  <c r="H185" i="33"/>
  <c r="H184" i="33"/>
  <c r="H183" i="33"/>
  <c r="H182" i="33"/>
  <c r="H181" i="33"/>
  <c r="H180" i="33"/>
  <c r="H179" i="33"/>
  <c r="H178" i="33"/>
  <c r="H177" i="33"/>
  <c r="H176" i="33"/>
  <c r="H175" i="33"/>
  <c r="H174" i="33"/>
  <c r="H173" i="33"/>
  <c r="H172" i="33"/>
  <c r="H171" i="33"/>
  <c r="H170" i="33"/>
  <c r="H169" i="33"/>
  <c r="H168" i="33"/>
  <c r="H167" i="33"/>
  <c r="H166" i="33"/>
  <c r="H165" i="33"/>
  <c r="H164" i="33"/>
  <c r="H163" i="33"/>
  <c r="H162" i="33"/>
  <c r="H161" i="33"/>
  <c r="H160" i="33"/>
  <c r="H159" i="33"/>
  <c r="H158" i="33"/>
  <c r="H157" i="33"/>
  <c r="H156" i="33"/>
  <c r="H155" i="33"/>
  <c r="H154" i="33"/>
  <c r="H153" i="33"/>
  <c r="H152" i="33"/>
  <c r="H151" i="33"/>
  <c r="H150" i="33"/>
  <c r="H149" i="33"/>
  <c r="H148" i="33"/>
  <c r="H147" i="33"/>
  <c r="H146" i="33"/>
  <c r="H145" i="33"/>
  <c r="H144" i="33"/>
  <c r="H143" i="33"/>
  <c r="H142" i="33"/>
  <c r="H141" i="33"/>
  <c r="H140" i="33"/>
  <c r="H139" i="33"/>
  <c r="H138" i="33"/>
  <c r="H137" i="33"/>
  <c r="H136" i="33"/>
  <c r="H135" i="33"/>
  <c r="H134" i="33"/>
  <c r="H133" i="33"/>
  <c r="H132" i="33"/>
  <c r="H131" i="33"/>
  <c r="H130" i="33"/>
  <c r="H129" i="33"/>
  <c r="H128" i="33"/>
  <c r="H127" i="33"/>
  <c r="H126" i="33"/>
  <c r="H125" i="33"/>
  <c r="H124" i="33"/>
  <c r="H123" i="33"/>
  <c r="H122" i="33"/>
  <c r="H121" i="33"/>
  <c r="H120" i="33"/>
  <c r="H119" i="33"/>
  <c r="H118" i="33"/>
  <c r="H117" i="33"/>
  <c r="H116" i="33"/>
  <c r="H115" i="33"/>
  <c r="H114" i="33"/>
  <c r="H113" i="33"/>
  <c r="H112" i="33"/>
  <c r="H111" i="33"/>
  <c r="H110" i="33"/>
  <c r="H109" i="33"/>
  <c r="H108" i="33"/>
  <c r="H107" i="33"/>
  <c r="H106" i="33"/>
  <c r="H105" i="33"/>
  <c r="H104" i="33"/>
  <c r="H103" i="33"/>
  <c r="H102" i="33"/>
  <c r="H101" i="33"/>
  <c r="H100" i="33"/>
  <c r="H99" i="33"/>
  <c r="H98" i="33"/>
  <c r="H97" i="33"/>
  <c r="H96" i="33"/>
  <c r="H95" i="33"/>
  <c r="H94" i="33"/>
  <c r="H93" i="33"/>
  <c r="H92" i="33"/>
  <c r="H91" i="33"/>
  <c r="H90" i="33"/>
  <c r="H89" i="33"/>
  <c r="H88" i="33"/>
  <c r="H87" i="33"/>
  <c r="H86" i="33"/>
  <c r="H85" i="33"/>
  <c r="H84" i="33"/>
  <c r="H83" i="33"/>
  <c r="H82" i="33"/>
  <c r="H81" i="33"/>
  <c r="H80" i="33"/>
  <c r="H79" i="33"/>
  <c r="H78" i="33"/>
  <c r="H77" i="33"/>
  <c r="H76" i="33"/>
  <c r="H75" i="33"/>
  <c r="H74" i="33"/>
  <c r="H73" i="33"/>
  <c r="H72" i="33"/>
  <c r="H71" i="33"/>
  <c r="H70" i="33"/>
  <c r="H69" i="33"/>
  <c r="H68" i="33"/>
  <c r="H67" i="33"/>
  <c r="H66" i="33"/>
  <c r="H65" i="33"/>
  <c r="H64" i="33"/>
  <c r="H63" i="33"/>
  <c r="H62" i="33"/>
  <c r="H61" i="33"/>
  <c r="H60" i="33"/>
  <c r="H59" i="33"/>
  <c r="H58" i="33"/>
  <c r="H57" i="33"/>
  <c r="H56" i="33"/>
  <c r="H55" i="33"/>
  <c r="H54" i="33"/>
  <c r="H53" i="33"/>
  <c r="H52" i="33"/>
  <c r="H51" i="33"/>
  <c r="H50" i="33"/>
  <c r="H49" i="33"/>
  <c r="H48" i="33"/>
  <c r="H47" i="33"/>
  <c r="H46" i="33"/>
  <c r="H45" i="33"/>
  <c r="H44" i="33"/>
  <c r="H43" i="33"/>
  <c r="H42" i="33"/>
  <c r="H41" i="33"/>
  <c r="H40" i="33"/>
  <c r="H39" i="33"/>
  <c r="H38" i="33"/>
  <c r="H37" i="33"/>
  <c r="H36" i="33"/>
  <c r="H35" i="33"/>
  <c r="H34" i="33"/>
  <c r="H33" i="33"/>
  <c r="H32" i="33"/>
  <c r="H31" i="33"/>
  <c r="H30" i="33"/>
  <c r="H29" i="33"/>
  <c r="H28" i="33"/>
  <c r="H27" i="33"/>
  <c r="H26" i="33"/>
  <c r="H25" i="33"/>
  <c r="H24" i="33"/>
  <c r="H23" i="33"/>
  <c r="H22" i="33"/>
  <c r="H21" i="33"/>
  <c r="H20" i="33"/>
  <c r="H19" i="33"/>
  <c r="H18" i="33"/>
  <c r="H17" i="33"/>
  <c r="H16" i="33"/>
  <c r="H15" i="33"/>
  <c r="H14" i="33"/>
  <c r="J1783" i="39" l="1"/>
  <c r="A8" i="39"/>
  <c r="S6" i="3"/>
  <c r="A51" i="39" s="1"/>
  <c r="P17" i="1"/>
  <c r="P16" i="1" s="1"/>
  <c r="I17" i="1"/>
  <c r="I16" i="1" s="1"/>
  <c r="P7" i="39"/>
  <c r="J607" i="39" l="1"/>
  <c r="J591" i="39"/>
  <c r="J585" i="39"/>
  <c r="J776" i="39" l="1"/>
  <c r="J774" i="39"/>
  <c r="J773" i="39"/>
  <c r="J772" i="39"/>
  <c r="J771" i="39"/>
  <c r="J770" i="39"/>
  <c r="J768" i="39"/>
  <c r="J767" i="39"/>
  <c r="J766" i="39"/>
  <c r="J765" i="39"/>
  <c r="J764" i="39"/>
  <c r="J763" i="39"/>
  <c r="J762" i="39"/>
  <c r="J760" i="39"/>
  <c r="J759" i="39"/>
  <c r="J758" i="39"/>
  <c r="J757" i="39"/>
  <c r="J756" i="39"/>
  <c r="J755" i="39"/>
  <c r="J754" i="39"/>
  <c r="J753" i="39"/>
  <c r="J752" i="39"/>
  <c r="J751" i="39"/>
  <c r="J750" i="39"/>
  <c r="J749" i="39"/>
  <c r="J748" i="39"/>
  <c r="J747" i="39"/>
  <c r="J746" i="39"/>
  <c r="J745" i="39"/>
  <c r="J744" i="39"/>
  <c r="J743" i="39"/>
  <c r="J742" i="39"/>
  <c r="J741" i="39"/>
  <c r="J740" i="39"/>
  <c r="J739" i="39"/>
  <c r="J738" i="39"/>
  <c r="J737" i="39"/>
  <c r="J736" i="39"/>
  <c r="J735" i="39"/>
  <c r="J734" i="39"/>
  <c r="J733" i="39"/>
  <c r="J732" i="39"/>
  <c r="J731" i="39"/>
  <c r="J730" i="39"/>
  <c r="J729" i="39"/>
  <c r="J728" i="39"/>
  <c r="J727" i="39"/>
  <c r="J726" i="39"/>
  <c r="J725" i="39"/>
  <c r="J724" i="39"/>
  <c r="J723" i="39"/>
  <c r="J722" i="39"/>
  <c r="J721" i="39"/>
  <c r="J720" i="39"/>
  <c r="J719" i="39"/>
  <c r="J713" i="39"/>
  <c r="J718" i="39"/>
  <c r="J717" i="39"/>
  <c r="J716" i="39"/>
  <c r="J715" i="39"/>
  <c r="J714" i="39"/>
  <c r="J712" i="39"/>
  <c r="J711" i="39"/>
  <c r="J710" i="39"/>
  <c r="J709" i="39"/>
  <c r="J708" i="39"/>
  <c r="J707" i="39"/>
  <c r="J706" i="39"/>
  <c r="J705" i="39"/>
  <c r="J704" i="39"/>
  <c r="J703" i="39"/>
  <c r="J702" i="39"/>
  <c r="J701" i="39"/>
  <c r="J700" i="39"/>
  <c r="J699" i="39"/>
  <c r="J698" i="39"/>
  <c r="J697" i="39"/>
  <c r="J696" i="39"/>
  <c r="J695" i="39"/>
  <c r="J694" i="39"/>
  <c r="J693" i="39"/>
  <c r="J692" i="39"/>
  <c r="J691" i="39"/>
  <c r="J690" i="39"/>
  <c r="J689" i="39"/>
  <c r="J688" i="39"/>
  <c r="J687" i="39"/>
  <c r="J686" i="39"/>
  <c r="J685" i="39"/>
  <c r="J684" i="39"/>
  <c r="J683" i="39"/>
  <c r="J682" i="39"/>
  <c r="J681" i="39"/>
  <c r="J680" i="39"/>
  <c r="J679" i="39"/>
  <c r="J678" i="39"/>
  <c r="J677" i="39"/>
  <c r="J676" i="39"/>
  <c r="J675" i="39"/>
  <c r="J674" i="39"/>
  <c r="J673" i="39"/>
  <c r="J672" i="39"/>
  <c r="J671" i="39"/>
  <c r="J670" i="39"/>
  <c r="J669" i="39"/>
  <c r="J663" i="39"/>
  <c r="J651" i="39"/>
  <c r="J640" i="39"/>
  <c r="J619" i="39"/>
  <c r="J668" i="39"/>
  <c r="J667" i="39"/>
  <c r="J666" i="39"/>
  <c r="J665" i="39"/>
  <c r="J664" i="39"/>
  <c r="J662" i="39"/>
  <c r="J661" i="39"/>
  <c r="J660" i="39"/>
  <c r="J659" i="39"/>
  <c r="J658" i="39"/>
  <c r="J657" i="39"/>
  <c r="J656" i="39"/>
  <c r="J655" i="39"/>
  <c r="J654" i="39"/>
  <c r="J653" i="39"/>
  <c r="J652" i="39"/>
  <c r="J650" i="39"/>
  <c r="J649" i="39"/>
  <c r="J648" i="39"/>
  <c r="J647" i="39"/>
  <c r="J646" i="39"/>
  <c r="J645" i="39"/>
  <c r="J644" i="39"/>
  <c r="J643" i="39"/>
  <c r="J642" i="39"/>
  <c r="J641" i="39"/>
  <c r="J639" i="39"/>
  <c r="J638" i="39"/>
  <c r="J637" i="39"/>
  <c r="J636" i="39"/>
  <c r="J635" i="39"/>
  <c r="J634" i="39"/>
  <c r="J633" i="39"/>
  <c r="J632" i="39"/>
  <c r="J631" i="39"/>
  <c r="J630" i="39"/>
  <c r="J629" i="39"/>
  <c r="J628" i="39"/>
  <c r="J627" i="39"/>
  <c r="J626" i="39"/>
  <c r="J625" i="39"/>
  <c r="J624" i="39"/>
  <c r="J623" i="39"/>
  <c r="J622" i="39"/>
  <c r="J621" i="39"/>
  <c r="J620" i="39"/>
  <c r="J618" i="39"/>
  <c r="J617" i="39"/>
  <c r="J616" i="39"/>
  <c r="J615" i="39"/>
  <c r="J614" i="39"/>
  <c r="J613" i="39"/>
  <c r="J612" i="39"/>
  <c r="J611" i="39"/>
  <c r="J610" i="39"/>
  <c r="J609" i="39"/>
  <c r="J608" i="39"/>
  <c r="J606" i="39"/>
  <c r="J605" i="39"/>
  <c r="J604" i="39"/>
  <c r="J603" i="39"/>
  <c r="J602" i="39"/>
  <c r="J601" i="39"/>
  <c r="J600" i="39"/>
  <c r="J599" i="39"/>
  <c r="J598" i="39"/>
  <c r="J597" i="39"/>
  <c r="J596" i="39"/>
  <c r="J595" i="39"/>
  <c r="J594" i="39"/>
  <c r="J593" i="39"/>
  <c r="J592" i="39"/>
  <c r="J590" i="39"/>
  <c r="J589" i="39"/>
  <c r="J588" i="39"/>
  <c r="J587" i="39"/>
  <c r="J586" i="39"/>
  <c r="J575" i="39"/>
  <c r="J584" i="39"/>
  <c r="J583" i="39"/>
  <c r="J582" i="39"/>
  <c r="J581" i="39"/>
  <c r="J580" i="39"/>
  <c r="J579" i="39"/>
  <c r="J578" i="39"/>
  <c r="J577" i="39"/>
  <c r="J576" i="39"/>
  <c r="J574" i="39"/>
  <c r="J573" i="39"/>
  <c r="J572" i="39"/>
  <c r="J571" i="39"/>
  <c r="J570" i="39"/>
  <c r="J569" i="39"/>
  <c r="J568" i="39"/>
  <c r="J567" i="39"/>
  <c r="J566" i="39"/>
  <c r="J565" i="39"/>
  <c r="J564" i="39"/>
  <c r="J563" i="39"/>
  <c r="J562" i="39"/>
  <c r="J561" i="39"/>
  <c r="J560" i="39"/>
  <c r="J559" i="39"/>
  <c r="J558" i="39"/>
  <c r="J557" i="39"/>
  <c r="J556" i="39"/>
  <c r="J555" i="39"/>
  <c r="J554" i="39"/>
  <c r="J553" i="39"/>
  <c r="J552" i="39"/>
  <c r="J551" i="39"/>
  <c r="J550" i="39"/>
  <c r="J549" i="39"/>
  <c r="J548" i="39"/>
  <c r="J547" i="39"/>
  <c r="J546" i="39"/>
  <c r="J545" i="39"/>
  <c r="J544" i="39"/>
  <c r="J543" i="39"/>
  <c r="J542" i="39"/>
  <c r="J541" i="39"/>
  <c r="J540" i="39"/>
  <c r="J539" i="39"/>
  <c r="J538" i="39"/>
  <c r="J537" i="39"/>
  <c r="J536" i="39"/>
  <c r="J535" i="39"/>
  <c r="J534" i="39"/>
  <c r="J533" i="39"/>
  <c r="J532" i="39"/>
  <c r="J531" i="39"/>
  <c r="J530" i="39"/>
  <c r="J529" i="39"/>
  <c r="J528" i="39"/>
  <c r="J527" i="39"/>
  <c r="J526" i="39"/>
  <c r="J525" i="39"/>
  <c r="J524" i="39"/>
  <c r="J523" i="39"/>
  <c r="J522" i="39"/>
  <c r="J521" i="39"/>
  <c r="G576" i="39"/>
  <c r="G567" i="39"/>
  <c r="G600" i="39"/>
  <c r="G591" i="39"/>
  <c r="G586" i="39"/>
  <c r="G755" i="39"/>
  <c r="G749" i="39"/>
  <c r="G743" i="39"/>
  <c r="G735" i="39"/>
  <c r="G760" i="39"/>
  <c r="G759" i="39"/>
  <c r="G758" i="39"/>
  <c r="G757" i="39"/>
  <c r="G756" i="39"/>
  <c r="G754" i="39"/>
  <c r="G753" i="39"/>
  <c r="G752" i="39"/>
  <c r="G751" i="39"/>
  <c r="G750" i="39"/>
  <c r="G748" i="39"/>
  <c r="G747" i="39"/>
  <c r="G746" i="39"/>
  <c r="G745" i="39"/>
  <c r="G744" i="39"/>
  <c r="G742" i="39"/>
  <c r="G741" i="39"/>
  <c r="G740" i="39"/>
  <c r="G739" i="39"/>
  <c r="G738" i="39"/>
  <c r="G737" i="39"/>
  <c r="G736" i="39"/>
  <c r="G734" i="39"/>
  <c r="G733" i="39"/>
  <c r="G732" i="39"/>
  <c r="G731" i="39"/>
  <c r="G730" i="39"/>
  <c r="G729" i="39"/>
  <c r="G728" i="39"/>
  <c r="G727" i="39"/>
  <c r="G726" i="39"/>
  <c r="G725" i="39"/>
  <c r="G724" i="39"/>
  <c r="G723" i="39"/>
  <c r="G722" i="39"/>
  <c r="G721" i="39"/>
  <c r="G720" i="39"/>
  <c r="G719" i="39"/>
  <c r="G718" i="39"/>
  <c r="G717" i="39"/>
  <c r="G716" i="39"/>
  <c r="G715" i="39"/>
  <c r="G714" i="39"/>
  <c r="G713" i="39"/>
  <c r="G712" i="39"/>
  <c r="G711" i="39"/>
  <c r="G710" i="39"/>
  <c r="G709" i="39"/>
  <c r="G708" i="39"/>
  <c r="G707" i="39"/>
  <c r="G706" i="39"/>
  <c r="G705" i="39"/>
  <c r="G704" i="39"/>
  <c r="G703" i="39"/>
  <c r="G702" i="39"/>
  <c r="G701" i="39"/>
  <c r="G700" i="39"/>
  <c r="G699" i="39"/>
  <c r="G698" i="39"/>
  <c r="G697" i="39"/>
  <c r="G696" i="39"/>
  <c r="G695" i="39"/>
  <c r="G694" i="39"/>
  <c r="G693" i="39"/>
  <c r="G692" i="39"/>
  <c r="G691" i="39"/>
  <c r="G690" i="39"/>
  <c r="G689" i="39"/>
  <c r="G688" i="39"/>
  <c r="G687" i="39"/>
  <c r="G686" i="39"/>
  <c r="G683" i="39"/>
  <c r="G680" i="39"/>
  <c r="G674" i="39"/>
  <c r="G669" i="39"/>
  <c r="G662" i="39"/>
  <c r="G655" i="39"/>
  <c r="G648" i="39"/>
  <c r="G632" i="39"/>
  <c r="G620" i="39"/>
  <c r="G685" i="39"/>
  <c r="G684" i="39"/>
  <c r="G682" i="39"/>
  <c r="G681" i="39"/>
  <c r="G679" i="39"/>
  <c r="G678" i="39"/>
  <c r="G677" i="39"/>
  <c r="G676" i="39"/>
  <c r="G675" i="39"/>
  <c r="G673" i="39"/>
  <c r="G672" i="39"/>
  <c r="G671" i="39"/>
  <c r="G670" i="39"/>
  <c r="G668" i="39"/>
  <c r="G667" i="39"/>
  <c r="G666" i="39"/>
  <c r="G665" i="39"/>
  <c r="G664" i="39"/>
  <c r="G663" i="39"/>
  <c r="G661" i="39"/>
  <c r="G660" i="39"/>
  <c r="G659" i="39"/>
  <c r="G658" i="39"/>
  <c r="G657" i="39"/>
  <c r="G656" i="39"/>
  <c r="G654" i="39"/>
  <c r="G653" i="39"/>
  <c r="G652" i="39"/>
  <c r="G651" i="39"/>
  <c r="G650" i="39"/>
  <c r="G649" i="39"/>
  <c r="G647" i="39"/>
  <c r="G646" i="39"/>
  <c r="G645" i="39"/>
  <c r="G644" i="39"/>
  <c r="G643" i="39"/>
  <c r="G642" i="39"/>
  <c r="G641" i="39"/>
  <c r="G640" i="39"/>
  <c r="G639" i="39"/>
  <c r="G638" i="39"/>
  <c r="G637" i="39"/>
  <c r="G636" i="39"/>
  <c r="G635" i="39"/>
  <c r="G634" i="39"/>
  <c r="G633" i="39"/>
  <c r="G631" i="39"/>
  <c r="G630" i="39"/>
  <c r="G629" i="39"/>
  <c r="G628" i="39"/>
  <c r="G627" i="39"/>
  <c r="G626" i="39"/>
  <c r="G625" i="39"/>
  <c r="G624" i="39"/>
  <c r="G623" i="39"/>
  <c r="G622" i="39"/>
  <c r="G621" i="39"/>
  <c r="G619" i="39"/>
  <c r="G618" i="39"/>
  <c r="G617" i="39"/>
  <c r="G616" i="39"/>
  <c r="G615" i="39"/>
  <c r="G614" i="39"/>
  <c r="G613" i="39"/>
  <c r="G612" i="39"/>
  <c r="G611" i="39"/>
  <c r="G610" i="39"/>
  <c r="G609" i="39"/>
  <c r="G608" i="39"/>
  <c r="G607" i="39"/>
  <c r="G606" i="39"/>
  <c r="G605" i="39"/>
  <c r="G604" i="39"/>
  <c r="G603" i="39"/>
  <c r="G602" i="39"/>
  <c r="G601" i="39"/>
  <c r="G599" i="39"/>
  <c r="G598" i="39"/>
  <c r="G597" i="39"/>
  <c r="G596" i="39"/>
  <c r="G595" i="39"/>
  <c r="G594" i="39"/>
  <c r="G593" i="39"/>
  <c r="G592" i="39"/>
  <c r="G590" i="39"/>
  <c r="G589" i="39"/>
  <c r="G588" i="39"/>
  <c r="G587" i="39"/>
  <c r="G585" i="39"/>
  <c r="G584" i="39"/>
  <c r="G583" i="39"/>
  <c r="G582" i="39"/>
  <c r="G581" i="39"/>
  <c r="G580" i="39"/>
  <c r="G579" i="39"/>
  <c r="G578" i="39"/>
  <c r="G577" i="39"/>
  <c r="G575" i="39"/>
  <c r="G574" i="39"/>
  <c r="G573" i="39"/>
  <c r="G572" i="39"/>
  <c r="G571" i="39"/>
  <c r="G570" i="39"/>
  <c r="G569" i="39"/>
  <c r="G568" i="39"/>
  <c r="G566" i="39"/>
  <c r="G565" i="39"/>
  <c r="G564" i="39"/>
  <c r="G563" i="39"/>
  <c r="G562" i="39"/>
  <c r="G561" i="39"/>
  <c r="G560" i="39"/>
  <c r="G559" i="39"/>
  <c r="G558" i="39"/>
  <c r="G557" i="39"/>
  <c r="G556" i="39"/>
  <c r="G555" i="39"/>
  <c r="G554" i="39"/>
  <c r="G553" i="39"/>
  <c r="G552" i="39"/>
  <c r="G551" i="39"/>
  <c r="G550" i="39"/>
  <c r="G549" i="39"/>
  <c r="G548" i="39"/>
  <c r="G547" i="39"/>
  <c r="G546" i="39"/>
  <c r="G545" i="39"/>
  <c r="G544" i="39"/>
  <c r="G543" i="39"/>
  <c r="G542" i="39"/>
  <c r="G541" i="39"/>
  <c r="G540" i="39"/>
  <c r="G539" i="39"/>
  <c r="G538" i="39"/>
  <c r="G537" i="39"/>
  <c r="G536" i="39"/>
  <c r="G535" i="39"/>
  <c r="G534" i="39"/>
  <c r="G533" i="39"/>
  <c r="G532" i="39"/>
  <c r="G531" i="39"/>
  <c r="G530" i="39"/>
  <c r="G529" i="39"/>
  <c r="G528" i="39"/>
  <c r="G527" i="39"/>
  <c r="G526" i="39"/>
  <c r="G525" i="39"/>
  <c r="G524" i="39"/>
  <c r="G523" i="39"/>
  <c r="G522" i="39"/>
  <c r="G521" i="39"/>
  <c r="G520" i="39"/>
  <c r="G519" i="39"/>
  <c r="G518" i="39"/>
  <c r="G517" i="39"/>
  <c r="G516" i="39"/>
  <c r="G515" i="39"/>
  <c r="G514" i="39"/>
  <c r="J520" i="39"/>
  <c r="J519" i="39"/>
  <c r="J518" i="39"/>
  <c r="J517" i="39"/>
  <c r="J516" i="39"/>
  <c r="J515" i="39"/>
  <c r="J514" i="39"/>
  <c r="J513" i="39"/>
  <c r="J512" i="39"/>
  <c r="G513" i="39"/>
  <c r="G512" i="39"/>
  <c r="G511" i="39"/>
  <c r="J5" i="39"/>
  <c r="K1" i="39" s="1"/>
  <c r="J7" i="39"/>
  <c r="J8" i="39"/>
  <c r="J511" i="39"/>
  <c r="J510" i="39"/>
  <c r="J509" i="39"/>
  <c r="J508" i="39"/>
  <c r="G510" i="39"/>
  <c r="G509" i="39"/>
  <c r="G508" i="39"/>
  <c r="K1509" i="39" l="1"/>
  <c r="K1510" i="39"/>
  <c r="K1511" i="39"/>
  <c r="K1512" i="39"/>
  <c r="K1513" i="39"/>
  <c r="K1514" i="39"/>
  <c r="K1515" i="39"/>
  <c r="K1516" i="39"/>
  <c r="K1517" i="39"/>
  <c r="K1518" i="39"/>
  <c r="K1519" i="39"/>
  <c r="K1520" i="39"/>
  <c r="K1521" i="39"/>
  <c r="K1522" i="39"/>
  <c r="K1523" i="39"/>
  <c r="K1524" i="39"/>
  <c r="K1525" i="39"/>
  <c r="K1526" i="39"/>
  <c r="K1527" i="39"/>
  <c r="K1528" i="39"/>
  <c r="K1529" i="39"/>
  <c r="K1530" i="39"/>
  <c r="K1531" i="39"/>
  <c r="K1532" i="39"/>
  <c r="K1533" i="39"/>
  <c r="K1534" i="39"/>
  <c r="K1535" i="39"/>
  <c r="K1536" i="39"/>
  <c r="K1537" i="39"/>
  <c r="K1538" i="39"/>
  <c r="K1539" i="39"/>
  <c r="K1540" i="39"/>
  <c r="K1541" i="39"/>
  <c r="K1542" i="39"/>
  <c r="K1543" i="39"/>
  <c r="K1544" i="39"/>
  <c r="K1545" i="39"/>
  <c r="K1546" i="39"/>
  <c r="K1547" i="39"/>
  <c r="K1548" i="39"/>
  <c r="K1549" i="39"/>
  <c r="K1550" i="39"/>
  <c r="K1551" i="39"/>
  <c r="K1552" i="39"/>
  <c r="K1553" i="39"/>
  <c r="K1554" i="39"/>
  <c r="K1555" i="39"/>
  <c r="K1556" i="39"/>
  <c r="K1557" i="39"/>
  <c r="K1558" i="39"/>
  <c r="K1559" i="39"/>
  <c r="K1560" i="39"/>
  <c r="K1561" i="39"/>
  <c r="K1562" i="39"/>
  <c r="K1563" i="39"/>
  <c r="K1564" i="39"/>
  <c r="K1565" i="39"/>
  <c r="K1566" i="39"/>
  <c r="K1567" i="39"/>
  <c r="K1568" i="39"/>
  <c r="K1569" i="39"/>
  <c r="K1570" i="39"/>
  <c r="K1571" i="39"/>
  <c r="K1572" i="39"/>
  <c r="K1573" i="39"/>
  <c r="K1574" i="39"/>
  <c r="K1575" i="39"/>
  <c r="K1576" i="39"/>
  <c r="K1577" i="39"/>
  <c r="K1578" i="39"/>
  <c r="K1579" i="39"/>
  <c r="K1580" i="39"/>
  <c r="K1581" i="39"/>
  <c r="K1582" i="39"/>
  <c r="K1583" i="39"/>
  <c r="K1584" i="39"/>
  <c r="K1585" i="39"/>
  <c r="K1586" i="39"/>
  <c r="K1587" i="39"/>
  <c r="K1588" i="39"/>
  <c r="K1589" i="39"/>
  <c r="K1590" i="39"/>
  <c r="K1591" i="39"/>
  <c r="K1592" i="39"/>
  <c r="K1593" i="39"/>
  <c r="K1594" i="39"/>
  <c r="K1595" i="39"/>
  <c r="K1596" i="39"/>
  <c r="K1597" i="39"/>
  <c r="K1598" i="39"/>
  <c r="K1599" i="39"/>
  <c r="K1600" i="39"/>
  <c r="K1601" i="39"/>
  <c r="K1602" i="39"/>
  <c r="K1603" i="39"/>
  <c r="K1604" i="39"/>
  <c r="K1605" i="39"/>
  <c r="K1606" i="39"/>
  <c r="K1607" i="39"/>
  <c r="K1608" i="39"/>
  <c r="K1609" i="39"/>
  <c r="K1610" i="39"/>
  <c r="K1611" i="39"/>
  <c r="K1612" i="39"/>
  <c r="K1613" i="39"/>
  <c r="K1614" i="39"/>
  <c r="K1615" i="39"/>
  <c r="K1616" i="39"/>
  <c r="K1617" i="39"/>
  <c r="K1618" i="39"/>
  <c r="K1619" i="39"/>
  <c r="K1620" i="39"/>
  <c r="K1621" i="39"/>
  <c r="K1622" i="39"/>
  <c r="K1623" i="39"/>
  <c r="K1624" i="39"/>
  <c r="K1625" i="39"/>
  <c r="K1626" i="39"/>
  <c r="K1627" i="39"/>
  <c r="K1628" i="39"/>
  <c r="K1629" i="39"/>
  <c r="K1630" i="39"/>
  <c r="K1631" i="39"/>
  <c r="K1632" i="39"/>
  <c r="K1633" i="39"/>
  <c r="K1634" i="39"/>
  <c r="K1635" i="39"/>
  <c r="K1636" i="39"/>
  <c r="K1637" i="39"/>
  <c r="K1638" i="39"/>
  <c r="K1639" i="39"/>
  <c r="K1640" i="39"/>
  <c r="K1641" i="39"/>
  <c r="K1642" i="39"/>
  <c r="K1643" i="39"/>
  <c r="K1644" i="39"/>
  <c r="K1645" i="39"/>
  <c r="K1646" i="39"/>
  <c r="K1647" i="39"/>
  <c r="K1648" i="39"/>
  <c r="K1649" i="39"/>
  <c r="K1650" i="39"/>
  <c r="K1651" i="39"/>
  <c r="K1652" i="39"/>
  <c r="K1653" i="39"/>
  <c r="K1654" i="39"/>
  <c r="K1655" i="39"/>
  <c r="K1656" i="39"/>
  <c r="K1657" i="39"/>
  <c r="K1658" i="39"/>
  <c r="K1659" i="39"/>
  <c r="K1660" i="39"/>
  <c r="K1661" i="39"/>
  <c r="K1662" i="39"/>
  <c r="K1663" i="39"/>
  <c r="K1664" i="39"/>
  <c r="K1665" i="39"/>
  <c r="K1666" i="39"/>
  <c r="K1667" i="39"/>
  <c r="K1668" i="39"/>
  <c r="K1669" i="39"/>
  <c r="K1670" i="39"/>
  <c r="K1671" i="39"/>
  <c r="K1672" i="39"/>
  <c r="K1673" i="39"/>
  <c r="K1674" i="39"/>
  <c r="K1675" i="39"/>
  <c r="K1676" i="39"/>
  <c r="K1677" i="39"/>
  <c r="K1678" i="39"/>
  <c r="K1679" i="39"/>
  <c r="K1680" i="39"/>
  <c r="K1681" i="39"/>
  <c r="K1682" i="39"/>
  <c r="K1683" i="39"/>
  <c r="K1684" i="39"/>
  <c r="K1685" i="39"/>
  <c r="K1686" i="39"/>
  <c r="K1687" i="39"/>
  <c r="K1688" i="39"/>
  <c r="K1689" i="39"/>
  <c r="K1690" i="39"/>
  <c r="K1691" i="39"/>
  <c r="K1692" i="39"/>
  <c r="K1693" i="39"/>
  <c r="K1694" i="39"/>
  <c r="K1695" i="39"/>
  <c r="K1696" i="39"/>
  <c r="K1697" i="39"/>
  <c r="K1698" i="39"/>
  <c r="K1699" i="39"/>
  <c r="K1700" i="39"/>
  <c r="K1701" i="39"/>
  <c r="K1702" i="39"/>
  <c r="K1703" i="39"/>
  <c r="K1704" i="39"/>
  <c r="K1705" i="39"/>
  <c r="K1706" i="39"/>
  <c r="K1707" i="39"/>
  <c r="K1708" i="39"/>
  <c r="K1709" i="39"/>
  <c r="K1710" i="39"/>
  <c r="K1711" i="39"/>
  <c r="K1712" i="39"/>
  <c r="K1713" i="39"/>
  <c r="K1714" i="39"/>
  <c r="K1715" i="39"/>
  <c r="K1716" i="39"/>
  <c r="K1717" i="39"/>
  <c r="K1718" i="39"/>
  <c r="K1719" i="39"/>
  <c r="K1720" i="39"/>
  <c r="K1721" i="39"/>
  <c r="K1722" i="39"/>
  <c r="K1723" i="39"/>
  <c r="K1724" i="39"/>
  <c r="K1725" i="39"/>
  <c r="K1726" i="39"/>
  <c r="K1727" i="39"/>
  <c r="K1728" i="39"/>
  <c r="K1729" i="39"/>
  <c r="K1730" i="39"/>
  <c r="K1731" i="39"/>
  <c r="K1732" i="39"/>
  <c r="K1733" i="39"/>
  <c r="K1734" i="39"/>
  <c r="K1735" i="39"/>
  <c r="K1736" i="39"/>
  <c r="K1737" i="39"/>
  <c r="K1738" i="39"/>
  <c r="K1739" i="39"/>
  <c r="K1740" i="39"/>
  <c r="K1741" i="39"/>
  <c r="K1742" i="39"/>
  <c r="K1743" i="39"/>
  <c r="K1744" i="39"/>
  <c r="K1745" i="39"/>
  <c r="K1746" i="39"/>
  <c r="K1747" i="39"/>
  <c r="K1748" i="39"/>
  <c r="K1749" i="39"/>
  <c r="K1750" i="39"/>
  <c r="K1751" i="39"/>
  <c r="K1752" i="39"/>
  <c r="K1753" i="39"/>
  <c r="K1754" i="39"/>
  <c r="K1755" i="39"/>
  <c r="K1756" i="39"/>
  <c r="K1757" i="39"/>
  <c r="K1508" i="39"/>
  <c r="K1009" i="39"/>
  <c r="K1010" i="39"/>
  <c r="K1011" i="39"/>
  <c r="K1012" i="39"/>
  <c r="K1013" i="39"/>
  <c r="K1014" i="39"/>
  <c r="K1015" i="39"/>
  <c r="K1016" i="39"/>
  <c r="K1017" i="39"/>
  <c r="K1018" i="39"/>
  <c r="K1019" i="39"/>
  <c r="K1020" i="39"/>
  <c r="K1021" i="39"/>
  <c r="K1022" i="39"/>
  <c r="K1023" i="39"/>
  <c r="K1024" i="39"/>
  <c r="K1025" i="39"/>
  <c r="K1026" i="39"/>
  <c r="K1027" i="39"/>
  <c r="K1028" i="39"/>
  <c r="K1029" i="39"/>
  <c r="K1030" i="39"/>
  <c r="K1031" i="39"/>
  <c r="K1032" i="39"/>
  <c r="K1033" i="39"/>
  <c r="K1034" i="39"/>
  <c r="K1035" i="39"/>
  <c r="K1036" i="39"/>
  <c r="K1037" i="39"/>
  <c r="K1038" i="39"/>
  <c r="K1039" i="39"/>
  <c r="K1040" i="39"/>
  <c r="K1041" i="39"/>
  <c r="K1042" i="39"/>
  <c r="K1043" i="39"/>
  <c r="K1044" i="39"/>
  <c r="K1045" i="39"/>
  <c r="K1046" i="39"/>
  <c r="K1047" i="39"/>
  <c r="K1048" i="39"/>
  <c r="K1049" i="39"/>
  <c r="K1050" i="39"/>
  <c r="K1051" i="39"/>
  <c r="K1052" i="39"/>
  <c r="K1053" i="39"/>
  <c r="K1054" i="39"/>
  <c r="K1055" i="39"/>
  <c r="K1056" i="39"/>
  <c r="K1057" i="39"/>
  <c r="K1058" i="39"/>
  <c r="K1059" i="39"/>
  <c r="K1060" i="39"/>
  <c r="K1061" i="39"/>
  <c r="K1062" i="39"/>
  <c r="K1063" i="39"/>
  <c r="K1064" i="39"/>
  <c r="K1065" i="39"/>
  <c r="K1066" i="39"/>
  <c r="K1067" i="39"/>
  <c r="K1068" i="39"/>
  <c r="K1069" i="39"/>
  <c r="K1070" i="39"/>
  <c r="K1071" i="39"/>
  <c r="K1072" i="39"/>
  <c r="K1073" i="39"/>
  <c r="K1074" i="39"/>
  <c r="K1075" i="39"/>
  <c r="K1076" i="39"/>
  <c r="K1077" i="39"/>
  <c r="K1078" i="39"/>
  <c r="K1079" i="39"/>
  <c r="K1080" i="39"/>
  <c r="K1081" i="39"/>
  <c r="K1082" i="39"/>
  <c r="K1083" i="39"/>
  <c r="K1084" i="39"/>
  <c r="K1085" i="39"/>
  <c r="K1086" i="39"/>
  <c r="K1087" i="39"/>
  <c r="K1088" i="39"/>
  <c r="K1089" i="39"/>
  <c r="K1090" i="39"/>
  <c r="K1091" i="39"/>
  <c r="K1092" i="39"/>
  <c r="K1093" i="39"/>
  <c r="K1094" i="39"/>
  <c r="K1095" i="39"/>
  <c r="K1096" i="39"/>
  <c r="K1097" i="39"/>
  <c r="K1098" i="39"/>
  <c r="K1099" i="39"/>
  <c r="K1100" i="39"/>
  <c r="K1101" i="39"/>
  <c r="K1102" i="39"/>
  <c r="K1103" i="39"/>
  <c r="K1104" i="39"/>
  <c r="K1105" i="39"/>
  <c r="K1106" i="39"/>
  <c r="K1107" i="39"/>
  <c r="K1108" i="39"/>
  <c r="K1109" i="39"/>
  <c r="K1110" i="39"/>
  <c r="K1111" i="39"/>
  <c r="K1112" i="39"/>
  <c r="K1113" i="39"/>
  <c r="K1114" i="39"/>
  <c r="K1115" i="39"/>
  <c r="K1116" i="39"/>
  <c r="K1117" i="39"/>
  <c r="K1118" i="39"/>
  <c r="K1119" i="39"/>
  <c r="K1120" i="39"/>
  <c r="K1121" i="39"/>
  <c r="K1122" i="39"/>
  <c r="K1123" i="39"/>
  <c r="K1124" i="39"/>
  <c r="K1125" i="39"/>
  <c r="K1126" i="39"/>
  <c r="K1127" i="39"/>
  <c r="K1128" i="39"/>
  <c r="K1129" i="39"/>
  <c r="K1130" i="39"/>
  <c r="K1131" i="39"/>
  <c r="K1132" i="39"/>
  <c r="K1133" i="39"/>
  <c r="K1134" i="39"/>
  <c r="K1135" i="39"/>
  <c r="K1136" i="39"/>
  <c r="K1137" i="39"/>
  <c r="K1138" i="39"/>
  <c r="K1139" i="39"/>
  <c r="K1140" i="39"/>
  <c r="K1141" i="39"/>
  <c r="K1142" i="39"/>
  <c r="K1143" i="39"/>
  <c r="K1144" i="39"/>
  <c r="K1145" i="39"/>
  <c r="K1146" i="39"/>
  <c r="K1147" i="39"/>
  <c r="K1148" i="39"/>
  <c r="K1149" i="39"/>
  <c r="K1150" i="39"/>
  <c r="K1151" i="39"/>
  <c r="K1152" i="39"/>
  <c r="K1153" i="39"/>
  <c r="K1154" i="39"/>
  <c r="K1155" i="39"/>
  <c r="K1156" i="39"/>
  <c r="K1157" i="39"/>
  <c r="K1158" i="39"/>
  <c r="K1159" i="39"/>
  <c r="K1160" i="39"/>
  <c r="K1161" i="39"/>
  <c r="K1162" i="39"/>
  <c r="K1163" i="39"/>
  <c r="K1164" i="39"/>
  <c r="K1165" i="39"/>
  <c r="K1166" i="39"/>
  <c r="K1167" i="39"/>
  <c r="K1168" i="39"/>
  <c r="K1169" i="39"/>
  <c r="K1170" i="39"/>
  <c r="K1171" i="39"/>
  <c r="K1172" i="39"/>
  <c r="K1173" i="39"/>
  <c r="K1174" i="39"/>
  <c r="K1175" i="39"/>
  <c r="K1176" i="39"/>
  <c r="K1177" i="39"/>
  <c r="K1178" i="39"/>
  <c r="K1179" i="39"/>
  <c r="K1180" i="39"/>
  <c r="K1181" i="39"/>
  <c r="K1182" i="39"/>
  <c r="K1183" i="39"/>
  <c r="K1184" i="39"/>
  <c r="K1185" i="39"/>
  <c r="K1186" i="39"/>
  <c r="K1187" i="39"/>
  <c r="K1188" i="39"/>
  <c r="K1189" i="39"/>
  <c r="K1190" i="39"/>
  <c r="K1191" i="39"/>
  <c r="K1192" i="39"/>
  <c r="K1193" i="39"/>
  <c r="K1194" i="39"/>
  <c r="K1195" i="39"/>
  <c r="K1196" i="39"/>
  <c r="K1197" i="39"/>
  <c r="K1198" i="39"/>
  <c r="K1199" i="39"/>
  <c r="K1200" i="39"/>
  <c r="K1201" i="39"/>
  <c r="K1202" i="39"/>
  <c r="K1203" i="39"/>
  <c r="K1204" i="39"/>
  <c r="K1205" i="39"/>
  <c r="K1206" i="39"/>
  <c r="K1207" i="39"/>
  <c r="K1208" i="39"/>
  <c r="K1209" i="39"/>
  <c r="K1210" i="39"/>
  <c r="K1211" i="39"/>
  <c r="K1212" i="39"/>
  <c r="K1213" i="39"/>
  <c r="K1214" i="39"/>
  <c r="K1215" i="39"/>
  <c r="K1216" i="39"/>
  <c r="K1217" i="39"/>
  <c r="K1218" i="39"/>
  <c r="K1219" i="39"/>
  <c r="K1220" i="39"/>
  <c r="K1221" i="39"/>
  <c r="K1222" i="39"/>
  <c r="K1223" i="39"/>
  <c r="K1224" i="39"/>
  <c r="K1225" i="39"/>
  <c r="K1226" i="39"/>
  <c r="K1227" i="39"/>
  <c r="K1228" i="39"/>
  <c r="K1229" i="39"/>
  <c r="K1230" i="39"/>
  <c r="K1231" i="39"/>
  <c r="K1232" i="39"/>
  <c r="K1233" i="39"/>
  <c r="K1234" i="39"/>
  <c r="K1235" i="39"/>
  <c r="K1236" i="39"/>
  <c r="K1237" i="39"/>
  <c r="K1238" i="39"/>
  <c r="K1239" i="39"/>
  <c r="K1240" i="39"/>
  <c r="K1241" i="39"/>
  <c r="K1242" i="39"/>
  <c r="K1243" i="39"/>
  <c r="K1244" i="39"/>
  <c r="K1245" i="39"/>
  <c r="K1246" i="39"/>
  <c r="K1247" i="39"/>
  <c r="K1248" i="39"/>
  <c r="K1249" i="39"/>
  <c r="K1250" i="39"/>
  <c r="K1251" i="39"/>
  <c r="K1252" i="39"/>
  <c r="K1253" i="39"/>
  <c r="K1254" i="39"/>
  <c r="K1255" i="39"/>
  <c r="K1256" i="39"/>
  <c r="K1257" i="39"/>
  <c r="K1008" i="39"/>
  <c r="K759" i="39"/>
  <c r="K760" i="39"/>
  <c r="K761" i="39"/>
  <c r="K762" i="39"/>
  <c r="K763" i="39"/>
  <c r="K764" i="39"/>
  <c r="K765" i="39"/>
  <c r="K766" i="39"/>
  <c r="K767" i="39"/>
  <c r="K768" i="39"/>
  <c r="K769" i="39"/>
  <c r="K770" i="39"/>
  <c r="K771" i="39"/>
  <c r="K772" i="39"/>
  <c r="K773" i="39"/>
  <c r="K774" i="39"/>
  <c r="K775" i="39"/>
  <c r="K776" i="39"/>
  <c r="K777" i="39"/>
  <c r="K778" i="39"/>
  <c r="K779" i="39"/>
  <c r="K780" i="39"/>
  <c r="K781" i="39"/>
  <c r="K782" i="39"/>
  <c r="K783" i="39"/>
  <c r="K784" i="39"/>
  <c r="K785" i="39"/>
  <c r="K786" i="39"/>
  <c r="K787" i="39"/>
  <c r="K788" i="39"/>
  <c r="K789" i="39"/>
  <c r="K790" i="39"/>
  <c r="K791" i="39"/>
  <c r="K792" i="39"/>
  <c r="K793" i="39"/>
  <c r="K794" i="39"/>
  <c r="K795" i="39"/>
  <c r="K796" i="39"/>
  <c r="K797" i="39"/>
  <c r="K798" i="39"/>
  <c r="K799" i="39"/>
  <c r="K800" i="39"/>
  <c r="K801" i="39"/>
  <c r="K802" i="39"/>
  <c r="K803" i="39"/>
  <c r="K804" i="39"/>
  <c r="K805" i="39"/>
  <c r="K806" i="39"/>
  <c r="K807" i="39"/>
  <c r="K808" i="39"/>
  <c r="K809" i="39"/>
  <c r="K810" i="39"/>
  <c r="K811" i="39"/>
  <c r="K812" i="39"/>
  <c r="K813" i="39"/>
  <c r="K814" i="39"/>
  <c r="K815" i="39"/>
  <c r="K816" i="39"/>
  <c r="K817" i="39"/>
  <c r="K818" i="39"/>
  <c r="K819" i="39"/>
  <c r="K820" i="39"/>
  <c r="K821" i="39"/>
  <c r="K822" i="39"/>
  <c r="K823" i="39"/>
  <c r="K824" i="39"/>
  <c r="K825" i="39"/>
  <c r="K826" i="39"/>
  <c r="K827" i="39"/>
  <c r="K828" i="39"/>
  <c r="K829" i="39"/>
  <c r="K830" i="39"/>
  <c r="K831" i="39"/>
  <c r="K832" i="39"/>
  <c r="K833" i="39"/>
  <c r="K834" i="39"/>
  <c r="K835" i="39"/>
  <c r="K836" i="39"/>
  <c r="K837" i="39"/>
  <c r="K838" i="39"/>
  <c r="K839" i="39"/>
  <c r="K840" i="39"/>
  <c r="K841" i="39"/>
  <c r="K842" i="39"/>
  <c r="K843" i="39"/>
  <c r="K844" i="39"/>
  <c r="K845" i="39"/>
  <c r="K846" i="39"/>
  <c r="K847" i="39"/>
  <c r="K848" i="39"/>
  <c r="K849" i="39"/>
  <c r="K850" i="39"/>
  <c r="K851" i="39"/>
  <c r="K852" i="39"/>
  <c r="K853" i="39"/>
  <c r="K854" i="39"/>
  <c r="K855" i="39"/>
  <c r="K856" i="39"/>
  <c r="K857" i="39"/>
  <c r="K858" i="39"/>
  <c r="K859" i="39"/>
  <c r="K860" i="39"/>
  <c r="K861" i="39"/>
  <c r="K862" i="39"/>
  <c r="K863" i="39"/>
  <c r="K864" i="39"/>
  <c r="K865" i="39"/>
  <c r="K866" i="39"/>
  <c r="K867" i="39"/>
  <c r="K868" i="39"/>
  <c r="K869" i="39"/>
  <c r="K870" i="39"/>
  <c r="K871" i="39"/>
  <c r="K872" i="39"/>
  <c r="K873" i="39"/>
  <c r="K874" i="39"/>
  <c r="K875" i="39"/>
  <c r="K876" i="39"/>
  <c r="K877" i="39"/>
  <c r="K878" i="39"/>
  <c r="K879" i="39"/>
  <c r="K880" i="39"/>
  <c r="K881" i="39"/>
  <c r="K882" i="39"/>
  <c r="K883" i="39"/>
  <c r="K884" i="39"/>
  <c r="K885" i="39"/>
  <c r="K886" i="39"/>
  <c r="K887" i="39"/>
  <c r="K888" i="39"/>
  <c r="K889" i="39"/>
  <c r="K890" i="39"/>
  <c r="K891" i="39"/>
  <c r="K892" i="39"/>
  <c r="K893" i="39"/>
  <c r="K894" i="39"/>
  <c r="K895" i="39"/>
  <c r="K896" i="39"/>
  <c r="K897" i="39"/>
  <c r="K898" i="39"/>
  <c r="K899" i="39"/>
  <c r="K900" i="39"/>
  <c r="K901" i="39"/>
  <c r="K902" i="39"/>
  <c r="K903" i="39"/>
  <c r="K904" i="39"/>
  <c r="K905" i="39"/>
  <c r="K906" i="39"/>
  <c r="K907" i="39"/>
  <c r="K908" i="39"/>
  <c r="K909" i="39"/>
  <c r="K910" i="39"/>
  <c r="K911" i="39"/>
  <c r="K912" i="39"/>
  <c r="K913" i="39"/>
  <c r="K914" i="39"/>
  <c r="K915" i="39"/>
  <c r="K916" i="39"/>
  <c r="K917" i="39"/>
  <c r="K918" i="39"/>
  <c r="K919" i="39"/>
  <c r="K920" i="39"/>
  <c r="K921" i="39"/>
  <c r="K922" i="39"/>
  <c r="K923" i="39"/>
  <c r="K924" i="39"/>
  <c r="K925" i="39"/>
  <c r="K926" i="39"/>
  <c r="K927" i="39"/>
  <c r="K928" i="39"/>
  <c r="K929" i="39"/>
  <c r="K930" i="39"/>
  <c r="K931" i="39"/>
  <c r="K932" i="39"/>
  <c r="K933" i="39"/>
  <c r="K934" i="39"/>
  <c r="K935" i="39"/>
  <c r="K936" i="39"/>
  <c r="K937" i="39"/>
  <c r="K938" i="39"/>
  <c r="K939" i="39"/>
  <c r="K940" i="39"/>
  <c r="K941" i="39"/>
  <c r="K942" i="39"/>
  <c r="K943" i="39"/>
  <c r="K944" i="39"/>
  <c r="K945" i="39"/>
  <c r="K946" i="39"/>
  <c r="K947" i="39"/>
  <c r="K948" i="39"/>
  <c r="K949" i="39"/>
  <c r="K950" i="39"/>
  <c r="K951" i="39"/>
  <c r="K952" i="39"/>
  <c r="K953" i="39"/>
  <c r="K954" i="39"/>
  <c r="K955" i="39"/>
  <c r="K956" i="39"/>
  <c r="K957" i="39"/>
  <c r="K958" i="39"/>
  <c r="K959" i="39"/>
  <c r="K960" i="39"/>
  <c r="K961" i="39"/>
  <c r="K962" i="39"/>
  <c r="K963" i="39"/>
  <c r="K964" i="39"/>
  <c r="K965" i="39"/>
  <c r="K966" i="39"/>
  <c r="K967" i="39"/>
  <c r="K968" i="39"/>
  <c r="K969" i="39"/>
  <c r="K970" i="39"/>
  <c r="K971" i="39"/>
  <c r="K972" i="39"/>
  <c r="K973" i="39"/>
  <c r="K974" i="39"/>
  <c r="K975" i="39"/>
  <c r="K976" i="39"/>
  <c r="K977" i="39"/>
  <c r="K978" i="39"/>
  <c r="K979" i="39"/>
  <c r="K980" i="39"/>
  <c r="K981" i="39"/>
  <c r="K982" i="39"/>
  <c r="K983" i="39"/>
  <c r="K984" i="39"/>
  <c r="K985" i="39"/>
  <c r="K986" i="39"/>
  <c r="K987" i="39"/>
  <c r="K988" i="39"/>
  <c r="K989" i="39"/>
  <c r="K990" i="39"/>
  <c r="K991" i="39"/>
  <c r="K992" i="39"/>
  <c r="K993" i="39"/>
  <c r="K994" i="39"/>
  <c r="K995" i="39"/>
  <c r="K996" i="39"/>
  <c r="K997" i="39"/>
  <c r="K998" i="39"/>
  <c r="K999" i="39"/>
  <c r="K1000" i="39"/>
  <c r="K1001" i="39"/>
  <c r="K1002" i="39"/>
  <c r="K1003" i="39"/>
  <c r="K1004" i="39"/>
  <c r="K1005" i="39"/>
  <c r="K1006" i="39"/>
  <c r="K1007" i="39"/>
  <c r="K758" i="39"/>
  <c r="K509" i="39"/>
  <c r="K510" i="39"/>
  <c r="K511" i="39"/>
  <c r="K512" i="39"/>
  <c r="K513" i="39"/>
  <c r="K514" i="39"/>
  <c r="K515" i="39"/>
  <c r="K516" i="39"/>
  <c r="K517" i="39"/>
  <c r="K518" i="39"/>
  <c r="K519" i="39"/>
  <c r="K520" i="39"/>
  <c r="K521" i="39"/>
  <c r="K522" i="39"/>
  <c r="K523" i="39"/>
  <c r="K524" i="39"/>
  <c r="K525" i="39"/>
  <c r="K526" i="39"/>
  <c r="K527" i="39"/>
  <c r="K528" i="39"/>
  <c r="K529" i="39"/>
  <c r="K530" i="39"/>
  <c r="K531" i="39"/>
  <c r="K532" i="39"/>
  <c r="K533" i="39"/>
  <c r="K534" i="39"/>
  <c r="K535" i="39"/>
  <c r="K536" i="39"/>
  <c r="K537" i="39"/>
  <c r="K538" i="39"/>
  <c r="K539" i="39"/>
  <c r="K540" i="39"/>
  <c r="K541" i="39"/>
  <c r="K542" i="39"/>
  <c r="K543" i="39"/>
  <c r="K544" i="39"/>
  <c r="K545" i="39"/>
  <c r="K546" i="39"/>
  <c r="K547" i="39"/>
  <c r="K548" i="39"/>
  <c r="K549" i="39"/>
  <c r="K550" i="39"/>
  <c r="K551" i="39"/>
  <c r="K552" i="39"/>
  <c r="K553" i="39"/>
  <c r="K554" i="39"/>
  <c r="K555" i="39"/>
  <c r="K556" i="39"/>
  <c r="K557" i="39"/>
  <c r="K558" i="39"/>
  <c r="K559" i="39"/>
  <c r="K560" i="39"/>
  <c r="K561" i="39"/>
  <c r="K562" i="39"/>
  <c r="K563" i="39"/>
  <c r="K564" i="39"/>
  <c r="K565" i="39"/>
  <c r="K566" i="39"/>
  <c r="K567" i="39"/>
  <c r="K568" i="39"/>
  <c r="K569" i="39"/>
  <c r="K570" i="39"/>
  <c r="K571" i="39"/>
  <c r="K572" i="39"/>
  <c r="K573" i="39"/>
  <c r="K574" i="39"/>
  <c r="K575" i="39"/>
  <c r="K576" i="39"/>
  <c r="K577" i="39"/>
  <c r="K578" i="39"/>
  <c r="K579" i="39"/>
  <c r="K580" i="39"/>
  <c r="K581" i="39"/>
  <c r="K582" i="39"/>
  <c r="K583" i="39"/>
  <c r="K584" i="39"/>
  <c r="K585" i="39"/>
  <c r="K586" i="39"/>
  <c r="K587" i="39"/>
  <c r="K588" i="39"/>
  <c r="K589" i="39"/>
  <c r="K590" i="39"/>
  <c r="K591" i="39"/>
  <c r="K592" i="39"/>
  <c r="K593" i="39"/>
  <c r="K594" i="39"/>
  <c r="K595" i="39"/>
  <c r="K596" i="39"/>
  <c r="K597" i="39"/>
  <c r="K598" i="39"/>
  <c r="K599" i="39"/>
  <c r="K600" i="39"/>
  <c r="K601" i="39"/>
  <c r="K602" i="39"/>
  <c r="K603" i="39"/>
  <c r="K604" i="39"/>
  <c r="K605" i="39"/>
  <c r="K606" i="39"/>
  <c r="K607" i="39"/>
  <c r="K608" i="39"/>
  <c r="K609" i="39"/>
  <c r="K610" i="39"/>
  <c r="K611" i="39"/>
  <c r="K612" i="39"/>
  <c r="K613" i="39"/>
  <c r="K614" i="39"/>
  <c r="K615" i="39"/>
  <c r="K616" i="39"/>
  <c r="K617" i="39"/>
  <c r="K618" i="39"/>
  <c r="K619" i="39"/>
  <c r="K620" i="39"/>
  <c r="K621" i="39"/>
  <c r="K622" i="39"/>
  <c r="K623" i="39"/>
  <c r="K624" i="39"/>
  <c r="K625" i="39"/>
  <c r="K626" i="39"/>
  <c r="K627" i="39"/>
  <c r="K628" i="39"/>
  <c r="K629" i="39"/>
  <c r="K630" i="39"/>
  <c r="K631" i="39"/>
  <c r="K632" i="39"/>
  <c r="K633" i="39"/>
  <c r="K634" i="39"/>
  <c r="K635" i="39"/>
  <c r="K636" i="39"/>
  <c r="K637" i="39"/>
  <c r="K638" i="39"/>
  <c r="K639" i="39"/>
  <c r="K640" i="39"/>
  <c r="K641" i="39"/>
  <c r="K642" i="39"/>
  <c r="K643" i="39"/>
  <c r="K644" i="39"/>
  <c r="K645" i="39"/>
  <c r="K646" i="39"/>
  <c r="K647" i="39"/>
  <c r="K648" i="39"/>
  <c r="K649" i="39"/>
  <c r="K650" i="39"/>
  <c r="K651" i="39"/>
  <c r="K652" i="39"/>
  <c r="K653" i="39"/>
  <c r="K654" i="39"/>
  <c r="K655" i="39"/>
  <c r="K656" i="39"/>
  <c r="K657" i="39"/>
  <c r="K658" i="39"/>
  <c r="K659" i="39"/>
  <c r="K660" i="39"/>
  <c r="K661" i="39"/>
  <c r="K662" i="39"/>
  <c r="K663" i="39"/>
  <c r="K664" i="39"/>
  <c r="K665" i="39"/>
  <c r="K666" i="39"/>
  <c r="K667" i="39"/>
  <c r="K668" i="39"/>
  <c r="K669" i="39"/>
  <c r="K670" i="39"/>
  <c r="K671" i="39"/>
  <c r="K672" i="39"/>
  <c r="K673" i="39"/>
  <c r="K674" i="39"/>
  <c r="K675" i="39"/>
  <c r="K676" i="39"/>
  <c r="K677" i="39"/>
  <c r="K678" i="39"/>
  <c r="K679" i="39"/>
  <c r="K680" i="39"/>
  <c r="K681" i="39"/>
  <c r="K682" i="39"/>
  <c r="K683" i="39"/>
  <c r="K684" i="39"/>
  <c r="K685" i="39"/>
  <c r="K686" i="39"/>
  <c r="K687" i="39"/>
  <c r="K688" i="39"/>
  <c r="K689" i="39"/>
  <c r="K690" i="39"/>
  <c r="K691" i="39"/>
  <c r="K692" i="39"/>
  <c r="K693" i="39"/>
  <c r="K694" i="39"/>
  <c r="K695" i="39"/>
  <c r="K696" i="39"/>
  <c r="K697" i="39"/>
  <c r="K698" i="39"/>
  <c r="K699" i="39"/>
  <c r="K700" i="39"/>
  <c r="K701" i="39"/>
  <c r="K702" i="39"/>
  <c r="K703" i="39"/>
  <c r="K704" i="39"/>
  <c r="K705" i="39"/>
  <c r="K706" i="39"/>
  <c r="K707" i="39"/>
  <c r="K708" i="39"/>
  <c r="K709" i="39"/>
  <c r="K710" i="39"/>
  <c r="K711" i="39"/>
  <c r="K712" i="39"/>
  <c r="K713" i="39"/>
  <c r="K714" i="39"/>
  <c r="K715" i="39"/>
  <c r="K716" i="39"/>
  <c r="K717" i="39"/>
  <c r="K718" i="39"/>
  <c r="K719" i="39"/>
  <c r="K720" i="39"/>
  <c r="K721" i="39"/>
  <c r="K722" i="39"/>
  <c r="K723" i="39"/>
  <c r="K724" i="39"/>
  <c r="K725" i="39"/>
  <c r="K726" i="39"/>
  <c r="K727" i="39"/>
  <c r="K728" i="39"/>
  <c r="K729" i="39"/>
  <c r="K730" i="39"/>
  <c r="K731" i="39"/>
  <c r="K732" i="39"/>
  <c r="K733" i="39"/>
  <c r="K734" i="39"/>
  <c r="K735" i="39"/>
  <c r="K736" i="39"/>
  <c r="K737" i="39"/>
  <c r="K738" i="39"/>
  <c r="K739" i="39"/>
  <c r="K740" i="39"/>
  <c r="K741" i="39"/>
  <c r="K742" i="39"/>
  <c r="K743" i="39"/>
  <c r="K744" i="39"/>
  <c r="K745" i="39"/>
  <c r="K746" i="39"/>
  <c r="K747" i="39"/>
  <c r="K748" i="39"/>
  <c r="K749" i="39"/>
  <c r="K750" i="39"/>
  <c r="K751" i="39"/>
  <c r="K752" i="39"/>
  <c r="K753" i="39"/>
  <c r="K754" i="39"/>
  <c r="K755" i="39"/>
  <c r="K756" i="39"/>
  <c r="K757" i="39"/>
  <c r="K508" i="39"/>
  <c r="K259" i="39"/>
  <c r="K260" i="39"/>
  <c r="K261" i="39"/>
  <c r="K262" i="39"/>
  <c r="K263" i="39"/>
  <c r="K264" i="39"/>
  <c r="K265" i="39"/>
  <c r="K266" i="39"/>
  <c r="K267" i="39"/>
  <c r="K268" i="39"/>
  <c r="K269" i="39"/>
  <c r="K270" i="39"/>
  <c r="K271" i="39"/>
  <c r="K272" i="39"/>
  <c r="K273" i="39"/>
  <c r="K274" i="39"/>
  <c r="K275" i="39"/>
  <c r="K276" i="39"/>
  <c r="K277" i="39"/>
  <c r="K278" i="39"/>
  <c r="K279" i="39"/>
  <c r="K280" i="39"/>
  <c r="K281" i="39"/>
  <c r="K282" i="39"/>
  <c r="K283" i="39"/>
  <c r="K284" i="39"/>
  <c r="K285" i="39"/>
  <c r="K286" i="39"/>
  <c r="K287" i="39"/>
  <c r="K288" i="39"/>
  <c r="K289" i="39"/>
  <c r="K290" i="39"/>
  <c r="K291" i="39"/>
  <c r="K292" i="39"/>
  <c r="K293" i="39"/>
  <c r="K294" i="39"/>
  <c r="K295" i="39"/>
  <c r="K296" i="39"/>
  <c r="K297" i="39"/>
  <c r="K298" i="39"/>
  <c r="K299" i="39"/>
  <c r="K300" i="39"/>
  <c r="K301" i="39"/>
  <c r="K302" i="39"/>
  <c r="K303" i="39"/>
  <c r="K304" i="39"/>
  <c r="K305" i="39"/>
  <c r="K306" i="39"/>
  <c r="K307" i="39"/>
  <c r="K308" i="39"/>
  <c r="K309" i="39"/>
  <c r="K310" i="39"/>
  <c r="K311" i="39"/>
  <c r="K312" i="39"/>
  <c r="K313" i="39"/>
  <c r="K314" i="39"/>
  <c r="K315" i="39"/>
  <c r="K316" i="39"/>
  <c r="K317" i="39"/>
  <c r="K318" i="39"/>
  <c r="K319" i="39"/>
  <c r="K320" i="39"/>
  <c r="K321" i="39"/>
  <c r="K322" i="39"/>
  <c r="K323" i="39"/>
  <c r="K324" i="39"/>
  <c r="K325" i="39"/>
  <c r="K326" i="39"/>
  <c r="K327" i="39"/>
  <c r="K328" i="39"/>
  <c r="K329" i="39"/>
  <c r="K330" i="39"/>
  <c r="K331" i="39"/>
  <c r="K332" i="39"/>
  <c r="K333" i="39"/>
  <c r="K334" i="39"/>
  <c r="K335" i="39"/>
  <c r="K336" i="39"/>
  <c r="K337" i="39"/>
  <c r="K338" i="39"/>
  <c r="K339" i="39"/>
  <c r="K340" i="39"/>
  <c r="K341" i="39"/>
  <c r="K342" i="39"/>
  <c r="K343" i="39"/>
  <c r="K344" i="39"/>
  <c r="K345" i="39"/>
  <c r="K346" i="39"/>
  <c r="K347" i="39"/>
  <c r="K348" i="39"/>
  <c r="K349" i="39"/>
  <c r="K350" i="39"/>
  <c r="K351" i="39"/>
  <c r="K352" i="39"/>
  <c r="K353" i="39"/>
  <c r="K354" i="39"/>
  <c r="K355" i="39"/>
  <c r="K356" i="39"/>
  <c r="K357" i="39"/>
  <c r="K358" i="39"/>
  <c r="K359" i="39"/>
  <c r="K360" i="39"/>
  <c r="K361" i="39"/>
  <c r="K362" i="39"/>
  <c r="K363" i="39"/>
  <c r="K364" i="39"/>
  <c r="K365" i="39"/>
  <c r="K366" i="39"/>
  <c r="K367" i="39"/>
  <c r="K368" i="39"/>
  <c r="K369" i="39"/>
  <c r="K370" i="39"/>
  <c r="K371" i="39"/>
  <c r="K372" i="39"/>
  <c r="K373" i="39"/>
  <c r="K374" i="39"/>
  <c r="K375" i="39"/>
  <c r="K376" i="39"/>
  <c r="K377" i="39"/>
  <c r="K378" i="39"/>
  <c r="K379" i="39"/>
  <c r="K380" i="39"/>
  <c r="K381" i="39"/>
  <c r="K382" i="39"/>
  <c r="K383" i="39"/>
  <c r="K384" i="39"/>
  <c r="K385" i="39"/>
  <c r="K386" i="39"/>
  <c r="K387" i="39"/>
  <c r="K388" i="39"/>
  <c r="K389" i="39"/>
  <c r="K390" i="39"/>
  <c r="K391" i="39"/>
  <c r="K392" i="39"/>
  <c r="K393" i="39"/>
  <c r="K394" i="39"/>
  <c r="K395" i="39"/>
  <c r="K396" i="39"/>
  <c r="K397" i="39"/>
  <c r="K398" i="39"/>
  <c r="K399" i="39"/>
  <c r="K400" i="39"/>
  <c r="K401" i="39"/>
  <c r="K402" i="39"/>
  <c r="K403" i="39"/>
  <c r="K404" i="39"/>
  <c r="K405" i="39"/>
  <c r="K406" i="39"/>
  <c r="K407" i="39"/>
  <c r="K408" i="39"/>
  <c r="K409" i="39"/>
  <c r="K410" i="39"/>
  <c r="K411" i="39"/>
  <c r="K412" i="39"/>
  <c r="K413" i="39"/>
  <c r="K414" i="39"/>
  <c r="K415" i="39"/>
  <c r="K416" i="39"/>
  <c r="K417" i="39"/>
  <c r="K418" i="39"/>
  <c r="K419" i="39"/>
  <c r="K420" i="39"/>
  <c r="K421" i="39"/>
  <c r="K422" i="39"/>
  <c r="K423" i="39"/>
  <c r="K424" i="39"/>
  <c r="K425" i="39"/>
  <c r="K426" i="39"/>
  <c r="K427" i="39"/>
  <c r="K428" i="39"/>
  <c r="K429" i="39"/>
  <c r="K430" i="39"/>
  <c r="K431" i="39"/>
  <c r="K432" i="39"/>
  <c r="K433" i="39"/>
  <c r="K434" i="39"/>
  <c r="K435" i="39"/>
  <c r="K436" i="39"/>
  <c r="K437" i="39"/>
  <c r="K438" i="39"/>
  <c r="K439" i="39"/>
  <c r="K440" i="39"/>
  <c r="K441" i="39"/>
  <c r="K442" i="39"/>
  <c r="K443" i="39"/>
  <c r="K444" i="39"/>
  <c r="K445" i="39"/>
  <c r="K446" i="39"/>
  <c r="K447" i="39"/>
  <c r="K448" i="39"/>
  <c r="K449" i="39"/>
  <c r="K450" i="39"/>
  <c r="K451" i="39"/>
  <c r="K452" i="39"/>
  <c r="K453" i="39"/>
  <c r="K454" i="39"/>
  <c r="K455" i="39"/>
  <c r="K456" i="39"/>
  <c r="K457" i="39"/>
  <c r="K458" i="39"/>
  <c r="K459" i="39"/>
  <c r="K460" i="39"/>
  <c r="K461" i="39"/>
  <c r="K462" i="39"/>
  <c r="K463" i="39"/>
  <c r="K464" i="39"/>
  <c r="K465" i="39"/>
  <c r="K466" i="39"/>
  <c r="K467" i="39"/>
  <c r="K468" i="39"/>
  <c r="K469" i="39"/>
  <c r="K470" i="39"/>
  <c r="K471" i="39"/>
  <c r="K472" i="39"/>
  <c r="K473" i="39"/>
  <c r="K474" i="39"/>
  <c r="K475" i="39"/>
  <c r="K476" i="39"/>
  <c r="K477" i="39"/>
  <c r="K478" i="39"/>
  <c r="K479" i="39"/>
  <c r="K480" i="39"/>
  <c r="K481" i="39"/>
  <c r="K482" i="39"/>
  <c r="K483" i="39"/>
  <c r="K484" i="39"/>
  <c r="K485" i="39"/>
  <c r="K486" i="39"/>
  <c r="K487" i="39"/>
  <c r="K488" i="39"/>
  <c r="K489" i="39"/>
  <c r="K490" i="39"/>
  <c r="K491" i="39"/>
  <c r="K492" i="39"/>
  <c r="K493" i="39"/>
  <c r="K494" i="39"/>
  <c r="K495" i="39"/>
  <c r="K496" i="39"/>
  <c r="K497" i="39"/>
  <c r="K498" i="39"/>
  <c r="K499" i="39"/>
  <c r="K500" i="39"/>
  <c r="K501" i="39"/>
  <c r="K502" i="39"/>
  <c r="K503" i="39"/>
  <c r="K504" i="39"/>
  <c r="K505" i="39"/>
  <c r="K506" i="39"/>
  <c r="K507" i="39"/>
  <c r="K258" i="39"/>
  <c r="K9" i="39"/>
  <c r="K10" i="39"/>
  <c r="K11" i="39"/>
  <c r="K12" i="39"/>
  <c r="K13" i="39"/>
  <c r="K14" i="39"/>
  <c r="K15" i="39"/>
  <c r="K16" i="39"/>
  <c r="K17" i="39"/>
  <c r="K18" i="39"/>
  <c r="K19" i="39"/>
  <c r="K20" i="39"/>
  <c r="K21" i="39"/>
  <c r="K22" i="39"/>
  <c r="K23" i="39"/>
  <c r="K24" i="39"/>
  <c r="K25" i="39"/>
  <c r="K26" i="39"/>
  <c r="K27" i="39"/>
  <c r="K28" i="39"/>
  <c r="K29" i="39"/>
  <c r="K30" i="39"/>
  <c r="K31" i="39"/>
  <c r="K32" i="39"/>
  <c r="K33" i="39"/>
  <c r="K34" i="39"/>
  <c r="K35" i="39"/>
  <c r="K36" i="39"/>
  <c r="K37" i="39"/>
  <c r="K38" i="39"/>
  <c r="K39" i="39"/>
  <c r="K40" i="39"/>
  <c r="K41" i="39"/>
  <c r="K42" i="39"/>
  <c r="K43" i="39"/>
  <c r="K44" i="39"/>
  <c r="K45" i="39"/>
  <c r="K46" i="39"/>
  <c r="K47" i="39"/>
  <c r="K48" i="39"/>
  <c r="K49" i="39"/>
  <c r="K50" i="39"/>
  <c r="K51" i="39"/>
  <c r="K52" i="39"/>
  <c r="K53" i="39"/>
  <c r="K54" i="39"/>
  <c r="K55" i="39"/>
  <c r="K56" i="39"/>
  <c r="K57" i="39"/>
  <c r="K58" i="39"/>
  <c r="K59" i="39"/>
  <c r="K60" i="39"/>
  <c r="K61" i="39"/>
  <c r="K62" i="39"/>
  <c r="K63" i="39"/>
  <c r="K64" i="39"/>
  <c r="K65" i="39"/>
  <c r="K66" i="39"/>
  <c r="K67" i="39"/>
  <c r="K68" i="39"/>
  <c r="K69" i="39"/>
  <c r="K70" i="39"/>
  <c r="K71" i="39"/>
  <c r="K72" i="39"/>
  <c r="K73" i="39"/>
  <c r="K74" i="39"/>
  <c r="K75" i="39"/>
  <c r="K76" i="39"/>
  <c r="K77" i="39"/>
  <c r="K78" i="39"/>
  <c r="K79" i="39"/>
  <c r="K80" i="39"/>
  <c r="K81" i="39"/>
  <c r="K82" i="39"/>
  <c r="K83" i="39"/>
  <c r="K84" i="39"/>
  <c r="K85" i="39"/>
  <c r="K86" i="39"/>
  <c r="K87" i="39"/>
  <c r="K88" i="39"/>
  <c r="K89" i="39"/>
  <c r="K90" i="39"/>
  <c r="K91" i="39"/>
  <c r="K92" i="39"/>
  <c r="K93" i="39"/>
  <c r="K94" i="39"/>
  <c r="K95" i="39"/>
  <c r="K96" i="39"/>
  <c r="K97" i="39"/>
  <c r="K98" i="39"/>
  <c r="K99" i="39"/>
  <c r="K100" i="39"/>
  <c r="K101" i="39"/>
  <c r="K102" i="39"/>
  <c r="K103" i="39"/>
  <c r="K104" i="39"/>
  <c r="K105" i="39"/>
  <c r="K106" i="39"/>
  <c r="K107" i="39"/>
  <c r="K108" i="39"/>
  <c r="K109" i="39"/>
  <c r="K110" i="39"/>
  <c r="K111" i="39"/>
  <c r="K112" i="39"/>
  <c r="K113" i="39"/>
  <c r="K114" i="39"/>
  <c r="K115" i="39"/>
  <c r="K116" i="39"/>
  <c r="K117" i="39"/>
  <c r="K118" i="39"/>
  <c r="K119" i="39"/>
  <c r="K120" i="39"/>
  <c r="K121" i="39"/>
  <c r="K122" i="39"/>
  <c r="K123" i="39"/>
  <c r="K124" i="39"/>
  <c r="K125" i="39"/>
  <c r="K126" i="39"/>
  <c r="K127" i="39"/>
  <c r="K128" i="39"/>
  <c r="K129" i="39"/>
  <c r="K130" i="39"/>
  <c r="K131" i="39"/>
  <c r="K132" i="39"/>
  <c r="K133" i="39"/>
  <c r="K134" i="39"/>
  <c r="K135" i="39"/>
  <c r="K136" i="39"/>
  <c r="K137" i="39"/>
  <c r="K138" i="39"/>
  <c r="K139" i="39"/>
  <c r="K140" i="39"/>
  <c r="K141" i="39"/>
  <c r="K142" i="39"/>
  <c r="K143" i="39"/>
  <c r="K144" i="39"/>
  <c r="K145" i="39"/>
  <c r="K146" i="39"/>
  <c r="K147" i="39"/>
  <c r="K148" i="39"/>
  <c r="K149" i="39"/>
  <c r="K150" i="39"/>
  <c r="K151" i="39"/>
  <c r="K152" i="39"/>
  <c r="K153" i="39"/>
  <c r="K154" i="39"/>
  <c r="K155" i="39"/>
  <c r="K156" i="39"/>
  <c r="K157" i="39"/>
  <c r="K158" i="39"/>
  <c r="K159" i="39"/>
  <c r="K160" i="39"/>
  <c r="K161" i="39"/>
  <c r="K162" i="39"/>
  <c r="K163" i="39"/>
  <c r="K164" i="39"/>
  <c r="K165" i="39"/>
  <c r="K166" i="39"/>
  <c r="K167" i="39"/>
  <c r="K168" i="39"/>
  <c r="K169" i="39"/>
  <c r="K170" i="39"/>
  <c r="K171" i="39"/>
  <c r="K172" i="39"/>
  <c r="K173" i="39"/>
  <c r="K174" i="39"/>
  <c r="K175" i="39"/>
  <c r="K176" i="39"/>
  <c r="K177" i="39"/>
  <c r="K178" i="39"/>
  <c r="K179" i="39"/>
  <c r="K180" i="39"/>
  <c r="K181" i="39"/>
  <c r="K182" i="39"/>
  <c r="K183" i="39"/>
  <c r="K184" i="39"/>
  <c r="K185" i="39"/>
  <c r="K186" i="39"/>
  <c r="K187" i="39"/>
  <c r="K188" i="39"/>
  <c r="K189" i="39"/>
  <c r="K190" i="39"/>
  <c r="K191" i="39"/>
  <c r="K192" i="39"/>
  <c r="K193" i="39"/>
  <c r="K194" i="39"/>
  <c r="K195" i="39"/>
  <c r="K196" i="39"/>
  <c r="K197" i="39"/>
  <c r="K198" i="39"/>
  <c r="K199" i="39"/>
  <c r="K200" i="39"/>
  <c r="K201" i="39"/>
  <c r="K202" i="39"/>
  <c r="K203" i="39"/>
  <c r="K204" i="39"/>
  <c r="K205" i="39"/>
  <c r="K206" i="39"/>
  <c r="K207" i="39"/>
  <c r="K208" i="39"/>
  <c r="K209" i="39"/>
  <c r="K210" i="39"/>
  <c r="K211" i="39"/>
  <c r="K212" i="39"/>
  <c r="K213" i="39"/>
  <c r="K214" i="39"/>
  <c r="K215" i="39"/>
  <c r="K216" i="39"/>
  <c r="K217" i="39"/>
  <c r="K218" i="39"/>
  <c r="K219" i="39"/>
  <c r="K220" i="39"/>
  <c r="K221" i="39"/>
  <c r="K222" i="39"/>
  <c r="K223" i="39"/>
  <c r="K224" i="39"/>
  <c r="K225" i="39"/>
  <c r="K226" i="39"/>
  <c r="K227" i="39"/>
  <c r="K228" i="39"/>
  <c r="K229" i="39"/>
  <c r="K230" i="39"/>
  <c r="K231" i="39"/>
  <c r="K232" i="39"/>
  <c r="K233" i="39"/>
  <c r="K234" i="39"/>
  <c r="K235" i="39"/>
  <c r="K236" i="39"/>
  <c r="K237" i="39"/>
  <c r="K238" i="39"/>
  <c r="K239" i="39"/>
  <c r="K240" i="39"/>
  <c r="K241" i="39"/>
  <c r="K242" i="39"/>
  <c r="K243" i="39"/>
  <c r="K244" i="39"/>
  <c r="K245" i="39"/>
  <c r="K246" i="39"/>
  <c r="K247" i="39"/>
  <c r="K248" i="39"/>
  <c r="K249" i="39"/>
  <c r="K250" i="39"/>
  <c r="K251" i="39"/>
  <c r="K252" i="39"/>
  <c r="K253" i="39"/>
  <c r="K254" i="39"/>
  <c r="K255" i="39"/>
  <c r="K256" i="39"/>
  <c r="K257" i="39"/>
  <c r="K8" i="39"/>
  <c r="H1509" i="39"/>
  <c r="H1510" i="39"/>
  <c r="H1511" i="39"/>
  <c r="H1512" i="39"/>
  <c r="H1513" i="39"/>
  <c r="H1514" i="39"/>
  <c r="H1515" i="39"/>
  <c r="H1516" i="39"/>
  <c r="H1517" i="39"/>
  <c r="H1518" i="39"/>
  <c r="H1519" i="39"/>
  <c r="H1520" i="39"/>
  <c r="H1521" i="39"/>
  <c r="H1522" i="39"/>
  <c r="H1523" i="39"/>
  <c r="H1524" i="39"/>
  <c r="H1525" i="39"/>
  <c r="H1526" i="39"/>
  <c r="H1527" i="39"/>
  <c r="H1528" i="39"/>
  <c r="H1529" i="39"/>
  <c r="H1530" i="39"/>
  <c r="H1531" i="39"/>
  <c r="H1532" i="39"/>
  <c r="H1533" i="39"/>
  <c r="H1534" i="39"/>
  <c r="H1535" i="39"/>
  <c r="H1536" i="39"/>
  <c r="H1537" i="39"/>
  <c r="H1538" i="39"/>
  <c r="H1539" i="39"/>
  <c r="H1540" i="39"/>
  <c r="H1541" i="39"/>
  <c r="H1542" i="39"/>
  <c r="H1543" i="39"/>
  <c r="H1544" i="39"/>
  <c r="H1545" i="39"/>
  <c r="H1546" i="39"/>
  <c r="H1547" i="39"/>
  <c r="H1548" i="39"/>
  <c r="H1549" i="39"/>
  <c r="H1550" i="39"/>
  <c r="H1551" i="39"/>
  <c r="H1552" i="39"/>
  <c r="H1553" i="39"/>
  <c r="H1554" i="39"/>
  <c r="H1555" i="39"/>
  <c r="H1556" i="39"/>
  <c r="H1557" i="39"/>
  <c r="H1558" i="39"/>
  <c r="H1559" i="39"/>
  <c r="H1560" i="39"/>
  <c r="H1561" i="39"/>
  <c r="H1562" i="39"/>
  <c r="H1563" i="39"/>
  <c r="H1564" i="39"/>
  <c r="H1565" i="39"/>
  <c r="H1566" i="39"/>
  <c r="H1567" i="39"/>
  <c r="H1568" i="39"/>
  <c r="H1569" i="39"/>
  <c r="H1570" i="39"/>
  <c r="H1571" i="39"/>
  <c r="H1572" i="39"/>
  <c r="H1573" i="39"/>
  <c r="H1574" i="39"/>
  <c r="H1575" i="39"/>
  <c r="H1576" i="39"/>
  <c r="H1577" i="39"/>
  <c r="H1578" i="39"/>
  <c r="H1579" i="39"/>
  <c r="H1580" i="39"/>
  <c r="H1581" i="39"/>
  <c r="H1582" i="39"/>
  <c r="H1583" i="39"/>
  <c r="H1584" i="39"/>
  <c r="H1585" i="39"/>
  <c r="H1586" i="39"/>
  <c r="H1587" i="39"/>
  <c r="H1588" i="39"/>
  <c r="H1589" i="39"/>
  <c r="H1590" i="39"/>
  <c r="H1591" i="39"/>
  <c r="H1592" i="39"/>
  <c r="H1593" i="39"/>
  <c r="H1594" i="39"/>
  <c r="H1595" i="39"/>
  <c r="H1596" i="39"/>
  <c r="H1597" i="39"/>
  <c r="H1598" i="39"/>
  <c r="H1599" i="39"/>
  <c r="H1600" i="39"/>
  <c r="H1601" i="39"/>
  <c r="H1602" i="39"/>
  <c r="H1603" i="39"/>
  <c r="H1604" i="39"/>
  <c r="H1605" i="39"/>
  <c r="H1606" i="39"/>
  <c r="H1607" i="39"/>
  <c r="H1608" i="39"/>
  <c r="H1609" i="39"/>
  <c r="H1610" i="39"/>
  <c r="H1611" i="39"/>
  <c r="H1612" i="39"/>
  <c r="H1613" i="39"/>
  <c r="H1614" i="39"/>
  <c r="H1615" i="39"/>
  <c r="H1616" i="39"/>
  <c r="H1617" i="39"/>
  <c r="H1618" i="39"/>
  <c r="H1619" i="39"/>
  <c r="H1620" i="39"/>
  <c r="H1621" i="39"/>
  <c r="H1622" i="39"/>
  <c r="H1623" i="39"/>
  <c r="H1624" i="39"/>
  <c r="H1625" i="39"/>
  <c r="H1626" i="39"/>
  <c r="H1627" i="39"/>
  <c r="H1628" i="39"/>
  <c r="H1629" i="39"/>
  <c r="H1630" i="39"/>
  <c r="H1631" i="39"/>
  <c r="H1632" i="39"/>
  <c r="H1633" i="39"/>
  <c r="H1634" i="39"/>
  <c r="H1635" i="39"/>
  <c r="H1636" i="39"/>
  <c r="H1637" i="39"/>
  <c r="H1638" i="39"/>
  <c r="H1639" i="39"/>
  <c r="H1640" i="39"/>
  <c r="H1641" i="39"/>
  <c r="H1642" i="39"/>
  <c r="H1643" i="39"/>
  <c r="H1644" i="39"/>
  <c r="H1645" i="39"/>
  <c r="H1646" i="39"/>
  <c r="H1647" i="39"/>
  <c r="H1648" i="39"/>
  <c r="H1649" i="39"/>
  <c r="H1650" i="39"/>
  <c r="H1651" i="39"/>
  <c r="H1652" i="39"/>
  <c r="H1653" i="39"/>
  <c r="H1654" i="39"/>
  <c r="H1655" i="39"/>
  <c r="H1656" i="39"/>
  <c r="H1657" i="39"/>
  <c r="H1658" i="39"/>
  <c r="H1659" i="39"/>
  <c r="H1660" i="39"/>
  <c r="H1661" i="39"/>
  <c r="H1662" i="39"/>
  <c r="H1663" i="39"/>
  <c r="H1664" i="39"/>
  <c r="H1665" i="39"/>
  <c r="H1666" i="39"/>
  <c r="H1667" i="39"/>
  <c r="H1668" i="39"/>
  <c r="H1669" i="39"/>
  <c r="H1670" i="39"/>
  <c r="H1671" i="39"/>
  <c r="H1672" i="39"/>
  <c r="H1673" i="39"/>
  <c r="H1674" i="39"/>
  <c r="H1675" i="39"/>
  <c r="H1676" i="39"/>
  <c r="H1677" i="39"/>
  <c r="H1678" i="39"/>
  <c r="H1679" i="39"/>
  <c r="H1680" i="39"/>
  <c r="H1681" i="39"/>
  <c r="H1682" i="39"/>
  <c r="H1683" i="39"/>
  <c r="H1684" i="39"/>
  <c r="H1685" i="39"/>
  <c r="H1686" i="39"/>
  <c r="H1687" i="39"/>
  <c r="H1688" i="39"/>
  <c r="H1689" i="39"/>
  <c r="H1690" i="39"/>
  <c r="H1691" i="39"/>
  <c r="H1692" i="39"/>
  <c r="H1693" i="39"/>
  <c r="H1694" i="39"/>
  <c r="H1695" i="39"/>
  <c r="H1696" i="39"/>
  <c r="H1697" i="39"/>
  <c r="H1698" i="39"/>
  <c r="H1699" i="39"/>
  <c r="H1700" i="39"/>
  <c r="H1701" i="39"/>
  <c r="H1702" i="39"/>
  <c r="H1703" i="39"/>
  <c r="H1704" i="39"/>
  <c r="H1705" i="39"/>
  <c r="H1706" i="39"/>
  <c r="H1707" i="39"/>
  <c r="H1708" i="39"/>
  <c r="H1709" i="39"/>
  <c r="H1710" i="39"/>
  <c r="H1711" i="39"/>
  <c r="H1712" i="39"/>
  <c r="H1713" i="39"/>
  <c r="H1714" i="39"/>
  <c r="H1715" i="39"/>
  <c r="H1716" i="39"/>
  <c r="H1717" i="39"/>
  <c r="H1718" i="39"/>
  <c r="H1719" i="39"/>
  <c r="H1720" i="39"/>
  <c r="H1721" i="39"/>
  <c r="H1722" i="39"/>
  <c r="H1723" i="39"/>
  <c r="H1724" i="39"/>
  <c r="H1725" i="39"/>
  <c r="H1726" i="39"/>
  <c r="H1727" i="39"/>
  <c r="H1728" i="39"/>
  <c r="H1729" i="39"/>
  <c r="H1730" i="39"/>
  <c r="H1731" i="39"/>
  <c r="H1732" i="39"/>
  <c r="H1733" i="39"/>
  <c r="H1734" i="39"/>
  <c r="H1735" i="39"/>
  <c r="H1736" i="39"/>
  <c r="H1737" i="39"/>
  <c r="H1738" i="39"/>
  <c r="H1739" i="39"/>
  <c r="H1740" i="39"/>
  <c r="H1741" i="39"/>
  <c r="H1742" i="39"/>
  <c r="H1743" i="39"/>
  <c r="H1744" i="39"/>
  <c r="H1745" i="39"/>
  <c r="H1746" i="39"/>
  <c r="H1747" i="39"/>
  <c r="H1748" i="39"/>
  <c r="H1749" i="39"/>
  <c r="H1750" i="39"/>
  <c r="H1751" i="39"/>
  <c r="H1752" i="39"/>
  <c r="H1753" i="39"/>
  <c r="H1754" i="39"/>
  <c r="H1755" i="39"/>
  <c r="H1756" i="39"/>
  <c r="H1757" i="39"/>
  <c r="H1508" i="39"/>
  <c r="H1009" i="39"/>
  <c r="H1010" i="39"/>
  <c r="H1011" i="39"/>
  <c r="H1012" i="39"/>
  <c r="H1013" i="39"/>
  <c r="H1014" i="39"/>
  <c r="H1015" i="39"/>
  <c r="H1016" i="39"/>
  <c r="H1017" i="39"/>
  <c r="H1018" i="39"/>
  <c r="H1019" i="39"/>
  <c r="H1020" i="39"/>
  <c r="H1021" i="39"/>
  <c r="H1022" i="39"/>
  <c r="H1023" i="39"/>
  <c r="H1024" i="39"/>
  <c r="H1025" i="39"/>
  <c r="H1026" i="39"/>
  <c r="H1027" i="39"/>
  <c r="H1028" i="39"/>
  <c r="H1029" i="39"/>
  <c r="H1030" i="39"/>
  <c r="H1031" i="39"/>
  <c r="H1032" i="39"/>
  <c r="H1033" i="39"/>
  <c r="H1034" i="39"/>
  <c r="H1035" i="39"/>
  <c r="H1036" i="39"/>
  <c r="H1037" i="39"/>
  <c r="H1038" i="39"/>
  <c r="H1039" i="39"/>
  <c r="H1040" i="39"/>
  <c r="H1041" i="39"/>
  <c r="H1042" i="39"/>
  <c r="H1043" i="39"/>
  <c r="H1044" i="39"/>
  <c r="H1045" i="39"/>
  <c r="H1046" i="39"/>
  <c r="H1047" i="39"/>
  <c r="H1048" i="39"/>
  <c r="H1049" i="39"/>
  <c r="H1050" i="39"/>
  <c r="H1051" i="39"/>
  <c r="H1052" i="39"/>
  <c r="H1053" i="39"/>
  <c r="H1054" i="39"/>
  <c r="H1055" i="39"/>
  <c r="H1056" i="39"/>
  <c r="H1057" i="39"/>
  <c r="H1058" i="39"/>
  <c r="H1059" i="39"/>
  <c r="H1060" i="39"/>
  <c r="H1061" i="39"/>
  <c r="H1062" i="39"/>
  <c r="H1063" i="39"/>
  <c r="H1064" i="39"/>
  <c r="H1065" i="39"/>
  <c r="H1066" i="39"/>
  <c r="H1067" i="39"/>
  <c r="H1068" i="39"/>
  <c r="H1069" i="39"/>
  <c r="H1070" i="39"/>
  <c r="H1071" i="39"/>
  <c r="H1072" i="39"/>
  <c r="H1073" i="39"/>
  <c r="H1074" i="39"/>
  <c r="H1075" i="39"/>
  <c r="H1076" i="39"/>
  <c r="H1077" i="39"/>
  <c r="H1078" i="39"/>
  <c r="H1079" i="39"/>
  <c r="H1080" i="39"/>
  <c r="H1081" i="39"/>
  <c r="H1082" i="39"/>
  <c r="H1083" i="39"/>
  <c r="H1084" i="39"/>
  <c r="H1085" i="39"/>
  <c r="H1086" i="39"/>
  <c r="H1087" i="39"/>
  <c r="H1088" i="39"/>
  <c r="H1089" i="39"/>
  <c r="H1090" i="39"/>
  <c r="H1091" i="39"/>
  <c r="H1092" i="39"/>
  <c r="H1093" i="39"/>
  <c r="H1094" i="39"/>
  <c r="H1095" i="39"/>
  <c r="H1096" i="39"/>
  <c r="H1097" i="39"/>
  <c r="H1098" i="39"/>
  <c r="H1099" i="39"/>
  <c r="H1100" i="39"/>
  <c r="H1101" i="39"/>
  <c r="H1102" i="39"/>
  <c r="H1103" i="39"/>
  <c r="H1104" i="39"/>
  <c r="H1105" i="39"/>
  <c r="H1106" i="39"/>
  <c r="H1107" i="39"/>
  <c r="H1108" i="39"/>
  <c r="H1109" i="39"/>
  <c r="H1110" i="39"/>
  <c r="H1111" i="39"/>
  <c r="H1112" i="39"/>
  <c r="H1113" i="39"/>
  <c r="H1114" i="39"/>
  <c r="H1115" i="39"/>
  <c r="H1116" i="39"/>
  <c r="H1117" i="39"/>
  <c r="H1118" i="39"/>
  <c r="H1119" i="39"/>
  <c r="H1120" i="39"/>
  <c r="H1121" i="39"/>
  <c r="H1122" i="39"/>
  <c r="H1123" i="39"/>
  <c r="H1124" i="39"/>
  <c r="H1125" i="39"/>
  <c r="H1126" i="39"/>
  <c r="H1127" i="39"/>
  <c r="H1128" i="39"/>
  <c r="H1129" i="39"/>
  <c r="H1130" i="39"/>
  <c r="H1131" i="39"/>
  <c r="H1132" i="39"/>
  <c r="H1133" i="39"/>
  <c r="H1134" i="39"/>
  <c r="H1135" i="39"/>
  <c r="H1136" i="39"/>
  <c r="H1137" i="39"/>
  <c r="H1138" i="39"/>
  <c r="H1139" i="39"/>
  <c r="H1140" i="39"/>
  <c r="H1141" i="39"/>
  <c r="H1142" i="39"/>
  <c r="H1143" i="39"/>
  <c r="H1144" i="39"/>
  <c r="H1145" i="39"/>
  <c r="H1146" i="39"/>
  <c r="H1147" i="39"/>
  <c r="H1148" i="39"/>
  <c r="H1149" i="39"/>
  <c r="H1150" i="39"/>
  <c r="H1151" i="39"/>
  <c r="H1152" i="39"/>
  <c r="H1153" i="39"/>
  <c r="H1154" i="39"/>
  <c r="H1155" i="39"/>
  <c r="H1156" i="39"/>
  <c r="H1157" i="39"/>
  <c r="H1158" i="39"/>
  <c r="H1159" i="39"/>
  <c r="H1160" i="39"/>
  <c r="H1161" i="39"/>
  <c r="H1162" i="39"/>
  <c r="H1163" i="39"/>
  <c r="H1164" i="39"/>
  <c r="H1165" i="39"/>
  <c r="H1166" i="39"/>
  <c r="H1167" i="39"/>
  <c r="H1168" i="39"/>
  <c r="H1169" i="39"/>
  <c r="H1170" i="39"/>
  <c r="H1171" i="39"/>
  <c r="H1172" i="39"/>
  <c r="H1173" i="39"/>
  <c r="H1174" i="39"/>
  <c r="H1175" i="39"/>
  <c r="H1176" i="39"/>
  <c r="H1177" i="39"/>
  <c r="H1178" i="39"/>
  <c r="H1179" i="39"/>
  <c r="H1180" i="39"/>
  <c r="H1181" i="39"/>
  <c r="H1182" i="39"/>
  <c r="H1183" i="39"/>
  <c r="H1184" i="39"/>
  <c r="H1185" i="39"/>
  <c r="H1186" i="39"/>
  <c r="H1187" i="39"/>
  <c r="H1188" i="39"/>
  <c r="H1189" i="39"/>
  <c r="H1190" i="39"/>
  <c r="H1191" i="39"/>
  <c r="H1192" i="39"/>
  <c r="H1193" i="39"/>
  <c r="H1194" i="39"/>
  <c r="H1195" i="39"/>
  <c r="H1196" i="39"/>
  <c r="H1197" i="39"/>
  <c r="H1198" i="39"/>
  <c r="H1199" i="39"/>
  <c r="H1200" i="39"/>
  <c r="H1201" i="39"/>
  <c r="H1202" i="39"/>
  <c r="H1203" i="39"/>
  <c r="H1204" i="39"/>
  <c r="H1205" i="39"/>
  <c r="H1206" i="39"/>
  <c r="H1207" i="39"/>
  <c r="H1208" i="39"/>
  <c r="H1209" i="39"/>
  <c r="H1210" i="39"/>
  <c r="H1211" i="39"/>
  <c r="H1212" i="39"/>
  <c r="H1213" i="39"/>
  <c r="H1214" i="39"/>
  <c r="H1215" i="39"/>
  <c r="H1216" i="39"/>
  <c r="H1217" i="39"/>
  <c r="H1218" i="39"/>
  <c r="H1219" i="39"/>
  <c r="H1220" i="39"/>
  <c r="H1221" i="39"/>
  <c r="H1222" i="39"/>
  <c r="H1223" i="39"/>
  <c r="H1224" i="39"/>
  <c r="H1225" i="39"/>
  <c r="H1226" i="39"/>
  <c r="H1227" i="39"/>
  <c r="H1228" i="39"/>
  <c r="H1229" i="39"/>
  <c r="H1230" i="39"/>
  <c r="H1231" i="39"/>
  <c r="H1232" i="39"/>
  <c r="H1233" i="39"/>
  <c r="H1234" i="39"/>
  <c r="H1235" i="39"/>
  <c r="H1236" i="39"/>
  <c r="H1237" i="39"/>
  <c r="H1238" i="39"/>
  <c r="H1239" i="39"/>
  <c r="H1240" i="39"/>
  <c r="H1241" i="39"/>
  <c r="H1242" i="39"/>
  <c r="H1243" i="39"/>
  <c r="H1244" i="39"/>
  <c r="H1245" i="39"/>
  <c r="H1246" i="39"/>
  <c r="H1247" i="39"/>
  <c r="H1248" i="39"/>
  <c r="H1249" i="39"/>
  <c r="H1250" i="39"/>
  <c r="H1251" i="39"/>
  <c r="H1252" i="39"/>
  <c r="H1253" i="39"/>
  <c r="H1254" i="39"/>
  <c r="H1255" i="39"/>
  <c r="H1256" i="39"/>
  <c r="H1257" i="39"/>
  <c r="H1008" i="39"/>
  <c r="H759" i="39"/>
  <c r="H760" i="39"/>
  <c r="H761" i="39"/>
  <c r="H762" i="39"/>
  <c r="H763" i="39"/>
  <c r="H764" i="39"/>
  <c r="H765" i="39"/>
  <c r="H766" i="39"/>
  <c r="H767" i="39"/>
  <c r="H768" i="39"/>
  <c r="H769" i="39"/>
  <c r="H770" i="39"/>
  <c r="H771" i="39"/>
  <c r="H772" i="39"/>
  <c r="H773" i="39"/>
  <c r="H774" i="39"/>
  <c r="H775" i="39"/>
  <c r="H776" i="39"/>
  <c r="H777" i="39"/>
  <c r="H778" i="39"/>
  <c r="H779" i="39"/>
  <c r="H780" i="39"/>
  <c r="H781" i="39"/>
  <c r="H782" i="39"/>
  <c r="H783" i="39"/>
  <c r="H784" i="39"/>
  <c r="H785" i="39"/>
  <c r="H786" i="39"/>
  <c r="H787" i="39"/>
  <c r="H788" i="39"/>
  <c r="H789" i="39"/>
  <c r="H790" i="39"/>
  <c r="H791" i="39"/>
  <c r="H792" i="39"/>
  <c r="H793" i="39"/>
  <c r="H794" i="39"/>
  <c r="H795" i="39"/>
  <c r="H796" i="39"/>
  <c r="H797" i="39"/>
  <c r="H798" i="39"/>
  <c r="H799" i="39"/>
  <c r="H800" i="39"/>
  <c r="H801" i="39"/>
  <c r="H802" i="39"/>
  <c r="H803" i="39"/>
  <c r="H804" i="39"/>
  <c r="H805" i="39"/>
  <c r="H806" i="39"/>
  <c r="H807" i="39"/>
  <c r="H808" i="39"/>
  <c r="H809" i="39"/>
  <c r="H810" i="39"/>
  <c r="H811" i="39"/>
  <c r="H812" i="39"/>
  <c r="H813" i="39"/>
  <c r="H814" i="39"/>
  <c r="H815" i="39"/>
  <c r="H816" i="39"/>
  <c r="H817" i="39"/>
  <c r="H818" i="39"/>
  <c r="H819" i="39"/>
  <c r="H820" i="39"/>
  <c r="H821" i="39"/>
  <c r="H822" i="39"/>
  <c r="H823" i="39"/>
  <c r="H824" i="39"/>
  <c r="H825" i="39"/>
  <c r="H826" i="39"/>
  <c r="H827" i="39"/>
  <c r="H828" i="39"/>
  <c r="H829" i="39"/>
  <c r="H830" i="39"/>
  <c r="H831" i="39"/>
  <c r="H832" i="39"/>
  <c r="H833" i="39"/>
  <c r="H834" i="39"/>
  <c r="H835" i="39"/>
  <c r="H836" i="39"/>
  <c r="H837" i="39"/>
  <c r="H838" i="39"/>
  <c r="H839" i="39"/>
  <c r="H840" i="39"/>
  <c r="H841" i="39"/>
  <c r="H842" i="39"/>
  <c r="H843" i="39"/>
  <c r="H844" i="39"/>
  <c r="H845" i="39"/>
  <c r="H846" i="39"/>
  <c r="H847" i="39"/>
  <c r="H848" i="39"/>
  <c r="H849" i="39"/>
  <c r="H850" i="39"/>
  <c r="H851" i="39"/>
  <c r="H852" i="39"/>
  <c r="H853" i="39"/>
  <c r="H854" i="39"/>
  <c r="H855" i="39"/>
  <c r="H856" i="39"/>
  <c r="H857" i="39"/>
  <c r="H858" i="39"/>
  <c r="H859" i="39"/>
  <c r="H860" i="39"/>
  <c r="H861" i="39"/>
  <c r="H862" i="39"/>
  <c r="H863" i="39"/>
  <c r="H864" i="39"/>
  <c r="H865" i="39"/>
  <c r="H866" i="39"/>
  <c r="H867" i="39"/>
  <c r="H868" i="39"/>
  <c r="H869" i="39"/>
  <c r="H870" i="39"/>
  <c r="H871" i="39"/>
  <c r="H872" i="39"/>
  <c r="H873" i="39"/>
  <c r="H874" i="39"/>
  <c r="H875" i="39"/>
  <c r="H876" i="39"/>
  <c r="H877" i="39"/>
  <c r="H878" i="39"/>
  <c r="H879" i="39"/>
  <c r="H880" i="39"/>
  <c r="H881" i="39"/>
  <c r="H882" i="39"/>
  <c r="H883" i="39"/>
  <c r="H884" i="39"/>
  <c r="H885" i="39"/>
  <c r="H886" i="39"/>
  <c r="H887" i="39"/>
  <c r="H888" i="39"/>
  <c r="H889" i="39"/>
  <c r="H890" i="39"/>
  <c r="H891" i="39"/>
  <c r="H892" i="39"/>
  <c r="H893" i="39"/>
  <c r="H894" i="39"/>
  <c r="H895" i="39"/>
  <c r="H896" i="39"/>
  <c r="H897" i="39"/>
  <c r="H898" i="39"/>
  <c r="H899" i="39"/>
  <c r="H900" i="39"/>
  <c r="H901" i="39"/>
  <c r="H902" i="39"/>
  <c r="H903" i="39"/>
  <c r="H904" i="39"/>
  <c r="H905" i="39"/>
  <c r="H906" i="39"/>
  <c r="H907" i="39"/>
  <c r="H908" i="39"/>
  <c r="H909" i="39"/>
  <c r="H910" i="39"/>
  <c r="H911" i="39"/>
  <c r="H912" i="39"/>
  <c r="H913" i="39"/>
  <c r="H914" i="39"/>
  <c r="H915" i="39"/>
  <c r="H916" i="39"/>
  <c r="H917" i="39"/>
  <c r="H918" i="39"/>
  <c r="H919" i="39"/>
  <c r="H920" i="39"/>
  <c r="H921" i="39"/>
  <c r="H922" i="39"/>
  <c r="H923" i="39"/>
  <c r="H924" i="39"/>
  <c r="H925" i="39"/>
  <c r="H926" i="39"/>
  <c r="H927" i="39"/>
  <c r="H928" i="39"/>
  <c r="H929" i="39"/>
  <c r="H930" i="39"/>
  <c r="H931" i="39"/>
  <c r="H932" i="39"/>
  <c r="H933" i="39"/>
  <c r="H934" i="39"/>
  <c r="H935" i="39"/>
  <c r="H936" i="39"/>
  <c r="H937" i="39"/>
  <c r="H938" i="39"/>
  <c r="H939" i="39"/>
  <c r="H940" i="39"/>
  <c r="H941" i="39"/>
  <c r="H942" i="39"/>
  <c r="H943" i="39"/>
  <c r="H944" i="39"/>
  <c r="H945" i="39"/>
  <c r="H946" i="39"/>
  <c r="H947" i="39"/>
  <c r="H948" i="39"/>
  <c r="H949" i="39"/>
  <c r="H950" i="39"/>
  <c r="H951" i="39"/>
  <c r="H952" i="39"/>
  <c r="H953" i="39"/>
  <c r="H954" i="39"/>
  <c r="H955" i="39"/>
  <c r="H956" i="39"/>
  <c r="H957" i="39"/>
  <c r="H958" i="39"/>
  <c r="H959" i="39"/>
  <c r="H960" i="39"/>
  <c r="H961" i="39"/>
  <c r="H962" i="39"/>
  <c r="H963" i="39"/>
  <c r="H964" i="39"/>
  <c r="H965" i="39"/>
  <c r="H966" i="39"/>
  <c r="H967" i="39"/>
  <c r="H968" i="39"/>
  <c r="H969" i="39"/>
  <c r="H970" i="39"/>
  <c r="H971" i="39"/>
  <c r="H972" i="39"/>
  <c r="H973" i="39"/>
  <c r="H974" i="39"/>
  <c r="H975" i="39"/>
  <c r="H976" i="39"/>
  <c r="H977" i="39"/>
  <c r="H978" i="39"/>
  <c r="H979" i="39"/>
  <c r="H980" i="39"/>
  <c r="H981" i="39"/>
  <c r="H982" i="39"/>
  <c r="H983" i="39"/>
  <c r="H984" i="39"/>
  <c r="H985" i="39"/>
  <c r="H986" i="39"/>
  <c r="H987" i="39"/>
  <c r="H988" i="39"/>
  <c r="H989" i="39"/>
  <c r="H990" i="39"/>
  <c r="H991" i="39"/>
  <c r="H992" i="39"/>
  <c r="H993" i="39"/>
  <c r="H994" i="39"/>
  <c r="H995" i="39"/>
  <c r="H996" i="39"/>
  <c r="H997" i="39"/>
  <c r="H998" i="39"/>
  <c r="H999" i="39"/>
  <c r="H1000" i="39"/>
  <c r="H1001" i="39"/>
  <c r="H1002" i="39"/>
  <c r="H1003" i="39"/>
  <c r="H1004" i="39"/>
  <c r="H1005" i="39"/>
  <c r="H1006" i="39"/>
  <c r="H1007" i="39"/>
  <c r="H758" i="39"/>
  <c r="H509" i="39"/>
  <c r="H510" i="39"/>
  <c r="H511" i="39"/>
  <c r="H512" i="39"/>
  <c r="H513" i="39"/>
  <c r="H514" i="39"/>
  <c r="H515" i="39"/>
  <c r="H516" i="39"/>
  <c r="H517" i="39"/>
  <c r="H518" i="39"/>
  <c r="H519" i="39"/>
  <c r="H520" i="39"/>
  <c r="H521" i="39"/>
  <c r="H522" i="39"/>
  <c r="H523" i="39"/>
  <c r="H524" i="39"/>
  <c r="H525" i="39"/>
  <c r="H526" i="39"/>
  <c r="H527" i="39"/>
  <c r="H528" i="39"/>
  <c r="H529" i="39"/>
  <c r="H530" i="39"/>
  <c r="H531" i="39"/>
  <c r="H532" i="39"/>
  <c r="H533" i="39"/>
  <c r="H534" i="39"/>
  <c r="H535" i="39"/>
  <c r="H536" i="39"/>
  <c r="H537" i="39"/>
  <c r="H538" i="39"/>
  <c r="H539" i="39"/>
  <c r="H540" i="39"/>
  <c r="H541" i="39"/>
  <c r="H542" i="39"/>
  <c r="H543" i="39"/>
  <c r="H544" i="39"/>
  <c r="H545" i="39"/>
  <c r="H546" i="39"/>
  <c r="H547" i="39"/>
  <c r="H548" i="39"/>
  <c r="H549" i="39"/>
  <c r="H550" i="39"/>
  <c r="H551" i="39"/>
  <c r="H552" i="39"/>
  <c r="H553" i="39"/>
  <c r="H554" i="39"/>
  <c r="H555" i="39"/>
  <c r="H556" i="39"/>
  <c r="H557" i="39"/>
  <c r="H558" i="39"/>
  <c r="H559" i="39"/>
  <c r="H560" i="39"/>
  <c r="H561" i="39"/>
  <c r="H562" i="39"/>
  <c r="H563" i="39"/>
  <c r="H564" i="39"/>
  <c r="H565" i="39"/>
  <c r="H566" i="39"/>
  <c r="H567" i="39"/>
  <c r="H568" i="39"/>
  <c r="H569" i="39"/>
  <c r="H570" i="39"/>
  <c r="H571" i="39"/>
  <c r="H572" i="39"/>
  <c r="H573" i="39"/>
  <c r="H574" i="39"/>
  <c r="H575" i="39"/>
  <c r="H576" i="39"/>
  <c r="H577" i="39"/>
  <c r="H578" i="39"/>
  <c r="H579" i="39"/>
  <c r="H580" i="39"/>
  <c r="H581" i="39"/>
  <c r="H582" i="39"/>
  <c r="H583" i="39"/>
  <c r="H584" i="39"/>
  <c r="H585" i="39"/>
  <c r="H586" i="39"/>
  <c r="H587" i="39"/>
  <c r="H588" i="39"/>
  <c r="H589" i="39"/>
  <c r="H590" i="39"/>
  <c r="H591" i="39"/>
  <c r="H592" i="39"/>
  <c r="H593" i="39"/>
  <c r="H594" i="39"/>
  <c r="H595" i="39"/>
  <c r="H596" i="39"/>
  <c r="H597" i="39"/>
  <c r="H598" i="39"/>
  <c r="H599" i="39"/>
  <c r="H600" i="39"/>
  <c r="H601" i="39"/>
  <c r="H602" i="39"/>
  <c r="H603" i="39"/>
  <c r="H604" i="39"/>
  <c r="H605" i="39"/>
  <c r="H606" i="39"/>
  <c r="H607" i="39"/>
  <c r="H608" i="39"/>
  <c r="H609" i="39"/>
  <c r="H610" i="39"/>
  <c r="H611" i="39"/>
  <c r="H612" i="39"/>
  <c r="H613" i="39"/>
  <c r="H614" i="39"/>
  <c r="H615" i="39"/>
  <c r="H616" i="39"/>
  <c r="H617" i="39"/>
  <c r="H618" i="39"/>
  <c r="H619" i="39"/>
  <c r="H620" i="39"/>
  <c r="H621" i="39"/>
  <c r="H622" i="39"/>
  <c r="H623" i="39"/>
  <c r="H624" i="39"/>
  <c r="H625" i="39"/>
  <c r="H626" i="39"/>
  <c r="H627" i="39"/>
  <c r="H628" i="39"/>
  <c r="H629" i="39"/>
  <c r="H630" i="39"/>
  <c r="H631" i="39"/>
  <c r="H632" i="39"/>
  <c r="H633" i="39"/>
  <c r="H634" i="39"/>
  <c r="H635" i="39"/>
  <c r="H636" i="39"/>
  <c r="H637" i="39"/>
  <c r="H638" i="39"/>
  <c r="H639" i="39"/>
  <c r="H640" i="39"/>
  <c r="H641" i="39"/>
  <c r="H642" i="39"/>
  <c r="H643" i="39"/>
  <c r="H644" i="39"/>
  <c r="H645" i="39"/>
  <c r="H646" i="39"/>
  <c r="H647" i="39"/>
  <c r="H648" i="39"/>
  <c r="H649" i="39"/>
  <c r="H650" i="39"/>
  <c r="H651" i="39"/>
  <c r="H652" i="39"/>
  <c r="H653" i="39"/>
  <c r="H654" i="39"/>
  <c r="H655" i="39"/>
  <c r="H656" i="39"/>
  <c r="H657" i="39"/>
  <c r="H658" i="39"/>
  <c r="H659" i="39"/>
  <c r="H660" i="39"/>
  <c r="H661" i="39"/>
  <c r="H662" i="39"/>
  <c r="H663" i="39"/>
  <c r="H664" i="39"/>
  <c r="H665" i="39"/>
  <c r="H666" i="39"/>
  <c r="H667" i="39"/>
  <c r="H668" i="39"/>
  <c r="H669" i="39"/>
  <c r="H670" i="39"/>
  <c r="H671" i="39"/>
  <c r="H672" i="39"/>
  <c r="H673" i="39"/>
  <c r="H674" i="39"/>
  <c r="H675" i="39"/>
  <c r="H676" i="39"/>
  <c r="H677" i="39"/>
  <c r="H678" i="39"/>
  <c r="H679" i="39"/>
  <c r="H680" i="39"/>
  <c r="H681" i="39"/>
  <c r="H682" i="39"/>
  <c r="H683" i="39"/>
  <c r="H684" i="39"/>
  <c r="H685" i="39"/>
  <c r="H686" i="39"/>
  <c r="H687" i="39"/>
  <c r="H688" i="39"/>
  <c r="H689" i="39"/>
  <c r="H690" i="39"/>
  <c r="H691" i="39"/>
  <c r="H692" i="39"/>
  <c r="H693" i="39"/>
  <c r="H694" i="39"/>
  <c r="H695" i="39"/>
  <c r="H696" i="39"/>
  <c r="H697" i="39"/>
  <c r="H698" i="39"/>
  <c r="H699" i="39"/>
  <c r="H700" i="39"/>
  <c r="H701" i="39"/>
  <c r="H702" i="39"/>
  <c r="H703" i="39"/>
  <c r="H704" i="39"/>
  <c r="H705" i="39"/>
  <c r="H706" i="39"/>
  <c r="H707" i="39"/>
  <c r="H708" i="39"/>
  <c r="H709" i="39"/>
  <c r="H710" i="39"/>
  <c r="H711" i="39"/>
  <c r="H712" i="39"/>
  <c r="H713" i="39"/>
  <c r="H714" i="39"/>
  <c r="H715" i="39"/>
  <c r="H716" i="39"/>
  <c r="H717" i="39"/>
  <c r="H718" i="39"/>
  <c r="H719" i="39"/>
  <c r="H720" i="39"/>
  <c r="H721" i="39"/>
  <c r="H722" i="39"/>
  <c r="H723" i="39"/>
  <c r="H724" i="39"/>
  <c r="H725" i="39"/>
  <c r="H726" i="39"/>
  <c r="H727" i="39"/>
  <c r="H728" i="39"/>
  <c r="H729" i="39"/>
  <c r="H730" i="39"/>
  <c r="H731" i="39"/>
  <c r="H732" i="39"/>
  <c r="H733" i="39"/>
  <c r="H734" i="39"/>
  <c r="H735" i="39"/>
  <c r="H736" i="39"/>
  <c r="H737" i="39"/>
  <c r="H738" i="39"/>
  <c r="H739" i="39"/>
  <c r="H740" i="39"/>
  <c r="H741" i="39"/>
  <c r="H742" i="39"/>
  <c r="H743" i="39"/>
  <c r="H744" i="39"/>
  <c r="H745" i="39"/>
  <c r="H746" i="39"/>
  <c r="H747" i="39"/>
  <c r="H748" i="39"/>
  <c r="H749" i="39"/>
  <c r="H750" i="39"/>
  <c r="H751" i="39"/>
  <c r="H752" i="39"/>
  <c r="H753" i="39"/>
  <c r="H754" i="39"/>
  <c r="H755" i="39"/>
  <c r="H756" i="39"/>
  <c r="H757" i="39"/>
  <c r="H508" i="39"/>
  <c r="H259" i="39"/>
  <c r="H260" i="39"/>
  <c r="H261" i="39"/>
  <c r="H262" i="39"/>
  <c r="H263" i="39"/>
  <c r="H264" i="39"/>
  <c r="H265" i="39"/>
  <c r="H266" i="39"/>
  <c r="H267" i="39"/>
  <c r="H268" i="39"/>
  <c r="H269" i="39"/>
  <c r="H270" i="39"/>
  <c r="H271" i="39"/>
  <c r="H272" i="39"/>
  <c r="H273" i="39"/>
  <c r="H274" i="39"/>
  <c r="H275" i="39"/>
  <c r="H276" i="39"/>
  <c r="H277" i="39"/>
  <c r="H278" i="39"/>
  <c r="H279" i="39"/>
  <c r="H280" i="39"/>
  <c r="H281" i="39"/>
  <c r="H282" i="39"/>
  <c r="H283" i="39"/>
  <c r="H284" i="39"/>
  <c r="H285" i="39"/>
  <c r="H286" i="39"/>
  <c r="H287" i="39"/>
  <c r="H288" i="39"/>
  <c r="H289" i="39"/>
  <c r="H290" i="39"/>
  <c r="H291" i="39"/>
  <c r="H292" i="39"/>
  <c r="H293" i="39"/>
  <c r="H294" i="39"/>
  <c r="H295" i="39"/>
  <c r="H296" i="39"/>
  <c r="H297" i="39"/>
  <c r="H298" i="39"/>
  <c r="H299" i="39"/>
  <c r="H300" i="39"/>
  <c r="H301" i="39"/>
  <c r="H302" i="39"/>
  <c r="H303" i="39"/>
  <c r="H304" i="39"/>
  <c r="H305" i="39"/>
  <c r="H306" i="39"/>
  <c r="H307" i="39"/>
  <c r="H308" i="39"/>
  <c r="H309" i="39"/>
  <c r="H310" i="39"/>
  <c r="H311" i="39"/>
  <c r="H312" i="39"/>
  <c r="H313" i="39"/>
  <c r="H314" i="39"/>
  <c r="H315" i="39"/>
  <c r="H316" i="39"/>
  <c r="H317" i="39"/>
  <c r="H318" i="39"/>
  <c r="H319" i="39"/>
  <c r="H320" i="39"/>
  <c r="H321" i="39"/>
  <c r="H322" i="39"/>
  <c r="H323" i="39"/>
  <c r="H324" i="39"/>
  <c r="H325" i="39"/>
  <c r="H326" i="39"/>
  <c r="H327" i="39"/>
  <c r="H328" i="39"/>
  <c r="H329" i="39"/>
  <c r="H330" i="39"/>
  <c r="H331" i="39"/>
  <c r="H332" i="39"/>
  <c r="H333" i="39"/>
  <c r="H334" i="39"/>
  <c r="H335" i="39"/>
  <c r="H336" i="39"/>
  <c r="H337" i="39"/>
  <c r="H338" i="39"/>
  <c r="H339" i="39"/>
  <c r="H340" i="39"/>
  <c r="H341" i="39"/>
  <c r="H342" i="39"/>
  <c r="H343" i="39"/>
  <c r="H344" i="39"/>
  <c r="H345" i="39"/>
  <c r="H346" i="39"/>
  <c r="H347" i="39"/>
  <c r="H348" i="39"/>
  <c r="H349" i="39"/>
  <c r="H350" i="39"/>
  <c r="H351" i="39"/>
  <c r="H352" i="39"/>
  <c r="H353" i="39"/>
  <c r="H354" i="39"/>
  <c r="H355" i="39"/>
  <c r="H356" i="39"/>
  <c r="H357" i="39"/>
  <c r="H358" i="39"/>
  <c r="H359" i="39"/>
  <c r="H360" i="39"/>
  <c r="H361" i="39"/>
  <c r="H362" i="39"/>
  <c r="H363" i="39"/>
  <c r="H364" i="39"/>
  <c r="H365" i="39"/>
  <c r="H366" i="39"/>
  <c r="H367" i="39"/>
  <c r="H368" i="39"/>
  <c r="H369" i="39"/>
  <c r="H370" i="39"/>
  <c r="H371" i="39"/>
  <c r="H372" i="39"/>
  <c r="H373" i="39"/>
  <c r="H374" i="39"/>
  <c r="H375" i="39"/>
  <c r="H376" i="39"/>
  <c r="H377" i="39"/>
  <c r="H378" i="39"/>
  <c r="H379" i="39"/>
  <c r="H380" i="39"/>
  <c r="H381" i="39"/>
  <c r="H382" i="39"/>
  <c r="H383" i="39"/>
  <c r="H384" i="39"/>
  <c r="H385" i="39"/>
  <c r="H386" i="39"/>
  <c r="H387" i="39"/>
  <c r="H388" i="39"/>
  <c r="H389" i="39"/>
  <c r="H390" i="39"/>
  <c r="H391" i="39"/>
  <c r="H392" i="39"/>
  <c r="H393" i="39"/>
  <c r="H394" i="39"/>
  <c r="H395" i="39"/>
  <c r="H396" i="39"/>
  <c r="H397" i="39"/>
  <c r="H398" i="39"/>
  <c r="H399" i="39"/>
  <c r="H400" i="39"/>
  <c r="H401" i="39"/>
  <c r="H402" i="39"/>
  <c r="H403" i="39"/>
  <c r="H404" i="39"/>
  <c r="H405" i="39"/>
  <c r="H406" i="39"/>
  <c r="H407" i="39"/>
  <c r="H408" i="39"/>
  <c r="H409" i="39"/>
  <c r="H410" i="39"/>
  <c r="H411" i="39"/>
  <c r="H412" i="39"/>
  <c r="H413" i="39"/>
  <c r="H414" i="39"/>
  <c r="H415" i="39"/>
  <c r="H416" i="39"/>
  <c r="H417" i="39"/>
  <c r="H418" i="39"/>
  <c r="H419" i="39"/>
  <c r="H420" i="39"/>
  <c r="H421" i="39"/>
  <c r="H422" i="39"/>
  <c r="H423" i="39"/>
  <c r="H424" i="39"/>
  <c r="H425" i="39"/>
  <c r="H426" i="39"/>
  <c r="H427" i="39"/>
  <c r="H428" i="39"/>
  <c r="H429" i="39"/>
  <c r="H430" i="39"/>
  <c r="H431" i="39"/>
  <c r="H432" i="39"/>
  <c r="H433" i="39"/>
  <c r="H434" i="39"/>
  <c r="H435" i="39"/>
  <c r="H436" i="39"/>
  <c r="H437" i="39"/>
  <c r="H438" i="39"/>
  <c r="H439" i="39"/>
  <c r="H440" i="39"/>
  <c r="H441" i="39"/>
  <c r="H442" i="39"/>
  <c r="H443" i="39"/>
  <c r="H444" i="39"/>
  <c r="H445" i="39"/>
  <c r="H446" i="39"/>
  <c r="H447" i="39"/>
  <c r="H448" i="39"/>
  <c r="H449" i="39"/>
  <c r="H450" i="39"/>
  <c r="H451" i="39"/>
  <c r="H452" i="39"/>
  <c r="H453" i="39"/>
  <c r="H454" i="39"/>
  <c r="H455" i="39"/>
  <c r="H456" i="39"/>
  <c r="H457" i="39"/>
  <c r="H458" i="39"/>
  <c r="H459" i="39"/>
  <c r="H460" i="39"/>
  <c r="H461" i="39"/>
  <c r="H462" i="39"/>
  <c r="H463" i="39"/>
  <c r="H464" i="39"/>
  <c r="H465" i="39"/>
  <c r="H466" i="39"/>
  <c r="H467" i="39"/>
  <c r="H468" i="39"/>
  <c r="H469" i="39"/>
  <c r="H470" i="39"/>
  <c r="H471" i="39"/>
  <c r="H472" i="39"/>
  <c r="H473" i="39"/>
  <c r="H474" i="39"/>
  <c r="H475" i="39"/>
  <c r="H476" i="39"/>
  <c r="H477" i="39"/>
  <c r="H478" i="39"/>
  <c r="H479" i="39"/>
  <c r="H480" i="39"/>
  <c r="H481" i="39"/>
  <c r="H482" i="39"/>
  <c r="H483" i="39"/>
  <c r="H484" i="39"/>
  <c r="H485" i="39"/>
  <c r="H486" i="39"/>
  <c r="H487" i="39"/>
  <c r="H488" i="39"/>
  <c r="H489" i="39"/>
  <c r="H490" i="39"/>
  <c r="H491" i="39"/>
  <c r="H492" i="39"/>
  <c r="H493" i="39"/>
  <c r="H494" i="39"/>
  <c r="H495" i="39"/>
  <c r="H496" i="39"/>
  <c r="H497" i="39"/>
  <c r="H498" i="39"/>
  <c r="H499" i="39"/>
  <c r="H500" i="39"/>
  <c r="H501" i="39"/>
  <c r="H502" i="39"/>
  <c r="H503" i="39"/>
  <c r="H504" i="39"/>
  <c r="H505" i="39"/>
  <c r="H506" i="39"/>
  <c r="H507" i="39"/>
  <c r="H258" i="39"/>
  <c r="H9" i="39"/>
  <c r="H10" i="39"/>
  <c r="H11" i="39"/>
  <c r="H12" i="39"/>
  <c r="H13" i="39"/>
  <c r="H14" i="39"/>
  <c r="H15" i="39"/>
  <c r="H16" i="39"/>
  <c r="H17" i="39"/>
  <c r="H18" i="39"/>
  <c r="H19" i="39"/>
  <c r="H20" i="39"/>
  <c r="H21" i="39"/>
  <c r="H22" i="39"/>
  <c r="H23" i="39"/>
  <c r="H24" i="39"/>
  <c r="H25" i="39"/>
  <c r="H26" i="39"/>
  <c r="H27" i="39"/>
  <c r="H28" i="39"/>
  <c r="H29" i="39"/>
  <c r="H30" i="39"/>
  <c r="H31" i="39"/>
  <c r="H32" i="39"/>
  <c r="H33" i="39"/>
  <c r="H34" i="39"/>
  <c r="H35" i="39"/>
  <c r="H36" i="39"/>
  <c r="H37" i="39"/>
  <c r="H38" i="39"/>
  <c r="H39" i="39"/>
  <c r="H40" i="39"/>
  <c r="H41" i="39"/>
  <c r="H42" i="39"/>
  <c r="H43" i="39"/>
  <c r="H44" i="39"/>
  <c r="H45" i="39"/>
  <c r="H46" i="39"/>
  <c r="H47" i="39"/>
  <c r="H48" i="39"/>
  <c r="H49" i="39"/>
  <c r="H50" i="39"/>
  <c r="H51" i="39"/>
  <c r="H52" i="39"/>
  <c r="H53" i="39"/>
  <c r="H54" i="39"/>
  <c r="H55" i="39"/>
  <c r="H56" i="39"/>
  <c r="H57" i="39"/>
  <c r="H58" i="39"/>
  <c r="H59" i="39"/>
  <c r="H60" i="39"/>
  <c r="H61" i="39"/>
  <c r="H62" i="39"/>
  <c r="H63" i="39"/>
  <c r="H64" i="39"/>
  <c r="H65" i="39"/>
  <c r="H66" i="39"/>
  <c r="H67" i="39"/>
  <c r="H68" i="39"/>
  <c r="H69" i="39"/>
  <c r="H70" i="39"/>
  <c r="H71" i="39"/>
  <c r="H72" i="39"/>
  <c r="H73" i="39"/>
  <c r="H74" i="39"/>
  <c r="H75" i="39"/>
  <c r="H76" i="39"/>
  <c r="H77" i="39"/>
  <c r="H78" i="39"/>
  <c r="H79" i="39"/>
  <c r="H80" i="39"/>
  <c r="H81" i="39"/>
  <c r="H82" i="39"/>
  <c r="H83" i="39"/>
  <c r="H84" i="39"/>
  <c r="H85" i="39"/>
  <c r="H86" i="39"/>
  <c r="H87" i="39"/>
  <c r="H88" i="39"/>
  <c r="H89" i="39"/>
  <c r="H90" i="39"/>
  <c r="H91" i="39"/>
  <c r="H92" i="39"/>
  <c r="H93" i="39"/>
  <c r="H94" i="39"/>
  <c r="H95" i="39"/>
  <c r="H96" i="39"/>
  <c r="H97" i="39"/>
  <c r="H98" i="39"/>
  <c r="H99" i="39"/>
  <c r="H100" i="39"/>
  <c r="H101" i="39"/>
  <c r="H102" i="39"/>
  <c r="H103" i="39"/>
  <c r="H104" i="39"/>
  <c r="H105" i="39"/>
  <c r="H106" i="39"/>
  <c r="H107" i="39"/>
  <c r="H108" i="39"/>
  <c r="H109" i="39"/>
  <c r="H110" i="39"/>
  <c r="H111" i="39"/>
  <c r="H112" i="39"/>
  <c r="H113" i="39"/>
  <c r="H114" i="39"/>
  <c r="H115" i="39"/>
  <c r="H116" i="39"/>
  <c r="H117" i="39"/>
  <c r="H118" i="39"/>
  <c r="H119" i="39"/>
  <c r="H120" i="39"/>
  <c r="H121" i="39"/>
  <c r="H122" i="39"/>
  <c r="H123" i="39"/>
  <c r="H124" i="39"/>
  <c r="H125" i="39"/>
  <c r="H126" i="39"/>
  <c r="H127" i="39"/>
  <c r="H128" i="39"/>
  <c r="H129" i="39"/>
  <c r="H130" i="39"/>
  <c r="H131" i="39"/>
  <c r="H132" i="39"/>
  <c r="H133" i="39"/>
  <c r="H134" i="39"/>
  <c r="H135" i="39"/>
  <c r="H136" i="39"/>
  <c r="H137" i="39"/>
  <c r="H138" i="39"/>
  <c r="H139" i="39"/>
  <c r="H140" i="39"/>
  <c r="H141" i="39"/>
  <c r="H142" i="39"/>
  <c r="H143" i="39"/>
  <c r="H144" i="39"/>
  <c r="H145" i="39"/>
  <c r="H146" i="39"/>
  <c r="H147" i="39"/>
  <c r="H148" i="39"/>
  <c r="H149" i="39"/>
  <c r="H150" i="39"/>
  <c r="H151" i="39"/>
  <c r="H152" i="39"/>
  <c r="H153" i="39"/>
  <c r="H154" i="39"/>
  <c r="H155" i="39"/>
  <c r="H156" i="39"/>
  <c r="H157" i="39"/>
  <c r="H158" i="39"/>
  <c r="H159" i="39"/>
  <c r="H160" i="39"/>
  <c r="H161" i="39"/>
  <c r="H162" i="39"/>
  <c r="H163" i="39"/>
  <c r="H164" i="39"/>
  <c r="H165" i="39"/>
  <c r="H166" i="39"/>
  <c r="H167" i="39"/>
  <c r="H168" i="39"/>
  <c r="H169" i="39"/>
  <c r="H170" i="39"/>
  <c r="H171" i="39"/>
  <c r="H172" i="39"/>
  <c r="H173" i="39"/>
  <c r="H174" i="39"/>
  <c r="H175" i="39"/>
  <c r="H176" i="39"/>
  <c r="H177" i="39"/>
  <c r="H178" i="39"/>
  <c r="H179" i="39"/>
  <c r="H180" i="39"/>
  <c r="H181" i="39"/>
  <c r="H182" i="39"/>
  <c r="H183" i="39"/>
  <c r="H184" i="39"/>
  <c r="H185" i="39"/>
  <c r="H186" i="39"/>
  <c r="H187" i="39"/>
  <c r="H188" i="39"/>
  <c r="H189" i="39"/>
  <c r="H190" i="39"/>
  <c r="H191" i="39"/>
  <c r="H192" i="39"/>
  <c r="H193" i="39"/>
  <c r="H194" i="39"/>
  <c r="H195" i="39"/>
  <c r="H196" i="39"/>
  <c r="H197" i="39"/>
  <c r="H198" i="39"/>
  <c r="H199" i="39"/>
  <c r="H200" i="39"/>
  <c r="H201" i="39"/>
  <c r="H202" i="39"/>
  <c r="H203" i="39"/>
  <c r="H204" i="39"/>
  <c r="H205" i="39"/>
  <c r="H206" i="39"/>
  <c r="H207" i="39"/>
  <c r="H208" i="39"/>
  <c r="H209" i="39"/>
  <c r="H210" i="39"/>
  <c r="H211" i="39"/>
  <c r="H212" i="39"/>
  <c r="H213" i="39"/>
  <c r="H214" i="39"/>
  <c r="H215" i="39"/>
  <c r="H216" i="39"/>
  <c r="H217" i="39"/>
  <c r="H218" i="39"/>
  <c r="H219" i="39"/>
  <c r="H220" i="39"/>
  <c r="H221" i="39"/>
  <c r="H222" i="39"/>
  <c r="H223" i="39"/>
  <c r="H224" i="39"/>
  <c r="H225" i="39"/>
  <c r="H226" i="39"/>
  <c r="H227" i="39"/>
  <c r="H228" i="39"/>
  <c r="H229" i="39"/>
  <c r="H230" i="39"/>
  <c r="H231" i="39"/>
  <c r="H232" i="39"/>
  <c r="H233" i="39"/>
  <c r="H234" i="39"/>
  <c r="H235" i="39"/>
  <c r="H236" i="39"/>
  <c r="H237" i="39"/>
  <c r="H238" i="39"/>
  <c r="H239" i="39"/>
  <c r="H240" i="39"/>
  <c r="H241" i="39"/>
  <c r="H242" i="39"/>
  <c r="H243" i="39"/>
  <c r="H244" i="39"/>
  <c r="H245" i="39"/>
  <c r="H246" i="39"/>
  <c r="H247" i="39"/>
  <c r="H248" i="39"/>
  <c r="H249" i="39"/>
  <c r="H250" i="39"/>
  <c r="H251" i="39"/>
  <c r="H252" i="39"/>
  <c r="H253" i="39"/>
  <c r="H254" i="39"/>
  <c r="H255" i="39"/>
  <c r="H256" i="39"/>
  <c r="H257" i="39"/>
  <c r="H8" i="39"/>
  <c r="C18" i="6" l="1"/>
  <c r="W25" i="1" l="1"/>
  <c r="W26" i="1"/>
  <c r="W27" i="1"/>
  <c r="W29" i="1"/>
  <c r="W31" i="1"/>
  <c r="W33" i="1"/>
  <c r="W34" i="1"/>
  <c r="W35" i="1"/>
  <c r="W36" i="1"/>
  <c r="W37" i="1"/>
  <c r="W38" i="1"/>
  <c r="W39" i="1"/>
  <c r="W40" i="1"/>
  <c r="W41" i="1"/>
  <c r="W42" i="1"/>
  <c r="W43" i="1"/>
  <c r="W44" i="1"/>
  <c r="W45" i="1"/>
  <c r="W49" i="1"/>
  <c r="W50" i="1"/>
  <c r="W51" i="1"/>
  <c r="W52" i="1"/>
  <c r="W53" i="1"/>
  <c r="W54" i="1"/>
  <c r="W55" i="1"/>
  <c r="W56" i="1"/>
  <c r="W57" i="1"/>
  <c r="W58" i="1"/>
  <c r="W59" i="1"/>
  <c r="W60" i="1"/>
  <c r="W24" i="1"/>
  <c r="V8" i="3" l="1"/>
  <c r="A85" i="39" l="1"/>
  <c r="A84" i="39"/>
  <c r="A83" i="39"/>
  <c r="A82" i="39"/>
  <c r="A81" i="39"/>
  <c r="A80" i="39"/>
  <c r="A77" i="39"/>
  <c r="A76" i="39"/>
  <c r="A75" i="39"/>
  <c r="A74" i="39"/>
  <c r="A73" i="39"/>
  <c r="A72" i="39"/>
  <c r="A71" i="39"/>
  <c r="A70" i="39"/>
  <c r="A69" i="39"/>
  <c r="A68" i="39"/>
  <c r="A67" i="39"/>
  <c r="A66" i="39"/>
  <c r="A65" i="39"/>
  <c r="A63" i="39"/>
  <c r="A62" i="39"/>
  <c r="D134" i="39" l="1"/>
  <c r="D132" i="39"/>
  <c r="D131" i="39"/>
  <c r="D129" i="39"/>
  <c r="D127" i="39"/>
  <c r="A59" i="39" l="1"/>
  <c r="A58" i="39"/>
  <c r="A57" i="39"/>
  <c r="A56" i="39"/>
  <c r="A55" i="39"/>
  <c r="A53" i="39"/>
  <c r="A52" i="39"/>
  <c r="A50" i="39"/>
  <c r="A49" i="39"/>
  <c r="A47" i="39"/>
  <c r="A46" i="39"/>
  <c r="A44" i="39"/>
  <c r="A43" i="39"/>
  <c r="A40" i="39"/>
  <c r="A39" i="39"/>
  <c r="A36" i="39"/>
  <c r="A35" i="39"/>
  <c r="A34" i="39"/>
  <c r="A37" i="39"/>
  <c r="A38" i="39"/>
  <c r="A41" i="39"/>
  <c r="A42" i="39"/>
  <c r="Y55" i="1" l="1"/>
  <c r="Y58" i="1"/>
  <c r="Y54" i="1"/>
  <c r="Y59" i="1"/>
  <c r="J1761" i="39"/>
  <c r="J1766" i="39"/>
  <c r="J1765" i="39"/>
  <c r="J1764" i="39"/>
  <c r="J1763" i="39"/>
  <c r="G1766" i="39" l="1"/>
  <c r="G1764" i="39"/>
  <c r="G1763" i="39"/>
  <c r="D117" i="39" l="1"/>
  <c r="D116" i="39"/>
  <c r="D113" i="39"/>
  <c r="P19" i="39"/>
  <c r="P23" i="39"/>
  <c r="P21" i="39"/>
  <c r="P18" i="39"/>
  <c r="P14" i="39"/>
  <c r="M6" i="39"/>
  <c r="M15" i="39"/>
  <c r="M14" i="39"/>
  <c r="M13" i="39"/>
  <c r="M11" i="39" l="1"/>
  <c r="M8" i="39"/>
  <c r="M5" i="39" l="1"/>
  <c r="E22" i="3" l="1"/>
  <c r="E21" i="3"/>
  <c r="W8" i="33"/>
  <c r="H15" i="35" l="1"/>
  <c r="H16" i="35"/>
  <c r="H17" i="35"/>
  <c r="H18" i="35"/>
  <c r="H19" i="35"/>
  <c r="H20" i="35"/>
  <c r="H21" i="35"/>
  <c r="H22" i="35"/>
  <c r="H23" i="35"/>
  <c r="H24" i="35"/>
  <c r="H25" i="35"/>
  <c r="H26" i="35"/>
  <c r="H28" i="35"/>
  <c r="H29" i="35"/>
  <c r="H30" i="35"/>
  <c r="H31" i="35"/>
  <c r="H32" i="35"/>
  <c r="H33" i="35"/>
  <c r="H34" i="35"/>
  <c r="H35" i="35"/>
  <c r="H36" i="35"/>
  <c r="H37" i="35"/>
  <c r="H38" i="35"/>
  <c r="H39" i="35"/>
  <c r="H40" i="35"/>
  <c r="H41" i="35"/>
  <c r="H42" i="35"/>
  <c r="H43" i="35"/>
  <c r="H44" i="35"/>
  <c r="H45" i="35"/>
  <c r="H46" i="35"/>
  <c r="H47" i="35"/>
  <c r="H48" i="35"/>
  <c r="H49" i="35"/>
  <c r="H50" i="35"/>
  <c r="H51" i="35"/>
  <c r="H52" i="35"/>
  <c r="H53" i="35"/>
  <c r="H54" i="35"/>
  <c r="H55" i="35"/>
  <c r="H56" i="35"/>
  <c r="H57" i="35"/>
  <c r="H58" i="35"/>
  <c r="H59" i="35"/>
  <c r="H60" i="35"/>
  <c r="H61" i="35"/>
  <c r="H62" i="35"/>
  <c r="H63" i="35"/>
  <c r="H64" i="35"/>
  <c r="H65" i="35"/>
  <c r="H66" i="35"/>
  <c r="H67" i="35"/>
  <c r="H68" i="35"/>
  <c r="H69" i="35"/>
  <c r="H70" i="35"/>
  <c r="H71" i="35"/>
  <c r="H72" i="35"/>
  <c r="H73" i="35"/>
  <c r="H74" i="35"/>
  <c r="H75" i="35"/>
  <c r="H76" i="35"/>
  <c r="H77" i="35"/>
  <c r="H78" i="35"/>
  <c r="H79" i="35"/>
  <c r="H80" i="35"/>
  <c r="H81" i="35"/>
  <c r="H82" i="35"/>
  <c r="H83" i="35"/>
  <c r="H84" i="35"/>
  <c r="H85" i="35"/>
  <c r="H86" i="35"/>
  <c r="H87" i="35"/>
  <c r="H88" i="35"/>
  <c r="H89" i="35"/>
  <c r="H90" i="35"/>
  <c r="H91" i="35"/>
  <c r="H92" i="35"/>
  <c r="H93" i="35"/>
  <c r="H94" i="35"/>
  <c r="H95" i="35"/>
  <c r="H96" i="35"/>
  <c r="H97" i="35"/>
  <c r="H98" i="35"/>
  <c r="H99" i="35"/>
  <c r="H100" i="35"/>
  <c r="H101" i="35"/>
  <c r="H102" i="35"/>
  <c r="H103" i="35"/>
  <c r="H104" i="35"/>
  <c r="H105" i="35"/>
  <c r="H106" i="35"/>
  <c r="H107" i="35"/>
  <c r="H108" i="35"/>
  <c r="H109" i="35"/>
  <c r="H110" i="35"/>
  <c r="H111" i="35"/>
  <c r="H112" i="35"/>
  <c r="H113" i="35"/>
  <c r="H114" i="35"/>
  <c r="H115" i="35"/>
  <c r="H116" i="35"/>
  <c r="H117" i="35"/>
  <c r="H118" i="35"/>
  <c r="H119" i="35"/>
  <c r="H120" i="35"/>
  <c r="H121" i="35"/>
  <c r="H122" i="35"/>
  <c r="H123" i="35"/>
  <c r="H124" i="35"/>
  <c r="H125" i="35"/>
  <c r="H126" i="35"/>
  <c r="H127" i="35"/>
  <c r="H128" i="35"/>
  <c r="H129" i="35"/>
  <c r="H130" i="35"/>
  <c r="H131" i="35"/>
  <c r="H132" i="35"/>
  <c r="H133" i="35"/>
  <c r="H134" i="35"/>
  <c r="H135" i="35"/>
  <c r="H136" i="35"/>
  <c r="H137" i="35"/>
  <c r="H138" i="35"/>
  <c r="H139" i="35"/>
  <c r="H140" i="35"/>
  <c r="H141" i="35"/>
  <c r="H142" i="35"/>
  <c r="H143" i="35"/>
  <c r="H144" i="35"/>
  <c r="H145" i="35"/>
  <c r="H146" i="35"/>
  <c r="H147" i="35"/>
  <c r="H148" i="35"/>
  <c r="H149" i="35"/>
  <c r="H150" i="35"/>
  <c r="H151" i="35"/>
  <c r="H152" i="35"/>
  <c r="H153" i="35"/>
  <c r="H154" i="35"/>
  <c r="H155" i="35"/>
  <c r="H156" i="35"/>
  <c r="H157" i="35"/>
  <c r="H158" i="35"/>
  <c r="H159" i="35"/>
  <c r="H160" i="35"/>
  <c r="H161" i="35"/>
  <c r="H162" i="35"/>
  <c r="H163" i="35"/>
  <c r="H164" i="35"/>
  <c r="H165" i="35"/>
  <c r="H166" i="35"/>
  <c r="H167" i="35"/>
  <c r="H168" i="35"/>
  <c r="H169" i="35"/>
  <c r="H170" i="35"/>
  <c r="H171" i="35"/>
  <c r="H172" i="35"/>
  <c r="H173" i="35"/>
  <c r="H174" i="35"/>
  <c r="H175" i="35"/>
  <c r="H176" i="35"/>
  <c r="H177" i="35"/>
  <c r="H178" i="35"/>
  <c r="H179" i="35"/>
  <c r="H180" i="35"/>
  <c r="H181" i="35"/>
  <c r="H182" i="35"/>
  <c r="H183" i="35"/>
  <c r="H184" i="35"/>
  <c r="H185" i="35"/>
  <c r="H186" i="35"/>
  <c r="H187" i="35"/>
  <c r="H188" i="35"/>
  <c r="H189" i="35"/>
  <c r="H190" i="35"/>
  <c r="H191" i="35"/>
  <c r="H192" i="35"/>
  <c r="H193" i="35"/>
  <c r="H194" i="35"/>
  <c r="H195" i="35"/>
  <c r="H196" i="35"/>
  <c r="H197" i="35"/>
  <c r="H198" i="35"/>
  <c r="H199" i="35"/>
  <c r="H200" i="35"/>
  <c r="H201" i="35"/>
  <c r="H202" i="35"/>
  <c r="H203" i="35"/>
  <c r="H204" i="35"/>
  <c r="H205" i="35"/>
  <c r="H206" i="35"/>
  <c r="H207" i="35"/>
  <c r="H208" i="35"/>
  <c r="H209" i="35"/>
  <c r="H210" i="35"/>
  <c r="H211" i="35"/>
  <c r="H212" i="35"/>
  <c r="H213" i="35"/>
  <c r="H214" i="35"/>
  <c r="H215" i="35"/>
  <c r="H216" i="35"/>
  <c r="H217" i="35"/>
  <c r="H218" i="35"/>
  <c r="H219" i="35"/>
  <c r="H220" i="35"/>
  <c r="H221" i="35"/>
  <c r="H222" i="35"/>
  <c r="H223" i="35"/>
  <c r="H224" i="35"/>
  <c r="H225" i="35"/>
  <c r="H226" i="35"/>
  <c r="H227" i="35"/>
  <c r="H228" i="35"/>
  <c r="H229" i="35"/>
  <c r="H230" i="35"/>
  <c r="H231" i="35"/>
  <c r="H232" i="35"/>
  <c r="H233" i="35"/>
  <c r="H234" i="35"/>
  <c r="H235" i="35"/>
  <c r="H236" i="35"/>
  <c r="H237" i="35"/>
  <c r="H238" i="35"/>
  <c r="H239" i="35"/>
  <c r="H240" i="35"/>
  <c r="H241" i="35"/>
  <c r="H242" i="35"/>
  <c r="H243" i="35"/>
  <c r="H244" i="35"/>
  <c r="H245" i="35"/>
  <c r="H246" i="35"/>
  <c r="H247" i="35"/>
  <c r="H248" i="35"/>
  <c r="H249" i="35"/>
  <c r="H250" i="35"/>
  <c r="H251" i="35"/>
  <c r="H252" i="35"/>
  <c r="H253" i="35"/>
  <c r="H254" i="35"/>
  <c r="H255" i="35"/>
  <c r="H256" i="35"/>
  <c r="H257" i="35"/>
  <c r="H258" i="35"/>
  <c r="H259" i="35"/>
  <c r="H260" i="35"/>
  <c r="H261" i="35"/>
  <c r="H262" i="35"/>
  <c r="H263" i="35"/>
  <c r="H14" i="35"/>
  <c r="G1257" i="39" l="1"/>
  <c r="G1256" i="39"/>
  <c r="G1255" i="39"/>
  <c r="G1254" i="39"/>
  <c r="G1253" i="39"/>
  <c r="G1252" i="39"/>
  <c r="G1251" i="39"/>
  <c r="G1250" i="39"/>
  <c r="G1249" i="39"/>
  <c r="G1248" i="39"/>
  <c r="G1247" i="39"/>
  <c r="G1246" i="39"/>
  <c r="G1245" i="39"/>
  <c r="G1244" i="39"/>
  <c r="G1238" i="39"/>
  <c r="G1237" i="39"/>
  <c r="G1224" i="39"/>
  <c r="G1243" i="39"/>
  <c r="G1242" i="39"/>
  <c r="G1241" i="39"/>
  <c r="G1240" i="39"/>
  <c r="G1239" i="39"/>
  <c r="G1236" i="39"/>
  <c r="G1235" i="39"/>
  <c r="G1234" i="39"/>
  <c r="G1233" i="39"/>
  <c r="G1232" i="39"/>
  <c r="G1231" i="39"/>
  <c r="G1230" i="39"/>
  <c r="G1229" i="39"/>
  <c r="G1228" i="39"/>
  <c r="G1227" i="39"/>
  <c r="G1226" i="39"/>
  <c r="G1225" i="39"/>
  <c r="G1223" i="39"/>
  <c r="G1222" i="39"/>
  <c r="G1221" i="39"/>
  <c r="G1220" i="39"/>
  <c r="G1219" i="39"/>
  <c r="G1218" i="39"/>
  <c r="G1217" i="39"/>
  <c r="G1216" i="39"/>
  <c r="G1215" i="39"/>
  <c r="G1214" i="39"/>
  <c r="G1213" i="39"/>
  <c r="G1212" i="39"/>
  <c r="G1211" i="39"/>
  <c r="G1210" i="39"/>
  <c r="G1209" i="39"/>
  <c r="G1208" i="39"/>
  <c r="G1207" i="39"/>
  <c r="G1206" i="39"/>
  <c r="G1205" i="39"/>
  <c r="G1204" i="39"/>
  <c r="G1203" i="39"/>
  <c r="G1202" i="39"/>
  <c r="G1201" i="39"/>
  <c r="G1200" i="39"/>
  <c r="G1199" i="39"/>
  <c r="G1198" i="39"/>
  <c r="G1197" i="39"/>
  <c r="G1196" i="39"/>
  <c r="G1195" i="39"/>
  <c r="G1194" i="39"/>
  <c r="G1193" i="39"/>
  <c r="G1192" i="39"/>
  <c r="G1191" i="39"/>
  <c r="G1190" i="39"/>
  <c r="G1189" i="39"/>
  <c r="G1188" i="39"/>
  <c r="G1187" i="39"/>
  <c r="G1186" i="39"/>
  <c r="G1185" i="39"/>
  <c r="G1184" i="39"/>
  <c r="G1183" i="39"/>
  <c r="G1182" i="39"/>
  <c r="G1181" i="39"/>
  <c r="G1180" i="39"/>
  <c r="G1179" i="39"/>
  <c r="G1175" i="39"/>
  <c r="G1174" i="39"/>
  <c r="G1173" i="39"/>
  <c r="G1172" i="39"/>
  <c r="G1171" i="39"/>
  <c r="G1170" i="39"/>
  <c r="G1178" i="39"/>
  <c r="G1177" i="39"/>
  <c r="G1176" i="39"/>
  <c r="G1169" i="39"/>
  <c r="G1168" i="39"/>
  <c r="G1167" i="39"/>
  <c r="G1166" i="39"/>
  <c r="G1165" i="39"/>
  <c r="G1164" i="39"/>
  <c r="G1163" i="39"/>
  <c r="G1162" i="39"/>
  <c r="G1161" i="39"/>
  <c r="G1160" i="39"/>
  <c r="G1159" i="39"/>
  <c r="G1158" i="39"/>
  <c r="G1157" i="39"/>
  <c r="G1156" i="39"/>
  <c r="G1155" i="39"/>
  <c r="G1154" i="39"/>
  <c r="G1153" i="39"/>
  <c r="G1152" i="39"/>
  <c r="G1151" i="39"/>
  <c r="G1150" i="39"/>
  <c r="G1149" i="39"/>
  <c r="G1148" i="39"/>
  <c r="G1147" i="39"/>
  <c r="G1146" i="39"/>
  <c r="G1145" i="39"/>
  <c r="G1144" i="39"/>
  <c r="G1143" i="39"/>
  <c r="G1123" i="39"/>
  <c r="G1142" i="39"/>
  <c r="G1141" i="39"/>
  <c r="G1140" i="39"/>
  <c r="G1139" i="39"/>
  <c r="G1138" i="39"/>
  <c r="G1137" i="39"/>
  <c r="G1136" i="39"/>
  <c r="G1135" i="39"/>
  <c r="G1134" i="39"/>
  <c r="G1133" i="39"/>
  <c r="G1132" i="39"/>
  <c r="G1131" i="39"/>
  <c r="G1130" i="39"/>
  <c r="G1129" i="39"/>
  <c r="G1128" i="39"/>
  <c r="G1127" i="39"/>
  <c r="G1126" i="39"/>
  <c r="G1125" i="39"/>
  <c r="G1124" i="39"/>
  <c r="G1122" i="39"/>
  <c r="G1121" i="39"/>
  <c r="G1120" i="39"/>
  <c r="G1119" i="39"/>
  <c r="G1118" i="39"/>
  <c r="G1117" i="39"/>
  <c r="G1116" i="39"/>
  <c r="G1115" i="39"/>
  <c r="G1114" i="39"/>
  <c r="G1113" i="39"/>
  <c r="G1112" i="39"/>
  <c r="G1111" i="39"/>
  <c r="G1110" i="39"/>
  <c r="G1103" i="39"/>
  <c r="G1102" i="39"/>
  <c r="G1101" i="39"/>
  <c r="G1092" i="39"/>
  <c r="G1077" i="39"/>
  <c r="G1109" i="39"/>
  <c r="G1108" i="39"/>
  <c r="G1107" i="39"/>
  <c r="G1106" i="39"/>
  <c r="G1105" i="39"/>
  <c r="G1104" i="39"/>
  <c r="G1100" i="39"/>
  <c r="G1099" i="39"/>
  <c r="G1098" i="39"/>
  <c r="G1097" i="39"/>
  <c r="G1096" i="39"/>
  <c r="G1095" i="39"/>
  <c r="G1094" i="39"/>
  <c r="G1093" i="39"/>
  <c r="G1091" i="39"/>
  <c r="G1090" i="39"/>
  <c r="G1089" i="39"/>
  <c r="G1088" i="39"/>
  <c r="G1087" i="39"/>
  <c r="G1086" i="39"/>
  <c r="G1085" i="39"/>
  <c r="G1084" i="39"/>
  <c r="G1083" i="39"/>
  <c r="G1082" i="39"/>
  <c r="G1081" i="39"/>
  <c r="G1080" i="39"/>
  <c r="G1079" i="39"/>
  <c r="G1078" i="39"/>
  <c r="G1076" i="39"/>
  <c r="G1075" i="39"/>
  <c r="G1074" i="39"/>
  <c r="G1073" i="39"/>
  <c r="G1072" i="39"/>
  <c r="G1071" i="39"/>
  <c r="G1070" i="39"/>
  <c r="G1069" i="39"/>
  <c r="G1068" i="39"/>
  <c r="G1067" i="39"/>
  <c r="G1066" i="39"/>
  <c r="G1065" i="39"/>
  <c r="G1064" i="39"/>
  <c r="G1063" i="39"/>
  <c r="G1062" i="39"/>
  <c r="G1061" i="39"/>
  <c r="G1060" i="39"/>
  <c r="G1059" i="39"/>
  <c r="G1058" i="39"/>
  <c r="G1057" i="39"/>
  <c r="G1056" i="39"/>
  <c r="G1055" i="39"/>
  <c r="G1054" i="39"/>
  <c r="G1053" i="39"/>
  <c r="G1052" i="39"/>
  <c r="G1051" i="39"/>
  <c r="G1050" i="39"/>
  <c r="G1049" i="39"/>
  <c r="G1048" i="39"/>
  <c r="G1047" i="39"/>
  <c r="G1046" i="39"/>
  <c r="G1045" i="39"/>
  <c r="G1044" i="39"/>
  <c r="G1043" i="39"/>
  <c r="G1042" i="39"/>
  <c r="G1041" i="39"/>
  <c r="G1040" i="39"/>
  <c r="G1039" i="39"/>
  <c r="G1038" i="39"/>
  <c r="G1037" i="39"/>
  <c r="G1034" i="39"/>
  <c r="G1024" i="39"/>
  <c r="G1013" i="39"/>
  <c r="G1036" i="39"/>
  <c r="G1035" i="39"/>
  <c r="G1033" i="39"/>
  <c r="G1032" i="39"/>
  <c r="G1031" i="39"/>
  <c r="G1030" i="39"/>
  <c r="G1029" i="39"/>
  <c r="G1028" i="39"/>
  <c r="G1027" i="39"/>
  <c r="G1026" i="39"/>
  <c r="G1025" i="39"/>
  <c r="G1023" i="39"/>
  <c r="G1022" i="39"/>
  <c r="G1021" i="39"/>
  <c r="G1020" i="39"/>
  <c r="G1019" i="39"/>
  <c r="G1018" i="39"/>
  <c r="G1017" i="39"/>
  <c r="G1016" i="39"/>
  <c r="G1015" i="39"/>
  <c r="G1014" i="39"/>
  <c r="G1012" i="39"/>
  <c r="G1011" i="39"/>
  <c r="G1010" i="39"/>
  <c r="G1009" i="39"/>
  <c r="G1008" i="39"/>
  <c r="G1007" i="39"/>
  <c r="G1006" i="39"/>
  <c r="G1005" i="39"/>
  <c r="G1004" i="39"/>
  <c r="G1003" i="39"/>
  <c r="G1002" i="39"/>
  <c r="G1001" i="39"/>
  <c r="G1000" i="39"/>
  <c r="G999" i="39"/>
  <c r="G998" i="39"/>
  <c r="G997" i="39"/>
  <c r="G996" i="39"/>
  <c r="G995" i="39"/>
  <c r="G994" i="39"/>
  <c r="G993" i="39"/>
  <c r="G992" i="39"/>
  <c r="G991" i="39"/>
  <c r="G990" i="39"/>
  <c r="G989" i="39"/>
  <c r="G988" i="39"/>
  <c r="G972" i="39"/>
  <c r="G987" i="39"/>
  <c r="G986" i="39"/>
  <c r="G985" i="39"/>
  <c r="G984" i="39"/>
  <c r="G983" i="39"/>
  <c r="G982" i="39"/>
  <c r="G981" i="39"/>
  <c r="G980" i="39"/>
  <c r="G979" i="39"/>
  <c r="G978" i="39"/>
  <c r="G977" i="39"/>
  <c r="G976" i="39"/>
  <c r="G975" i="39"/>
  <c r="G974" i="39"/>
  <c r="G973" i="39"/>
  <c r="G971" i="39"/>
  <c r="G970" i="39"/>
  <c r="G969" i="39"/>
  <c r="G968" i="39"/>
  <c r="G967" i="39"/>
  <c r="G966" i="39"/>
  <c r="G965" i="39"/>
  <c r="G964" i="39"/>
  <c r="G963" i="39"/>
  <c r="G962" i="39"/>
  <c r="G961" i="39"/>
  <c r="G960" i="39"/>
  <c r="G959" i="39"/>
  <c r="G958" i="39"/>
  <c r="G957" i="39"/>
  <c r="G956" i="39"/>
  <c r="G955" i="39"/>
  <c r="G954" i="39"/>
  <c r="G953" i="39"/>
  <c r="G952" i="39"/>
  <c r="G951" i="39"/>
  <c r="G950" i="39"/>
  <c r="G949" i="39"/>
  <c r="G948" i="39"/>
  <c r="G947" i="39"/>
  <c r="G946" i="39"/>
  <c r="G945" i="39"/>
  <c r="G944" i="39"/>
  <c r="G943" i="39"/>
  <c r="G942" i="39"/>
  <c r="G941" i="39"/>
  <c r="G940" i="39"/>
  <c r="G939" i="39"/>
  <c r="G938" i="39"/>
  <c r="G937" i="39"/>
  <c r="G936" i="39"/>
  <c r="G935" i="39"/>
  <c r="G934" i="39"/>
  <c r="G933" i="39"/>
  <c r="G932" i="39"/>
  <c r="G931" i="39"/>
  <c r="G930" i="39"/>
  <c r="G929" i="39"/>
  <c r="G928" i="39"/>
  <c r="G927" i="39"/>
  <c r="G926" i="39"/>
  <c r="G925" i="39"/>
  <c r="G924" i="39"/>
  <c r="G923" i="39"/>
  <c r="G922" i="39"/>
  <c r="G921" i="39"/>
  <c r="G920" i="39"/>
  <c r="G919" i="39"/>
  <c r="G918" i="39"/>
  <c r="G917" i="39"/>
  <c r="G916" i="39"/>
  <c r="G915" i="39"/>
  <c r="G914" i="39"/>
  <c r="G913" i="39"/>
  <c r="G912" i="39"/>
  <c r="G911" i="39"/>
  <c r="G910" i="39"/>
  <c r="G909" i="39"/>
  <c r="G908" i="39"/>
  <c r="G907" i="39"/>
  <c r="G906" i="39"/>
  <c r="G905" i="39"/>
  <c r="G904" i="39"/>
  <c r="G903" i="39"/>
  <c r="G902" i="39"/>
  <c r="G901" i="39"/>
  <c r="G900" i="39"/>
  <c r="G899" i="39"/>
  <c r="G898" i="39"/>
  <c r="G897" i="39"/>
  <c r="G896" i="39"/>
  <c r="G895" i="39"/>
  <c r="G894" i="39"/>
  <c r="G883" i="39"/>
  <c r="G893" i="39"/>
  <c r="G892" i="39"/>
  <c r="G891" i="39"/>
  <c r="G890" i="39"/>
  <c r="G889" i="39"/>
  <c r="G888" i="39"/>
  <c r="G887" i="39"/>
  <c r="G886" i="39"/>
  <c r="G885" i="39"/>
  <c r="G884" i="39"/>
  <c r="G878" i="39"/>
  <c r="G876" i="39"/>
  <c r="G875" i="39"/>
  <c r="G882" i="39"/>
  <c r="G881" i="39"/>
  <c r="G880" i="39"/>
  <c r="G879" i="39"/>
  <c r="G877" i="39"/>
  <c r="G874" i="39"/>
  <c r="G873" i="39"/>
  <c r="G872" i="39"/>
  <c r="G871" i="39"/>
  <c r="G870" i="39"/>
  <c r="G869" i="39"/>
  <c r="G868" i="39"/>
  <c r="G867" i="39"/>
  <c r="G866" i="39"/>
  <c r="G865" i="39"/>
  <c r="G864" i="39"/>
  <c r="G854" i="39"/>
  <c r="G863" i="39"/>
  <c r="G862" i="39"/>
  <c r="G861" i="39"/>
  <c r="G860" i="39"/>
  <c r="G859" i="39"/>
  <c r="G858" i="39"/>
  <c r="G857" i="39"/>
  <c r="G856" i="39"/>
  <c r="G855" i="39"/>
  <c r="G853" i="39"/>
  <c r="G852" i="39"/>
  <c r="G851" i="39"/>
  <c r="G850" i="39"/>
  <c r="G849" i="39"/>
  <c r="G848" i="39"/>
  <c r="G847" i="39"/>
  <c r="G846" i="39"/>
  <c r="G845" i="39"/>
  <c r="G844" i="39"/>
  <c r="G843" i="39"/>
  <c r="G842" i="39"/>
  <c r="G841" i="39"/>
  <c r="G840" i="39"/>
  <c r="G839" i="39"/>
  <c r="G838" i="39"/>
  <c r="G837" i="39"/>
  <c r="G836" i="39"/>
  <c r="G835" i="39"/>
  <c r="G834" i="39"/>
  <c r="G833" i="39"/>
  <c r="G832" i="39"/>
  <c r="G831" i="39"/>
  <c r="G830" i="39"/>
  <c r="G829" i="39"/>
  <c r="G824" i="39"/>
  <c r="G815" i="39"/>
  <c r="G828" i="39"/>
  <c r="G827" i="39"/>
  <c r="G826" i="39"/>
  <c r="G825" i="39"/>
  <c r="G823" i="39"/>
  <c r="G822" i="39"/>
  <c r="G821" i="39"/>
  <c r="G820" i="39"/>
  <c r="G819" i="39"/>
  <c r="G818" i="39"/>
  <c r="G817" i="39"/>
  <c r="G816" i="39"/>
  <c r="G814" i="39"/>
  <c r="G813" i="39"/>
  <c r="G812" i="39"/>
  <c r="G811" i="39"/>
  <c r="G810" i="39"/>
  <c r="G809" i="39"/>
  <c r="G808" i="39"/>
  <c r="G807" i="39"/>
  <c r="G806" i="39"/>
  <c r="G805" i="39"/>
  <c r="G804" i="39"/>
  <c r="G803" i="39"/>
  <c r="G802" i="39"/>
  <c r="G801" i="39"/>
  <c r="G800" i="39"/>
  <c r="G799" i="39"/>
  <c r="G798" i="39"/>
  <c r="G797" i="39"/>
  <c r="G796" i="39"/>
  <c r="G795" i="39"/>
  <c r="G794" i="39"/>
  <c r="G793" i="39"/>
  <c r="G792" i="39"/>
  <c r="G791" i="39"/>
  <c r="G790" i="39"/>
  <c r="G789" i="39"/>
  <c r="G788" i="39"/>
  <c r="G787" i="39"/>
  <c r="G786" i="39"/>
  <c r="G785" i="39"/>
  <c r="G784" i="39"/>
  <c r="G783" i="39"/>
  <c r="G779" i="39"/>
  <c r="G780" i="39"/>
  <c r="G777" i="39"/>
  <c r="G782" i="39"/>
  <c r="G781" i="39"/>
  <c r="G778" i="39"/>
  <c r="G776" i="39"/>
  <c r="G775" i="39"/>
  <c r="G774" i="39"/>
  <c r="G773" i="39"/>
  <c r="G772" i="39"/>
  <c r="G771" i="39"/>
  <c r="G770" i="39"/>
  <c r="G769" i="39"/>
  <c r="G768" i="39"/>
  <c r="G767" i="39"/>
  <c r="G766" i="39"/>
  <c r="G765" i="39"/>
  <c r="G764" i="39"/>
  <c r="G763" i="39"/>
  <c r="G762" i="39"/>
  <c r="G761" i="39"/>
  <c r="G507" i="39"/>
  <c r="G506" i="39"/>
  <c r="G505" i="39"/>
  <c r="G504" i="39"/>
  <c r="G503" i="39"/>
  <c r="G502" i="39"/>
  <c r="G501" i="39"/>
  <c r="G500" i="39"/>
  <c r="G499" i="39"/>
  <c r="G498" i="39"/>
  <c r="G497" i="39"/>
  <c r="G496" i="39"/>
  <c r="G495" i="39"/>
  <c r="G494" i="39"/>
  <c r="G493" i="39"/>
  <c r="G492" i="39"/>
  <c r="G491" i="39"/>
  <c r="G490" i="39"/>
  <c r="G489" i="39"/>
  <c r="G488" i="39"/>
  <c r="G487" i="39"/>
  <c r="G486" i="39"/>
  <c r="G485" i="39"/>
  <c r="G484" i="39"/>
  <c r="G483" i="39"/>
  <c r="G482" i="39"/>
  <c r="G481" i="39"/>
  <c r="G480" i="39"/>
  <c r="G479" i="39"/>
  <c r="G478" i="39"/>
  <c r="G477" i="39"/>
  <c r="G476" i="39"/>
  <c r="G475" i="39"/>
  <c r="G474" i="39"/>
  <c r="G473" i="39"/>
  <c r="G472" i="39"/>
  <c r="G471" i="39"/>
  <c r="G470" i="39"/>
  <c r="G469" i="39"/>
  <c r="G468" i="39"/>
  <c r="G467" i="39"/>
  <c r="G466" i="39"/>
  <c r="G465" i="39"/>
  <c r="G464" i="39"/>
  <c r="G463" i="39"/>
  <c r="G462" i="39"/>
  <c r="G461" i="39"/>
  <c r="G460" i="39"/>
  <c r="G459" i="39"/>
  <c r="G458" i="39"/>
  <c r="G457" i="39"/>
  <c r="G456" i="39"/>
  <c r="G455" i="39"/>
  <c r="G454" i="39"/>
  <c r="G453" i="39"/>
  <c r="G452" i="39"/>
  <c r="G451" i="39"/>
  <c r="G450" i="39"/>
  <c r="G449" i="39"/>
  <c r="G448" i="39"/>
  <c r="G447" i="39"/>
  <c r="G445" i="39"/>
  <c r="G440" i="39"/>
  <c r="G434" i="39"/>
  <c r="G433" i="39"/>
  <c r="G432" i="39"/>
  <c r="G426" i="39"/>
  <c r="G418" i="39"/>
  <c r="G446" i="39"/>
  <c r="G444" i="39"/>
  <c r="G443" i="39"/>
  <c r="G442" i="39"/>
  <c r="G441" i="39"/>
  <c r="G439" i="39"/>
  <c r="G438" i="39"/>
  <c r="G437" i="39"/>
  <c r="G436" i="39"/>
  <c r="G435" i="39"/>
  <c r="G431" i="39"/>
  <c r="G430" i="39"/>
  <c r="G429" i="39"/>
  <c r="G428" i="39"/>
  <c r="G427" i="39"/>
  <c r="G425" i="39"/>
  <c r="G424" i="39"/>
  <c r="G423" i="39"/>
  <c r="G422" i="39"/>
  <c r="G421" i="39"/>
  <c r="G420" i="39"/>
  <c r="G419" i="39"/>
  <c r="G417" i="39"/>
  <c r="G416" i="39"/>
  <c r="G415" i="39"/>
  <c r="G414" i="39"/>
  <c r="G413" i="39"/>
  <c r="G412" i="39"/>
  <c r="G411" i="39"/>
  <c r="G410" i="39"/>
  <c r="G409" i="39"/>
  <c r="G408" i="39"/>
  <c r="G407" i="39"/>
  <c r="G406" i="39"/>
  <c r="G405" i="39"/>
  <c r="G404" i="39"/>
  <c r="G403" i="39"/>
  <c r="G402" i="39"/>
  <c r="G401" i="39"/>
  <c r="G400" i="39"/>
  <c r="G399" i="39"/>
  <c r="G398" i="39"/>
  <c r="G397" i="39"/>
  <c r="G396" i="39"/>
  <c r="G395" i="39"/>
  <c r="G394" i="39"/>
  <c r="G393" i="39"/>
  <c r="G392" i="39"/>
  <c r="G391" i="39"/>
  <c r="G390" i="39"/>
  <c r="G389" i="39"/>
  <c r="G388" i="39"/>
  <c r="G387" i="39"/>
  <c r="G386" i="39"/>
  <c r="G385" i="39"/>
  <c r="G384" i="39"/>
  <c r="G383" i="39"/>
  <c r="G382" i="39"/>
  <c r="G381" i="39"/>
  <c r="G380" i="39"/>
  <c r="G379" i="39"/>
  <c r="G378" i="39"/>
  <c r="G377" i="39"/>
  <c r="G376" i="39"/>
  <c r="G375" i="39"/>
  <c r="G374" i="39"/>
  <c r="G373" i="39"/>
  <c r="G372" i="39"/>
  <c r="G371" i="39"/>
  <c r="G370" i="39"/>
  <c r="G369" i="39"/>
  <c r="G368" i="39"/>
  <c r="G367" i="39"/>
  <c r="G366" i="39"/>
  <c r="G365" i="39"/>
  <c r="G364" i="39"/>
  <c r="G363" i="39"/>
  <c r="G362" i="39"/>
  <c r="G361" i="39"/>
  <c r="G360" i="39"/>
  <c r="G359" i="39"/>
  <c r="G358" i="39"/>
  <c r="G357" i="39"/>
  <c r="G356" i="39"/>
  <c r="G355" i="39"/>
  <c r="G354" i="39"/>
  <c r="G353" i="39"/>
  <c r="G352" i="39"/>
  <c r="G351" i="39"/>
  <c r="G350" i="39"/>
  <c r="G349" i="39"/>
  <c r="G348" i="39"/>
  <c r="G347" i="39"/>
  <c r="G346" i="39"/>
  <c r="G345" i="39"/>
  <c r="G344" i="39"/>
  <c r="G343" i="39"/>
  <c r="G342" i="39"/>
  <c r="G341" i="39"/>
  <c r="G340" i="39"/>
  <c r="G339" i="39"/>
  <c r="G338" i="39"/>
  <c r="G337" i="39"/>
  <c r="G336" i="39"/>
  <c r="G335" i="39"/>
  <c r="G334" i="39"/>
  <c r="G333" i="39"/>
  <c r="G332" i="39"/>
  <c r="G331" i="39"/>
  <c r="G330" i="39"/>
  <c r="G329" i="39"/>
  <c r="G328" i="39"/>
  <c r="G327" i="39"/>
  <c r="G326" i="39"/>
  <c r="G325" i="39"/>
  <c r="G324" i="39"/>
  <c r="G323" i="39"/>
  <c r="G322" i="39"/>
  <c r="G321" i="39"/>
  <c r="G320" i="39"/>
  <c r="G319" i="39"/>
  <c r="G318" i="39"/>
  <c r="G317" i="39"/>
  <c r="G316" i="39"/>
  <c r="G315" i="39"/>
  <c r="G314" i="39"/>
  <c r="G313" i="39"/>
  <c r="G312" i="39"/>
  <c r="G311" i="39"/>
  <c r="G310" i="39"/>
  <c r="G309" i="39"/>
  <c r="G308" i="39"/>
  <c r="G307" i="39"/>
  <c r="G306" i="39"/>
  <c r="G305" i="39"/>
  <c r="G304" i="39"/>
  <c r="G303" i="39"/>
  <c r="G302" i="39"/>
  <c r="G301" i="39"/>
  <c r="G300" i="39"/>
  <c r="G299" i="39"/>
  <c r="G298" i="39"/>
  <c r="G297" i="39"/>
  <c r="G296" i="39"/>
  <c r="G295" i="39"/>
  <c r="G294" i="39"/>
  <c r="G293" i="39"/>
  <c r="G292" i="39"/>
  <c r="G291" i="39"/>
  <c r="G290" i="39"/>
  <c r="G289" i="39"/>
  <c r="G288" i="39"/>
  <c r="G287" i="39"/>
  <c r="G286" i="39"/>
  <c r="G285" i="39"/>
  <c r="G284" i="39"/>
  <c r="G283" i="39"/>
  <c r="G282" i="39"/>
  <c r="G281" i="39"/>
  <c r="G280" i="39"/>
  <c r="G279" i="39"/>
  <c r="G278" i="39"/>
  <c r="G277" i="39"/>
  <c r="G276" i="39"/>
  <c r="G275" i="39"/>
  <c r="G274" i="39"/>
  <c r="G273" i="39"/>
  <c r="G272" i="39"/>
  <c r="G271" i="39"/>
  <c r="G270" i="39"/>
  <c r="G269" i="39"/>
  <c r="G268" i="39"/>
  <c r="G267" i="39"/>
  <c r="G266" i="39"/>
  <c r="G265" i="39"/>
  <c r="G264" i="39"/>
  <c r="G263" i="39"/>
  <c r="G262" i="39"/>
  <c r="G261" i="39"/>
  <c r="G260" i="39"/>
  <c r="G259" i="39"/>
  <c r="G6" i="39"/>
  <c r="F15" i="33" l="1"/>
  <c r="F16" i="33"/>
  <c r="F17" i="33"/>
  <c r="F18" i="33"/>
  <c r="F19" i="33"/>
  <c r="F20" i="33"/>
  <c r="F21" i="33"/>
  <c r="F22" i="33"/>
  <c r="F23" i="33"/>
  <c r="F24" i="33"/>
  <c r="F25" i="33"/>
  <c r="F26" i="33"/>
  <c r="F27" i="33"/>
  <c r="F28" i="33"/>
  <c r="F29" i="33"/>
  <c r="F30" i="33"/>
  <c r="F31" i="33"/>
  <c r="F32" i="33"/>
  <c r="F33" i="33"/>
  <c r="F34" i="33"/>
  <c r="F35" i="33"/>
  <c r="F36" i="33"/>
  <c r="F37" i="33"/>
  <c r="F38" i="33"/>
  <c r="F39" i="33"/>
  <c r="F40" i="33"/>
  <c r="F41" i="33"/>
  <c r="F42" i="33"/>
  <c r="F43" i="33"/>
  <c r="F44" i="33"/>
  <c r="F45" i="33"/>
  <c r="F46" i="33"/>
  <c r="F47" i="33"/>
  <c r="F48" i="33"/>
  <c r="F49" i="33"/>
  <c r="F50" i="33"/>
  <c r="F51" i="33"/>
  <c r="F52" i="33"/>
  <c r="F53" i="33"/>
  <c r="F54" i="33"/>
  <c r="F55" i="33"/>
  <c r="F56" i="33"/>
  <c r="F57" i="33"/>
  <c r="F58" i="33"/>
  <c r="F59" i="33"/>
  <c r="F60" i="33"/>
  <c r="F61" i="33"/>
  <c r="F62" i="33"/>
  <c r="F63" i="33"/>
  <c r="F64" i="33"/>
  <c r="F65" i="33"/>
  <c r="F66" i="33"/>
  <c r="F67" i="33"/>
  <c r="F68" i="33"/>
  <c r="F69" i="33"/>
  <c r="F70" i="33"/>
  <c r="F71" i="33"/>
  <c r="F72" i="33"/>
  <c r="F73" i="33"/>
  <c r="F74" i="33"/>
  <c r="F75" i="33"/>
  <c r="F76" i="33"/>
  <c r="F77" i="33"/>
  <c r="F78" i="33"/>
  <c r="F79" i="33"/>
  <c r="F80" i="33"/>
  <c r="F81" i="33"/>
  <c r="F82" i="33"/>
  <c r="F83" i="33"/>
  <c r="F84" i="33"/>
  <c r="F85" i="33"/>
  <c r="F86" i="33"/>
  <c r="F87" i="33"/>
  <c r="F88" i="33"/>
  <c r="F89" i="33"/>
  <c r="F90" i="33"/>
  <c r="F91" i="33"/>
  <c r="F92" i="33"/>
  <c r="F93" i="33"/>
  <c r="F94" i="33"/>
  <c r="F95" i="33"/>
  <c r="F96" i="33"/>
  <c r="F97" i="33"/>
  <c r="F98" i="33"/>
  <c r="F99" i="33"/>
  <c r="F100" i="33"/>
  <c r="F101" i="33"/>
  <c r="F102" i="33"/>
  <c r="F103" i="33"/>
  <c r="F104" i="33"/>
  <c r="F105" i="33"/>
  <c r="F106" i="33"/>
  <c r="F107" i="33"/>
  <c r="F108" i="33"/>
  <c r="F109" i="33"/>
  <c r="F110" i="33"/>
  <c r="F111" i="33"/>
  <c r="F112" i="33"/>
  <c r="F113" i="33"/>
  <c r="F114" i="33"/>
  <c r="F115" i="33"/>
  <c r="F116" i="33"/>
  <c r="F117" i="33"/>
  <c r="F118" i="33"/>
  <c r="F119" i="33"/>
  <c r="F120" i="33"/>
  <c r="F121" i="33"/>
  <c r="F122" i="33"/>
  <c r="F123" i="33"/>
  <c r="F124" i="33"/>
  <c r="F125" i="33"/>
  <c r="F126" i="33"/>
  <c r="F127" i="33"/>
  <c r="F128" i="33"/>
  <c r="F129" i="33"/>
  <c r="F130" i="33"/>
  <c r="F131" i="33"/>
  <c r="F132" i="33"/>
  <c r="F133" i="33"/>
  <c r="F134" i="33"/>
  <c r="F135" i="33"/>
  <c r="F136" i="33"/>
  <c r="F137" i="33"/>
  <c r="F138" i="33"/>
  <c r="F139" i="33"/>
  <c r="F140" i="33"/>
  <c r="F141" i="33"/>
  <c r="F142" i="33"/>
  <c r="F143" i="33"/>
  <c r="F144" i="33"/>
  <c r="F145" i="33"/>
  <c r="F146" i="33"/>
  <c r="F147" i="33"/>
  <c r="F148" i="33"/>
  <c r="F149" i="33"/>
  <c r="F150" i="33"/>
  <c r="F151" i="33"/>
  <c r="F152" i="33"/>
  <c r="F153" i="33"/>
  <c r="F154" i="33"/>
  <c r="F155" i="33"/>
  <c r="F156" i="33"/>
  <c r="F157" i="33"/>
  <c r="F158" i="33"/>
  <c r="F159" i="33"/>
  <c r="F160" i="33"/>
  <c r="F161" i="33"/>
  <c r="F162" i="33"/>
  <c r="F163" i="33"/>
  <c r="F164" i="33"/>
  <c r="F165" i="33"/>
  <c r="F166" i="33"/>
  <c r="F167" i="33"/>
  <c r="F168" i="33"/>
  <c r="F169" i="33"/>
  <c r="F170" i="33"/>
  <c r="F171" i="33"/>
  <c r="F172" i="33"/>
  <c r="F173" i="33"/>
  <c r="F174" i="33"/>
  <c r="F175" i="33"/>
  <c r="F176" i="33"/>
  <c r="F177" i="33"/>
  <c r="F178" i="33"/>
  <c r="F179" i="33"/>
  <c r="F180" i="33"/>
  <c r="F181" i="33"/>
  <c r="F182" i="33"/>
  <c r="F183" i="33"/>
  <c r="F184" i="33"/>
  <c r="F185" i="33"/>
  <c r="F186" i="33"/>
  <c r="F187" i="33"/>
  <c r="F188" i="33"/>
  <c r="F189" i="33"/>
  <c r="F190" i="33"/>
  <c r="F191" i="33"/>
  <c r="F192" i="33"/>
  <c r="F193" i="33"/>
  <c r="F194" i="33"/>
  <c r="F195" i="33"/>
  <c r="F196" i="33"/>
  <c r="F197" i="33"/>
  <c r="F198" i="33"/>
  <c r="F199" i="33"/>
  <c r="F200" i="33"/>
  <c r="F201" i="33"/>
  <c r="F202" i="33"/>
  <c r="F203" i="33"/>
  <c r="F204" i="33"/>
  <c r="F205" i="33"/>
  <c r="F206" i="33"/>
  <c r="F207" i="33"/>
  <c r="F208" i="33"/>
  <c r="F209" i="33"/>
  <c r="F210" i="33"/>
  <c r="F211" i="33"/>
  <c r="F212" i="33"/>
  <c r="F213" i="33"/>
  <c r="F214" i="33"/>
  <c r="F215" i="33"/>
  <c r="F216" i="33"/>
  <c r="F217" i="33"/>
  <c r="F218" i="33"/>
  <c r="F219" i="33"/>
  <c r="F220" i="33"/>
  <c r="F221" i="33"/>
  <c r="F222" i="33"/>
  <c r="F223" i="33"/>
  <c r="F224" i="33"/>
  <c r="F225" i="33"/>
  <c r="F226" i="33"/>
  <c r="F227" i="33"/>
  <c r="F228" i="33"/>
  <c r="F229" i="33"/>
  <c r="F230" i="33"/>
  <c r="F231" i="33"/>
  <c r="F232" i="33"/>
  <c r="F233" i="33"/>
  <c r="F234" i="33"/>
  <c r="F235" i="33"/>
  <c r="F236" i="33"/>
  <c r="F237" i="33"/>
  <c r="F238" i="33"/>
  <c r="F239" i="33"/>
  <c r="F240" i="33"/>
  <c r="F241" i="33"/>
  <c r="F242" i="33"/>
  <c r="F243" i="33"/>
  <c r="F244" i="33"/>
  <c r="F245" i="33"/>
  <c r="F246" i="33"/>
  <c r="F247" i="33"/>
  <c r="F248" i="33"/>
  <c r="F249" i="33"/>
  <c r="F250" i="33"/>
  <c r="F251" i="33"/>
  <c r="F252" i="33"/>
  <c r="F253" i="33"/>
  <c r="F254" i="33"/>
  <c r="F255" i="33"/>
  <c r="F256" i="33"/>
  <c r="F257" i="33"/>
  <c r="F258" i="33"/>
  <c r="F259" i="33"/>
  <c r="F260" i="33"/>
  <c r="F261" i="33"/>
  <c r="F262" i="33"/>
  <c r="F263" i="33"/>
  <c r="F14" i="33"/>
  <c r="D16" i="1" l="1"/>
  <c r="A11" i="39" l="1"/>
  <c r="G7" i="39" l="1"/>
  <c r="J1257" i="39" l="1"/>
  <c r="J1256" i="39"/>
  <c r="J1255" i="39"/>
  <c r="J1254" i="39"/>
  <c r="J1253" i="39"/>
  <c r="J1252" i="39"/>
  <c r="J1251" i="39"/>
  <c r="J1250" i="39"/>
  <c r="J1249" i="39"/>
  <c r="J1248" i="39"/>
  <c r="J1247" i="39"/>
  <c r="J1246" i="39"/>
  <c r="J1245" i="39"/>
  <c r="J1244" i="39"/>
  <c r="J1243" i="39"/>
  <c r="J1242" i="39"/>
  <c r="J1241" i="39"/>
  <c r="J1240" i="39"/>
  <c r="J1239" i="39"/>
  <c r="J1238" i="39"/>
  <c r="J1237" i="39"/>
  <c r="J1236" i="39"/>
  <c r="J1235" i="39"/>
  <c r="J1234" i="39"/>
  <c r="J1233" i="39"/>
  <c r="J1232" i="39"/>
  <c r="J1231" i="39"/>
  <c r="J1230" i="39"/>
  <c r="J1229" i="39"/>
  <c r="J1228" i="39"/>
  <c r="J1227" i="39"/>
  <c r="J1226" i="39"/>
  <c r="J1225" i="39"/>
  <c r="J1224" i="39"/>
  <c r="J1223" i="39"/>
  <c r="J1222" i="39"/>
  <c r="J1221" i="39"/>
  <c r="J1220" i="39"/>
  <c r="J1219" i="39"/>
  <c r="J1218" i="39"/>
  <c r="J1217" i="39"/>
  <c r="J1216" i="39"/>
  <c r="J1215" i="39"/>
  <c r="J1214" i="39"/>
  <c r="J1213" i="39"/>
  <c r="J1212" i="39"/>
  <c r="J1211" i="39"/>
  <c r="J1210" i="39"/>
  <c r="J1209" i="39"/>
  <c r="J1208" i="39"/>
  <c r="J1207" i="39"/>
  <c r="J1206" i="39"/>
  <c r="J1205" i="39"/>
  <c r="J1204" i="39"/>
  <c r="J1203" i="39"/>
  <c r="J1202" i="39"/>
  <c r="J1201" i="39"/>
  <c r="J1200" i="39"/>
  <c r="J1199" i="39"/>
  <c r="J1198" i="39"/>
  <c r="J1197" i="39"/>
  <c r="J1196" i="39"/>
  <c r="J1195" i="39"/>
  <c r="J1194" i="39"/>
  <c r="J1193" i="39"/>
  <c r="J1192" i="39"/>
  <c r="J1191" i="39"/>
  <c r="J1190" i="39"/>
  <c r="J1189" i="39"/>
  <c r="J1188" i="39"/>
  <c r="J1187" i="39"/>
  <c r="J1186" i="39"/>
  <c r="J1185" i="39"/>
  <c r="J1184" i="39"/>
  <c r="J1183" i="39"/>
  <c r="J1182" i="39"/>
  <c r="J1181" i="39"/>
  <c r="J1180" i="39"/>
  <c r="J1179" i="39"/>
  <c r="J1178" i="39"/>
  <c r="J1177" i="39"/>
  <c r="J1176" i="39"/>
  <c r="J1175" i="39"/>
  <c r="J1174" i="39"/>
  <c r="J1173" i="39"/>
  <c r="J1172" i="39"/>
  <c r="J1171" i="39"/>
  <c r="J1170" i="39"/>
  <c r="J1169" i="39"/>
  <c r="J1168" i="39"/>
  <c r="J1167" i="39"/>
  <c r="J1166" i="39"/>
  <c r="J1165" i="39"/>
  <c r="J1164" i="39"/>
  <c r="J1163" i="39"/>
  <c r="J1162" i="39"/>
  <c r="J1161" i="39"/>
  <c r="J1160" i="39"/>
  <c r="J1159" i="39"/>
  <c r="J1158" i="39"/>
  <c r="J1157" i="39"/>
  <c r="J1156" i="39"/>
  <c r="J1155" i="39"/>
  <c r="J1154" i="39"/>
  <c r="J1153" i="39"/>
  <c r="J1152" i="39"/>
  <c r="J1151" i="39"/>
  <c r="J1150" i="39"/>
  <c r="J1149" i="39"/>
  <c r="J1148" i="39"/>
  <c r="J1147" i="39"/>
  <c r="J1146" i="39"/>
  <c r="J1145" i="39"/>
  <c r="J1144" i="39"/>
  <c r="J1143" i="39"/>
  <c r="J1142" i="39"/>
  <c r="J1141" i="39"/>
  <c r="J1140" i="39"/>
  <c r="J1139" i="39"/>
  <c r="J1138" i="39"/>
  <c r="J1137" i="39"/>
  <c r="J1136" i="39"/>
  <c r="J1135" i="39"/>
  <c r="J1134" i="39"/>
  <c r="J1133" i="39"/>
  <c r="J1132" i="39"/>
  <c r="J1131" i="39"/>
  <c r="J1130" i="39"/>
  <c r="J1129" i="39"/>
  <c r="J1128" i="39"/>
  <c r="J1127" i="39"/>
  <c r="J1126" i="39"/>
  <c r="J1125" i="39"/>
  <c r="J1124" i="39"/>
  <c r="J1123" i="39"/>
  <c r="J1122" i="39"/>
  <c r="J1121" i="39"/>
  <c r="J1120" i="39"/>
  <c r="J1119" i="39"/>
  <c r="J1118" i="39"/>
  <c r="J1117" i="39"/>
  <c r="J1116" i="39"/>
  <c r="J1115" i="39"/>
  <c r="J1114" i="39"/>
  <c r="J1113" i="39"/>
  <c r="J1112" i="39"/>
  <c r="J1111" i="39"/>
  <c r="J1110" i="39"/>
  <c r="J1109" i="39"/>
  <c r="J1108" i="39"/>
  <c r="J1107" i="39"/>
  <c r="J1106" i="39"/>
  <c r="J1105" i="39"/>
  <c r="J1104" i="39"/>
  <c r="J1103" i="39"/>
  <c r="J1102" i="39"/>
  <c r="J1101" i="39"/>
  <c r="J1100" i="39"/>
  <c r="J1099" i="39"/>
  <c r="J1098" i="39"/>
  <c r="J1097" i="39"/>
  <c r="J1096" i="39"/>
  <c r="J1095" i="39"/>
  <c r="J1094" i="39"/>
  <c r="J1093" i="39"/>
  <c r="J1092" i="39"/>
  <c r="J1091" i="39"/>
  <c r="J1090" i="39"/>
  <c r="J1089" i="39"/>
  <c r="J1088" i="39"/>
  <c r="J1087" i="39"/>
  <c r="J1086" i="39"/>
  <c r="J1085" i="39"/>
  <c r="J1084" i="39"/>
  <c r="J1083" i="39"/>
  <c r="J1082" i="39"/>
  <c r="J1081" i="39"/>
  <c r="J1080" i="39"/>
  <c r="J1079" i="39"/>
  <c r="J1078" i="39"/>
  <c r="J1077" i="39"/>
  <c r="J1076" i="39"/>
  <c r="J1075" i="39"/>
  <c r="J1074" i="39"/>
  <c r="J1073" i="39"/>
  <c r="J1072" i="39"/>
  <c r="J1071" i="39"/>
  <c r="J1070" i="39"/>
  <c r="J1069" i="39"/>
  <c r="J1068" i="39"/>
  <c r="J1067" i="39"/>
  <c r="J1066" i="39"/>
  <c r="J1065" i="39"/>
  <c r="J1064" i="39"/>
  <c r="J1063" i="39"/>
  <c r="J1062" i="39"/>
  <c r="J1061" i="39"/>
  <c r="J1060" i="39"/>
  <c r="J1059" i="39"/>
  <c r="J1058" i="39"/>
  <c r="J1057" i="39"/>
  <c r="J1056" i="39"/>
  <c r="J1055" i="39"/>
  <c r="J1054" i="39"/>
  <c r="J1053" i="39"/>
  <c r="J1052" i="39"/>
  <c r="J1051" i="39"/>
  <c r="J1050" i="39"/>
  <c r="J1049" i="39"/>
  <c r="J1048" i="39"/>
  <c r="J1047" i="39"/>
  <c r="J1046" i="39"/>
  <c r="J1045" i="39"/>
  <c r="J1044" i="39"/>
  <c r="J1043" i="39"/>
  <c r="J1042" i="39"/>
  <c r="J1041" i="39"/>
  <c r="J1040" i="39"/>
  <c r="J1039" i="39"/>
  <c r="J1038" i="39"/>
  <c r="J1037" i="39"/>
  <c r="J1036" i="39"/>
  <c r="J1035" i="39"/>
  <c r="J1034" i="39"/>
  <c r="J1033" i="39"/>
  <c r="J1032" i="39"/>
  <c r="J1031" i="39"/>
  <c r="J1030" i="39"/>
  <c r="J1029" i="39"/>
  <c r="J1028" i="39"/>
  <c r="J1027" i="39"/>
  <c r="J1026" i="39"/>
  <c r="J1025" i="39"/>
  <c r="J1024" i="39"/>
  <c r="J1023" i="39"/>
  <c r="J1022" i="39"/>
  <c r="J1021" i="39"/>
  <c r="J1020" i="39"/>
  <c r="J1019" i="39"/>
  <c r="J1018" i="39"/>
  <c r="J1017" i="39"/>
  <c r="J1016" i="39"/>
  <c r="J1015" i="39"/>
  <c r="J1014" i="39"/>
  <c r="J1013" i="39"/>
  <c r="J1012" i="39"/>
  <c r="J1011" i="39"/>
  <c r="J1010" i="39"/>
  <c r="J1009" i="39"/>
  <c r="J1008" i="39"/>
  <c r="J1007" i="39"/>
  <c r="J1006" i="39"/>
  <c r="J1005" i="39"/>
  <c r="J1004" i="39"/>
  <c r="J1003" i="39"/>
  <c r="J1002" i="39"/>
  <c r="J1001" i="39"/>
  <c r="J1000" i="39"/>
  <c r="J999" i="39"/>
  <c r="J998" i="39"/>
  <c r="J997" i="39"/>
  <c r="J996" i="39"/>
  <c r="J995" i="39"/>
  <c r="J994" i="39"/>
  <c r="J993" i="39"/>
  <c r="J992" i="39"/>
  <c r="J991" i="39"/>
  <c r="J990" i="39"/>
  <c r="J989" i="39"/>
  <c r="J988" i="39"/>
  <c r="J987" i="39"/>
  <c r="J986" i="39"/>
  <c r="J985" i="39"/>
  <c r="J984" i="39"/>
  <c r="J983" i="39"/>
  <c r="J982" i="39"/>
  <c r="J981" i="39"/>
  <c r="J980" i="39"/>
  <c r="J979" i="39"/>
  <c r="J978" i="39"/>
  <c r="J977" i="39"/>
  <c r="J976" i="39"/>
  <c r="J975" i="39"/>
  <c r="J974" i="39"/>
  <c r="J973" i="39"/>
  <c r="J972" i="39"/>
  <c r="J971" i="39"/>
  <c r="J970" i="39"/>
  <c r="J969" i="39"/>
  <c r="J968" i="39"/>
  <c r="J967" i="39"/>
  <c r="J966" i="39"/>
  <c r="J965" i="39"/>
  <c r="J964" i="39"/>
  <c r="J963" i="39"/>
  <c r="J962" i="39"/>
  <c r="J961" i="39"/>
  <c r="J960" i="39"/>
  <c r="J959" i="39"/>
  <c r="J958" i="39"/>
  <c r="J957" i="39"/>
  <c r="J956" i="39"/>
  <c r="J955" i="39"/>
  <c r="J954" i="39"/>
  <c r="J953" i="39"/>
  <c r="J952" i="39"/>
  <c r="J951" i="39"/>
  <c r="J950" i="39"/>
  <c r="J949" i="39"/>
  <c r="J948" i="39"/>
  <c r="J947" i="39"/>
  <c r="J946" i="39"/>
  <c r="J945" i="39"/>
  <c r="J944" i="39"/>
  <c r="J943" i="39"/>
  <c r="J942" i="39"/>
  <c r="J941" i="39"/>
  <c r="J940" i="39"/>
  <c r="J939" i="39"/>
  <c r="J938" i="39"/>
  <c r="J937" i="39"/>
  <c r="J936" i="39"/>
  <c r="J935" i="39"/>
  <c r="J934" i="39"/>
  <c r="J933" i="39"/>
  <c r="J932" i="39"/>
  <c r="J931" i="39"/>
  <c r="J930" i="39"/>
  <c r="J929" i="39"/>
  <c r="J928" i="39"/>
  <c r="J927" i="39"/>
  <c r="J926" i="39"/>
  <c r="J925" i="39"/>
  <c r="J924" i="39"/>
  <c r="J923" i="39"/>
  <c r="J922" i="39"/>
  <c r="J921" i="39"/>
  <c r="J920" i="39"/>
  <c r="J919" i="39"/>
  <c r="J918" i="39"/>
  <c r="J917" i="39"/>
  <c r="J916" i="39"/>
  <c r="J915" i="39"/>
  <c r="J914" i="39"/>
  <c r="J913" i="39"/>
  <c r="J912" i="39"/>
  <c r="J911" i="39"/>
  <c r="J910" i="39"/>
  <c r="J909" i="39"/>
  <c r="J908" i="39"/>
  <c r="J907" i="39"/>
  <c r="J906" i="39"/>
  <c r="J905" i="39"/>
  <c r="J904" i="39"/>
  <c r="J903" i="39"/>
  <c r="J902" i="39"/>
  <c r="J901" i="39"/>
  <c r="J900" i="39"/>
  <c r="J899" i="39"/>
  <c r="J898" i="39"/>
  <c r="J897" i="39"/>
  <c r="J896" i="39"/>
  <c r="J895" i="39"/>
  <c r="J894" i="39"/>
  <c r="J893" i="39"/>
  <c r="J892" i="39"/>
  <c r="J891" i="39"/>
  <c r="J890" i="39"/>
  <c r="J889" i="39"/>
  <c r="J888" i="39"/>
  <c r="J887" i="39"/>
  <c r="J886" i="39"/>
  <c r="J885" i="39"/>
  <c r="J884" i="39"/>
  <c r="J883" i="39"/>
  <c r="J882" i="39"/>
  <c r="J881" i="39"/>
  <c r="J880" i="39"/>
  <c r="J879" i="39"/>
  <c r="J878" i="39"/>
  <c r="J877" i="39"/>
  <c r="J876" i="39"/>
  <c r="J875" i="39"/>
  <c r="J874" i="39"/>
  <c r="J873" i="39"/>
  <c r="J872" i="39"/>
  <c r="J871" i="39"/>
  <c r="J870" i="39"/>
  <c r="J869" i="39"/>
  <c r="J868" i="39"/>
  <c r="J867" i="39"/>
  <c r="J866" i="39"/>
  <c r="J865" i="39"/>
  <c r="J864" i="39"/>
  <c r="J863" i="39"/>
  <c r="J862" i="39"/>
  <c r="J861" i="39"/>
  <c r="J860" i="39"/>
  <c r="J859" i="39"/>
  <c r="J858" i="39"/>
  <c r="J857" i="39"/>
  <c r="J856" i="39"/>
  <c r="J855" i="39"/>
  <c r="J854" i="39"/>
  <c r="J853" i="39"/>
  <c r="J852" i="39"/>
  <c r="J851" i="39"/>
  <c r="J850" i="39"/>
  <c r="J849" i="39"/>
  <c r="J848" i="39"/>
  <c r="J847" i="39"/>
  <c r="J846" i="39"/>
  <c r="J845" i="39"/>
  <c r="J844" i="39"/>
  <c r="J843" i="39"/>
  <c r="J842" i="39"/>
  <c r="J841" i="39"/>
  <c r="J840" i="39"/>
  <c r="J839" i="39"/>
  <c r="J838" i="39"/>
  <c r="J837" i="39"/>
  <c r="J836" i="39"/>
  <c r="J835" i="39"/>
  <c r="J834" i="39"/>
  <c r="J833" i="39"/>
  <c r="J832" i="39"/>
  <c r="J831" i="39"/>
  <c r="J830" i="39"/>
  <c r="J829" i="39"/>
  <c r="J828" i="39"/>
  <c r="J827" i="39"/>
  <c r="J826" i="39"/>
  <c r="J825" i="39"/>
  <c r="J824" i="39"/>
  <c r="J823" i="39"/>
  <c r="J822" i="39"/>
  <c r="J821" i="39"/>
  <c r="J820" i="39"/>
  <c r="J819" i="39"/>
  <c r="J818" i="39"/>
  <c r="J817" i="39"/>
  <c r="J816" i="39"/>
  <c r="J815" i="39"/>
  <c r="J814" i="39"/>
  <c r="J813" i="39"/>
  <c r="J812" i="39"/>
  <c r="J811" i="39"/>
  <c r="J810" i="39"/>
  <c r="J809" i="39"/>
  <c r="J808" i="39"/>
  <c r="J807" i="39"/>
  <c r="J806" i="39"/>
  <c r="J805" i="39"/>
  <c r="J804" i="39"/>
  <c r="J803" i="39"/>
  <c r="J802" i="39"/>
  <c r="J801" i="39"/>
  <c r="J800" i="39"/>
  <c r="J799" i="39"/>
  <c r="J798" i="39"/>
  <c r="J797" i="39"/>
  <c r="J796" i="39"/>
  <c r="J795" i="39"/>
  <c r="J794" i="39"/>
  <c r="J793" i="39"/>
  <c r="J792" i="39"/>
  <c r="J791" i="39"/>
  <c r="J790" i="39"/>
  <c r="J789" i="39"/>
  <c r="J788" i="39"/>
  <c r="J787" i="39"/>
  <c r="J786" i="39"/>
  <c r="J785" i="39"/>
  <c r="J784" i="39"/>
  <c r="J783" i="39"/>
  <c r="J782" i="39"/>
  <c r="J781" i="39"/>
  <c r="J780" i="39"/>
  <c r="J779" i="39"/>
  <c r="J778" i="39"/>
  <c r="J777" i="39"/>
  <c r="J775" i="39"/>
  <c r="J769" i="39"/>
  <c r="J761" i="39"/>
  <c r="J507" i="39"/>
  <c r="J506" i="39"/>
  <c r="J505" i="39"/>
  <c r="J504" i="39"/>
  <c r="J503" i="39"/>
  <c r="J502" i="39"/>
  <c r="J501" i="39"/>
  <c r="J500" i="39"/>
  <c r="J499" i="39"/>
  <c r="J498" i="39"/>
  <c r="J497" i="39"/>
  <c r="J496" i="39"/>
  <c r="J495" i="39"/>
  <c r="J494" i="39"/>
  <c r="J493" i="39"/>
  <c r="J492" i="39"/>
  <c r="J491" i="39"/>
  <c r="J490" i="39"/>
  <c r="J489" i="39"/>
  <c r="J488" i="39"/>
  <c r="J487" i="39"/>
  <c r="J486" i="39"/>
  <c r="J485" i="39"/>
  <c r="J484" i="39"/>
  <c r="J483" i="39"/>
  <c r="J482" i="39"/>
  <c r="J481" i="39"/>
  <c r="J480" i="39"/>
  <c r="J479" i="39"/>
  <c r="J478" i="39"/>
  <c r="J477" i="39"/>
  <c r="J476" i="39"/>
  <c r="J475" i="39"/>
  <c r="J474" i="39"/>
  <c r="J473" i="39"/>
  <c r="J472" i="39"/>
  <c r="J471" i="39"/>
  <c r="J470" i="39"/>
  <c r="J469" i="39"/>
  <c r="J468" i="39"/>
  <c r="J467" i="39"/>
  <c r="J466" i="39"/>
  <c r="J465" i="39"/>
  <c r="J464" i="39"/>
  <c r="J463" i="39"/>
  <c r="J462" i="39"/>
  <c r="J461" i="39"/>
  <c r="J460" i="39"/>
  <c r="J459" i="39"/>
  <c r="J458" i="39"/>
  <c r="J457" i="39"/>
  <c r="J456" i="39"/>
  <c r="J455" i="39"/>
  <c r="J454" i="39"/>
  <c r="J453" i="39"/>
  <c r="J452" i="39"/>
  <c r="J451" i="39"/>
  <c r="J450" i="39"/>
  <c r="J449" i="39"/>
  <c r="J448" i="39"/>
  <c r="J447" i="39"/>
  <c r="J446" i="39"/>
  <c r="J445" i="39"/>
  <c r="J444" i="39"/>
  <c r="J443" i="39"/>
  <c r="J442" i="39"/>
  <c r="J441" i="39"/>
  <c r="J440" i="39"/>
  <c r="J439" i="39"/>
  <c r="J438" i="39"/>
  <c r="J437" i="39"/>
  <c r="J436" i="39"/>
  <c r="J435" i="39"/>
  <c r="J434" i="39"/>
  <c r="J433" i="39"/>
  <c r="J432" i="39"/>
  <c r="J431" i="39"/>
  <c r="J430" i="39"/>
  <c r="J429" i="39"/>
  <c r="J428" i="39"/>
  <c r="J427" i="39"/>
  <c r="J426" i="39"/>
  <c r="J425" i="39"/>
  <c r="J424" i="39"/>
  <c r="J423" i="39"/>
  <c r="J422" i="39"/>
  <c r="J421" i="39"/>
  <c r="J420" i="39"/>
  <c r="J419" i="39"/>
  <c r="J418" i="39"/>
  <c r="J417" i="39"/>
  <c r="J416" i="39"/>
  <c r="J415" i="39"/>
  <c r="J414" i="39"/>
  <c r="J413" i="39"/>
  <c r="J412" i="39"/>
  <c r="J411" i="39"/>
  <c r="J410" i="39"/>
  <c r="J409" i="39"/>
  <c r="J408" i="39"/>
  <c r="J407" i="39"/>
  <c r="J406" i="39"/>
  <c r="J405" i="39"/>
  <c r="J404" i="39"/>
  <c r="J403" i="39"/>
  <c r="J402" i="39"/>
  <c r="J401" i="39"/>
  <c r="J400" i="39"/>
  <c r="J399" i="39"/>
  <c r="J398" i="39"/>
  <c r="J397" i="39"/>
  <c r="J396" i="39"/>
  <c r="J395" i="39"/>
  <c r="J394" i="39"/>
  <c r="J393" i="39"/>
  <c r="J392" i="39"/>
  <c r="J391" i="39"/>
  <c r="J390" i="39"/>
  <c r="J389" i="39"/>
  <c r="J388" i="39"/>
  <c r="J387" i="39"/>
  <c r="J386" i="39"/>
  <c r="J385" i="39"/>
  <c r="J384" i="39"/>
  <c r="J383" i="39"/>
  <c r="J382" i="39"/>
  <c r="J381" i="39"/>
  <c r="J380" i="39"/>
  <c r="J379" i="39"/>
  <c r="J378" i="39"/>
  <c r="J377" i="39"/>
  <c r="J376" i="39"/>
  <c r="J375" i="39"/>
  <c r="J374" i="39"/>
  <c r="J373" i="39"/>
  <c r="J372" i="39"/>
  <c r="J371" i="39"/>
  <c r="J370" i="39"/>
  <c r="J369" i="39"/>
  <c r="J368" i="39"/>
  <c r="J367" i="39"/>
  <c r="J366" i="39"/>
  <c r="J365" i="39"/>
  <c r="J364" i="39"/>
  <c r="J363" i="39"/>
  <c r="J362" i="39"/>
  <c r="J361" i="39"/>
  <c r="J360" i="39"/>
  <c r="J359" i="39"/>
  <c r="J358" i="39"/>
  <c r="J357" i="39"/>
  <c r="J356" i="39"/>
  <c r="J355" i="39"/>
  <c r="J354" i="39"/>
  <c r="J353" i="39"/>
  <c r="J352" i="39"/>
  <c r="J351" i="39"/>
  <c r="J350" i="39"/>
  <c r="J349" i="39"/>
  <c r="J348" i="39"/>
  <c r="J347" i="39"/>
  <c r="J346" i="39"/>
  <c r="J345" i="39"/>
  <c r="J344" i="39"/>
  <c r="J343" i="39"/>
  <c r="J342" i="39"/>
  <c r="J341" i="39"/>
  <c r="J340" i="39"/>
  <c r="J339" i="39"/>
  <c r="J338" i="39"/>
  <c r="J337" i="39"/>
  <c r="J336" i="39"/>
  <c r="J335" i="39"/>
  <c r="J334" i="39"/>
  <c r="J333" i="39"/>
  <c r="J332" i="39"/>
  <c r="J331" i="39"/>
  <c r="J330" i="39"/>
  <c r="J329" i="39"/>
  <c r="J328" i="39"/>
  <c r="J327" i="39"/>
  <c r="J326" i="39"/>
  <c r="J325" i="39"/>
  <c r="J324" i="39"/>
  <c r="J323" i="39"/>
  <c r="J322" i="39"/>
  <c r="J321" i="39"/>
  <c r="J320" i="39"/>
  <c r="J319" i="39"/>
  <c r="J318" i="39"/>
  <c r="J317" i="39"/>
  <c r="J316" i="39"/>
  <c r="J315" i="39"/>
  <c r="J314" i="39"/>
  <c r="J313" i="39"/>
  <c r="J312" i="39"/>
  <c r="J311" i="39"/>
  <c r="J310" i="39"/>
  <c r="J309" i="39"/>
  <c r="J308" i="39"/>
  <c r="J307" i="39"/>
  <c r="J306" i="39"/>
  <c r="J305" i="39"/>
  <c r="J304" i="39"/>
  <c r="J303" i="39"/>
  <c r="J302" i="39"/>
  <c r="J301" i="39"/>
  <c r="J300" i="39"/>
  <c r="J299" i="39"/>
  <c r="J298" i="39"/>
  <c r="J297" i="39"/>
  <c r="J296" i="39"/>
  <c r="J295" i="39"/>
  <c r="J294" i="39"/>
  <c r="J293" i="39"/>
  <c r="J292" i="39"/>
  <c r="J291" i="39"/>
  <c r="J290" i="39"/>
  <c r="J289" i="39"/>
  <c r="J288" i="39"/>
  <c r="J287" i="39"/>
  <c r="J286" i="39"/>
  <c r="J285" i="39"/>
  <c r="J284" i="39"/>
  <c r="J283" i="39"/>
  <c r="J282" i="39"/>
  <c r="J281" i="39"/>
  <c r="J280" i="39"/>
  <c r="J279" i="39"/>
  <c r="J278" i="39"/>
  <c r="J277" i="39"/>
  <c r="J276" i="39"/>
  <c r="J275" i="39"/>
  <c r="J274" i="39"/>
  <c r="J273" i="39"/>
  <c r="J272" i="39"/>
  <c r="J271" i="39"/>
  <c r="J270" i="39"/>
  <c r="J269" i="39"/>
  <c r="J268" i="39"/>
  <c r="J267" i="39"/>
  <c r="J266" i="39"/>
  <c r="J265" i="39"/>
  <c r="J264" i="39"/>
  <c r="J263" i="39"/>
  <c r="J262" i="39"/>
  <c r="J4" i="39" l="1"/>
  <c r="J2" i="39" s="1"/>
  <c r="C7" i="6"/>
  <c r="A30" i="39" l="1"/>
  <c r="A32" i="39"/>
  <c r="A31" i="39"/>
  <c r="A29" i="39"/>
  <c r="A28" i="39"/>
  <c r="A27" i="39"/>
  <c r="A26" i="39"/>
  <c r="A25" i="39"/>
  <c r="A24" i="39"/>
  <c r="A23" i="39"/>
  <c r="G5" i="39"/>
  <c r="A9" i="39"/>
  <c r="A12" i="39"/>
  <c r="A10" i="39"/>
  <c r="A7" i="39"/>
  <c r="A6" i="39"/>
  <c r="A5" i="39"/>
  <c r="A4" i="39" l="1"/>
  <c r="H1" i="39"/>
  <c r="L2" i="33" s="1"/>
  <c r="G4" i="39"/>
  <c r="G2" i="39" s="1"/>
  <c r="N2" i="3"/>
  <c r="A2" i="39"/>
  <c r="D5" i="39"/>
  <c r="P10" i="39"/>
  <c r="P9" i="39"/>
  <c r="M21" i="39"/>
  <c r="P8" i="39"/>
  <c r="M20" i="39"/>
  <c r="M19" i="39"/>
  <c r="M18" i="39"/>
  <c r="L2" i="35"/>
  <c r="E1" i="39" l="1"/>
  <c r="D4" i="39"/>
  <c r="L2" i="3"/>
  <c r="D25" i="5"/>
  <c r="M17" i="39"/>
  <c r="M4" i="39" s="1"/>
  <c r="M2" i="39" l="1"/>
  <c r="D18" i="5" s="1"/>
  <c r="N1" i="39"/>
  <c r="H2" i="37" s="1"/>
  <c r="R9" i="1"/>
  <c r="G2" i="37" l="1"/>
  <c r="D17" i="37"/>
  <c r="H36" i="3" l="1"/>
  <c r="H37" i="3"/>
  <c r="H38" i="3"/>
  <c r="H39" i="3"/>
  <c r="H40" i="3"/>
  <c r="H41" i="3"/>
  <c r="H42" i="3"/>
  <c r="H43" i="3"/>
  <c r="H44" i="3"/>
  <c r="H45" i="3"/>
  <c r="J2" i="1" l="1"/>
  <c r="G10" i="33"/>
  <c r="W8" i="35"/>
  <c r="D21" i="5" l="1"/>
  <c r="K2" i="33"/>
  <c r="E9" i="3" l="1"/>
  <c r="H20" i="5"/>
  <c r="G10" i="35" l="1"/>
  <c r="D22" i="5" l="1"/>
  <c r="K2" i="35"/>
  <c r="J8" i="1"/>
  <c r="D15" i="37"/>
  <c r="E10" i="3" l="1"/>
  <c r="S7" i="3" l="1"/>
  <c r="E8" i="3" l="1"/>
  <c r="E7" i="3"/>
  <c r="D9" i="1" l="1"/>
  <c r="D8" i="1"/>
  <c r="AM17811" i="26" l="1"/>
  <c r="AM17810" i="26"/>
  <c r="AM17809" i="26"/>
  <c r="AM17808" i="26"/>
  <c r="AM17807" i="26"/>
  <c r="AM17806" i="26"/>
  <c r="AM17805" i="26"/>
  <c r="AM17804" i="26"/>
  <c r="AM17803" i="26"/>
  <c r="AM17802" i="26"/>
  <c r="AM17801" i="26"/>
  <c r="AM17800" i="26"/>
  <c r="AM17799" i="26"/>
  <c r="AM17798" i="26"/>
  <c r="AM17797" i="26"/>
  <c r="AM17796" i="26"/>
  <c r="AM17795" i="26"/>
  <c r="AM17794" i="26"/>
  <c r="AM17793" i="26"/>
  <c r="AM17792" i="26"/>
  <c r="AM17791" i="26"/>
  <c r="AM17790" i="26"/>
  <c r="AM17789" i="26"/>
  <c r="AM17788" i="26"/>
  <c r="AM17787" i="26"/>
  <c r="AM17786" i="26"/>
  <c r="AM17785" i="26"/>
  <c r="AM17784" i="26"/>
  <c r="AM17783" i="26"/>
  <c r="AM17782" i="26"/>
  <c r="AM17781" i="26"/>
  <c r="AM17780" i="26"/>
  <c r="AM17779" i="26"/>
  <c r="AM17778" i="26"/>
  <c r="AM17777" i="26"/>
  <c r="AM17776" i="26"/>
  <c r="AM17775" i="26"/>
  <c r="AM17774" i="26"/>
  <c r="AM17773" i="26"/>
  <c r="AM17772" i="26"/>
  <c r="AM17771" i="26"/>
  <c r="AM17770" i="26"/>
  <c r="AM17769" i="26"/>
  <c r="AM17768" i="26"/>
  <c r="AM17767" i="26"/>
  <c r="AM17766" i="26"/>
  <c r="AM17765" i="26"/>
  <c r="AM17764" i="26"/>
  <c r="AM17763" i="26"/>
  <c r="AM17762" i="26"/>
  <c r="AM17761" i="26"/>
  <c r="AM17760" i="26"/>
  <c r="AM17759" i="26"/>
  <c r="AM17758" i="26"/>
  <c r="AM17757" i="26"/>
  <c r="AM17756" i="26"/>
  <c r="AM17755" i="26"/>
  <c r="AM17754" i="26"/>
  <c r="AM17753" i="26"/>
  <c r="AM17752" i="26"/>
  <c r="AM17751" i="26"/>
  <c r="AM17750" i="26"/>
  <c r="AM17749" i="26"/>
  <c r="AM17748" i="26"/>
  <c r="AM17747" i="26"/>
  <c r="AM17746" i="26"/>
  <c r="AM17745" i="26"/>
  <c r="AM17744" i="26"/>
  <c r="AM17743" i="26"/>
  <c r="AM17742" i="26"/>
  <c r="AM17741" i="26"/>
  <c r="AM17740" i="26"/>
  <c r="AM17739" i="26"/>
  <c r="AM17738" i="26"/>
  <c r="AM17737" i="26"/>
  <c r="AM17736" i="26"/>
  <c r="AM17735" i="26"/>
  <c r="AM17734" i="26"/>
  <c r="AM17733" i="26"/>
  <c r="AM17732" i="26"/>
  <c r="AM17731" i="26"/>
  <c r="AM17730" i="26"/>
  <c r="AM17729" i="26"/>
  <c r="AM17728" i="26"/>
  <c r="AM17727" i="26"/>
  <c r="AM17726" i="26"/>
  <c r="AM17725" i="26"/>
  <c r="AM17724" i="26"/>
  <c r="AM17723" i="26"/>
  <c r="AM17722" i="26"/>
  <c r="AM17721" i="26"/>
  <c r="AM17720" i="26"/>
  <c r="AM17719" i="26"/>
  <c r="AM17718" i="26"/>
  <c r="AM17717" i="26"/>
  <c r="AM17716" i="26"/>
  <c r="AM17715" i="26"/>
  <c r="AM17714" i="26"/>
  <c r="AM17713" i="26"/>
  <c r="AM17712" i="26"/>
  <c r="AM17711" i="26"/>
  <c r="AM17710" i="26"/>
  <c r="AM17709" i="26"/>
  <c r="AM17708" i="26"/>
  <c r="AM17707" i="26"/>
  <c r="AM17706" i="26"/>
  <c r="AM17705" i="26"/>
  <c r="AM17704" i="26"/>
  <c r="AM17703" i="26"/>
  <c r="AM17702" i="26"/>
  <c r="AM17701" i="26"/>
  <c r="AM17700" i="26"/>
  <c r="AM17699" i="26"/>
  <c r="AM17698" i="26"/>
  <c r="AM17697" i="26"/>
  <c r="AM17696" i="26"/>
  <c r="AM17695" i="26"/>
  <c r="AM17694" i="26"/>
  <c r="AM17693" i="26"/>
  <c r="AM17692" i="26"/>
  <c r="AM17691" i="26"/>
  <c r="AM17690" i="26"/>
  <c r="AM17689" i="26"/>
  <c r="AM17688" i="26"/>
  <c r="AM17687" i="26"/>
  <c r="AM17686" i="26"/>
  <c r="AM17685" i="26"/>
  <c r="AM17684" i="26"/>
  <c r="AM17683" i="26"/>
  <c r="AM17682" i="26"/>
  <c r="AM17681" i="26"/>
  <c r="AM17680" i="26"/>
  <c r="AM17679" i="26"/>
  <c r="AM17678" i="26"/>
  <c r="AM17677" i="26"/>
  <c r="AM17676" i="26"/>
  <c r="AM17675" i="26"/>
  <c r="AM17674" i="26"/>
  <c r="AM17673" i="26"/>
  <c r="AM17672" i="26"/>
  <c r="AM17671" i="26"/>
  <c r="AM17670" i="26"/>
  <c r="AM17669" i="26"/>
  <c r="AM17668" i="26"/>
  <c r="AM17667" i="26"/>
  <c r="AM17666" i="26"/>
  <c r="AM17665" i="26"/>
  <c r="AM17664" i="26"/>
  <c r="AM17663" i="26"/>
  <c r="AM17662" i="26"/>
  <c r="AM17661" i="26"/>
  <c r="AM17660" i="26"/>
  <c r="AM17659" i="26"/>
  <c r="AM17658" i="26"/>
  <c r="AM17657" i="26"/>
  <c r="AM17656" i="26"/>
  <c r="AM17655" i="26"/>
  <c r="AM17654" i="26"/>
  <c r="AM17653" i="26"/>
  <c r="AM17652" i="26"/>
  <c r="AM17651" i="26"/>
  <c r="AM17650" i="26"/>
  <c r="AM17649" i="26"/>
  <c r="AM17648" i="26"/>
  <c r="AM17647" i="26"/>
  <c r="AM17646" i="26"/>
  <c r="AM17645" i="26"/>
  <c r="AM17644" i="26"/>
  <c r="AM17643" i="26"/>
  <c r="AM17642" i="26"/>
  <c r="AM17641" i="26"/>
  <c r="AM17640" i="26"/>
  <c r="AM17639" i="26"/>
  <c r="AM17638" i="26"/>
  <c r="AM17637" i="26"/>
  <c r="AM17636" i="26"/>
  <c r="AM17635" i="26"/>
  <c r="AM17634" i="26"/>
  <c r="AM17633" i="26"/>
  <c r="AM17632" i="26"/>
  <c r="AM17631" i="26"/>
  <c r="AM17630" i="26"/>
  <c r="AM17629" i="26"/>
  <c r="AM17628" i="26"/>
  <c r="AM17627" i="26"/>
  <c r="AM17626" i="26"/>
  <c r="AM17625" i="26"/>
  <c r="AM17624" i="26"/>
  <c r="AM17623" i="26"/>
  <c r="AM17622" i="26"/>
  <c r="AM17621" i="26"/>
  <c r="AM17620" i="26"/>
  <c r="AM17619" i="26"/>
  <c r="AM17618" i="26"/>
  <c r="AM17617" i="26"/>
  <c r="AM17616" i="26"/>
  <c r="AM17615" i="26"/>
  <c r="AM17614" i="26"/>
  <c r="AM17613" i="26"/>
  <c r="AM17612" i="26"/>
  <c r="AM17611" i="26"/>
  <c r="AM17610" i="26"/>
  <c r="AM17609" i="26"/>
  <c r="AM17608" i="26"/>
  <c r="AM17607" i="26"/>
  <c r="AM17606" i="26"/>
  <c r="AM17605" i="26"/>
  <c r="AM17604" i="26"/>
  <c r="AM17603" i="26"/>
  <c r="AM17602" i="26"/>
  <c r="AM17601" i="26"/>
  <c r="AM17600" i="26"/>
  <c r="AM17599" i="26"/>
  <c r="AM17598" i="26"/>
  <c r="AM17597" i="26"/>
  <c r="AM17596" i="26"/>
  <c r="AM17595" i="26"/>
  <c r="AM17594" i="26"/>
  <c r="AM17593" i="26"/>
  <c r="AM17592" i="26"/>
  <c r="AM17591" i="26"/>
  <c r="AM17590" i="26"/>
  <c r="AM17589" i="26"/>
  <c r="AM17588" i="26"/>
  <c r="AM17587" i="26"/>
  <c r="AM17586" i="26"/>
  <c r="AM17585" i="26"/>
  <c r="AM17584" i="26"/>
  <c r="AM17583" i="26"/>
  <c r="AM17582" i="26"/>
  <c r="AM17581" i="26"/>
  <c r="AM17580" i="26"/>
  <c r="AM17579" i="26"/>
  <c r="AM17578" i="26"/>
  <c r="AM17577" i="26"/>
  <c r="AM17576" i="26"/>
  <c r="AM17575" i="26"/>
  <c r="AM17574" i="26"/>
  <c r="AM17573" i="26"/>
  <c r="AM17572" i="26"/>
  <c r="AM17571" i="26"/>
  <c r="AM17570" i="26"/>
  <c r="AM17569" i="26"/>
  <c r="AM17568" i="26"/>
  <c r="AM17567" i="26"/>
  <c r="AM17566" i="26"/>
  <c r="AM17565" i="26"/>
  <c r="AM17564" i="26"/>
  <c r="AM17563" i="26"/>
  <c r="AM17562" i="26"/>
  <c r="AM17561" i="26"/>
  <c r="AM17560" i="26"/>
  <c r="AM17559" i="26"/>
  <c r="AM17558" i="26"/>
  <c r="AM17557" i="26"/>
  <c r="AM17556" i="26"/>
  <c r="AM17555" i="26"/>
  <c r="AM17554" i="26"/>
  <c r="AM17553" i="26"/>
  <c r="AM17552" i="26"/>
  <c r="AM17551" i="26"/>
  <c r="AM17550" i="26"/>
  <c r="AM17549" i="26"/>
  <c r="AM17548" i="26"/>
  <c r="AM17547" i="26"/>
  <c r="AM17546" i="26"/>
  <c r="AM17545" i="26"/>
  <c r="AM17544" i="26"/>
  <c r="AM17543" i="26"/>
  <c r="AM17542" i="26"/>
  <c r="AM17541" i="26"/>
  <c r="AM17540" i="26"/>
  <c r="AM17539" i="26"/>
  <c r="AM17538" i="26"/>
  <c r="AM17537" i="26"/>
  <c r="AM17536" i="26"/>
  <c r="AM17535" i="26"/>
  <c r="AM17534" i="26"/>
  <c r="AM17533" i="26"/>
  <c r="AM17532" i="26"/>
  <c r="AM17531" i="26"/>
  <c r="AM17530" i="26"/>
  <c r="AM17529" i="26"/>
  <c r="AM17528" i="26"/>
  <c r="AM17527" i="26"/>
  <c r="AM17526" i="26"/>
  <c r="AM17525" i="26"/>
  <c r="AM17524" i="26"/>
  <c r="AM17523" i="26"/>
  <c r="AM17522" i="26"/>
  <c r="AM17521" i="26"/>
  <c r="AM17520" i="26"/>
  <c r="AM17519" i="26"/>
  <c r="AM17518" i="26"/>
  <c r="AM17517" i="26"/>
  <c r="AM17516" i="26"/>
  <c r="AM17515" i="26"/>
  <c r="AM17514" i="26"/>
  <c r="AM17513" i="26"/>
  <c r="AM17512" i="26"/>
  <c r="AM17511" i="26"/>
  <c r="AM17510" i="26"/>
  <c r="AM17509" i="26"/>
  <c r="AM17508" i="26"/>
  <c r="AM17507" i="26"/>
  <c r="AM17506" i="26"/>
  <c r="AM17505" i="26"/>
  <c r="AM17504" i="26"/>
  <c r="AM17503" i="26"/>
  <c r="AM17502" i="26"/>
  <c r="AM17501" i="26"/>
  <c r="AM17500" i="26"/>
  <c r="AM17499" i="26"/>
  <c r="AM17498" i="26"/>
  <c r="AM17497" i="26"/>
  <c r="AM17496" i="26"/>
  <c r="AM17495" i="26"/>
  <c r="AM17494" i="26"/>
  <c r="AM17493" i="26"/>
  <c r="AM17492" i="26"/>
  <c r="AM17491" i="26"/>
  <c r="AM17490" i="26"/>
  <c r="AM17489" i="26"/>
  <c r="AM17488" i="26"/>
  <c r="AM17487" i="26"/>
  <c r="AM17486" i="26"/>
  <c r="AM17485" i="26"/>
  <c r="AM17484" i="26"/>
  <c r="AM17483" i="26"/>
  <c r="AM17482" i="26"/>
  <c r="AM17481" i="26"/>
  <c r="AM17480" i="26"/>
  <c r="AM17479" i="26"/>
  <c r="AM17478" i="26"/>
  <c r="AM17477" i="26"/>
  <c r="AM17476" i="26"/>
  <c r="AM17475" i="26"/>
  <c r="AM17474" i="26"/>
  <c r="AM17473" i="26"/>
  <c r="AM17472" i="26"/>
  <c r="AM17471" i="26"/>
  <c r="AM17470" i="26"/>
  <c r="AM17469" i="26"/>
  <c r="AM17468" i="26"/>
  <c r="AM17467" i="26"/>
  <c r="AM17466" i="26"/>
  <c r="AM17465" i="26"/>
  <c r="AM17464" i="26"/>
  <c r="AM17463" i="26"/>
  <c r="AM17462" i="26"/>
  <c r="AM17461" i="26"/>
  <c r="AM17460" i="26"/>
  <c r="AM17459" i="26"/>
  <c r="AM17458" i="26"/>
  <c r="AM17457" i="26"/>
  <c r="AM17456" i="26"/>
  <c r="AM17455" i="26"/>
  <c r="AM17454" i="26"/>
  <c r="AM17453" i="26"/>
  <c r="AM17452" i="26"/>
  <c r="AM17451" i="26"/>
  <c r="AM17450" i="26"/>
  <c r="AM17449" i="26"/>
  <c r="AM17448" i="26"/>
  <c r="AM17447" i="26"/>
  <c r="AM17446" i="26"/>
  <c r="AM17445" i="26"/>
  <c r="AM17444" i="26"/>
  <c r="AM17443" i="26"/>
  <c r="AM17442" i="26"/>
  <c r="AM17441" i="26"/>
  <c r="AM17440" i="26"/>
  <c r="AM17439" i="26"/>
  <c r="AM17438" i="26"/>
  <c r="AM17437" i="26"/>
  <c r="AM17436" i="26"/>
  <c r="AM17435" i="26"/>
  <c r="AM17434" i="26"/>
  <c r="AM17433" i="26"/>
  <c r="AM17432" i="26"/>
  <c r="AM17431" i="26"/>
  <c r="AM17430" i="26"/>
  <c r="AM17429" i="26"/>
  <c r="AM17428" i="26"/>
  <c r="AM17427" i="26"/>
  <c r="AM17426" i="26"/>
  <c r="AM17425" i="26"/>
  <c r="AM17424" i="26"/>
  <c r="AM17423" i="26"/>
  <c r="AM17422" i="26"/>
  <c r="AM17421" i="26"/>
  <c r="AM17420" i="26"/>
  <c r="AM17419" i="26"/>
  <c r="AM17418" i="26"/>
  <c r="AM17417" i="26"/>
  <c r="AM17416" i="26"/>
  <c r="AM17415" i="26"/>
  <c r="AM17414" i="26"/>
  <c r="AM17413" i="26"/>
  <c r="AM17412" i="26"/>
  <c r="AM17411" i="26"/>
  <c r="AM17410" i="26"/>
  <c r="AM17409" i="26"/>
  <c r="AM17408" i="26"/>
  <c r="AM17407" i="26"/>
  <c r="AM17406" i="26"/>
  <c r="AM17405" i="26"/>
  <c r="AM17404" i="26"/>
  <c r="AM17403" i="26"/>
  <c r="AM17402" i="26"/>
  <c r="AM17401" i="26"/>
  <c r="AM17400" i="26"/>
  <c r="AM17399" i="26"/>
  <c r="AM17398" i="26"/>
  <c r="AM17397" i="26"/>
  <c r="AM17396" i="26"/>
  <c r="AM17395" i="26"/>
  <c r="AM17394" i="26"/>
  <c r="AM17393" i="26"/>
  <c r="AM17392" i="26"/>
  <c r="AM17391" i="26"/>
  <c r="AM17390" i="26"/>
  <c r="AM17389" i="26"/>
  <c r="AM17388" i="26"/>
  <c r="AM17387" i="26"/>
  <c r="AM17386" i="26"/>
  <c r="AM17385" i="26"/>
  <c r="AM17384" i="26"/>
  <c r="AM17383" i="26"/>
  <c r="AM17382" i="26"/>
  <c r="AM17381" i="26"/>
  <c r="AM17380" i="26"/>
  <c r="AM17379" i="26"/>
  <c r="AM17378" i="26"/>
  <c r="AM17377" i="26"/>
  <c r="AM17376" i="26"/>
  <c r="AM17375" i="26"/>
  <c r="AM17374" i="26"/>
  <c r="AM17373" i="26"/>
  <c r="AM17372" i="26"/>
  <c r="AM17371" i="26"/>
  <c r="AM17370" i="26"/>
  <c r="AM17369" i="26"/>
  <c r="AM17368" i="26"/>
  <c r="AM17367" i="26"/>
  <c r="AM17366" i="26"/>
  <c r="AM17365" i="26"/>
  <c r="AM17364" i="26"/>
  <c r="AM17363" i="26"/>
  <c r="AM17362" i="26"/>
  <c r="AM17361" i="26"/>
  <c r="AM17360" i="26"/>
  <c r="AM17359" i="26"/>
  <c r="AM17358" i="26"/>
  <c r="AM17357" i="26"/>
  <c r="AM17356" i="26"/>
  <c r="AM17355" i="26"/>
  <c r="AM17354" i="26"/>
  <c r="AM17353" i="26"/>
  <c r="AM17352" i="26"/>
  <c r="AM17351" i="26"/>
  <c r="AM17350" i="26"/>
  <c r="AM17349" i="26"/>
  <c r="AM17348" i="26"/>
  <c r="AM17347" i="26"/>
  <c r="AM17346" i="26"/>
  <c r="AM17345" i="26"/>
  <c r="AM17344" i="26"/>
  <c r="AM17343" i="26"/>
  <c r="AM17342" i="26"/>
  <c r="AM17341" i="26"/>
  <c r="AM17340" i="26"/>
  <c r="AM17339" i="26"/>
  <c r="AM17338" i="26"/>
  <c r="AM17337" i="26"/>
  <c r="AM17336" i="26"/>
  <c r="AM17335" i="26"/>
  <c r="AM17334" i="26"/>
  <c r="AM17333" i="26"/>
  <c r="AM17332" i="26"/>
  <c r="AM17331" i="26"/>
  <c r="AM17330" i="26"/>
  <c r="AM17329" i="26"/>
  <c r="AM17328" i="26"/>
  <c r="AM17327" i="26"/>
  <c r="AM17326" i="26"/>
  <c r="AM17325" i="26"/>
  <c r="AM17324" i="26"/>
  <c r="AM17323" i="26"/>
  <c r="AM17322" i="26"/>
  <c r="AM17321" i="26"/>
  <c r="AM17320" i="26"/>
  <c r="AM17319" i="26"/>
  <c r="AM17318" i="26"/>
  <c r="AM17317" i="26"/>
  <c r="AM17316" i="26"/>
  <c r="AM17315" i="26"/>
  <c r="AM17314" i="26"/>
  <c r="AM17313" i="26"/>
  <c r="AM17312" i="26"/>
  <c r="AM17311" i="26"/>
  <c r="AM17310" i="26"/>
  <c r="AM17309" i="26"/>
  <c r="AM17308" i="26"/>
  <c r="AM17307" i="26"/>
  <c r="AM17306" i="26"/>
  <c r="AM17305" i="26"/>
  <c r="AM17304" i="26"/>
  <c r="AM17303" i="26"/>
  <c r="AM17302" i="26"/>
  <c r="AM17301" i="26"/>
  <c r="AM17300" i="26"/>
  <c r="AM17299" i="26"/>
  <c r="AM17298" i="26"/>
  <c r="AM17297" i="26"/>
  <c r="AM17296" i="26"/>
  <c r="AM17295" i="26"/>
  <c r="AM17294" i="26"/>
  <c r="AM17293" i="26"/>
  <c r="AM17292" i="26"/>
  <c r="AM17291" i="26"/>
  <c r="AM17290" i="26"/>
  <c r="AM17289" i="26"/>
  <c r="AM17288" i="26"/>
  <c r="AM17287" i="26"/>
  <c r="AM17286" i="26"/>
  <c r="AM17285" i="26"/>
  <c r="AM17284" i="26"/>
  <c r="AM17283" i="26"/>
  <c r="AM17282" i="26"/>
  <c r="AM17281" i="26"/>
  <c r="AM17280" i="26"/>
  <c r="AM17279" i="26"/>
  <c r="AM17278" i="26"/>
  <c r="AM17277" i="26"/>
  <c r="AM17276" i="26"/>
  <c r="AM17275" i="26"/>
  <c r="AM17274" i="26"/>
  <c r="AM17273" i="26"/>
  <c r="AM17272" i="26"/>
  <c r="AM17271" i="26"/>
  <c r="AM17270" i="26"/>
  <c r="AM17269" i="26"/>
  <c r="AM17268" i="26"/>
  <c r="AM17267" i="26"/>
  <c r="AM17266" i="26"/>
  <c r="AM17265" i="26"/>
  <c r="AM17264" i="26"/>
  <c r="AM17263" i="26"/>
  <c r="AM17262" i="26"/>
  <c r="AM17261" i="26"/>
  <c r="AM17260" i="26"/>
  <c r="AM17259" i="26"/>
  <c r="AM17258" i="26"/>
  <c r="AM17257" i="26"/>
  <c r="AM17256" i="26"/>
  <c r="AM17255" i="26"/>
  <c r="AM17254" i="26"/>
  <c r="AM17253" i="26"/>
  <c r="AM17252" i="26"/>
  <c r="AM17251" i="26"/>
  <c r="AM17250" i="26"/>
  <c r="AM17249" i="26"/>
  <c r="AM17248" i="26"/>
  <c r="AM17247" i="26"/>
  <c r="AM17246" i="26"/>
  <c r="AM17245" i="26"/>
  <c r="AM17244" i="26"/>
  <c r="AM17243" i="26"/>
  <c r="AM17242" i="26"/>
  <c r="AM17241" i="26"/>
  <c r="AM17240" i="26"/>
  <c r="AM17239" i="26"/>
  <c r="AM17238" i="26"/>
  <c r="AM17237" i="26"/>
  <c r="AM17236" i="26"/>
  <c r="AM17235" i="26"/>
  <c r="AM17234" i="26"/>
  <c r="AM17233" i="26"/>
  <c r="AM17232" i="26"/>
  <c r="AM17231" i="26"/>
  <c r="AM17230" i="26"/>
  <c r="AM17229" i="26"/>
  <c r="AM17228" i="26"/>
  <c r="AM17227" i="26"/>
  <c r="AM17226" i="26"/>
  <c r="AM17225" i="26"/>
  <c r="AM17224" i="26"/>
  <c r="AM17223" i="26"/>
  <c r="AM17222" i="26"/>
  <c r="AM17221" i="26"/>
  <c r="AM17220" i="26"/>
  <c r="AM17219" i="26"/>
  <c r="AM17218" i="26"/>
  <c r="AM17217" i="26"/>
  <c r="AM17216" i="26"/>
  <c r="AM17215" i="26"/>
  <c r="AM17214" i="26"/>
  <c r="AM17213" i="26"/>
  <c r="AM17212" i="26"/>
  <c r="AM17211" i="26"/>
  <c r="AM17210" i="26"/>
  <c r="AM17209" i="26"/>
  <c r="AM17208" i="26"/>
  <c r="AM17207" i="26"/>
  <c r="AM17206" i="26"/>
  <c r="AM17205" i="26"/>
  <c r="AM17204" i="26"/>
  <c r="AM17203" i="26"/>
  <c r="AM17202" i="26"/>
  <c r="AM17201" i="26"/>
  <c r="AM17200" i="26"/>
  <c r="AM17199" i="26"/>
  <c r="AM17198" i="26"/>
  <c r="AM17197" i="26"/>
  <c r="AM17196" i="26"/>
  <c r="AM17195" i="26"/>
  <c r="AM17194" i="26"/>
  <c r="AM17193" i="26"/>
  <c r="AM17192" i="26"/>
  <c r="AM17191" i="26"/>
  <c r="AM17190" i="26"/>
  <c r="AM17189" i="26"/>
  <c r="AM17188" i="26"/>
  <c r="AM17187" i="26"/>
  <c r="AM17186" i="26"/>
  <c r="AM17185" i="26"/>
  <c r="AM17184" i="26"/>
  <c r="AM17183" i="26"/>
  <c r="AM17182" i="26"/>
  <c r="AM17181" i="26"/>
  <c r="AM17180" i="26"/>
  <c r="AM17179" i="26"/>
  <c r="AM17178" i="26"/>
  <c r="AM17177" i="26"/>
  <c r="AM17176" i="26"/>
  <c r="AM17175" i="26"/>
  <c r="AM17169" i="26"/>
  <c r="AM17168" i="26"/>
  <c r="AM17167" i="26"/>
  <c r="AM17166" i="26"/>
  <c r="AM17165" i="26"/>
  <c r="AM17164" i="26"/>
  <c r="AM17163" i="26"/>
  <c r="AM17162" i="26"/>
  <c r="AM17161" i="26"/>
  <c r="AM17160" i="26"/>
  <c r="AM17159" i="26"/>
  <c r="AM17158" i="26"/>
  <c r="AM17157" i="26"/>
  <c r="AM17156" i="26"/>
  <c r="AM17155" i="26"/>
  <c r="AM17154" i="26"/>
  <c r="AM17153" i="26"/>
  <c r="AM17152" i="26"/>
  <c r="AM17151" i="26"/>
  <c r="AM17150" i="26"/>
  <c r="AM17149" i="26"/>
  <c r="AM17148" i="26"/>
  <c r="AM17147" i="26"/>
  <c r="AM17146" i="26"/>
  <c r="AM17145" i="26"/>
  <c r="AM17144" i="26"/>
  <c r="AM17143" i="26"/>
  <c r="AM17142" i="26"/>
  <c r="AM17141" i="26"/>
  <c r="AM17140" i="26"/>
  <c r="AM17139" i="26"/>
  <c r="AM17138" i="26"/>
  <c r="AM17137" i="26"/>
  <c r="AM17136" i="26"/>
  <c r="AM17135" i="26"/>
  <c r="AM17134" i="26"/>
  <c r="AM17133" i="26"/>
  <c r="AM17132" i="26"/>
  <c r="AM17131" i="26"/>
  <c r="AM17130" i="26"/>
  <c r="AM17129" i="26"/>
  <c r="AM17128" i="26"/>
  <c r="AM17127" i="26"/>
  <c r="AM17126" i="26"/>
  <c r="AM17125" i="26"/>
  <c r="AM17124" i="26"/>
  <c r="AM17123" i="26"/>
  <c r="AM17122" i="26"/>
  <c r="AM17121" i="26"/>
  <c r="AM17120" i="26"/>
  <c r="AM17119" i="26"/>
  <c r="AM17118" i="26"/>
  <c r="AM17117" i="26"/>
  <c r="AM17116" i="26"/>
  <c r="AM17115" i="26"/>
  <c r="AM17114" i="26"/>
  <c r="AM17113" i="26"/>
  <c r="AM17112" i="26"/>
  <c r="AM17111" i="26"/>
  <c r="AM17110" i="26"/>
  <c r="AM17109" i="26"/>
  <c r="AM17108" i="26"/>
  <c r="AM17107" i="26"/>
  <c r="AM17106" i="26"/>
  <c r="AM17105" i="26"/>
  <c r="AM17104" i="26"/>
  <c r="AM17103" i="26"/>
  <c r="AM17102" i="26"/>
  <c r="AM17101" i="26"/>
  <c r="AM17100" i="26"/>
  <c r="AM17099" i="26"/>
  <c r="AM17098" i="26"/>
  <c r="AM17097" i="26"/>
  <c r="AM17096" i="26"/>
  <c r="AM17095" i="26"/>
  <c r="AM17094" i="26"/>
  <c r="AM17093" i="26"/>
  <c r="AM17092" i="26"/>
  <c r="AM17091" i="26"/>
  <c r="AM17090" i="26"/>
  <c r="AM17089" i="26"/>
  <c r="AM17088" i="26"/>
  <c r="AM17087" i="26"/>
  <c r="AM17086" i="26"/>
  <c r="AM17085" i="26"/>
  <c r="AM17084" i="26"/>
  <c r="AM17083" i="26"/>
  <c r="AM17082" i="26"/>
  <c r="AM17081" i="26"/>
  <c r="AM17080" i="26"/>
  <c r="AM17079" i="26"/>
  <c r="AM17078" i="26"/>
  <c r="AM17077" i="26"/>
  <c r="AM17076" i="26"/>
  <c r="AM17075" i="26"/>
  <c r="AM17074" i="26"/>
  <c r="AM17073" i="26"/>
  <c r="AM17072" i="26"/>
  <c r="AM17071" i="26"/>
  <c r="AM17070" i="26"/>
  <c r="AM17069" i="26"/>
  <c r="AM17068" i="26"/>
  <c r="AM17067" i="26"/>
  <c r="AM17066" i="26"/>
  <c r="AM17065" i="26"/>
  <c r="AM17064" i="26"/>
  <c r="AM17063" i="26"/>
  <c r="AM17062" i="26"/>
  <c r="AM17061" i="26"/>
  <c r="AM17060" i="26"/>
  <c r="AM17059" i="26"/>
  <c r="AM17058" i="26"/>
  <c r="AM17057" i="26"/>
  <c r="AM17056" i="26"/>
  <c r="AM17055" i="26"/>
  <c r="AM17054" i="26"/>
  <c r="AM17053" i="26"/>
  <c r="AM17052" i="26"/>
  <c r="AM17051" i="26"/>
  <c r="AM17050" i="26"/>
  <c r="AM17049" i="26"/>
  <c r="AM17048" i="26"/>
  <c r="AM17047" i="26"/>
  <c r="AM17046" i="26"/>
  <c r="AM17045" i="26"/>
  <c r="AM17044" i="26"/>
  <c r="AM17043" i="26"/>
  <c r="AM17042" i="26"/>
  <c r="AM17041" i="26"/>
  <c r="AM17040" i="26"/>
  <c r="AM17039" i="26"/>
  <c r="AM17038" i="26"/>
  <c r="AM17037" i="26"/>
  <c r="AM17036" i="26"/>
  <c r="AM17035" i="26"/>
  <c r="AM17034" i="26"/>
  <c r="AM17033" i="26"/>
  <c r="AM17032" i="26"/>
  <c r="AM17031" i="26"/>
  <c r="AM17030" i="26"/>
  <c r="AM17029" i="26"/>
  <c r="AM17028" i="26"/>
  <c r="AM17027" i="26"/>
  <c r="AM17026" i="26"/>
  <c r="AM17025" i="26"/>
  <c r="AM17024" i="26"/>
  <c r="AM17023" i="26"/>
  <c r="AM17022" i="26"/>
  <c r="AM17021" i="26"/>
  <c r="AM17020" i="26"/>
  <c r="AM17019" i="26"/>
  <c r="AM17018" i="26"/>
  <c r="AM17017" i="26"/>
  <c r="AM17016" i="26"/>
  <c r="AM17015" i="26"/>
  <c r="AM17014" i="26"/>
  <c r="AM17013" i="26"/>
  <c r="AM17012" i="26"/>
  <c r="AM17011" i="26"/>
  <c r="AM17010" i="26"/>
  <c r="AM17009" i="26"/>
  <c r="AM17008" i="26"/>
  <c r="AM17007" i="26"/>
  <c r="AM17006" i="26"/>
  <c r="AM17005" i="26"/>
  <c r="AM17004" i="26"/>
  <c r="AM17003" i="26"/>
  <c r="AM17002" i="26"/>
  <c r="AM17001" i="26"/>
  <c r="AM17000" i="26"/>
  <c r="AM16999" i="26"/>
  <c r="AM16998" i="26"/>
  <c r="AM16997" i="26"/>
  <c r="AM16996" i="26"/>
  <c r="AM16995" i="26"/>
  <c r="AM16994" i="26"/>
  <c r="AM16993" i="26"/>
  <c r="AM16992" i="26"/>
  <c r="AM16991" i="26"/>
  <c r="AM16990" i="26"/>
  <c r="AM16989" i="26"/>
  <c r="AM16988" i="26"/>
  <c r="AM16987" i="26"/>
  <c r="AM16986" i="26"/>
  <c r="AM16985" i="26"/>
  <c r="AM16984" i="26"/>
  <c r="AM16983" i="26"/>
  <c r="AM16982" i="26"/>
  <c r="AM16981" i="26"/>
  <c r="AM16980" i="26"/>
  <c r="AM16979" i="26"/>
  <c r="AM16978" i="26"/>
  <c r="AM16977" i="26"/>
  <c r="AM16976" i="26"/>
  <c r="AM16975" i="26"/>
  <c r="AM16974" i="26"/>
  <c r="AM16973" i="26"/>
  <c r="AM16972" i="26"/>
  <c r="AM16971" i="26"/>
  <c r="AM16970" i="26"/>
  <c r="AM16969" i="26"/>
  <c r="AM16968" i="26"/>
  <c r="AM16967" i="26"/>
  <c r="AM16966" i="26"/>
  <c r="AM16965" i="26"/>
  <c r="AM16964" i="26"/>
  <c r="AM16963" i="26"/>
  <c r="AM16962" i="26"/>
  <c r="AM16961" i="26"/>
  <c r="AM16960" i="26"/>
  <c r="AM16959" i="26"/>
  <c r="AM16958" i="26"/>
  <c r="AM16957" i="26"/>
  <c r="AM16956" i="26"/>
  <c r="AM16955" i="26"/>
  <c r="AM16954" i="26"/>
  <c r="AM16953" i="26"/>
  <c r="AM16952" i="26"/>
  <c r="AM16951" i="26"/>
  <c r="AM16950" i="26"/>
  <c r="AM16949" i="26"/>
  <c r="AM16948" i="26"/>
  <c r="AM16947" i="26"/>
  <c r="AM16946" i="26"/>
  <c r="AM16945" i="26"/>
  <c r="AM16944" i="26"/>
  <c r="AM16943" i="26"/>
  <c r="AM16942" i="26"/>
  <c r="AM16941" i="26"/>
  <c r="AM16940" i="26"/>
  <c r="AM16939" i="26"/>
  <c r="AM16938" i="26"/>
  <c r="AM16937" i="26"/>
  <c r="AM16936" i="26"/>
  <c r="AM16935" i="26"/>
  <c r="AM16934" i="26"/>
  <c r="AM16933" i="26"/>
  <c r="AM16932" i="26"/>
  <c r="AM16931" i="26"/>
  <c r="AM16930" i="26"/>
  <c r="AM16929" i="26"/>
  <c r="AM16928" i="26"/>
  <c r="AM16927" i="26"/>
  <c r="AM16926" i="26"/>
  <c r="AM16925" i="26"/>
  <c r="AM16924" i="26"/>
  <c r="AM16923" i="26"/>
  <c r="AM16922" i="26"/>
  <c r="AM16921" i="26"/>
  <c r="AM16920" i="26"/>
  <c r="AM16919" i="26"/>
  <c r="AM16918" i="26"/>
  <c r="AM16917" i="26"/>
  <c r="AM16916" i="26"/>
  <c r="AM16915" i="26"/>
  <c r="AM16914" i="26"/>
  <c r="AM16913" i="26"/>
  <c r="AM16912" i="26"/>
  <c r="AM16911" i="26"/>
  <c r="AM16910" i="26"/>
  <c r="AM16909" i="26"/>
  <c r="AM16908" i="26"/>
  <c r="AM16907" i="26"/>
  <c r="AM16906" i="26"/>
  <c r="AM16905" i="26"/>
  <c r="AM16904" i="26"/>
  <c r="AM16903" i="26"/>
  <c r="AM16902" i="26"/>
  <c r="AM16901" i="26"/>
  <c r="AM16900" i="26"/>
  <c r="AM16899" i="26"/>
  <c r="AM16898" i="26"/>
  <c r="AM16897" i="26"/>
  <c r="AM16896" i="26"/>
  <c r="AM16895" i="26"/>
  <c r="AM16894" i="26"/>
  <c r="AM16893" i="26"/>
  <c r="AM16892" i="26"/>
  <c r="AM16891" i="26"/>
  <c r="AM16890" i="26"/>
  <c r="AM16889" i="26"/>
  <c r="AM16888" i="26"/>
  <c r="AM16887" i="26"/>
  <c r="AM16886" i="26"/>
  <c r="AM16885" i="26"/>
  <c r="AM16884" i="26"/>
  <c r="AM16883" i="26"/>
  <c r="AM16882" i="26"/>
  <c r="AM16881" i="26"/>
  <c r="AM16880" i="26"/>
  <c r="AM16879" i="26"/>
  <c r="AM16878" i="26"/>
  <c r="AM16877" i="26"/>
  <c r="AM16876" i="26"/>
  <c r="AM16875" i="26"/>
  <c r="AM16874" i="26"/>
  <c r="AM16873" i="26"/>
  <c r="AM16872" i="26"/>
  <c r="AM16871" i="26"/>
  <c r="AM16870" i="26"/>
  <c r="AM16869" i="26"/>
  <c r="AM16868" i="26"/>
  <c r="AM16867" i="26"/>
  <c r="AM16866" i="26"/>
  <c r="AM16865" i="26"/>
  <c r="AM16864" i="26"/>
  <c r="AM16863" i="26"/>
  <c r="AM16862" i="26"/>
  <c r="AM16861" i="26"/>
  <c r="AM16860" i="26"/>
  <c r="AM16859" i="26"/>
  <c r="AM16858" i="26"/>
  <c r="AM16857" i="26"/>
  <c r="AM16856" i="26"/>
  <c r="AM16855" i="26"/>
  <c r="AM16854" i="26"/>
  <c r="AM16853" i="26"/>
  <c r="AM16852" i="26"/>
  <c r="AM16851" i="26"/>
  <c r="AM16850" i="26"/>
  <c r="AM16849" i="26"/>
  <c r="AM16848" i="26"/>
  <c r="AM16847" i="26"/>
  <c r="AM16846" i="26"/>
  <c r="AM16845" i="26"/>
  <c r="AM16844" i="26"/>
  <c r="AM16843" i="26"/>
  <c r="AM16842" i="26"/>
  <c r="AM16841" i="26"/>
  <c r="AM16840" i="26"/>
  <c r="AM16839" i="26"/>
  <c r="AM16838" i="26"/>
  <c r="AM16837" i="26"/>
  <c r="AM16836" i="26"/>
  <c r="AM16835" i="26"/>
  <c r="AM16834" i="26"/>
  <c r="AM16833" i="26"/>
  <c r="AM16832" i="26"/>
  <c r="AM16831" i="26"/>
  <c r="AM16830" i="26"/>
  <c r="AM16829" i="26"/>
  <c r="AM16828" i="26"/>
  <c r="AM16827" i="26"/>
  <c r="AM16826" i="26"/>
  <c r="AM16825" i="26"/>
  <c r="AM16824" i="26"/>
  <c r="AM16823" i="26"/>
  <c r="AM16822" i="26"/>
  <c r="AM16821" i="26"/>
  <c r="AM16820" i="26"/>
  <c r="AM16819" i="26"/>
  <c r="AM16818" i="26"/>
  <c r="AM16817" i="26"/>
  <c r="AM16816" i="26"/>
  <c r="AM16815" i="26"/>
  <c r="AM16814" i="26"/>
  <c r="AM16813" i="26"/>
  <c r="AM16812" i="26"/>
  <c r="AM16811" i="26"/>
  <c r="AM16810" i="26"/>
  <c r="AM16809" i="26"/>
  <c r="AM16808" i="26"/>
  <c r="AM16807" i="26"/>
  <c r="AM16806" i="26"/>
  <c r="AM16805" i="26"/>
  <c r="AM16804" i="26"/>
  <c r="AM16803" i="26"/>
  <c r="AM16802" i="26"/>
  <c r="AM16801" i="26"/>
  <c r="AM16800" i="26"/>
  <c r="AM16799" i="26"/>
  <c r="AM16798" i="26"/>
  <c r="AM16797" i="26"/>
  <c r="AM16796" i="26"/>
  <c r="AM16795" i="26"/>
  <c r="AM16794" i="26"/>
  <c r="AM16793" i="26"/>
  <c r="AM16792" i="26"/>
  <c r="AM16791" i="26"/>
  <c r="AM16790" i="26"/>
  <c r="AM16789" i="26"/>
  <c r="AM16788" i="26"/>
  <c r="AM16787" i="26"/>
  <c r="AM16786" i="26"/>
  <c r="AM16785" i="26"/>
  <c r="AM16784" i="26"/>
  <c r="AM16783" i="26"/>
  <c r="AM16782" i="26"/>
  <c r="AM16781" i="26"/>
  <c r="AM16780" i="26"/>
  <c r="AM16779" i="26"/>
  <c r="AM16778" i="26"/>
  <c r="AM16777" i="26"/>
  <c r="AM16776" i="26"/>
  <c r="AM16775" i="26"/>
  <c r="AM16774" i="26"/>
  <c r="AM16773" i="26"/>
  <c r="AM16772" i="26"/>
  <c r="AM16771" i="26"/>
  <c r="AM16770" i="26"/>
  <c r="AM16769" i="26"/>
  <c r="AM16768" i="26"/>
  <c r="AM16767" i="26"/>
  <c r="AM16766" i="26"/>
  <c r="AM16765" i="26"/>
  <c r="AM16764" i="26"/>
  <c r="AM16763" i="26"/>
  <c r="AM16762" i="26"/>
  <c r="AM16761" i="26"/>
  <c r="AM16760" i="26"/>
  <c r="AM16759" i="26"/>
  <c r="AM16758" i="26"/>
  <c r="AM16757" i="26"/>
  <c r="AM16756" i="26"/>
  <c r="AM16755" i="26"/>
  <c r="AM16754" i="26"/>
  <c r="AM16753" i="26"/>
  <c r="AM16752" i="26"/>
  <c r="AM16751" i="26"/>
  <c r="AM16750" i="26"/>
  <c r="AM16749" i="26"/>
  <c r="AM16748" i="26"/>
  <c r="AM16747" i="26"/>
  <c r="AM16746" i="26"/>
  <c r="AM16745" i="26"/>
  <c r="AM16744" i="26"/>
  <c r="AM16743" i="26"/>
  <c r="AM16742" i="26"/>
  <c r="AM16741" i="26"/>
  <c r="AM16740" i="26"/>
  <c r="AM16739" i="26"/>
  <c r="AM16738" i="26"/>
  <c r="AM16737" i="26"/>
  <c r="AM16736" i="26"/>
  <c r="AM16735" i="26"/>
  <c r="AM16734" i="26"/>
  <c r="AM16733" i="26"/>
  <c r="AM16732" i="26"/>
  <c r="AM16731" i="26"/>
  <c r="AM16730" i="26"/>
  <c r="AM16729" i="26"/>
  <c r="AM16728" i="26"/>
  <c r="AM16727" i="26"/>
  <c r="AM16726" i="26"/>
  <c r="AM16725" i="26"/>
  <c r="AM16724" i="26"/>
  <c r="AM16723" i="26"/>
  <c r="AM16722" i="26"/>
  <c r="AM16721" i="26"/>
  <c r="AM16720" i="26"/>
  <c r="AM16719" i="26"/>
  <c r="AM16718" i="26"/>
  <c r="AM16717" i="26"/>
  <c r="AM16716" i="26"/>
  <c r="AM16715" i="26"/>
  <c r="AM16714" i="26"/>
  <c r="AM16713" i="26"/>
  <c r="AM16712" i="26"/>
  <c r="AM16711" i="26"/>
  <c r="AM16710" i="26"/>
  <c r="AM16709" i="26"/>
  <c r="AM16708" i="26"/>
  <c r="AM16707" i="26"/>
  <c r="AM16706" i="26"/>
  <c r="AM16705" i="26"/>
  <c r="AM16704" i="26"/>
  <c r="AM16703" i="26"/>
  <c r="AM16702" i="26"/>
  <c r="AM16701" i="26"/>
  <c r="AM16700" i="26"/>
  <c r="AM16699" i="26"/>
  <c r="AM16698" i="26"/>
  <c r="AM16697" i="26"/>
  <c r="AM16696" i="26"/>
  <c r="AM16695" i="26"/>
  <c r="AM16694" i="26"/>
  <c r="AM16693" i="26"/>
  <c r="AM16692" i="26"/>
  <c r="AM16691" i="26"/>
  <c r="AM16690" i="26"/>
  <c r="AM16689" i="26"/>
  <c r="AM16688" i="26"/>
  <c r="AM16687" i="26"/>
  <c r="AM16686" i="26"/>
  <c r="AM16685" i="26"/>
  <c r="AM16684" i="26"/>
  <c r="AM16683" i="26"/>
  <c r="AM16682" i="26"/>
  <c r="AM16681" i="26"/>
  <c r="AM16680" i="26"/>
  <c r="AM16679" i="26"/>
  <c r="AM16678" i="26"/>
  <c r="AM16677" i="26"/>
  <c r="AM16676" i="26"/>
  <c r="AM16675" i="26"/>
  <c r="AM16674" i="26"/>
  <c r="AM16673" i="26"/>
  <c r="AM16672" i="26"/>
  <c r="AM16671" i="26"/>
  <c r="AM16670" i="26"/>
  <c r="AM16669" i="26"/>
  <c r="AM16668" i="26"/>
  <c r="AM16667" i="26"/>
  <c r="AM16666" i="26"/>
  <c r="AM16665" i="26"/>
  <c r="AM16664" i="26"/>
  <c r="AM16663" i="26"/>
  <c r="AM16662" i="26"/>
  <c r="AM16661" i="26"/>
  <c r="AM16660" i="26"/>
  <c r="AM16659" i="26"/>
  <c r="AM16658" i="26"/>
  <c r="AM16657" i="26"/>
  <c r="AM16656" i="26"/>
  <c r="AM16655" i="26"/>
  <c r="AM16654" i="26"/>
  <c r="AM16653" i="26"/>
  <c r="AM16652" i="26"/>
  <c r="AM16651" i="26"/>
  <c r="AM16650" i="26"/>
  <c r="AM16649" i="26"/>
  <c r="AM16648" i="26"/>
  <c r="AM16647" i="26"/>
  <c r="AM16646" i="26"/>
  <c r="AM16645" i="26"/>
  <c r="AM16644" i="26"/>
  <c r="AM16643" i="26"/>
  <c r="AM16642" i="26"/>
  <c r="AM16641" i="26"/>
  <c r="AM16640" i="26"/>
  <c r="AM16639" i="26"/>
  <c r="AM16638" i="26"/>
  <c r="AM16637" i="26"/>
  <c r="AM16636" i="26"/>
  <c r="AM16635" i="26"/>
  <c r="AM16634" i="26"/>
  <c r="AM16633" i="26"/>
  <c r="AM16632" i="26"/>
  <c r="AM16631" i="26"/>
  <c r="AM16630" i="26"/>
  <c r="AM16629" i="26"/>
  <c r="AM16628" i="26"/>
  <c r="AM16627" i="26"/>
  <c r="AM16626" i="26"/>
  <c r="AM16625" i="26"/>
  <c r="AM16624" i="26"/>
  <c r="AM16623" i="26"/>
  <c r="AM16622" i="26"/>
  <c r="AM16621" i="26"/>
  <c r="AM16620" i="26"/>
  <c r="AM16619" i="26"/>
  <c r="AM16618" i="26"/>
  <c r="AM16617" i="26"/>
  <c r="AM16616" i="26"/>
  <c r="AM16615" i="26"/>
  <c r="AM16614" i="26"/>
  <c r="AM16613" i="26"/>
  <c r="AM16612" i="26"/>
  <c r="AM16611" i="26"/>
  <c r="AM16610" i="26"/>
  <c r="AM16609" i="26"/>
  <c r="AM16608" i="26"/>
  <c r="AM16607" i="26"/>
  <c r="AM16606" i="26"/>
  <c r="AM16605" i="26"/>
  <c r="AM16604" i="26"/>
  <c r="AM16603" i="26"/>
  <c r="AM16602" i="26"/>
  <c r="AM16601" i="26"/>
  <c r="AM16600" i="26"/>
  <c r="AM16599" i="26"/>
  <c r="AM16598" i="26"/>
  <c r="AM16597" i="26"/>
  <c r="AM16596" i="26"/>
  <c r="AM16595" i="26"/>
  <c r="AM16594" i="26"/>
  <c r="AM16593" i="26"/>
  <c r="AM16592" i="26"/>
  <c r="AM16591" i="26"/>
  <c r="AM16590" i="26"/>
  <c r="AM16589" i="26"/>
  <c r="AM16588" i="26"/>
  <c r="AM16587" i="26"/>
  <c r="AM16586" i="26"/>
  <c r="AM16585" i="26"/>
  <c r="AM16584" i="26"/>
  <c r="AM16583" i="26"/>
  <c r="AM16582" i="26"/>
  <c r="AM16581" i="26"/>
  <c r="AM16580" i="26"/>
  <c r="AM16579" i="26"/>
  <c r="AM16578" i="26"/>
  <c r="AM16577" i="26"/>
  <c r="AM16576" i="26"/>
  <c r="AM16575" i="26"/>
  <c r="AM16574" i="26"/>
  <c r="AM16573" i="26"/>
  <c r="AM16572" i="26"/>
  <c r="AM16571" i="26"/>
  <c r="AM16570" i="26"/>
  <c r="AM16569" i="26"/>
  <c r="AM16568" i="26"/>
  <c r="AM16567" i="26"/>
  <c r="AM16566" i="26"/>
  <c r="AM16565" i="26"/>
  <c r="AM16564" i="26"/>
  <c r="AM16563" i="26"/>
  <c r="AM16562" i="26"/>
  <c r="AM16561" i="26"/>
  <c r="AM16560" i="26"/>
  <c r="AM16559" i="26"/>
  <c r="AM16558" i="26"/>
  <c r="AM16557" i="26"/>
  <c r="AM16556" i="26"/>
  <c r="AM16555" i="26"/>
  <c r="AM16554" i="26"/>
  <c r="AM16553" i="26"/>
  <c r="AM16552" i="26"/>
  <c r="AM16551" i="26"/>
  <c r="AM16550" i="26"/>
  <c r="AM16549" i="26"/>
  <c r="AM16548" i="26"/>
  <c r="AM16547" i="26"/>
  <c r="AM16546" i="26"/>
  <c r="AM16545" i="26"/>
  <c r="AM16544" i="26"/>
  <c r="AM16543" i="26"/>
  <c r="AM16542" i="26"/>
  <c r="AM16541" i="26"/>
  <c r="AM16540" i="26"/>
  <c r="AM16539" i="26"/>
  <c r="AM16538" i="26"/>
  <c r="AM16537" i="26"/>
  <c r="AM16536" i="26"/>
  <c r="AM16535" i="26"/>
  <c r="AM16534" i="26"/>
  <c r="AM16533" i="26"/>
  <c r="AM16532" i="26"/>
  <c r="AM16531" i="26"/>
  <c r="AM16530" i="26"/>
  <c r="AM16529" i="26"/>
  <c r="AM16528" i="26"/>
  <c r="AM16527" i="26"/>
  <c r="AM16526" i="26"/>
  <c r="AM16525" i="26"/>
  <c r="AM16524" i="26"/>
  <c r="AM16523" i="26"/>
  <c r="AM16522" i="26"/>
  <c r="AM16521" i="26"/>
  <c r="AM16520" i="26"/>
  <c r="AM16519" i="26"/>
  <c r="AM16518" i="26"/>
  <c r="AM16517" i="26"/>
  <c r="AM16516" i="26"/>
  <c r="AM16515" i="26"/>
  <c r="AM16514" i="26"/>
  <c r="AM16513" i="26"/>
  <c r="AM16512" i="26"/>
  <c r="AM16511" i="26"/>
  <c r="AM16510" i="26"/>
  <c r="AM16509" i="26"/>
  <c r="AM16508" i="26"/>
  <c r="AM16507" i="26"/>
  <c r="AM16506" i="26"/>
  <c r="AM16505" i="26"/>
  <c r="AM16504" i="26"/>
  <c r="AM16503" i="26"/>
  <c r="AM16502" i="26"/>
  <c r="AM16501" i="26"/>
  <c r="AM16500" i="26"/>
  <c r="AM16499" i="26"/>
  <c r="AM16498" i="26"/>
  <c r="AM16497" i="26"/>
  <c r="AM16496" i="26"/>
  <c r="AM16495" i="26"/>
  <c r="AM16494" i="26"/>
  <c r="AM16493" i="26"/>
  <c r="AM16492" i="26"/>
  <c r="AM16491" i="26"/>
  <c r="AM16490" i="26"/>
  <c r="AM16489" i="26"/>
  <c r="AM16488" i="26"/>
  <c r="AM16487" i="26"/>
  <c r="AM16486" i="26"/>
  <c r="AM16485" i="26"/>
  <c r="AM16484" i="26"/>
  <c r="AM16483" i="26"/>
  <c r="AM16482" i="26"/>
  <c r="AM16481" i="26"/>
  <c r="AM16480" i="26"/>
  <c r="AM16479" i="26"/>
  <c r="AM16478" i="26"/>
  <c r="AM16477" i="26"/>
  <c r="AM16476" i="26"/>
  <c r="AM16475" i="26"/>
  <c r="AM16474" i="26"/>
  <c r="AM16473" i="26"/>
  <c r="AM16472" i="26"/>
  <c r="AM16471" i="26"/>
  <c r="AM16470" i="26"/>
  <c r="AM16469" i="26"/>
  <c r="AM16468" i="26"/>
  <c r="AM16467" i="26"/>
  <c r="AM16466" i="26"/>
  <c r="AM16465" i="26"/>
  <c r="AM16464" i="26"/>
  <c r="AM16463" i="26"/>
  <c r="AM16462" i="26"/>
  <c r="AM16461" i="26"/>
  <c r="AM16460" i="26"/>
  <c r="AM16459" i="26"/>
  <c r="AM16458" i="26"/>
  <c r="AM16457" i="26"/>
  <c r="AM16456" i="26"/>
  <c r="AM16455" i="26"/>
  <c r="AM16454" i="26"/>
  <c r="AM16453" i="26"/>
  <c r="AM16452" i="26"/>
  <c r="AM16451" i="26"/>
  <c r="AM16450" i="26"/>
  <c r="AM16449" i="26"/>
  <c r="AM16448" i="26"/>
  <c r="AM16447" i="26"/>
  <c r="AM16446" i="26"/>
  <c r="AM16445" i="26"/>
  <c r="AM16444" i="26"/>
  <c r="AM16443" i="26"/>
  <c r="AM16442" i="26"/>
  <c r="AM16441" i="26"/>
  <c r="AM16440" i="26"/>
  <c r="AM16439" i="26"/>
  <c r="AM16438" i="26"/>
  <c r="AM16437" i="26"/>
  <c r="AM16436" i="26"/>
  <c r="AM16435" i="26"/>
  <c r="AM16434" i="26"/>
  <c r="AM16433" i="26"/>
  <c r="AM16432" i="26"/>
  <c r="AM16431" i="26"/>
  <c r="AM16430" i="26"/>
  <c r="AM16429" i="26"/>
  <c r="AM16428" i="26"/>
  <c r="AM16427" i="26"/>
  <c r="AM16426" i="26"/>
  <c r="AM16425" i="26"/>
  <c r="AM16424" i="26"/>
  <c r="AM16423" i="26"/>
  <c r="AM16422" i="26"/>
  <c r="AM16421" i="26"/>
  <c r="AM16420" i="26"/>
  <c r="AM16419" i="26"/>
  <c r="AM16418" i="26"/>
  <c r="AM16417" i="26"/>
  <c r="AM16416" i="26"/>
  <c r="AM16415" i="26"/>
  <c r="AM16414" i="26"/>
  <c r="AM16413" i="26"/>
  <c r="AM16412" i="26"/>
  <c r="AM16411" i="26"/>
  <c r="AM16410" i="26"/>
  <c r="AM16409" i="26"/>
  <c r="AM16408" i="26"/>
  <c r="AM16407" i="26"/>
  <c r="AM16406" i="26"/>
  <c r="AM16405" i="26"/>
  <c r="AM16404" i="26"/>
  <c r="AM16403" i="26"/>
  <c r="AM16402" i="26"/>
  <c r="AM16401" i="26"/>
  <c r="AM16400" i="26"/>
  <c r="AM16399" i="26"/>
  <c r="AM16398" i="26"/>
  <c r="AM16397" i="26"/>
  <c r="AM16396" i="26"/>
  <c r="AM16395" i="26"/>
  <c r="AM16394" i="26"/>
  <c r="AM16393" i="26"/>
  <c r="AM16392" i="26"/>
  <c r="AM16391" i="26"/>
  <c r="AM16390" i="26"/>
  <c r="AM16389" i="26"/>
  <c r="AM16388" i="26"/>
  <c r="AM16387" i="26"/>
  <c r="AM16386" i="26"/>
  <c r="AM16385" i="26"/>
  <c r="AM16384" i="26"/>
  <c r="AM16383" i="26"/>
  <c r="AM16382" i="26"/>
  <c r="AM16381" i="26"/>
  <c r="AM16380" i="26"/>
  <c r="AM16379" i="26"/>
  <c r="AM16378" i="26"/>
  <c r="AM16377" i="26"/>
  <c r="AM16376" i="26"/>
  <c r="AM16375" i="26"/>
  <c r="AM16374" i="26"/>
  <c r="AM16373" i="26"/>
  <c r="AM16372" i="26"/>
  <c r="AM16371" i="26"/>
  <c r="AM16370" i="26"/>
  <c r="AM16369" i="26"/>
  <c r="AM16368" i="26"/>
  <c r="AM16367" i="26"/>
  <c r="AM16366" i="26"/>
  <c r="AM16365" i="26"/>
  <c r="AM16364" i="26"/>
  <c r="AM16363" i="26"/>
  <c r="AM16362" i="26"/>
  <c r="AM16361" i="26"/>
  <c r="AM16360" i="26"/>
  <c r="AM16359" i="26"/>
  <c r="AM16358" i="26"/>
  <c r="AM16357" i="26"/>
  <c r="AM16356" i="26"/>
  <c r="AM16355" i="26"/>
  <c r="AM16354" i="26"/>
  <c r="AM16353" i="26"/>
  <c r="AM16352" i="26"/>
  <c r="AM16351" i="26"/>
  <c r="AM16350" i="26"/>
  <c r="AM16349" i="26"/>
  <c r="AM16348" i="26"/>
  <c r="AM16347" i="26"/>
  <c r="AM16346" i="26"/>
  <c r="AM16345" i="26"/>
  <c r="AM16344" i="26"/>
  <c r="AM16343" i="26"/>
  <c r="AM16342" i="26"/>
  <c r="AM16341" i="26"/>
  <c r="AM16340" i="26"/>
  <c r="AM16339" i="26"/>
  <c r="AM16338" i="26"/>
  <c r="AM16337" i="26"/>
  <c r="AM16336" i="26"/>
  <c r="AM16335" i="26"/>
  <c r="AM16334" i="26"/>
  <c r="AM16333" i="26"/>
  <c r="AM16332" i="26"/>
  <c r="AM16331" i="26"/>
  <c r="AM16330" i="26"/>
  <c r="AM16329" i="26"/>
  <c r="AM16328" i="26"/>
  <c r="AM16327" i="26"/>
  <c r="AM16326" i="26"/>
  <c r="AM16325" i="26"/>
  <c r="AM16324" i="26"/>
  <c r="AM16323" i="26"/>
  <c r="AM16322" i="26"/>
  <c r="AM16321" i="26"/>
  <c r="AM16320" i="26"/>
  <c r="AM16319" i="26"/>
  <c r="AM16318" i="26"/>
  <c r="AM16317" i="26"/>
  <c r="AM16316" i="26"/>
  <c r="AM16315" i="26"/>
  <c r="AM16314" i="26"/>
  <c r="AM16313" i="26"/>
  <c r="AM16312" i="26"/>
  <c r="AM16311" i="26"/>
  <c r="AM16310" i="26"/>
  <c r="AM16309" i="26"/>
  <c r="AM16308" i="26"/>
  <c r="AM16307" i="26"/>
  <c r="AM16306" i="26"/>
  <c r="AM16305" i="26"/>
  <c r="AM16304" i="26"/>
  <c r="AM16303" i="26"/>
  <c r="AM16302" i="26"/>
  <c r="AM16301" i="26"/>
  <c r="AM16300" i="26"/>
  <c r="AM16299" i="26"/>
  <c r="AM16298" i="26"/>
  <c r="AM16297" i="26"/>
  <c r="AM16296" i="26"/>
  <c r="AM16295" i="26"/>
  <c r="AM16294" i="26"/>
  <c r="AM16293" i="26"/>
  <c r="AM16292" i="26"/>
  <c r="AM16291" i="26"/>
  <c r="AM16290" i="26"/>
  <c r="AM16289" i="26"/>
  <c r="AM16288" i="26"/>
  <c r="AM16287" i="26"/>
  <c r="AM16286" i="26"/>
  <c r="AM16285" i="26"/>
  <c r="AM16284" i="26"/>
  <c r="AM16283" i="26"/>
  <c r="AM16282" i="26"/>
  <c r="AM16281" i="26"/>
  <c r="AM16280" i="26"/>
  <c r="AM16279" i="26"/>
  <c r="AM16278" i="26"/>
  <c r="AM16277" i="26"/>
  <c r="AM16276" i="26"/>
  <c r="AM16275" i="26"/>
  <c r="AM16274" i="26"/>
  <c r="AM16273" i="26"/>
  <c r="AM16272" i="26"/>
  <c r="AM16271" i="26"/>
  <c r="AM16270" i="26"/>
  <c r="AM16269" i="26"/>
  <c r="AM16268" i="26"/>
  <c r="AM16267" i="26"/>
  <c r="AM16266" i="26"/>
  <c r="AM16265" i="26"/>
  <c r="AM16264" i="26"/>
  <c r="AM16263" i="26"/>
  <c r="AM16262" i="26"/>
  <c r="AM16261" i="26"/>
  <c r="AM16260" i="26"/>
  <c r="AM16259" i="26"/>
  <c r="AM16258" i="26"/>
  <c r="AM16257" i="26"/>
  <c r="AM16256" i="26"/>
  <c r="AM16255" i="26"/>
  <c r="AM16254" i="26"/>
  <c r="AM16253" i="26"/>
  <c r="AM16252" i="26"/>
  <c r="AM16251" i="26"/>
  <c r="AM16250" i="26"/>
  <c r="AM16249" i="26"/>
  <c r="AM16248" i="26"/>
  <c r="AM16247" i="26"/>
  <c r="AM16246" i="26"/>
  <c r="AM16245" i="26"/>
  <c r="AM16244" i="26"/>
  <c r="AM16243" i="26"/>
  <c r="AM16242" i="26"/>
  <c r="AM16241" i="26"/>
  <c r="AM16240" i="26"/>
  <c r="AM16239" i="26"/>
  <c r="AM16238" i="26"/>
  <c r="AM16237" i="26"/>
  <c r="AM16236" i="26"/>
  <c r="AM16235" i="26"/>
  <c r="AM16234" i="26"/>
  <c r="AM16233" i="26"/>
  <c r="AM16232" i="26"/>
  <c r="AM16231" i="26"/>
  <c r="AM16230" i="26"/>
  <c r="AM16229" i="26"/>
  <c r="AM16228" i="26"/>
  <c r="AM16227" i="26"/>
  <c r="AM16226" i="26"/>
  <c r="AM16225" i="26"/>
  <c r="AM16224" i="26"/>
  <c r="AM16223" i="26"/>
  <c r="AM16222" i="26"/>
  <c r="AM16221" i="26"/>
  <c r="AM16220" i="26"/>
  <c r="AM16219" i="26"/>
  <c r="AM16218" i="26"/>
  <c r="AM16217" i="26"/>
  <c r="AM16216" i="26"/>
  <c r="AM16215" i="26"/>
  <c r="AM16214" i="26"/>
  <c r="AM16213" i="26"/>
  <c r="AM16212" i="26"/>
  <c r="AM16211" i="26"/>
  <c r="AM16210" i="26"/>
  <c r="AM16209" i="26"/>
  <c r="AM16208" i="26"/>
  <c r="AM16207" i="26"/>
  <c r="AM16206" i="26"/>
  <c r="AM16205" i="26"/>
  <c r="AM16204" i="26"/>
  <c r="AM16203" i="26"/>
  <c r="AM16202" i="26"/>
  <c r="AM16201" i="26"/>
  <c r="AM16200" i="26"/>
  <c r="AM16199" i="26"/>
  <c r="AM16198" i="26"/>
  <c r="AM16197" i="26"/>
  <c r="AM16196" i="26"/>
  <c r="AM16195" i="26"/>
  <c r="AM16194" i="26"/>
  <c r="AM16193" i="26"/>
  <c r="AM16192" i="26"/>
  <c r="AM16191" i="26"/>
  <c r="AM16190" i="26"/>
  <c r="AM16189" i="26"/>
  <c r="AM16188" i="26"/>
  <c r="AM16187" i="26"/>
  <c r="AM16186" i="26"/>
  <c r="AM16185" i="26"/>
  <c r="AM16184" i="26"/>
  <c r="AM16183" i="26"/>
  <c r="AM16182" i="26"/>
  <c r="AM16181" i="26"/>
  <c r="AM16180" i="26"/>
  <c r="AM16179" i="26"/>
  <c r="AM16178" i="26"/>
  <c r="AM16177" i="26"/>
  <c r="AM16176" i="26"/>
  <c r="AM16175" i="26"/>
  <c r="AM16174" i="26"/>
  <c r="AM16173" i="26"/>
  <c r="AM16172" i="26"/>
  <c r="AM16171" i="26"/>
  <c r="AM16170" i="26"/>
  <c r="AM16169" i="26"/>
  <c r="AM16168" i="26"/>
  <c r="AM16167" i="26"/>
  <c r="AM16166" i="26"/>
  <c r="AM16165" i="26"/>
  <c r="AM16164" i="26"/>
  <c r="AM16163" i="26"/>
  <c r="AM16162" i="26"/>
  <c r="AM16161" i="26"/>
  <c r="AM16160" i="26"/>
  <c r="AM16159" i="26"/>
  <c r="AM16158" i="26"/>
  <c r="AM16157" i="26"/>
  <c r="AM16156" i="26"/>
  <c r="AM16155" i="26"/>
  <c r="AM16154" i="26"/>
  <c r="AM16153" i="26"/>
  <c r="AM16152" i="26"/>
  <c r="AM16151" i="26"/>
  <c r="AM16150" i="26"/>
  <c r="AM16149" i="26"/>
  <c r="AM16148" i="26"/>
  <c r="AM16147" i="26"/>
  <c r="AM16146" i="26"/>
  <c r="AM16145" i="26"/>
  <c r="AM16144" i="26"/>
  <c r="AM16143" i="26"/>
  <c r="AM16142" i="26"/>
  <c r="AM16141" i="26"/>
  <c r="AM16140" i="26"/>
  <c r="AM16139" i="26"/>
  <c r="AM16138" i="26"/>
  <c r="AM16137" i="26"/>
  <c r="AM16136" i="26"/>
  <c r="AM16135" i="26"/>
  <c r="AM16134" i="26"/>
  <c r="AM16133" i="26"/>
  <c r="AM16132" i="26"/>
  <c r="AM16131" i="26"/>
  <c r="AM16130" i="26"/>
  <c r="AM16129" i="26"/>
  <c r="AM16128" i="26"/>
  <c r="AM16127" i="26"/>
  <c r="AM16126" i="26"/>
  <c r="AM16125" i="26"/>
  <c r="AM16124" i="26"/>
  <c r="AM16123" i="26"/>
  <c r="AM16122" i="26"/>
  <c r="AM16121" i="26"/>
  <c r="AM16120" i="26"/>
  <c r="AM16119" i="26"/>
  <c r="AM16118" i="26"/>
  <c r="AM16117" i="26"/>
  <c r="AM16116" i="26"/>
  <c r="AM16115" i="26"/>
  <c r="AM16114" i="26"/>
  <c r="AM16113" i="26"/>
  <c r="AM16112" i="26"/>
  <c r="AM16111" i="26"/>
  <c r="AM16110" i="26"/>
  <c r="AM16109" i="26"/>
  <c r="AM16108" i="26"/>
  <c r="AM16107" i="26"/>
  <c r="AM16106" i="26"/>
  <c r="AM16105" i="26"/>
  <c r="AM16104" i="26"/>
  <c r="AM16103" i="26"/>
  <c r="AM16102" i="26"/>
  <c r="AM16101" i="26"/>
  <c r="AM16100" i="26"/>
  <c r="AM16099" i="26"/>
  <c r="AM16098" i="26"/>
  <c r="AM16097" i="26"/>
  <c r="AM16096" i="26"/>
  <c r="AM16095" i="26"/>
  <c r="AM16094" i="26"/>
  <c r="AM16093" i="26"/>
  <c r="AM16092" i="26"/>
  <c r="AM16091" i="26"/>
  <c r="AM16090" i="26"/>
  <c r="AM16089" i="26"/>
  <c r="AM16088" i="26"/>
  <c r="AM16087" i="26"/>
  <c r="AM16086" i="26"/>
  <c r="AM16085" i="26"/>
  <c r="AM16084" i="26"/>
  <c r="AM16083" i="26"/>
  <c r="AM16082" i="26"/>
  <c r="AM16081" i="26"/>
  <c r="AM16080" i="26"/>
  <c r="AM16079" i="26"/>
  <c r="AM16078" i="26"/>
  <c r="AM16077" i="26"/>
  <c r="AM16076" i="26"/>
  <c r="AM16075" i="26"/>
  <c r="AM16074" i="26"/>
  <c r="AM16073" i="26"/>
  <c r="AM16072" i="26"/>
  <c r="AM16071" i="26"/>
  <c r="AM16070" i="26"/>
  <c r="AM16069" i="26"/>
  <c r="AM16068" i="26"/>
  <c r="AM16067" i="26"/>
  <c r="AM16066" i="26"/>
  <c r="AM16065" i="26"/>
  <c r="AM16064" i="26"/>
  <c r="AM16063" i="26"/>
  <c r="AM16062" i="26"/>
  <c r="AM16061" i="26"/>
  <c r="AM16060" i="26"/>
  <c r="AM16059" i="26"/>
  <c r="AM16058" i="26"/>
  <c r="AM16057" i="26"/>
  <c r="AM16056" i="26"/>
  <c r="AM16055" i="26"/>
  <c r="AM16054" i="26"/>
  <c r="AM16053" i="26"/>
  <c r="AM16052" i="26"/>
  <c r="AM16051" i="26"/>
  <c r="AM16050" i="26"/>
  <c r="AM16049" i="26"/>
  <c r="AM16048" i="26"/>
  <c r="AM16047" i="26"/>
  <c r="AM16046" i="26"/>
  <c r="AM16045" i="26"/>
  <c r="AM16044" i="26"/>
  <c r="AM16043" i="26"/>
  <c r="AM16042" i="26"/>
  <c r="AM16041" i="26"/>
  <c r="AM16040" i="26"/>
  <c r="AM16039" i="26"/>
  <c r="AM16038" i="26"/>
  <c r="AM16037" i="26"/>
  <c r="AM16036" i="26"/>
  <c r="AM16035" i="26"/>
  <c r="AM16034" i="26"/>
  <c r="AM16033" i="26"/>
  <c r="AM16032" i="26"/>
  <c r="AM16031" i="26"/>
  <c r="AM16030" i="26"/>
  <c r="AM16029" i="26"/>
  <c r="AM16028" i="26"/>
  <c r="AM16027" i="26"/>
  <c r="AM16026" i="26"/>
  <c r="AM16025" i="26"/>
  <c r="AM16024" i="26"/>
  <c r="AM16023" i="26"/>
  <c r="AM16022" i="26"/>
  <c r="AM16021" i="26"/>
  <c r="AM16020" i="26"/>
  <c r="AM16019" i="26"/>
  <c r="AM16018" i="26"/>
  <c r="AM16017" i="26"/>
  <c r="AM16016" i="26"/>
  <c r="AM16015" i="26"/>
  <c r="AM16014" i="26"/>
  <c r="AM16013" i="26"/>
  <c r="AM16012" i="26"/>
  <c r="AM16011" i="26"/>
  <c r="AM16010" i="26"/>
  <c r="AM16009" i="26"/>
  <c r="AM16008" i="26"/>
  <c r="AM16007" i="26"/>
  <c r="AM16006" i="26"/>
  <c r="AM16005" i="26"/>
  <c r="AM16004" i="26"/>
  <c r="AM16003" i="26"/>
  <c r="AM16002" i="26"/>
  <c r="AM16001" i="26"/>
  <c r="AM16000" i="26"/>
  <c r="AM15999" i="26"/>
  <c r="AM15998" i="26"/>
  <c r="AM15997" i="26"/>
  <c r="AM15996" i="26"/>
  <c r="AM15995" i="26"/>
  <c r="AM15994" i="26"/>
  <c r="AM15993" i="26"/>
  <c r="AM15992" i="26"/>
  <c r="AM15991" i="26"/>
  <c r="AM15990" i="26"/>
  <c r="AM15989" i="26"/>
  <c r="AM15988" i="26"/>
  <c r="AM15987" i="26"/>
  <c r="AM15986" i="26"/>
  <c r="AM15985" i="26"/>
  <c r="AM15984" i="26"/>
  <c r="AM15983" i="26"/>
  <c r="AM15982" i="26"/>
  <c r="AM15981" i="26"/>
  <c r="AM15980" i="26"/>
  <c r="AM15979" i="26"/>
  <c r="AM15978" i="26"/>
  <c r="AM15977" i="26"/>
  <c r="AM15976" i="26"/>
  <c r="AM15975" i="26"/>
  <c r="AM15974" i="26"/>
  <c r="AM15973" i="26"/>
  <c r="AM15972" i="26"/>
  <c r="AM15971" i="26"/>
  <c r="AM15970" i="26"/>
  <c r="AM15969" i="26"/>
  <c r="AM15968" i="26"/>
  <c r="AM15967" i="26"/>
  <c r="AM15966" i="26"/>
  <c r="AM15965" i="26"/>
  <c r="AM15964" i="26"/>
  <c r="AM15963" i="26"/>
  <c r="AM15962" i="26"/>
  <c r="AM15961" i="26"/>
  <c r="AM15960" i="26"/>
  <c r="AM15959" i="26"/>
  <c r="AM15958" i="26"/>
  <c r="AM15957" i="26"/>
  <c r="AM15956" i="26"/>
  <c r="AM15955" i="26"/>
  <c r="AM15954" i="26"/>
  <c r="AM15953" i="26"/>
  <c r="AM15952" i="26"/>
  <c r="AM15951" i="26"/>
  <c r="AM15950" i="26"/>
  <c r="AM15949" i="26"/>
  <c r="AM15948" i="26"/>
  <c r="AM15947" i="26"/>
  <c r="AM15946" i="26"/>
  <c r="AM15945" i="26"/>
  <c r="AM15944" i="26"/>
  <c r="AM15943" i="26"/>
  <c r="AM15942" i="26"/>
  <c r="AM15941" i="26"/>
  <c r="AM15940" i="26"/>
  <c r="AM15939" i="26"/>
  <c r="AM15938" i="26"/>
  <c r="AM15937" i="26"/>
  <c r="AM15936" i="26"/>
  <c r="AM15935" i="26"/>
  <c r="AM15934" i="26"/>
  <c r="AM15933" i="26"/>
  <c r="AM15932" i="26"/>
  <c r="AM15931" i="26"/>
  <c r="AM15930" i="26"/>
  <c r="AM15929" i="26"/>
  <c r="AM15928" i="26"/>
  <c r="AM15927" i="26"/>
  <c r="AM15926" i="26"/>
  <c r="AM15925" i="26"/>
  <c r="AM15924" i="26"/>
  <c r="AM15923" i="26"/>
  <c r="AM15922" i="26"/>
  <c r="AM15921" i="26"/>
  <c r="AM15920" i="26"/>
  <c r="AM15919" i="26"/>
  <c r="AM15918" i="26"/>
  <c r="AM15917" i="26"/>
  <c r="AM15916" i="26"/>
  <c r="AM15915" i="26"/>
  <c r="AM15914" i="26"/>
  <c r="AM15913" i="26"/>
  <c r="AM15912" i="26"/>
  <c r="AM15911" i="26"/>
  <c r="AM15910" i="26"/>
  <c r="AM15909" i="26"/>
  <c r="AM15908" i="26"/>
  <c r="AM15907" i="26"/>
  <c r="AM15906" i="26"/>
  <c r="AM15905" i="26"/>
  <c r="AM15904" i="26"/>
  <c r="AM15903" i="26"/>
  <c r="AM15902" i="26"/>
  <c r="AM15901" i="26"/>
  <c r="AM15900" i="26"/>
  <c r="AM15899" i="26"/>
  <c r="AM15898" i="26"/>
  <c r="AM15897" i="26"/>
  <c r="AM15896" i="26"/>
  <c r="AM15895" i="26"/>
  <c r="AM15894" i="26"/>
  <c r="AM15893" i="26"/>
  <c r="AM15892" i="26"/>
  <c r="AM15891" i="26"/>
  <c r="AM15890" i="26"/>
  <c r="AM15889" i="26"/>
  <c r="AM15888" i="26"/>
  <c r="AM15887" i="26"/>
  <c r="AM15886" i="26"/>
  <c r="AM15885" i="26"/>
  <c r="AM15884" i="26"/>
  <c r="AM15883" i="26"/>
  <c r="AM15882" i="26"/>
  <c r="AM15881" i="26"/>
  <c r="AM15880" i="26"/>
  <c r="AM15879" i="26"/>
  <c r="AM15878" i="26"/>
  <c r="AM15877" i="26"/>
  <c r="AM15876" i="26"/>
  <c r="AM15875" i="26"/>
  <c r="AM15874" i="26"/>
  <c r="AM15873" i="26"/>
  <c r="AM15872" i="26"/>
  <c r="AM15871" i="26"/>
  <c r="AM15870" i="26"/>
  <c r="AM15869" i="26"/>
  <c r="AM15868" i="26"/>
  <c r="AM15867" i="26"/>
  <c r="AM15866" i="26"/>
  <c r="AM15865" i="26"/>
  <c r="AM15864" i="26"/>
  <c r="AM15863" i="26"/>
  <c r="AM15862" i="26"/>
  <c r="AM15861" i="26"/>
  <c r="AM15860" i="26"/>
  <c r="AM15859" i="26"/>
  <c r="AM15858" i="26"/>
  <c r="AM15857" i="26"/>
  <c r="AM15856" i="26"/>
  <c r="AM15855" i="26"/>
  <c r="AM15854" i="26"/>
  <c r="AM15853" i="26"/>
  <c r="AM15852" i="26"/>
  <c r="AM15851" i="26"/>
  <c r="AM15850" i="26"/>
  <c r="AM15849" i="26"/>
  <c r="AM15848" i="26"/>
  <c r="AM15847" i="26"/>
  <c r="AM15846" i="26"/>
  <c r="AM15845" i="26"/>
  <c r="AM15844" i="26"/>
  <c r="AM15843" i="26"/>
  <c r="AM15842" i="26"/>
  <c r="AM15841" i="26"/>
  <c r="AM15840" i="26"/>
  <c r="AM15839" i="26"/>
  <c r="AM15838" i="26"/>
  <c r="AM15837" i="26"/>
  <c r="AM15836" i="26"/>
  <c r="AM15835" i="26"/>
  <c r="AM15834" i="26"/>
  <c r="AM15833" i="26"/>
  <c r="AM15832" i="26"/>
  <c r="AM15831" i="26"/>
  <c r="AM15830" i="26"/>
  <c r="AM15829" i="26"/>
  <c r="AM15828" i="26"/>
  <c r="AM15827" i="26"/>
  <c r="AM15826" i="26"/>
  <c r="AM15825" i="26"/>
  <c r="AM15824" i="26"/>
  <c r="AM15823" i="26"/>
  <c r="AM15822" i="26"/>
  <c r="AM15821" i="26"/>
  <c r="AM15820" i="26"/>
  <c r="AM15819" i="26"/>
  <c r="AM15818" i="26"/>
  <c r="AM15817" i="26"/>
  <c r="AM15816" i="26"/>
  <c r="AM15815" i="26"/>
  <c r="AM15814" i="26"/>
  <c r="AM15813" i="26"/>
  <c r="AM15812" i="26"/>
  <c r="AM15811" i="26"/>
  <c r="AM15810" i="26"/>
  <c r="AM15809" i="26"/>
  <c r="AM15808" i="26"/>
  <c r="AM15807" i="26"/>
  <c r="AM15806" i="26"/>
  <c r="AM15805" i="26"/>
  <c r="AM15804" i="26"/>
  <c r="AM15803" i="26"/>
  <c r="AM15802" i="26"/>
  <c r="AM15801" i="26"/>
  <c r="AM15800" i="26"/>
  <c r="AM15799" i="26"/>
  <c r="AM15798" i="26"/>
  <c r="AM15797" i="26"/>
  <c r="AM15796" i="26"/>
  <c r="AM15795" i="26"/>
  <c r="AM15794" i="26"/>
  <c r="AM15793" i="26"/>
  <c r="AM15792" i="26"/>
  <c r="AM15791" i="26"/>
  <c r="AM15790" i="26"/>
  <c r="AM15789" i="26"/>
  <c r="AM15788" i="26"/>
  <c r="AM15787" i="26"/>
  <c r="AM15786" i="26"/>
  <c r="AM15785" i="26"/>
  <c r="AM15784" i="26"/>
  <c r="AM15783" i="26"/>
  <c r="AM15782" i="26"/>
  <c r="AM15781" i="26"/>
  <c r="AM15780" i="26"/>
  <c r="AM15779" i="26"/>
  <c r="AM15778" i="26"/>
  <c r="AM15777" i="26"/>
  <c r="AM15776" i="26"/>
  <c r="AM15775" i="26"/>
  <c r="AM15774" i="26"/>
  <c r="AM15773" i="26"/>
  <c r="AM15772" i="26"/>
  <c r="AM15771" i="26"/>
  <c r="AM15770" i="26"/>
  <c r="AM15769" i="26"/>
  <c r="AM15768" i="26"/>
  <c r="AM15767" i="26"/>
  <c r="AM15766" i="26"/>
  <c r="AM15765" i="26"/>
  <c r="AM15764" i="26"/>
  <c r="AM15763" i="26"/>
  <c r="AM15762" i="26"/>
  <c r="AM15761" i="26"/>
  <c r="AM15760" i="26"/>
  <c r="AM15759" i="26"/>
  <c r="AM15758" i="26"/>
  <c r="AM15757" i="26"/>
  <c r="AM15756" i="26"/>
  <c r="AM15755" i="26"/>
  <c r="AM15754" i="26"/>
  <c r="AM15753" i="26"/>
  <c r="AM15752" i="26"/>
  <c r="AM15751" i="26"/>
  <c r="AM15750" i="26"/>
  <c r="AM15749" i="26"/>
  <c r="AM15748" i="26"/>
  <c r="AM15747" i="26"/>
  <c r="AM15746" i="26"/>
  <c r="AM15745" i="26"/>
  <c r="AM15744" i="26"/>
  <c r="AM15743" i="26"/>
  <c r="AM15742" i="26"/>
  <c r="AM15741" i="26"/>
  <c r="AM15740" i="26"/>
  <c r="AM15739" i="26"/>
  <c r="AM15738" i="26"/>
  <c r="AM15737" i="26"/>
  <c r="AM15736" i="26"/>
  <c r="AM15735" i="26"/>
  <c r="AM15734" i="26"/>
  <c r="AM15733" i="26"/>
  <c r="AM15732" i="26"/>
  <c r="AM15731" i="26"/>
  <c r="AM15730" i="26"/>
  <c r="AM15729" i="26"/>
  <c r="AM15728" i="26"/>
  <c r="AM15727" i="26"/>
  <c r="AM15726" i="26"/>
  <c r="AM15725" i="26"/>
  <c r="AM15724" i="26"/>
  <c r="AM15723" i="26"/>
  <c r="AM15722" i="26"/>
  <c r="AM15721" i="26"/>
  <c r="AM15720" i="26"/>
  <c r="AM15719" i="26"/>
  <c r="AM15718" i="26"/>
  <c r="AM15717" i="26"/>
  <c r="AM15716" i="26"/>
  <c r="AM15715" i="26"/>
  <c r="AM15714" i="26"/>
  <c r="AM15713" i="26"/>
  <c r="AM15712" i="26"/>
  <c r="AM15711" i="26"/>
  <c r="AM15710" i="26"/>
  <c r="AM15709" i="26"/>
  <c r="AM15708" i="26"/>
  <c r="AM15707" i="26"/>
  <c r="AM15706" i="26"/>
  <c r="AM15705" i="26"/>
  <c r="AM15704" i="26"/>
  <c r="AM15703" i="26"/>
  <c r="AM15702" i="26"/>
  <c r="AM15701" i="26"/>
  <c r="AM15700" i="26"/>
  <c r="AM15699" i="26"/>
  <c r="AM15698" i="26"/>
  <c r="AM15697" i="26"/>
  <c r="AM15696" i="26"/>
  <c r="AM15695" i="26"/>
  <c r="AM15694" i="26"/>
  <c r="AM15693" i="26"/>
  <c r="AM15692" i="26"/>
  <c r="AM15691" i="26"/>
  <c r="AM15690" i="26"/>
  <c r="AM15689" i="26"/>
  <c r="AM15688" i="26"/>
  <c r="AM15687" i="26"/>
  <c r="AM15686" i="26"/>
  <c r="AM15685" i="26"/>
  <c r="AM15684" i="26"/>
  <c r="AM15683" i="26"/>
  <c r="AM15682" i="26"/>
  <c r="AM15681" i="26"/>
  <c r="AM15680" i="26"/>
  <c r="AM15679" i="26"/>
  <c r="AM15678" i="26"/>
  <c r="AM15677" i="26"/>
  <c r="AM15676" i="26"/>
  <c r="AM15675" i="26"/>
  <c r="AM15674" i="26"/>
  <c r="AM15673" i="26"/>
  <c r="AM15672" i="26"/>
  <c r="AM15671" i="26"/>
  <c r="AM15670" i="26"/>
  <c r="AM15669" i="26"/>
  <c r="AM15668" i="26"/>
  <c r="AM15667" i="26"/>
  <c r="AM15666" i="26"/>
  <c r="AM15665" i="26"/>
  <c r="AM15664" i="26"/>
  <c r="AM15663" i="26"/>
  <c r="AM15662" i="26"/>
  <c r="AM15661" i="26"/>
  <c r="AM15660" i="26"/>
  <c r="AM15659" i="26"/>
  <c r="AM15658" i="26"/>
  <c r="AM15657" i="26"/>
  <c r="AM15656" i="26"/>
  <c r="AM15655" i="26"/>
  <c r="AM15654" i="26"/>
  <c r="AM15653" i="26"/>
  <c r="AM15652" i="26"/>
  <c r="AM15651" i="26"/>
  <c r="AM15650" i="26"/>
  <c r="AM15649" i="26"/>
  <c r="AM15648" i="26"/>
  <c r="AM15647" i="26"/>
  <c r="AM15646" i="26"/>
  <c r="AM15645" i="26"/>
  <c r="AM15644" i="26"/>
  <c r="AM15643" i="26"/>
  <c r="AM15642" i="26"/>
  <c r="AM15641" i="26"/>
  <c r="AM15640" i="26"/>
  <c r="AM15639" i="26"/>
  <c r="AM15638" i="26"/>
  <c r="AM15637" i="26"/>
  <c r="AM15636" i="26"/>
  <c r="AM15635" i="26"/>
  <c r="AM15634" i="26"/>
  <c r="AM15633" i="26"/>
  <c r="AM15632" i="26"/>
  <c r="AM15631" i="26"/>
  <c r="AM15630" i="26"/>
  <c r="AM15629" i="26"/>
  <c r="AM15628" i="26"/>
  <c r="AM15627" i="26"/>
  <c r="AM15626" i="26"/>
  <c r="AM15625" i="26"/>
  <c r="AM15624" i="26"/>
  <c r="AM15623" i="26"/>
  <c r="AM15622" i="26"/>
  <c r="AM15621" i="26"/>
  <c r="AM15620" i="26"/>
  <c r="AM15619" i="26"/>
  <c r="AM15618" i="26"/>
  <c r="AM15617" i="26"/>
  <c r="AM15616" i="26"/>
  <c r="AM15615" i="26"/>
  <c r="AM15614" i="26"/>
  <c r="AM15613" i="26"/>
  <c r="AM15612" i="26"/>
  <c r="AM15611" i="26"/>
  <c r="AM15610" i="26"/>
  <c r="AM15609" i="26"/>
  <c r="AM15608" i="26"/>
  <c r="AM15607" i="26"/>
  <c r="AM15606" i="26"/>
  <c r="AM15605" i="26"/>
  <c r="AM15604" i="26"/>
  <c r="AM15603" i="26"/>
  <c r="AM15602" i="26"/>
  <c r="AM15601" i="26"/>
  <c r="AM15600" i="26"/>
  <c r="AM15599" i="26"/>
  <c r="AM15598" i="26"/>
  <c r="AM15597" i="26"/>
  <c r="AM15596" i="26"/>
  <c r="AM15595" i="26"/>
  <c r="AM15594" i="26"/>
  <c r="AM15593" i="26"/>
  <c r="AM15592" i="26"/>
  <c r="AM15591" i="26"/>
  <c r="AM15590" i="26"/>
  <c r="AM15589" i="26"/>
  <c r="AM15588" i="26"/>
  <c r="AM15587" i="26"/>
  <c r="AM15586" i="26"/>
  <c r="AM15585" i="26"/>
  <c r="AM15584" i="26"/>
  <c r="AM15583" i="26"/>
  <c r="AM15582" i="26"/>
  <c r="AM15581" i="26"/>
  <c r="AM15580" i="26"/>
  <c r="AM15579" i="26"/>
  <c r="AM15578" i="26"/>
  <c r="AM15577" i="26"/>
  <c r="AM15576" i="26"/>
  <c r="AM15575" i="26"/>
  <c r="AM15574" i="26"/>
  <c r="AM15573" i="26"/>
  <c r="AM15572" i="26"/>
  <c r="AM15571" i="26"/>
  <c r="AM15570" i="26"/>
  <c r="AM15569" i="26"/>
  <c r="AM15568" i="26"/>
  <c r="AM15567" i="26"/>
  <c r="AM15566" i="26"/>
  <c r="AM15565" i="26"/>
  <c r="AM15564" i="26"/>
  <c r="AM15563" i="26"/>
  <c r="AM15562" i="26"/>
  <c r="AM15561" i="26"/>
  <c r="AM15560" i="26"/>
  <c r="AM15559" i="26"/>
  <c r="AM15558" i="26"/>
  <c r="AM15557" i="26"/>
  <c r="AM15556" i="26"/>
  <c r="AM15555" i="26"/>
  <c r="AM15554" i="26"/>
  <c r="AM15553" i="26"/>
  <c r="AM15552" i="26"/>
  <c r="AM15551" i="26"/>
  <c r="AM15550" i="26"/>
  <c r="AM15549" i="26"/>
  <c r="AM15548" i="26"/>
  <c r="AM15547" i="26"/>
  <c r="AM15546" i="26"/>
  <c r="AM15545" i="26"/>
  <c r="AM15544" i="26"/>
  <c r="AM15543" i="26"/>
  <c r="AM15542" i="26"/>
  <c r="AM15541" i="26"/>
  <c r="AM15540" i="26"/>
  <c r="AM15539" i="26"/>
  <c r="AM15538" i="26"/>
  <c r="AM15537" i="26"/>
  <c r="AM15536" i="26"/>
  <c r="AM15535" i="26"/>
  <c r="AM15534" i="26"/>
  <c r="AM15533" i="26"/>
  <c r="AM15532" i="26"/>
  <c r="AM15531" i="26"/>
  <c r="AM15530" i="26"/>
  <c r="AM15529" i="26"/>
  <c r="AM15528" i="26"/>
  <c r="AM15527" i="26"/>
  <c r="AM15526" i="26"/>
  <c r="AM15525" i="26"/>
  <c r="AM15524" i="26"/>
  <c r="AM15523" i="26"/>
  <c r="AM15522" i="26"/>
  <c r="AM15521" i="26"/>
  <c r="AM15520" i="26"/>
  <c r="AM15519" i="26"/>
  <c r="AM15518" i="26"/>
  <c r="AM15517" i="26"/>
  <c r="AM15516" i="26"/>
  <c r="AM15515" i="26"/>
  <c r="AM15514" i="26"/>
  <c r="AM15513" i="26"/>
  <c r="AM15512" i="26"/>
  <c r="AM15511" i="26"/>
  <c r="AM15510" i="26"/>
  <c r="AM15509" i="26"/>
  <c r="AM15508" i="26"/>
  <c r="AM15507" i="26"/>
  <c r="AM15506" i="26"/>
  <c r="AM15505" i="26"/>
  <c r="AM15504" i="26"/>
  <c r="AM15503" i="26"/>
  <c r="AM15502" i="26"/>
  <c r="AM15501" i="26"/>
  <c r="AM15500" i="26"/>
  <c r="AM15499" i="26"/>
  <c r="AM15498" i="26"/>
  <c r="AM15497" i="26"/>
  <c r="AM15496" i="26"/>
  <c r="AM15495" i="26"/>
  <c r="AM15494" i="26"/>
  <c r="AM15493" i="26"/>
  <c r="AM15492" i="26"/>
  <c r="AM15491" i="26"/>
  <c r="AM15490" i="26"/>
  <c r="AM15489" i="26"/>
  <c r="AM15488" i="26"/>
  <c r="AM15487" i="26"/>
  <c r="AM15486" i="26"/>
  <c r="AM15485" i="26"/>
  <c r="AM15484" i="26"/>
  <c r="AM15483" i="26"/>
  <c r="AM15482" i="26"/>
  <c r="AM15481" i="26"/>
  <c r="AM15480" i="26"/>
  <c r="AM15479" i="26"/>
  <c r="AM15478" i="26"/>
  <c r="AM15477" i="26"/>
  <c r="AM15476" i="26"/>
  <c r="AM15475" i="26"/>
  <c r="AM15474" i="26"/>
  <c r="AM15473" i="26"/>
  <c r="AM15472" i="26"/>
  <c r="AM15471" i="26"/>
  <c r="AM15470" i="26"/>
  <c r="AM15469" i="26"/>
  <c r="AM15468" i="26"/>
  <c r="AM15467" i="26"/>
  <c r="AM15466" i="26"/>
  <c r="AM15465" i="26"/>
  <c r="AM15464" i="26"/>
  <c r="AM15463" i="26"/>
  <c r="AM15462" i="26"/>
  <c r="AM15461" i="26"/>
  <c r="AM15460" i="26"/>
  <c r="AM15459" i="26"/>
  <c r="AM15458" i="26"/>
  <c r="AM15457" i="26"/>
  <c r="AM15456" i="26"/>
  <c r="AM15455" i="26"/>
  <c r="AM15454" i="26"/>
  <c r="AM15453" i="26"/>
  <c r="AM15452" i="26"/>
  <c r="AM15451" i="26"/>
  <c r="AM15450" i="26"/>
  <c r="AM15449" i="26"/>
  <c r="AM15448" i="26"/>
  <c r="AM15447" i="26"/>
  <c r="AM15446" i="26"/>
  <c r="AM15445" i="26"/>
  <c r="AM15444" i="26"/>
  <c r="AM15443" i="26"/>
  <c r="AM15442" i="26"/>
  <c r="AM15441" i="26"/>
  <c r="AM15440" i="26"/>
  <c r="AM15439" i="26"/>
  <c r="AM15438" i="26"/>
  <c r="AM15437" i="26"/>
  <c r="AM15436" i="26"/>
  <c r="AM15435" i="26"/>
  <c r="AM15434" i="26"/>
  <c r="AM15433" i="26"/>
  <c r="AM15432" i="26"/>
  <c r="AM15431" i="26"/>
  <c r="AM15430" i="26"/>
  <c r="AM15429" i="26"/>
  <c r="AM15428" i="26"/>
  <c r="AM15427" i="26"/>
  <c r="AM15426" i="26"/>
  <c r="AM15425" i="26"/>
  <c r="AM15424" i="26"/>
  <c r="AM15423" i="26"/>
  <c r="AM15422" i="26"/>
  <c r="AM15421" i="26"/>
  <c r="AM15420" i="26"/>
  <c r="AM15419" i="26"/>
  <c r="AM15418" i="26"/>
  <c r="AM15417" i="26"/>
  <c r="AM15416" i="26"/>
  <c r="AM15415" i="26"/>
  <c r="AM15414" i="26"/>
  <c r="AM15413" i="26"/>
  <c r="AM15412" i="26"/>
  <c r="AM15411" i="26"/>
  <c r="AM15410" i="26"/>
  <c r="AM15409" i="26"/>
  <c r="AM15408" i="26"/>
  <c r="AM15407" i="26"/>
  <c r="AM15406" i="26"/>
  <c r="AM15405" i="26"/>
  <c r="AM15404" i="26"/>
  <c r="AM15403" i="26"/>
  <c r="AM15402" i="26"/>
  <c r="AM15401" i="26"/>
  <c r="AM15400" i="26"/>
  <c r="AM15399" i="26"/>
  <c r="AM15398" i="26"/>
  <c r="AM15397" i="26"/>
  <c r="AM15396" i="26"/>
  <c r="AM15395" i="26"/>
  <c r="AM15394" i="26"/>
  <c r="AM15393" i="26"/>
  <c r="AM15392" i="26"/>
  <c r="AM15391" i="26"/>
  <c r="AM15390" i="26"/>
  <c r="AM15389" i="26"/>
  <c r="AM15388" i="26"/>
  <c r="AM15387" i="26"/>
  <c r="AM15386" i="26"/>
  <c r="AM15385" i="26"/>
  <c r="AM15384" i="26"/>
  <c r="AM15383" i="26"/>
  <c r="AM15382" i="26"/>
  <c r="AM15381" i="26"/>
  <c r="AM15380" i="26"/>
  <c r="AM15379" i="26"/>
  <c r="AM15378" i="26"/>
  <c r="AM15377" i="26"/>
  <c r="AM15376" i="26"/>
  <c r="AM15375" i="26"/>
  <c r="AM15374" i="26"/>
  <c r="AM15373" i="26"/>
  <c r="AM15372" i="26"/>
  <c r="AM15371" i="26"/>
  <c r="AM15370" i="26"/>
  <c r="AM15369" i="26"/>
  <c r="AM15368" i="26"/>
  <c r="AM15367" i="26"/>
  <c r="AM15366" i="26"/>
  <c r="AM15365" i="26"/>
  <c r="AM15364" i="26"/>
  <c r="AM15363" i="26"/>
  <c r="AM15362" i="26"/>
  <c r="AM15361" i="26"/>
  <c r="AM15360" i="26"/>
  <c r="AM15359" i="26"/>
  <c r="AM15358" i="26"/>
  <c r="AM15357" i="26"/>
  <c r="AM15356" i="26"/>
  <c r="AM15355" i="26"/>
  <c r="AM15354" i="26"/>
  <c r="AM15353" i="26"/>
  <c r="AM15352" i="26"/>
  <c r="AM15351" i="26"/>
  <c r="AM15350" i="26"/>
  <c r="AM15349" i="26"/>
  <c r="AM15348" i="26"/>
  <c r="AM15347" i="26"/>
  <c r="AM15346" i="26"/>
  <c r="AM15345" i="26"/>
  <c r="AM15344" i="26"/>
  <c r="AM15343" i="26"/>
  <c r="AM15342" i="26"/>
  <c r="AM15341" i="26"/>
  <c r="AM15340" i="26"/>
  <c r="AM15339" i="26"/>
  <c r="AM15338" i="26"/>
  <c r="AM15337" i="26"/>
  <c r="AM15336" i="26"/>
  <c r="AM15335" i="26"/>
  <c r="AM15334" i="26"/>
  <c r="AM15333" i="26"/>
  <c r="AM15332" i="26"/>
  <c r="AM15331" i="26"/>
  <c r="AM15330" i="26"/>
  <c r="AM15329" i="26"/>
  <c r="AM15328" i="26"/>
  <c r="AM15327" i="26"/>
  <c r="AM15326" i="26"/>
  <c r="AM15325" i="26"/>
  <c r="AM15324" i="26"/>
  <c r="AM15323" i="26"/>
  <c r="AM15322" i="26"/>
  <c r="AM15321" i="26"/>
  <c r="AM15320" i="26"/>
  <c r="AM15319" i="26"/>
  <c r="AM15318" i="26"/>
  <c r="AM15317" i="26"/>
  <c r="AM15316" i="26"/>
  <c r="AM15315" i="26"/>
  <c r="AM15314" i="26"/>
  <c r="AM15313" i="26"/>
  <c r="AM15312" i="26"/>
  <c r="AM15311" i="26"/>
  <c r="AM15310" i="26"/>
  <c r="AM15309" i="26"/>
  <c r="AM15308" i="26"/>
  <c r="AM15307" i="26"/>
  <c r="AM15306" i="26"/>
  <c r="AM15305" i="26"/>
  <c r="AM15304" i="26"/>
  <c r="AM15303" i="26"/>
  <c r="AM15302" i="26"/>
  <c r="AM15301" i="26"/>
  <c r="AM15300" i="26"/>
  <c r="AM15299" i="26"/>
  <c r="AM15298" i="26"/>
  <c r="AM15297" i="26"/>
  <c r="AM15296" i="26"/>
  <c r="AM15295" i="26"/>
  <c r="AM15294" i="26"/>
  <c r="AM15293" i="26"/>
  <c r="AM15292" i="26"/>
  <c r="AM15291" i="26"/>
  <c r="AM15290" i="26"/>
  <c r="AM15289" i="26"/>
  <c r="AM15288" i="26"/>
  <c r="AM15287" i="26"/>
  <c r="AM15286" i="26"/>
  <c r="AM15285" i="26"/>
  <c r="AM15284" i="26"/>
  <c r="AM15283" i="26"/>
  <c r="AM15282" i="26"/>
  <c r="AM15281" i="26"/>
  <c r="AM15280" i="26"/>
  <c r="AM15279" i="26"/>
  <c r="AM15278" i="26"/>
  <c r="AM15277" i="26"/>
  <c r="AM15276" i="26"/>
  <c r="AM15275" i="26"/>
  <c r="AM15274" i="26"/>
  <c r="AM15273" i="26"/>
  <c r="AM15272" i="26"/>
  <c r="AM15271" i="26"/>
  <c r="AM15270" i="26"/>
  <c r="AM15269" i="26"/>
  <c r="AM15268" i="26"/>
  <c r="AM15267" i="26"/>
  <c r="AM15266" i="26"/>
  <c r="AM15265" i="26"/>
  <c r="AM15264" i="26"/>
  <c r="AM15263" i="26"/>
  <c r="AM15262" i="26"/>
  <c r="AM15261" i="26"/>
  <c r="AM15260" i="26"/>
  <c r="AM15259" i="26"/>
  <c r="AM15258" i="26"/>
  <c r="AM15257" i="26"/>
  <c r="AM15256" i="26"/>
  <c r="AM15255" i="26"/>
  <c r="AM15254" i="26"/>
  <c r="AM15253" i="26"/>
  <c r="AM15252" i="26"/>
  <c r="AM15251" i="26"/>
  <c r="AM15250" i="26"/>
  <c r="AM15249" i="26"/>
  <c r="AM15248" i="26"/>
  <c r="AM15247" i="26"/>
  <c r="AM15246" i="26"/>
  <c r="AM15245" i="26"/>
  <c r="AM15244" i="26"/>
  <c r="AM15243" i="26"/>
  <c r="AM15242" i="26"/>
  <c r="AM15241" i="26"/>
  <c r="AM15240" i="26"/>
  <c r="AM15239" i="26"/>
  <c r="AM15238" i="26"/>
  <c r="AM15237" i="26"/>
  <c r="AM15236" i="26"/>
  <c r="AM15235" i="26"/>
  <c r="AM15234" i="26"/>
  <c r="AM15233" i="26"/>
  <c r="AM15232" i="26"/>
  <c r="AM15231" i="26"/>
  <c r="AM15230" i="26"/>
  <c r="AM15229" i="26"/>
  <c r="AM15228" i="26"/>
  <c r="AM15227" i="26"/>
  <c r="AM15226" i="26"/>
  <c r="AM15225" i="26"/>
  <c r="AM15224" i="26"/>
  <c r="AM15223" i="26"/>
  <c r="AM15222" i="26"/>
  <c r="AM15221" i="26"/>
  <c r="AM15220" i="26"/>
  <c r="AM15219" i="26"/>
  <c r="AM15218" i="26"/>
  <c r="AM15217" i="26"/>
  <c r="AM15216" i="26"/>
  <c r="AM15215" i="26"/>
  <c r="AM15214" i="26"/>
  <c r="AM15213" i="26"/>
  <c r="AM15212" i="26"/>
  <c r="AM15211" i="26"/>
  <c r="AM15210" i="26"/>
  <c r="AM15209" i="26"/>
  <c r="AM15208" i="26"/>
  <c r="AM15207" i="26"/>
  <c r="AM15206" i="26"/>
  <c r="AM15205" i="26"/>
  <c r="AM15204" i="26"/>
  <c r="AM15203" i="26"/>
  <c r="AM15202" i="26"/>
  <c r="AM15201" i="26"/>
  <c r="AM15200" i="26"/>
  <c r="AM15199" i="26"/>
  <c r="AM15198" i="26"/>
  <c r="AM15197" i="26"/>
  <c r="AM15196" i="26"/>
  <c r="AM15195" i="26"/>
  <c r="AM15194" i="26"/>
  <c r="AM15193" i="26"/>
  <c r="AM15192" i="26"/>
  <c r="AM15191" i="26"/>
  <c r="AM15190" i="26"/>
  <c r="AM15189" i="26"/>
  <c r="AM15188" i="26"/>
  <c r="AM15187" i="26"/>
  <c r="AM15186" i="26"/>
  <c r="AM15185" i="26"/>
  <c r="AM15184" i="26"/>
  <c r="AM15183" i="26"/>
  <c r="AM15182" i="26"/>
  <c r="AM15181" i="26"/>
  <c r="AM15180" i="26"/>
  <c r="AM15179" i="26"/>
  <c r="AM15178" i="26"/>
  <c r="AM15177" i="26"/>
  <c r="AM15176" i="26"/>
  <c r="AM15175" i="26"/>
  <c r="AM15174" i="26"/>
  <c r="AM15173" i="26"/>
  <c r="AM15172" i="26"/>
  <c r="AM15171" i="26"/>
  <c r="AM15170" i="26"/>
  <c r="AM15169" i="26"/>
  <c r="AM15168" i="26"/>
  <c r="AM15167" i="26"/>
  <c r="AM15166" i="26"/>
  <c r="AM15165" i="26"/>
  <c r="AM15164" i="26"/>
  <c r="AM15163" i="26"/>
  <c r="AM15162" i="26"/>
  <c r="AM15161" i="26"/>
  <c r="AM15160" i="26"/>
  <c r="AM15159" i="26"/>
  <c r="AM15158" i="26"/>
  <c r="AM15157" i="26"/>
  <c r="AM15156" i="26"/>
  <c r="AM15155" i="26"/>
  <c r="AM15154" i="26"/>
  <c r="AM15153" i="26"/>
  <c r="AM15152" i="26"/>
  <c r="AM15151" i="26"/>
  <c r="AM15150" i="26"/>
  <c r="AM15149" i="26"/>
  <c r="AM15148" i="26"/>
  <c r="AM15147" i="26"/>
  <c r="AM15146" i="26"/>
  <c r="AM15145" i="26"/>
  <c r="AM15144" i="26"/>
  <c r="AM15143" i="26"/>
  <c r="AM15142" i="26"/>
  <c r="AM15141" i="26"/>
  <c r="AM15140" i="26"/>
  <c r="AM15139" i="26"/>
  <c r="AM15138" i="26"/>
  <c r="AM15137" i="26"/>
  <c r="AM15136" i="26"/>
  <c r="AM15135" i="26"/>
  <c r="AM15134" i="26"/>
  <c r="AM15133" i="26"/>
  <c r="AM15132" i="26"/>
  <c r="AM15131" i="26"/>
  <c r="AM15130" i="26"/>
  <c r="AM15129" i="26"/>
  <c r="AM15128" i="26"/>
  <c r="AM15127" i="26"/>
  <c r="AM15126" i="26"/>
  <c r="AM15125" i="26"/>
  <c r="AM15124" i="26"/>
  <c r="AM15123" i="26"/>
  <c r="AM15122" i="26"/>
  <c r="AM15121" i="26"/>
  <c r="AM15120" i="26"/>
  <c r="AM15119" i="26"/>
  <c r="AM15118" i="26"/>
  <c r="AM15117" i="26"/>
  <c r="AM15116" i="26"/>
  <c r="AM15115" i="26"/>
  <c r="AM15114" i="26"/>
  <c r="AM15113" i="26"/>
  <c r="AM15112" i="26"/>
  <c r="AM15111" i="26"/>
  <c r="AM15110" i="26"/>
  <c r="AM15109" i="26"/>
  <c r="AM15108" i="26"/>
  <c r="AM15107" i="26"/>
  <c r="AM15106" i="26"/>
  <c r="AM15105" i="26"/>
  <c r="AM15104" i="26"/>
  <c r="AM15103" i="26"/>
  <c r="AM15102" i="26"/>
  <c r="AM15101" i="26"/>
  <c r="AM15100" i="26"/>
  <c r="AM15099" i="26"/>
  <c r="AM15098" i="26"/>
  <c r="AM15097" i="26"/>
  <c r="AM15096" i="26"/>
  <c r="AM15095" i="26"/>
  <c r="AM15094" i="26"/>
  <c r="AM15093" i="26"/>
  <c r="AM15092" i="26"/>
  <c r="AM15091" i="26"/>
  <c r="AM15090" i="26"/>
  <c r="AM15089" i="26"/>
  <c r="AM15088" i="26"/>
  <c r="AM15087" i="26"/>
  <c r="AM15086" i="26"/>
  <c r="AM15085" i="26"/>
  <c r="AM15084" i="26"/>
  <c r="AM15083" i="26"/>
  <c r="AM15082" i="26"/>
  <c r="AM15081" i="26"/>
  <c r="AM15080" i="26"/>
  <c r="AM15079" i="26"/>
  <c r="AM15078" i="26"/>
  <c r="AM15077" i="26"/>
  <c r="AM15076" i="26"/>
  <c r="AM15075" i="26"/>
  <c r="AM15074" i="26"/>
  <c r="AM15073" i="26"/>
  <c r="AM15072" i="26"/>
  <c r="AM15071" i="26"/>
  <c r="AM15070" i="26"/>
  <c r="AM15069" i="26"/>
  <c r="AM15068" i="26"/>
  <c r="AM15067" i="26"/>
  <c r="AM15066" i="26"/>
  <c r="AM15065" i="26"/>
  <c r="AM15064" i="26"/>
  <c r="AM15063" i="26"/>
  <c r="AM15062" i="26"/>
  <c r="AM15061" i="26"/>
  <c r="AM15060" i="26"/>
  <c r="AM15059" i="26"/>
  <c r="AM15058" i="26"/>
  <c r="AM15057" i="26"/>
  <c r="AM15056" i="26"/>
  <c r="AM15055" i="26"/>
  <c r="AM15054" i="26"/>
  <c r="AM15053" i="26"/>
  <c r="AM15052" i="26"/>
  <c r="AM15051" i="26"/>
  <c r="AM15050" i="26"/>
  <c r="AM15049" i="26"/>
  <c r="AM15048" i="26"/>
  <c r="AM15047" i="26"/>
  <c r="AM15046" i="26"/>
  <c r="AM15045" i="26"/>
  <c r="AM15044" i="26"/>
  <c r="AM15043" i="26"/>
  <c r="AM15042" i="26"/>
  <c r="AM15041" i="26"/>
  <c r="AM15040" i="26"/>
  <c r="AM15039" i="26"/>
  <c r="AM15038" i="26"/>
  <c r="AM15037" i="26"/>
  <c r="AM15036" i="26"/>
  <c r="AM15035" i="26"/>
  <c r="AM15034" i="26"/>
  <c r="AM15033" i="26"/>
  <c r="AM15032" i="26"/>
  <c r="AM15031" i="26"/>
  <c r="AM15030" i="26"/>
  <c r="AM15029" i="26"/>
  <c r="AM15028" i="26"/>
  <c r="AM15027" i="26"/>
  <c r="AM15026" i="26"/>
  <c r="AM15025" i="26"/>
  <c r="AM15024" i="26"/>
  <c r="AM15023" i="26"/>
  <c r="AM15022" i="26"/>
  <c r="AM15021" i="26"/>
  <c r="AM15020" i="26"/>
  <c r="AM15019" i="26"/>
  <c r="AM15018" i="26"/>
  <c r="AM15017" i="26"/>
  <c r="AM15016" i="26"/>
  <c r="AM15015" i="26"/>
  <c r="AM15014" i="26"/>
  <c r="AM15013" i="26"/>
  <c r="AM15012" i="26"/>
  <c r="AM15011" i="26"/>
  <c r="AM15010" i="26"/>
  <c r="AM15009" i="26"/>
  <c r="AM15008" i="26"/>
  <c r="AM15007" i="26"/>
  <c r="AM15006" i="26"/>
  <c r="AM15005" i="26"/>
  <c r="AM15004" i="26"/>
  <c r="AM15003" i="26"/>
  <c r="AM15002" i="26"/>
  <c r="AM15001" i="26"/>
  <c r="AM15000" i="26"/>
  <c r="AM14999" i="26"/>
  <c r="AM14998" i="26"/>
  <c r="AM14997" i="26"/>
  <c r="AM14996" i="26"/>
  <c r="AM14995" i="26"/>
  <c r="AM14994" i="26"/>
  <c r="AM14993" i="26"/>
  <c r="AM14992" i="26"/>
  <c r="AM14991" i="26"/>
  <c r="AM14990" i="26"/>
  <c r="AM14989" i="26"/>
  <c r="AM14988" i="26"/>
  <c r="AM14987" i="26"/>
  <c r="AM14986" i="26"/>
  <c r="AM14985" i="26"/>
  <c r="AM14984" i="26"/>
  <c r="AM14983" i="26"/>
  <c r="AM14982" i="26"/>
  <c r="AM14981" i="26"/>
  <c r="AM14980" i="26"/>
  <c r="AM14979" i="26"/>
  <c r="AM14978" i="26"/>
  <c r="AM14977" i="26"/>
  <c r="AM14976" i="26"/>
  <c r="AM14975" i="26"/>
  <c r="AM14974" i="26"/>
  <c r="AM14973" i="26"/>
  <c r="AM14972" i="26"/>
  <c r="AM14971" i="26"/>
  <c r="AM14970" i="26"/>
  <c r="AM14969" i="26"/>
  <c r="AM14968" i="26"/>
  <c r="AM14967" i="26"/>
  <c r="AM14966" i="26"/>
  <c r="AM14965" i="26"/>
  <c r="AM14964" i="26"/>
  <c r="AM14963" i="26"/>
  <c r="AM14962" i="26"/>
  <c r="AM14961" i="26"/>
  <c r="AM14960" i="26"/>
  <c r="AM14959" i="26"/>
  <c r="AM14958" i="26"/>
  <c r="AM14957" i="26"/>
  <c r="AM14956" i="26"/>
  <c r="AM14955" i="26"/>
  <c r="AM14954" i="26"/>
  <c r="AM14953" i="26"/>
  <c r="AM14952" i="26"/>
  <c r="AM14951" i="26"/>
  <c r="AM14950" i="26"/>
  <c r="AM14949" i="26"/>
  <c r="AM14948" i="26"/>
  <c r="AM14947" i="26"/>
  <c r="AM14946" i="26"/>
  <c r="AM14945" i="26"/>
  <c r="AM14944" i="26"/>
  <c r="AM14943" i="26"/>
  <c r="AM14942" i="26"/>
  <c r="AM14941" i="26"/>
  <c r="AM14940" i="26"/>
  <c r="AM14939" i="26"/>
  <c r="AM14938" i="26"/>
  <c r="AM14937" i="26"/>
  <c r="AM14936" i="26"/>
  <c r="AM14935" i="26"/>
  <c r="AM14934" i="26"/>
  <c r="AM14933" i="26"/>
  <c r="AM14932" i="26"/>
  <c r="AM14931" i="26"/>
  <c r="AM14930" i="26"/>
  <c r="AM14929" i="26"/>
  <c r="AM14928" i="26"/>
  <c r="AM14927" i="26"/>
  <c r="AM14926" i="26"/>
  <c r="AM14925" i="26"/>
  <c r="AM14924" i="26"/>
  <c r="AM14923" i="26"/>
  <c r="AM14922" i="26"/>
  <c r="AM14921" i="26"/>
  <c r="AM14920" i="26"/>
  <c r="AM14919" i="26"/>
  <c r="AM14918" i="26"/>
  <c r="AM14917" i="26"/>
  <c r="AM14916" i="26"/>
  <c r="AM14915" i="26"/>
  <c r="AM14914" i="26"/>
  <c r="AM14913" i="26"/>
  <c r="AM14912" i="26"/>
  <c r="AM14911" i="26"/>
  <c r="AM14910" i="26"/>
  <c r="AM14909" i="26"/>
  <c r="AM14908" i="26"/>
  <c r="AM14907" i="26"/>
  <c r="AM14906" i="26"/>
  <c r="AM14905" i="26"/>
  <c r="AM14904" i="26"/>
  <c r="AM14903" i="26"/>
  <c r="AM14902" i="26"/>
  <c r="AM14901" i="26"/>
  <c r="AM14900" i="26"/>
  <c r="AM14899" i="26"/>
  <c r="AM14898" i="26"/>
  <c r="AM14897" i="26"/>
  <c r="AM14896" i="26"/>
  <c r="AM14895" i="26"/>
  <c r="AM14894" i="26"/>
  <c r="AM14893" i="26"/>
  <c r="AM14892" i="26"/>
  <c r="AM14891" i="26"/>
  <c r="AM14890" i="26"/>
  <c r="AM14889" i="26"/>
  <c r="AM14888" i="26"/>
  <c r="AM14887" i="26"/>
  <c r="AM14886" i="26"/>
  <c r="AM14885" i="26"/>
  <c r="AM14884" i="26"/>
  <c r="AM14883" i="26"/>
  <c r="AM14882" i="26"/>
  <c r="AM14881" i="26"/>
  <c r="AM14880" i="26"/>
  <c r="AM14879" i="26"/>
  <c r="AM14878" i="26"/>
  <c r="AM14877" i="26"/>
  <c r="AM14876" i="26"/>
  <c r="AM14875" i="26"/>
  <c r="AM14874" i="26"/>
  <c r="AM14873" i="26"/>
  <c r="AM14872" i="26"/>
  <c r="AM14871" i="26"/>
  <c r="AM14870" i="26"/>
  <c r="AM14869" i="26"/>
  <c r="AM14868" i="26"/>
  <c r="AM14867" i="26"/>
  <c r="AM14866" i="26"/>
  <c r="AM14865" i="26"/>
  <c r="AM14864" i="26"/>
  <c r="AM14863" i="26"/>
  <c r="AM14862" i="26"/>
  <c r="AM14861" i="26"/>
  <c r="AM14860" i="26"/>
  <c r="AM14859" i="26"/>
  <c r="AM14858" i="26"/>
  <c r="AM14857" i="26"/>
  <c r="AM14856" i="26"/>
  <c r="AM14855" i="26"/>
  <c r="AM14854" i="26"/>
  <c r="AM14853" i="26"/>
  <c r="AM14852" i="26"/>
  <c r="AM14851" i="26"/>
  <c r="AM14850" i="26"/>
  <c r="AM14849" i="26"/>
  <c r="AM14848" i="26"/>
  <c r="AM14847" i="26"/>
  <c r="AM14846" i="26"/>
  <c r="AM14845" i="26"/>
  <c r="AM14844" i="26"/>
  <c r="AM14843" i="26"/>
  <c r="AM14842" i="26"/>
  <c r="AM14841" i="26"/>
  <c r="AM14840" i="26"/>
  <c r="AM14839" i="26"/>
  <c r="AM14838" i="26"/>
  <c r="AM14837" i="26"/>
  <c r="AM14836" i="26"/>
  <c r="AM14835" i="26"/>
  <c r="AM14834" i="26"/>
  <c r="AM14833" i="26"/>
  <c r="AM14832" i="26"/>
  <c r="AM14831" i="26"/>
  <c r="AM14830" i="26"/>
  <c r="AM14829" i="26"/>
  <c r="AM14828" i="26"/>
  <c r="AM14827" i="26"/>
  <c r="AM14826" i="26"/>
  <c r="AM14825" i="26"/>
  <c r="AM14824" i="26"/>
  <c r="AM14823" i="26"/>
  <c r="AM14822" i="26"/>
  <c r="AM14821" i="26"/>
  <c r="AM14820" i="26"/>
  <c r="AM14819" i="26"/>
  <c r="AM14818" i="26"/>
  <c r="AM14817" i="26"/>
  <c r="AM14816" i="26"/>
  <c r="AM14815" i="26"/>
  <c r="AM14814" i="26"/>
  <c r="AM14813" i="26"/>
  <c r="AM14812" i="26"/>
  <c r="AM14811" i="26"/>
  <c r="AM14810" i="26"/>
  <c r="AM14809" i="26"/>
  <c r="AM14808" i="26"/>
  <c r="AM14807" i="26"/>
  <c r="AM14806" i="26"/>
  <c r="AM14805" i="26"/>
  <c r="AM14804" i="26"/>
  <c r="AM14803" i="26"/>
  <c r="AM14802" i="26"/>
  <c r="AM14801" i="26"/>
  <c r="AM14800" i="26"/>
  <c r="AM14799" i="26"/>
  <c r="AM14798" i="26"/>
  <c r="AM14797" i="26"/>
  <c r="AM14796" i="26"/>
  <c r="AM14795" i="26"/>
  <c r="AM14794" i="26"/>
  <c r="AM14793" i="26"/>
  <c r="AM14792" i="26"/>
  <c r="AM14791" i="26"/>
  <c r="AM14790" i="26"/>
  <c r="AM14789" i="26"/>
  <c r="AM14788" i="26"/>
  <c r="AM14787" i="26"/>
  <c r="AM14786" i="26"/>
  <c r="AM14785" i="26"/>
  <c r="AM14784" i="26"/>
  <c r="AM14783" i="26"/>
  <c r="AM14782" i="26"/>
  <c r="AM14781" i="26"/>
  <c r="AM14780" i="26"/>
  <c r="AM14779" i="26"/>
  <c r="AM14778" i="26"/>
  <c r="AM14777" i="26"/>
  <c r="AM14776" i="26"/>
  <c r="AM14775" i="26"/>
  <c r="AM14774" i="26"/>
  <c r="AM14773" i="26"/>
  <c r="AM14772" i="26"/>
  <c r="AM14771" i="26"/>
  <c r="AM14770" i="26"/>
  <c r="AM14769" i="26"/>
  <c r="AM14768" i="26"/>
  <c r="AM14767" i="26"/>
  <c r="AM14766" i="26"/>
  <c r="AM14765" i="26"/>
  <c r="AM14764" i="26"/>
  <c r="AM14763" i="26"/>
  <c r="AM14762" i="26"/>
  <c r="AM14761" i="26"/>
  <c r="AM14760" i="26"/>
  <c r="AM14759" i="26"/>
  <c r="AM14758" i="26"/>
  <c r="AM14757" i="26"/>
  <c r="AM14756" i="26"/>
  <c r="AM14755" i="26"/>
  <c r="AM14754" i="26"/>
  <c r="AM14753" i="26"/>
  <c r="AM14752" i="26"/>
  <c r="AM14751" i="26"/>
  <c r="AM14750" i="26"/>
  <c r="AM14749" i="26"/>
  <c r="AM14748" i="26"/>
  <c r="AM14747" i="26"/>
  <c r="AM14746" i="26"/>
  <c r="AM14745" i="26"/>
  <c r="AM14744" i="26"/>
  <c r="AM14743" i="26"/>
  <c r="AM14742" i="26"/>
  <c r="AM14741" i="26"/>
  <c r="AM14740" i="26"/>
  <c r="AM14739" i="26"/>
  <c r="AM14738" i="26"/>
  <c r="AM14737" i="26"/>
  <c r="AM14736" i="26"/>
  <c r="AM14735" i="26"/>
  <c r="AM14734" i="26"/>
  <c r="AM14733" i="26"/>
  <c r="AM14732" i="26"/>
  <c r="AM14731" i="26"/>
  <c r="AM14730" i="26"/>
  <c r="AM14729" i="26"/>
  <c r="AM14728" i="26"/>
  <c r="AM14727" i="26"/>
  <c r="AM14726" i="26"/>
  <c r="AM14725" i="26"/>
  <c r="AM14724" i="26"/>
  <c r="AM14723" i="26"/>
  <c r="AM14722" i="26"/>
  <c r="AM14721" i="26"/>
  <c r="AM14720" i="26"/>
  <c r="AM14719" i="26"/>
  <c r="AM14718" i="26"/>
  <c r="AM14717" i="26"/>
  <c r="AM14716" i="26"/>
  <c r="AM14715" i="26"/>
  <c r="AM14714" i="26"/>
  <c r="AM14713" i="26"/>
  <c r="AM14712" i="26"/>
  <c r="AM14711" i="26"/>
  <c r="AM14710" i="26"/>
  <c r="AM14709" i="26"/>
  <c r="AM14708" i="26"/>
  <c r="AM14707" i="26"/>
  <c r="AM14706" i="26"/>
  <c r="AM14705" i="26"/>
  <c r="AM14704" i="26"/>
  <c r="AM14703" i="26"/>
  <c r="AM14702" i="26"/>
  <c r="AM14701" i="26"/>
  <c r="AM14700" i="26"/>
  <c r="AM14699" i="26"/>
  <c r="AM14698" i="26"/>
  <c r="AM14697" i="26"/>
  <c r="AM14696" i="26"/>
  <c r="AM14695" i="26"/>
  <c r="AM14694" i="26"/>
  <c r="AM14693" i="26"/>
  <c r="AM14692" i="26"/>
  <c r="AM14691" i="26"/>
  <c r="AM14690" i="26"/>
  <c r="AM14689" i="26"/>
  <c r="AM14688" i="26"/>
  <c r="AM14687" i="26"/>
  <c r="AM14686" i="26"/>
  <c r="AM14685" i="26"/>
  <c r="AM14684" i="26"/>
  <c r="AM14683" i="26"/>
  <c r="AM14682" i="26"/>
  <c r="AM14681" i="26"/>
  <c r="AM14680" i="26"/>
  <c r="AM14679" i="26"/>
  <c r="AM14678" i="26"/>
  <c r="AM14677" i="26"/>
  <c r="AM14676" i="26"/>
  <c r="AM14675" i="26"/>
  <c r="AM14674" i="26"/>
  <c r="AM14673" i="26"/>
  <c r="AM14672" i="26"/>
  <c r="AM14671" i="26"/>
  <c r="AM14670" i="26"/>
  <c r="AM14669" i="26"/>
  <c r="AM14668" i="26"/>
  <c r="AM14667" i="26"/>
  <c r="AM14666" i="26"/>
  <c r="AM14665" i="26"/>
  <c r="AM14664" i="26"/>
  <c r="AM14663" i="26"/>
  <c r="AM14662" i="26"/>
  <c r="AM14661" i="26"/>
  <c r="AM14660" i="26"/>
  <c r="AM14659" i="26"/>
  <c r="AM14658" i="26"/>
  <c r="AM14657" i="26"/>
  <c r="AM14656" i="26"/>
  <c r="AM14655" i="26"/>
  <c r="AM14654" i="26"/>
  <c r="AM14653" i="26"/>
  <c r="AM14652" i="26"/>
  <c r="AM14651" i="26"/>
  <c r="AM14650" i="26"/>
  <c r="AM14649" i="26"/>
  <c r="AM14648" i="26"/>
  <c r="AM14647" i="26"/>
  <c r="AM14646" i="26"/>
  <c r="AM14645" i="26"/>
  <c r="AM14644" i="26"/>
  <c r="AM14643" i="26"/>
  <c r="AM14642" i="26"/>
  <c r="AM14641" i="26"/>
  <c r="AM14640" i="26"/>
  <c r="AM14639" i="26"/>
  <c r="AM14638" i="26"/>
  <c r="AM14637" i="26"/>
  <c r="AM14636" i="26"/>
  <c r="AM14635" i="26"/>
  <c r="AM14634" i="26"/>
  <c r="AM14633" i="26"/>
  <c r="AM14632" i="26"/>
  <c r="AM14631" i="26"/>
  <c r="AM14630" i="26"/>
  <c r="AM14629" i="26"/>
  <c r="AM14628" i="26"/>
  <c r="AM14627" i="26"/>
  <c r="AM14626" i="26"/>
  <c r="AM14625" i="26"/>
  <c r="AM14624" i="26"/>
  <c r="AM14623" i="26"/>
  <c r="AM14622" i="26"/>
  <c r="AM14621" i="26"/>
  <c r="AM14620" i="26"/>
  <c r="AM14619" i="26"/>
  <c r="AM14618" i="26"/>
  <c r="AM14617" i="26"/>
  <c r="AM14616" i="26"/>
  <c r="AM14615" i="26"/>
  <c r="AM14614" i="26"/>
  <c r="AM14613" i="26"/>
  <c r="AM14612" i="26"/>
  <c r="AM14611" i="26"/>
  <c r="AM14610" i="26"/>
  <c r="AM14609" i="26"/>
  <c r="AM14608" i="26"/>
  <c r="AM14607" i="26"/>
  <c r="AM14606" i="26"/>
  <c r="AM14605" i="26"/>
  <c r="AM14604" i="26"/>
  <c r="AM14603" i="26"/>
  <c r="AM14602" i="26"/>
  <c r="AM14601" i="26"/>
  <c r="AM14600" i="26"/>
  <c r="AM14599" i="26"/>
  <c r="AM14598" i="26"/>
  <c r="AM14597" i="26"/>
  <c r="AM14596" i="26"/>
  <c r="AM14595" i="26"/>
  <c r="AM14594" i="26"/>
  <c r="AM14593" i="26"/>
  <c r="AM14592" i="26"/>
  <c r="AM14591" i="26"/>
  <c r="AM14590" i="26"/>
  <c r="AM14589" i="26"/>
  <c r="AM14588" i="26"/>
  <c r="AM14587" i="26"/>
  <c r="AM14586" i="26"/>
  <c r="AM14585" i="26"/>
  <c r="AM14584" i="26"/>
  <c r="AM14583" i="26"/>
  <c r="AM14582" i="26"/>
  <c r="AM14581" i="26"/>
  <c r="AM14580" i="26"/>
  <c r="AM14579" i="26"/>
  <c r="AM14578" i="26"/>
  <c r="AM14577" i="26"/>
  <c r="AM14576" i="26"/>
  <c r="AM14575" i="26"/>
  <c r="AM14574" i="26"/>
  <c r="AM14573" i="26"/>
  <c r="AM14572" i="26"/>
  <c r="AM14571" i="26"/>
  <c r="AM14570" i="26"/>
  <c r="AM14569" i="26"/>
  <c r="AM14568" i="26"/>
  <c r="AM14567" i="26"/>
  <c r="AM14566" i="26"/>
  <c r="AM14565" i="26"/>
  <c r="AM14564" i="26"/>
  <c r="AM14563" i="26"/>
  <c r="AM14562" i="26"/>
  <c r="AM14561" i="26"/>
  <c r="AM14560" i="26"/>
  <c r="AM14559" i="26"/>
  <c r="AM14558" i="26"/>
  <c r="AM14557" i="26"/>
  <c r="AM14556" i="26"/>
  <c r="AM14555" i="26"/>
  <c r="AM14554" i="26"/>
  <c r="AM14553" i="26"/>
  <c r="AM14552" i="26"/>
  <c r="AM14551" i="26"/>
  <c r="AM14550" i="26"/>
  <c r="AM14549" i="26"/>
  <c r="AM14548" i="26"/>
  <c r="AM14547" i="26"/>
  <c r="AM14546" i="26"/>
  <c r="AM14545" i="26"/>
  <c r="AM14544" i="26"/>
  <c r="AM14543" i="26"/>
  <c r="AM14542" i="26"/>
  <c r="AM14541" i="26"/>
  <c r="AM14540" i="26"/>
  <c r="AM14539" i="26"/>
  <c r="AM14538" i="26"/>
  <c r="AM14537" i="26"/>
  <c r="AM14536" i="26"/>
  <c r="AM14535" i="26"/>
  <c r="AM14534" i="26"/>
  <c r="AM14533" i="26"/>
  <c r="AM14532" i="26"/>
  <c r="AM14531" i="26"/>
  <c r="AM14530" i="26"/>
  <c r="AM14529" i="26"/>
  <c r="AM14528" i="26"/>
  <c r="AM14527" i="26"/>
  <c r="AM14526" i="26"/>
  <c r="AM14525" i="26"/>
  <c r="AM14524" i="26"/>
  <c r="AM14523" i="26"/>
  <c r="AM14522" i="26"/>
  <c r="AM14521" i="26"/>
  <c r="AM14520" i="26"/>
  <c r="AM14519" i="26"/>
  <c r="AM14518" i="26"/>
  <c r="AM14517" i="26"/>
  <c r="AM14516" i="26"/>
  <c r="AM14515" i="26"/>
  <c r="AM14514" i="26"/>
  <c r="AM14513" i="26"/>
  <c r="AM14512" i="26"/>
  <c r="AM14511" i="26"/>
  <c r="AM14510" i="26"/>
  <c r="AM14509" i="26"/>
  <c r="AM14508" i="26"/>
  <c r="AM14507" i="26"/>
  <c r="AM14506" i="26"/>
  <c r="AM14505" i="26"/>
  <c r="AM14504" i="26"/>
  <c r="AM14503" i="26"/>
  <c r="AM14502" i="26"/>
  <c r="AM14501" i="26"/>
  <c r="AM14500" i="26"/>
  <c r="AM14499" i="26"/>
  <c r="AM14498" i="26"/>
  <c r="AM14497" i="26"/>
  <c r="AM14496" i="26"/>
  <c r="AM14495" i="26"/>
  <c r="AM14494" i="26"/>
  <c r="AM14493" i="26"/>
  <c r="AM14492" i="26"/>
  <c r="AM14491" i="26"/>
  <c r="AM14490" i="26"/>
  <c r="AM14489" i="26"/>
  <c r="AM14488" i="26"/>
  <c r="AM14487" i="26"/>
  <c r="AM14486" i="26"/>
  <c r="AM14485" i="26"/>
  <c r="AM14484" i="26"/>
  <c r="AM14483" i="26"/>
  <c r="AM14482" i="26"/>
  <c r="AM14481" i="26"/>
  <c r="AM14480" i="26"/>
  <c r="AM14479" i="26"/>
  <c r="AM14478" i="26"/>
  <c r="AM14477" i="26"/>
  <c r="AM14476" i="26"/>
  <c r="AM14475" i="26"/>
  <c r="AM14474" i="26"/>
  <c r="AM14473" i="26"/>
  <c r="AM14472" i="26"/>
  <c r="AM14471" i="26"/>
  <c r="AM14470" i="26"/>
  <c r="AM14469" i="26"/>
  <c r="AM14468" i="26"/>
  <c r="AM14467" i="26"/>
  <c r="AM14466" i="26"/>
  <c r="AM14465" i="26"/>
  <c r="AM14464" i="26"/>
  <c r="AM14463" i="26"/>
  <c r="AM14462" i="26"/>
  <c r="AM14461" i="26"/>
  <c r="AM14460" i="26"/>
  <c r="AM14459" i="26"/>
  <c r="AM14458" i="26"/>
  <c r="AM14457" i="26"/>
  <c r="AM14456" i="26"/>
  <c r="AM14455" i="26"/>
  <c r="AM14454" i="26"/>
  <c r="AM14453" i="26"/>
  <c r="AM14452" i="26"/>
  <c r="AM14451" i="26"/>
  <c r="AM14450" i="26"/>
  <c r="AM14449" i="26"/>
  <c r="AM14448" i="26"/>
  <c r="AM14447" i="26"/>
  <c r="AM14446" i="26"/>
  <c r="AM14445" i="26"/>
  <c r="AM14444" i="26"/>
  <c r="AM14443" i="26"/>
  <c r="AM14442" i="26"/>
  <c r="AM14441" i="26"/>
  <c r="AM14440" i="26"/>
  <c r="AM14439" i="26"/>
  <c r="AM14438" i="26"/>
  <c r="AM14437" i="26"/>
  <c r="AM14436" i="26"/>
  <c r="AM14435" i="26"/>
  <c r="AM14434" i="26"/>
  <c r="AM14433" i="26"/>
  <c r="AM14432" i="26"/>
  <c r="AM14431" i="26"/>
  <c r="AM14430" i="26"/>
  <c r="AM14429" i="26"/>
  <c r="AM14428" i="26"/>
  <c r="AM14427" i="26"/>
  <c r="AM14426" i="26"/>
  <c r="AM14425" i="26"/>
  <c r="AM14424" i="26"/>
  <c r="AM14423" i="26"/>
  <c r="AM14422" i="26"/>
  <c r="AM14421" i="26"/>
  <c r="AM14420" i="26"/>
  <c r="AM14419" i="26"/>
  <c r="AM14418" i="26"/>
  <c r="AM14417" i="26"/>
  <c r="AM14416" i="26"/>
  <c r="AM14415" i="26"/>
  <c r="AM14414" i="26"/>
  <c r="AM14413" i="26"/>
  <c r="AM14412" i="26"/>
  <c r="AM14411" i="26"/>
  <c r="AM14410" i="26"/>
  <c r="AM14409" i="26"/>
  <c r="AM14408" i="26"/>
  <c r="AM14407" i="26"/>
  <c r="AM14406" i="26"/>
  <c r="AM14405" i="26"/>
  <c r="AM14404" i="26"/>
  <c r="AM14403" i="26"/>
  <c r="AM14402" i="26"/>
  <c r="AM14401" i="26"/>
  <c r="AM14400" i="26"/>
  <c r="AM14399" i="26"/>
  <c r="AM14398" i="26"/>
  <c r="AM14397" i="26"/>
  <c r="AM14396" i="26"/>
  <c r="AM14395" i="26"/>
  <c r="AM14394" i="26"/>
  <c r="AM14393" i="26"/>
  <c r="AM14392" i="26"/>
  <c r="AM14391" i="26"/>
  <c r="AM14390" i="26"/>
  <c r="AM14389" i="26"/>
  <c r="AM14388" i="26"/>
  <c r="AM14387" i="26"/>
  <c r="AM14386" i="26"/>
  <c r="AM14385" i="26"/>
  <c r="AM14384" i="26"/>
  <c r="AM14383" i="26"/>
  <c r="AM14382" i="26"/>
  <c r="AM14381" i="26"/>
  <c r="AM14380" i="26"/>
  <c r="AM14379" i="26"/>
  <c r="AM14378" i="26"/>
  <c r="AM14377" i="26"/>
  <c r="AM14376" i="26"/>
  <c r="AM14375" i="26"/>
  <c r="AM14374" i="26"/>
  <c r="AM14373" i="26"/>
  <c r="AM14372" i="26"/>
  <c r="AM14371" i="26"/>
  <c r="AM14370" i="26"/>
  <c r="AM14369" i="26"/>
  <c r="AM14368" i="26"/>
  <c r="AM14367" i="26"/>
  <c r="AM14366" i="26"/>
  <c r="AM14365" i="26"/>
  <c r="AM14364" i="26"/>
  <c r="AM14363" i="26"/>
  <c r="AM14362" i="26"/>
  <c r="AM14361" i="26"/>
  <c r="AM14360" i="26"/>
  <c r="AM14359" i="26"/>
  <c r="AM14358" i="26"/>
  <c r="AM14357" i="26"/>
  <c r="AM14356" i="26"/>
  <c r="AM14355" i="26"/>
  <c r="AM14354" i="26"/>
  <c r="AM14353" i="26"/>
  <c r="AM14352" i="26"/>
  <c r="AM14351" i="26"/>
  <c r="AM14350" i="26"/>
  <c r="AM14349" i="26"/>
  <c r="AM14348" i="26"/>
  <c r="AM14347" i="26"/>
  <c r="AM14346" i="26"/>
  <c r="AM14345" i="26"/>
  <c r="AM14344" i="26"/>
  <c r="AM14343" i="26"/>
  <c r="AM14342" i="26"/>
  <c r="AM14341" i="26"/>
  <c r="AM14340" i="26"/>
  <c r="AM14339" i="26"/>
  <c r="AM14338" i="26"/>
  <c r="AM14337" i="26"/>
  <c r="AM14336" i="26"/>
  <c r="AM14335" i="26"/>
  <c r="AM14334" i="26"/>
  <c r="AM14333" i="26"/>
  <c r="AM14332" i="26"/>
  <c r="AM14331" i="26"/>
  <c r="AM14330" i="26"/>
  <c r="AM14329" i="26"/>
  <c r="AM14328" i="26"/>
  <c r="AM14327" i="26"/>
  <c r="AM14326" i="26"/>
  <c r="AM14325" i="26"/>
  <c r="AM14324" i="26"/>
  <c r="AM14323" i="26"/>
  <c r="AM14322" i="26"/>
  <c r="AM14321" i="26"/>
  <c r="AM14320" i="26"/>
  <c r="AM14319" i="26"/>
  <c r="AM14318" i="26"/>
  <c r="AM14317" i="26"/>
  <c r="AM14316" i="26"/>
  <c r="AM14315" i="26"/>
  <c r="AM14314" i="26"/>
  <c r="AM14313" i="26"/>
  <c r="AM14312" i="26"/>
  <c r="AM14311" i="26"/>
  <c r="AM14310" i="26"/>
  <c r="AM14309" i="26"/>
  <c r="AM14308" i="26"/>
  <c r="AM14307" i="26"/>
  <c r="AM14306" i="26"/>
  <c r="AM14305" i="26"/>
  <c r="AM14304" i="26"/>
  <c r="AM14303" i="26"/>
  <c r="AM14302" i="26"/>
  <c r="AM14301" i="26"/>
  <c r="AM14300" i="26"/>
  <c r="AM14299" i="26"/>
  <c r="AM14298" i="26"/>
  <c r="AM14297" i="26"/>
  <c r="AM14296" i="26"/>
  <c r="AM14295" i="26"/>
  <c r="AM14294" i="26"/>
  <c r="AM14293" i="26"/>
  <c r="AM14292" i="26"/>
  <c r="AM14291" i="26"/>
  <c r="AM14290" i="26"/>
  <c r="AM14289" i="26"/>
  <c r="AM14288" i="26"/>
  <c r="AM14287" i="26"/>
  <c r="AM14286" i="26"/>
  <c r="AM14285" i="26"/>
  <c r="AM14284" i="26"/>
  <c r="AM14283" i="26"/>
  <c r="AM14282" i="26"/>
  <c r="AM14281" i="26"/>
  <c r="AM14280" i="26"/>
  <c r="AM14279" i="26"/>
  <c r="AM14278" i="26"/>
  <c r="AM14277" i="26"/>
  <c r="AM14276" i="26"/>
  <c r="AM14275" i="26"/>
  <c r="AM14274" i="26"/>
  <c r="AM14273" i="26"/>
  <c r="AM14272" i="26"/>
  <c r="AM14271" i="26"/>
  <c r="AM14270" i="26"/>
  <c r="AM14269" i="26"/>
  <c r="AM14268" i="26"/>
  <c r="AM14267" i="26"/>
  <c r="AM14266" i="26"/>
  <c r="AM14265" i="26"/>
  <c r="AM14264" i="26"/>
  <c r="AM14263" i="26"/>
  <c r="AM14262" i="26"/>
  <c r="AM14261" i="26"/>
  <c r="AM14260" i="26"/>
  <c r="AM14259" i="26"/>
  <c r="AM14258" i="26"/>
  <c r="AM14257" i="26"/>
  <c r="AM14256" i="26"/>
  <c r="AM14255" i="26"/>
  <c r="AM14254" i="26"/>
  <c r="AM14253" i="26"/>
  <c r="AM14252" i="26"/>
  <c r="AM14251" i="26"/>
  <c r="AM14250" i="26"/>
  <c r="AM14249" i="26"/>
  <c r="AM14248" i="26"/>
  <c r="AM14247" i="26"/>
  <c r="AM14246" i="26"/>
  <c r="AM14245" i="26"/>
  <c r="AM14244" i="26"/>
  <c r="AM14243" i="26"/>
  <c r="AM14242" i="26"/>
  <c r="AM14241" i="26"/>
  <c r="AM14240" i="26"/>
  <c r="AM14239" i="26"/>
  <c r="AM14238" i="26"/>
  <c r="AM14237" i="26"/>
  <c r="AM14236" i="26"/>
  <c r="AM14235" i="26"/>
  <c r="AM14234" i="26"/>
  <c r="AM14233" i="26"/>
  <c r="AM14232" i="26"/>
  <c r="AM14231" i="26"/>
  <c r="AM14230" i="26"/>
  <c r="AM14229" i="26"/>
  <c r="AM14228" i="26"/>
  <c r="AM14227" i="26"/>
  <c r="AM14226" i="26"/>
  <c r="AM14225" i="26"/>
  <c r="AM14224" i="26"/>
  <c r="AM14223" i="26"/>
  <c r="AM14222" i="26"/>
  <c r="AM14221" i="26"/>
  <c r="AM14220" i="26"/>
  <c r="AM14219" i="26"/>
  <c r="AM14218" i="26"/>
  <c r="AM14217" i="26"/>
  <c r="AM14216" i="26"/>
  <c r="AM14215" i="26"/>
  <c r="AM14214" i="26"/>
  <c r="AM14213" i="26"/>
  <c r="AM14212" i="26"/>
  <c r="AM14211" i="26"/>
  <c r="AM14210" i="26"/>
  <c r="AM14209" i="26"/>
  <c r="AM14208" i="26"/>
  <c r="AM14207" i="26"/>
  <c r="AM14206" i="26"/>
  <c r="AM14205" i="26"/>
  <c r="AM14204" i="26"/>
  <c r="AM14203" i="26"/>
  <c r="AM14202" i="26"/>
  <c r="AM14201" i="26"/>
  <c r="AM14200" i="26"/>
  <c r="AM14199" i="26"/>
  <c r="AM14198" i="26"/>
  <c r="AM14197" i="26"/>
  <c r="AM14196" i="26"/>
  <c r="AM14195" i="26"/>
  <c r="AM14194" i="26"/>
  <c r="AM14193" i="26"/>
  <c r="AM14192" i="26"/>
  <c r="AM14191" i="26"/>
  <c r="AM14190" i="26"/>
  <c r="AM14189" i="26"/>
  <c r="AM14188" i="26"/>
  <c r="AM14187" i="26"/>
  <c r="AM14186" i="26"/>
  <c r="AM14185" i="26"/>
  <c r="AM14184" i="26"/>
  <c r="AM14183" i="26"/>
  <c r="AM14182" i="26"/>
  <c r="AM14181" i="26"/>
  <c r="AM14180" i="26"/>
  <c r="AM14179" i="26"/>
  <c r="AM14178" i="26"/>
  <c r="AM14177" i="26"/>
  <c r="AM14176" i="26"/>
  <c r="AM14175" i="26"/>
  <c r="AM14174" i="26"/>
  <c r="AM14173" i="26"/>
  <c r="AM14172" i="26"/>
  <c r="AM14171" i="26"/>
  <c r="AM14170" i="26"/>
  <c r="AM14169" i="26"/>
  <c r="AM14168" i="26"/>
  <c r="AM14167" i="26"/>
  <c r="AM14166" i="26"/>
  <c r="AM14165" i="26"/>
  <c r="AM14164" i="26"/>
  <c r="AM14163" i="26"/>
  <c r="AM14162" i="26"/>
  <c r="AM14161" i="26"/>
  <c r="AM14160" i="26"/>
  <c r="AM14159" i="26"/>
  <c r="AM14158" i="26"/>
  <c r="AM14157" i="26"/>
  <c r="AM14156" i="26"/>
  <c r="AM14155" i="26"/>
  <c r="AM14154" i="26"/>
  <c r="AM14153" i="26"/>
  <c r="AM14152" i="26"/>
  <c r="AM14151" i="26"/>
  <c r="AM14150" i="26"/>
  <c r="AM14149" i="26"/>
  <c r="AM14148" i="26"/>
  <c r="AM14147" i="26"/>
  <c r="AM14146" i="26"/>
  <c r="AM14145" i="26"/>
  <c r="AM14144" i="26"/>
  <c r="AM14143" i="26"/>
  <c r="AM14142" i="26"/>
  <c r="AM14141" i="26"/>
  <c r="AM14140" i="26"/>
  <c r="AM14139" i="26"/>
  <c r="AM14138" i="26"/>
  <c r="AM14137" i="26"/>
  <c r="AM14136" i="26"/>
  <c r="AM14135" i="26"/>
  <c r="AM14134" i="26"/>
  <c r="AM14133" i="26"/>
  <c r="AM14132" i="26"/>
  <c r="AM14131" i="26"/>
  <c r="AM14130" i="26"/>
  <c r="AM14129" i="26"/>
  <c r="AM14128" i="26"/>
  <c r="AM14127" i="26"/>
  <c r="AM14126" i="26"/>
  <c r="AM14125" i="26"/>
  <c r="AM14124" i="26"/>
  <c r="AM14123" i="26"/>
  <c r="AM14122" i="26"/>
  <c r="AM14121" i="26"/>
  <c r="AM14120" i="26"/>
  <c r="AM14119" i="26"/>
  <c r="AM14118" i="26"/>
  <c r="AM14117" i="26"/>
  <c r="AM14116" i="26"/>
  <c r="AM14115" i="26"/>
  <c r="AM14114" i="26"/>
  <c r="AM14113" i="26"/>
  <c r="AM14112" i="26"/>
  <c r="AM14111" i="26"/>
  <c r="AM14110" i="26"/>
  <c r="AM14109" i="26"/>
  <c r="AM14108" i="26"/>
  <c r="AM14107" i="26"/>
  <c r="AM14106" i="26"/>
  <c r="AM14105" i="26"/>
  <c r="AM14104" i="26"/>
  <c r="AM14103" i="26"/>
  <c r="AM14102" i="26"/>
  <c r="AM14101" i="26"/>
  <c r="AM14100" i="26"/>
  <c r="AM14099" i="26"/>
  <c r="AM14098" i="26"/>
  <c r="AM14097" i="26"/>
  <c r="AM14096" i="26"/>
  <c r="AM14095" i="26"/>
  <c r="AM14094" i="26"/>
  <c r="AM14093" i="26"/>
  <c r="AM14092" i="26"/>
  <c r="AM14091" i="26"/>
  <c r="AM14090" i="26"/>
  <c r="AM14089" i="26"/>
  <c r="AM14088" i="26"/>
  <c r="AM14087" i="26"/>
  <c r="AM14086" i="26"/>
  <c r="AM14085" i="26"/>
  <c r="AM14084" i="26"/>
  <c r="AM14083" i="26"/>
  <c r="AM14082" i="26"/>
  <c r="AM14081" i="26"/>
  <c r="AM14080" i="26"/>
  <c r="AM14079" i="26"/>
  <c r="AM14078" i="26"/>
  <c r="AM14077" i="26"/>
  <c r="AM14076" i="26"/>
  <c r="AM14075" i="26"/>
  <c r="AM14074" i="26"/>
  <c r="AM14073" i="26"/>
  <c r="AM14072" i="26"/>
  <c r="AM14071" i="26"/>
  <c r="AM14070" i="26"/>
  <c r="AM14069" i="26"/>
  <c r="AM14068" i="26"/>
  <c r="AM14067" i="26"/>
  <c r="AM14066" i="26"/>
  <c r="AM14065" i="26"/>
  <c r="AM14064" i="26"/>
  <c r="AM14063" i="26"/>
  <c r="AM14062" i="26"/>
  <c r="AM14061" i="26"/>
  <c r="AM14060" i="26"/>
  <c r="AM14059" i="26"/>
  <c r="AM14058" i="26"/>
  <c r="AM14057" i="26"/>
  <c r="AM14056" i="26"/>
  <c r="AM14055" i="26"/>
  <c r="AM14054" i="26"/>
  <c r="AM14053" i="26"/>
  <c r="AM14052" i="26"/>
  <c r="AM14051" i="26"/>
  <c r="AM14050" i="26"/>
  <c r="AM14049" i="26"/>
  <c r="AM14048" i="26"/>
  <c r="AM14047" i="26"/>
  <c r="AM14046" i="26"/>
  <c r="AM14045" i="26"/>
  <c r="AM14044" i="26"/>
  <c r="AM14043" i="26"/>
  <c r="AM14042" i="26"/>
  <c r="AM14041" i="26"/>
  <c r="AM14040" i="26"/>
  <c r="AM14039" i="26"/>
  <c r="AM14038" i="26"/>
  <c r="AM14037" i="26"/>
  <c r="AM14036" i="26"/>
  <c r="AM14035" i="26"/>
  <c r="AM14034" i="26"/>
  <c r="AM14033" i="26"/>
  <c r="AM14032" i="26"/>
  <c r="AM14031" i="26"/>
  <c r="AM14030" i="26"/>
  <c r="AM14029" i="26"/>
  <c r="AM14028" i="26"/>
  <c r="AM14027" i="26"/>
  <c r="AM14026" i="26"/>
  <c r="AM14025" i="26"/>
  <c r="AM14024" i="26"/>
  <c r="AM14023" i="26"/>
  <c r="AM14022" i="26"/>
  <c r="AM14021" i="26"/>
  <c r="AM14020" i="26"/>
  <c r="AM14019" i="26"/>
  <c r="AM14018" i="26"/>
  <c r="AM14017" i="26"/>
  <c r="AM14016" i="26"/>
  <c r="AM14015" i="26"/>
  <c r="AM14014" i="26"/>
  <c r="AM14013" i="26"/>
  <c r="AM14012" i="26"/>
  <c r="AM14011" i="26"/>
  <c r="AM14010" i="26"/>
  <c r="AM14009" i="26"/>
  <c r="AM14008" i="26"/>
  <c r="AM14007" i="26"/>
  <c r="AM14006" i="26"/>
  <c r="AM14005" i="26"/>
  <c r="AM14004" i="26"/>
  <c r="AM14003" i="26"/>
  <c r="AM14002" i="26"/>
  <c r="AM14001" i="26"/>
  <c r="AM14000" i="26"/>
  <c r="AM13999" i="26"/>
  <c r="AM13998" i="26"/>
  <c r="AM13997" i="26"/>
  <c r="AM13996" i="26"/>
  <c r="AM13995" i="26"/>
  <c r="AM13994" i="26"/>
  <c r="AM13993" i="26"/>
  <c r="AM13992" i="26"/>
  <c r="AM13991" i="26"/>
  <c r="AM13990" i="26"/>
  <c r="AM13989" i="26"/>
  <c r="AM13988" i="26"/>
  <c r="AM13987" i="26"/>
  <c r="AM13986" i="26"/>
  <c r="AM13985" i="26"/>
  <c r="AM13984" i="26"/>
  <c r="AM13983" i="26"/>
  <c r="AM13982" i="26"/>
  <c r="AM13981" i="26"/>
  <c r="AM13980" i="26"/>
  <c r="AM13979" i="26"/>
  <c r="AM13978" i="26"/>
  <c r="AM13977" i="26"/>
  <c r="AM13976" i="26"/>
  <c r="AM13975" i="26"/>
  <c r="AM13974" i="26"/>
  <c r="AM13973" i="26"/>
  <c r="AM13972" i="26"/>
  <c r="AM13971" i="26"/>
  <c r="AM13970" i="26"/>
  <c r="AM13969" i="26"/>
  <c r="AM13968" i="26"/>
  <c r="AM13967" i="26"/>
  <c r="AM13966" i="26"/>
  <c r="AM13965" i="26"/>
  <c r="AM13964" i="26"/>
  <c r="AM13963" i="26"/>
  <c r="AM13962" i="26"/>
  <c r="AM13961" i="26"/>
  <c r="AM13960" i="26"/>
  <c r="AM13959" i="26"/>
  <c r="AM13958" i="26"/>
  <c r="AM13957" i="26"/>
  <c r="AM13956" i="26"/>
  <c r="AM13955" i="26"/>
  <c r="AM13954" i="26"/>
  <c r="AM13953" i="26"/>
  <c r="AM13952" i="26"/>
  <c r="AM13951" i="26"/>
  <c r="AM13950" i="26"/>
  <c r="AM13949" i="26"/>
  <c r="AM13948" i="26"/>
  <c r="AM13947" i="26"/>
  <c r="AM13946" i="26"/>
  <c r="AM13945" i="26"/>
  <c r="AM13944" i="26"/>
  <c r="AM13943" i="26"/>
  <c r="AM13942" i="26"/>
  <c r="AM13941" i="26"/>
  <c r="AM13940" i="26"/>
  <c r="AM13939" i="26"/>
  <c r="AM13938" i="26"/>
  <c r="AM13937" i="26"/>
  <c r="AM13936" i="26"/>
  <c r="AM13935" i="26"/>
  <c r="AM13934" i="26"/>
  <c r="AM13933" i="26"/>
  <c r="AM13932" i="26"/>
  <c r="AM13931" i="26"/>
  <c r="AM13930" i="26"/>
  <c r="AM13929" i="26"/>
  <c r="AM13928" i="26"/>
  <c r="AM13927" i="26"/>
  <c r="AM13926" i="26"/>
  <c r="AM13925" i="26"/>
  <c r="AM13924" i="26"/>
  <c r="AM13923" i="26"/>
  <c r="AM13922" i="26"/>
  <c r="AM13921" i="26"/>
  <c r="AM13920" i="26"/>
  <c r="AM13919" i="26"/>
  <c r="AM13918" i="26"/>
  <c r="AM13917" i="26"/>
  <c r="AM13916" i="26"/>
  <c r="AM13915" i="26"/>
  <c r="AM13914" i="26"/>
  <c r="AM13913" i="26"/>
  <c r="AM13912" i="26"/>
  <c r="AM13911" i="26"/>
  <c r="AM13910" i="26"/>
  <c r="AM13909" i="26"/>
  <c r="AM13908" i="26"/>
  <c r="AM13907" i="26"/>
  <c r="AM13906" i="26"/>
  <c r="AM13905" i="26"/>
  <c r="AM13904" i="26"/>
  <c r="AM13903" i="26"/>
  <c r="AM13902" i="26"/>
  <c r="AM13901" i="26"/>
  <c r="AM13900" i="26"/>
  <c r="AM13899" i="26"/>
  <c r="AM13898" i="26"/>
  <c r="AM13897" i="26"/>
  <c r="AM13896" i="26"/>
  <c r="AM13895" i="26"/>
  <c r="AM13894" i="26"/>
  <c r="AM13893" i="26"/>
  <c r="AM13892" i="26"/>
  <c r="AM13891" i="26"/>
  <c r="AM13890" i="26"/>
  <c r="AM13889" i="26"/>
  <c r="AM13888" i="26"/>
  <c r="AM13887" i="26"/>
  <c r="AM13886" i="26"/>
  <c r="AM13885" i="26"/>
  <c r="AM13884" i="26"/>
  <c r="AM13883" i="26"/>
  <c r="AM13882" i="26"/>
  <c r="AM13881" i="26"/>
  <c r="AM13880" i="26"/>
  <c r="AM13879" i="26"/>
  <c r="AM13878" i="26"/>
  <c r="AM13877" i="26"/>
  <c r="AM13876" i="26"/>
  <c r="AM13875" i="26"/>
  <c r="AM13874" i="26"/>
  <c r="AM13873" i="26"/>
  <c r="AM13872" i="26"/>
  <c r="AM13871" i="26"/>
  <c r="AM13870" i="26"/>
  <c r="AM13869" i="26"/>
  <c r="AM13868" i="26"/>
  <c r="AM13867" i="26"/>
  <c r="AM13866" i="26"/>
  <c r="AM13865" i="26"/>
  <c r="AM13864" i="26"/>
  <c r="AM13863" i="26"/>
  <c r="AM13862" i="26"/>
  <c r="AM13861" i="26"/>
  <c r="AM13860" i="26"/>
  <c r="AM13859" i="26"/>
  <c r="AM13858" i="26"/>
  <c r="AM13857" i="26"/>
  <c r="AM13856" i="26"/>
  <c r="AM13855" i="26"/>
  <c r="AM13854" i="26"/>
  <c r="AM13853" i="26"/>
  <c r="AM13852" i="26"/>
  <c r="AM13851" i="26"/>
  <c r="AM13850" i="26"/>
  <c r="AM13849" i="26"/>
  <c r="AM13848" i="26"/>
  <c r="AM13847" i="26"/>
  <c r="AM13846" i="26"/>
  <c r="AM13845" i="26"/>
  <c r="AM13844" i="26"/>
  <c r="AM13843" i="26"/>
  <c r="AM13842" i="26"/>
  <c r="AM13841" i="26"/>
  <c r="AM13840" i="26"/>
  <c r="AM13839" i="26"/>
  <c r="AM13838" i="26"/>
  <c r="AM13837" i="26"/>
  <c r="AM13836" i="26"/>
  <c r="AM13835" i="26"/>
  <c r="AM13834" i="26"/>
  <c r="AM13833" i="26"/>
  <c r="AM13832" i="26"/>
  <c r="AM13831" i="26"/>
  <c r="AM13830" i="26"/>
  <c r="AM13829" i="26"/>
  <c r="AM13828" i="26"/>
  <c r="AM13827" i="26"/>
  <c r="AM13826" i="26"/>
  <c r="AM13825" i="26"/>
  <c r="AM13824" i="26"/>
  <c r="AM13823" i="26"/>
  <c r="AM13822" i="26"/>
  <c r="AM13821" i="26"/>
  <c r="AM13820" i="26"/>
  <c r="AM13819" i="26"/>
  <c r="AM13818" i="26"/>
  <c r="AM13817" i="26"/>
  <c r="AM13816" i="26"/>
  <c r="AM13815" i="26"/>
  <c r="AM13814" i="26"/>
  <c r="AM13813" i="26"/>
  <c r="AM13812" i="26"/>
  <c r="AM13811" i="26"/>
  <c r="AM13810" i="26"/>
  <c r="AM13809" i="26"/>
  <c r="AM13808" i="26"/>
  <c r="AM13807" i="26"/>
  <c r="AM13806" i="26"/>
  <c r="AM13805" i="26"/>
  <c r="AM13804" i="26"/>
  <c r="AM13803" i="26"/>
  <c r="AM13802" i="26"/>
  <c r="AM13801" i="26"/>
  <c r="AM13800" i="26"/>
  <c r="AM13799" i="26"/>
  <c r="AM13798" i="26"/>
  <c r="AM13797" i="26"/>
  <c r="AM13796" i="26"/>
  <c r="AM13795" i="26"/>
  <c r="AM13794" i="26"/>
  <c r="AM13793" i="26"/>
  <c r="AM13792" i="26"/>
  <c r="AM13791" i="26"/>
  <c r="AM13790" i="26"/>
  <c r="AM13789" i="26"/>
  <c r="AM13788" i="26"/>
  <c r="AM13787" i="26"/>
  <c r="AM13786" i="26"/>
  <c r="AM13785" i="26"/>
  <c r="AM13784" i="26"/>
  <c r="AM13783" i="26"/>
  <c r="AM13782" i="26"/>
  <c r="AM13781" i="26"/>
  <c r="AM13780" i="26"/>
  <c r="AM13779" i="26"/>
  <c r="AM13778" i="26"/>
  <c r="AM13777" i="26"/>
  <c r="AM13776" i="26"/>
  <c r="AM13775" i="26"/>
  <c r="AM13774" i="26"/>
  <c r="AM13773" i="26"/>
  <c r="AM13772" i="26"/>
  <c r="AM13771" i="26"/>
  <c r="AM13770" i="26"/>
  <c r="AM13769" i="26"/>
  <c r="AM13768" i="26"/>
  <c r="AM13767" i="26"/>
  <c r="AM13766" i="26"/>
  <c r="AM13765" i="26"/>
  <c r="AM13764" i="26"/>
  <c r="AM13763" i="26"/>
  <c r="AM13762" i="26"/>
  <c r="AM13761" i="26"/>
  <c r="AM13760" i="26"/>
  <c r="AM13759" i="26"/>
  <c r="AM13758" i="26"/>
  <c r="AM13757" i="26"/>
  <c r="AM13756" i="26"/>
  <c r="AM13755" i="26"/>
  <c r="AM13754" i="26"/>
  <c r="AM13753" i="26"/>
  <c r="AM13752" i="26"/>
  <c r="AM13751" i="26"/>
  <c r="AM13750" i="26"/>
  <c r="AM13749" i="26"/>
  <c r="AM13748" i="26"/>
  <c r="AM13747" i="26"/>
  <c r="AM13746" i="26"/>
  <c r="AM13745" i="26"/>
  <c r="AM13744" i="26"/>
  <c r="AM13743" i="26"/>
  <c r="AM13742" i="26"/>
  <c r="AM13741" i="26"/>
  <c r="AM13740" i="26"/>
  <c r="AM13739" i="26"/>
  <c r="AM13738" i="26"/>
  <c r="AM13737" i="26"/>
  <c r="AM13736" i="26"/>
  <c r="AM13735" i="26"/>
  <c r="AM13734" i="26"/>
  <c r="AM13733" i="26"/>
  <c r="AM13732" i="26"/>
  <c r="AM13731" i="26"/>
  <c r="AM13730" i="26"/>
  <c r="AM13729" i="26"/>
  <c r="AM13728" i="26"/>
  <c r="AM13727" i="26"/>
  <c r="AM13726" i="26"/>
  <c r="AM13725" i="26"/>
  <c r="AM13724" i="26"/>
  <c r="AM13723" i="26"/>
  <c r="AM13722" i="26"/>
  <c r="AM13721" i="26"/>
  <c r="AM13720" i="26"/>
  <c r="AM13719" i="26"/>
  <c r="AM13718" i="26"/>
  <c r="AM13717" i="26"/>
  <c r="AM13716" i="26"/>
  <c r="AM13715" i="26"/>
  <c r="AM13714" i="26"/>
  <c r="AM13713" i="26"/>
  <c r="AM13712" i="26"/>
  <c r="AM13711" i="26"/>
  <c r="AM13710" i="26"/>
  <c r="AM13709" i="26"/>
  <c r="AM13708" i="26"/>
  <c r="AM13707" i="26"/>
  <c r="AM13706" i="26"/>
  <c r="AM13705" i="26"/>
  <c r="AM13704" i="26"/>
  <c r="AM13703" i="26"/>
  <c r="AM13702" i="26"/>
  <c r="AM13701" i="26"/>
  <c r="AM13700" i="26"/>
  <c r="AM13699" i="26"/>
  <c r="AM13698" i="26"/>
  <c r="AM13697" i="26"/>
  <c r="AM13696" i="26"/>
  <c r="AM13695" i="26"/>
  <c r="AM13694" i="26"/>
  <c r="AM13693" i="26"/>
  <c r="AM13692" i="26"/>
  <c r="AM13691" i="26"/>
  <c r="AM13690" i="26"/>
  <c r="AM13689" i="26"/>
  <c r="AM13688" i="26"/>
  <c r="AM13687" i="26"/>
  <c r="AM13686" i="26"/>
  <c r="AM13685" i="26"/>
  <c r="AM13684" i="26"/>
  <c r="AM13683" i="26"/>
  <c r="AM13682" i="26"/>
  <c r="AM13681" i="26"/>
  <c r="AM13680" i="26"/>
  <c r="AM13679" i="26"/>
  <c r="AM13678" i="26"/>
  <c r="AM13677" i="26"/>
  <c r="AM13676" i="26"/>
  <c r="AM13675" i="26"/>
  <c r="AM13674" i="26"/>
  <c r="AM13673" i="26"/>
  <c r="AM13672" i="26"/>
  <c r="AM13671" i="26"/>
  <c r="AM13670" i="26"/>
  <c r="AM13669" i="26"/>
  <c r="AM13668" i="26"/>
  <c r="AM13667" i="26"/>
  <c r="AM13666" i="26"/>
  <c r="AM13665" i="26"/>
  <c r="AM13664" i="26"/>
  <c r="AM13663" i="26"/>
  <c r="AM13662" i="26"/>
  <c r="AM13661" i="26"/>
  <c r="AM13660" i="26"/>
  <c r="AM13659" i="26"/>
  <c r="AM13658" i="26"/>
  <c r="AM13657" i="26"/>
  <c r="AM13656" i="26"/>
  <c r="AM13655" i="26"/>
  <c r="AM13654" i="26"/>
  <c r="AM13653" i="26"/>
  <c r="AM13652" i="26"/>
  <c r="AM13651" i="26"/>
  <c r="AM13650" i="26"/>
  <c r="AM13649" i="26"/>
  <c r="AM13648" i="26"/>
  <c r="AM13647" i="26"/>
  <c r="AM13646" i="26"/>
  <c r="AM13645" i="26"/>
  <c r="AM13644" i="26"/>
  <c r="AM13643" i="26"/>
  <c r="AM13642" i="26"/>
  <c r="AM13641" i="26"/>
  <c r="AM13640" i="26"/>
  <c r="AM13639" i="26"/>
  <c r="AM13638" i="26"/>
  <c r="AM13637" i="26"/>
  <c r="AM13636" i="26"/>
  <c r="AM13635" i="26"/>
  <c r="AM13634" i="26"/>
  <c r="AM13633" i="26"/>
  <c r="AM13632" i="26"/>
  <c r="AM13631" i="26"/>
  <c r="AM13630" i="26"/>
  <c r="AM13629" i="26"/>
  <c r="AM13628" i="26"/>
  <c r="AM13627" i="26"/>
  <c r="AM13626" i="26"/>
  <c r="AM13625" i="26"/>
  <c r="AM13624" i="26"/>
  <c r="AM13623" i="26"/>
  <c r="AM13622" i="26"/>
  <c r="AM13621" i="26"/>
  <c r="AM13620" i="26"/>
  <c r="AM13619" i="26"/>
  <c r="AM13618" i="26"/>
  <c r="AM13617" i="26"/>
  <c r="AM13616" i="26"/>
  <c r="AM13615" i="26"/>
  <c r="AM13614" i="26"/>
  <c r="AM13613" i="26"/>
  <c r="AM13612" i="26"/>
  <c r="AM13611" i="26"/>
  <c r="AM13610" i="26"/>
  <c r="AM13609" i="26"/>
  <c r="AM13608" i="26"/>
  <c r="AM13607" i="26"/>
  <c r="AM13606" i="26"/>
  <c r="AM13605" i="26"/>
  <c r="AM13604" i="26"/>
  <c r="AM13603" i="26"/>
  <c r="AM13602" i="26"/>
  <c r="AM13601" i="26"/>
  <c r="AM13600" i="26"/>
  <c r="AM13599" i="26"/>
  <c r="AM13598" i="26"/>
  <c r="AM13597" i="26"/>
  <c r="AM13596" i="26"/>
  <c r="AM13595" i="26"/>
  <c r="AM13594" i="26"/>
  <c r="AM13593" i="26"/>
  <c r="AM13592" i="26"/>
  <c r="AM13591" i="26"/>
  <c r="AM13590" i="26"/>
  <c r="AM13589" i="26"/>
  <c r="AM13588" i="26"/>
  <c r="AM13587" i="26"/>
  <c r="AM13586" i="26"/>
  <c r="AM13585" i="26"/>
  <c r="AM13584" i="26"/>
  <c r="AM13583" i="26"/>
  <c r="AM13582" i="26"/>
  <c r="AM13581" i="26"/>
  <c r="AM13580" i="26"/>
  <c r="AM13579" i="26"/>
  <c r="AM13578" i="26"/>
  <c r="AM13577" i="26"/>
  <c r="AM13576" i="26"/>
  <c r="AM13575" i="26"/>
  <c r="AM13574" i="26"/>
  <c r="AM13573" i="26"/>
  <c r="AM13572" i="26"/>
  <c r="AM13571" i="26"/>
  <c r="AM13570" i="26"/>
  <c r="AM13569" i="26"/>
  <c r="AM13568" i="26"/>
  <c r="AM13567" i="26"/>
  <c r="AM13566" i="26"/>
  <c r="AM13565" i="26"/>
  <c r="AM13564" i="26"/>
  <c r="AM13563" i="26"/>
  <c r="AM13562" i="26"/>
  <c r="AM13561" i="26"/>
  <c r="AM13560" i="26"/>
  <c r="AM13559" i="26"/>
  <c r="AM13558" i="26"/>
  <c r="AM13557" i="26"/>
  <c r="AM13556" i="26"/>
  <c r="AM13555" i="26"/>
  <c r="AM13554" i="26"/>
  <c r="AM13553" i="26"/>
  <c r="AM13552" i="26"/>
  <c r="AM13551" i="26"/>
  <c r="AM13550" i="26"/>
  <c r="AM13549" i="26"/>
  <c r="AM13548" i="26"/>
  <c r="AM13547" i="26"/>
  <c r="AM13546" i="26"/>
  <c r="AM13545" i="26"/>
  <c r="AM13544" i="26"/>
  <c r="AM13543" i="26"/>
  <c r="AM13542" i="26"/>
  <c r="AM13541" i="26"/>
  <c r="AM13540" i="26"/>
  <c r="AM13539" i="26"/>
  <c r="AM13538" i="26"/>
  <c r="AM13537" i="26"/>
  <c r="AM13536" i="26"/>
  <c r="AM13535" i="26"/>
  <c r="AM13534" i="26"/>
  <c r="AM13533" i="26"/>
  <c r="AM13532" i="26"/>
  <c r="AM13531" i="26"/>
  <c r="AM13530" i="26"/>
  <c r="AM13529" i="26"/>
  <c r="AM13528" i="26"/>
  <c r="AM13527" i="26"/>
  <c r="AM13526" i="26"/>
  <c r="AM13525" i="26"/>
  <c r="AM13524" i="26"/>
  <c r="AM13523" i="26"/>
  <c r="AM13522" i="26"/>
  <c r="AM13521" i="26"/>
  <c r="AM13520" i="26"/>
  <c r="AM13519" i="26"/>
  <c r="AM13518" i="26"/>
  <c r="AM13517" i="26"/>
  <c r="AM13516" i="26"/>
  <c r="AM13515" i="26"/>
  <c r="AM13514" i="26"/>
  <c r="AM13513" i="26"/>
  <c r="AM13512" i="26"/>
  <c r="AM13511" i="26"/>
  <c r="AM13510" i="26"/>
  <c r="AM13509" i="26"/>
  <c r="AM13508" i="26"/>
  <c r="AM13507" i="26"/>
  <c r="AM13506" i="26"/>
  <c r="AM13505" i="26"/>
  <c r="AM13504" i="26"/>
  <c r="AM13503" i="26"/>
  <c r="AM13502" i="26"/>
  <c r="AM13501" i="26"/>
  <c r="AM13500" i="26"/>
  <c r="AM13499" i="26"/>
  <c r="AM13498" i="26"/>
  <c r="AM13497" i="26"/>
  <c r="AM13496" i="26"/>
  <c r="AM13495" i="26"/>
  <c r="AM13494" i="26"/>
  <c r="AM13493" i="26"/>
  <c r="AM13492" i="26"/>
  <c r="AM13491" i="26"/>
  <c r="AM13490" i="26"/>
  <c r="AM13489" i="26"/>
  <c r="AM13488" i="26"/>
  <c r="AM13487" i="26"/>
  <c r="AM13486" i="26"/>
  <c r="AM13485" i="26"/>
  <c r="AM13484" i="26"/>
  <c r="AM13483" i="26"/>
  <c r="AM13482" i="26"/>
  <c r="AM13481" i="26"/>
  <c r="AM13480" i="26"/>
  <c r="AM13479" i="26"/>
  <c r="AM13478" i="26"/>
  <c r="AM13477" i="26"/>
  <c r="AM13476" i="26"/>
  <c r="AM13475" i="26"/>
  <c r="AM13474" i="26"/>
  <c r="AM13473" i="26"/>
  <c r="AM13472" i="26"/>
  <c r="AM13471" i="26"/>
  <c r="AM13470" i="26"/>
  <c r="AM13469" i="26"/>
  <c r="AM13468" i="26"/>
  <c r="AM13467" i="26"/>
  <c r="AM13466" i="26"/>
  <c r="AM13465" i="26"/>
  <c r="AM13464" i="26"/>
  <c r="AM13463" i="26"/>
  <c r="AM13462" i="26"/>
  <c r="AM13461" i="26"/>
  <c r="AM13460" i="26"/>
  <c r="AM13459" i="26"/>
  <c r="AM13458" i="26"/>
  <c r="AM13457" i="26"/>
  <c r="AM13456" i="26"/>
  <c r="AM13455" i="26"/>
  <c r="AM13454" i="26"/>
  <c r="AM13453" i="26"/>
  <c r="AM13452" i="26"/>
  <c r="AM13451" i="26"/>
  <c r="AM13450" i="26"/>
  <c r="AM13449" i="26"/>
  <c r="AM13448" i="26"/>
  <c r="AM13447" i="26"/>
  <c r="AM13446" i="26"/>
  <c r="AM13445" i="26"/>
  <c r="AM13444" i="26"/>
  <c r="AM13443" i="26"/>
  <c r="AM13442" i="26"/>
  <c r="AM13441" i="26"/>
  <c r="AM13440" i="26"/>
  <c r="AM13439" i="26"/>
  <c r="AM13438" i="26"/>
  <c r="AM13437" i="26"/>
  <c r="AM13436" i="26"/>
  <c r="AM13435" i="26"/>
  <c r="AM13434" i="26"/>
  <c r="AM13433" i="26"/>
  <c r="AM13432" i="26"/>
  <c r="AM13431" i="26"/>
  <c r="AM13430" i="26"/>
  <c r="AM13429" i="26"/>
  <c r="AM13428" i="26"/>
  <c r="AM13427" i="26"/>
  <c r="AM13426" i="26"/>
  <c r="AM13425" i="26"/>
  <c r="AM13424" i="26"/>
  <c r="AM13423" i="26"/>
  <c r="AM13422" i="26"/>
  <c r="AM13421" i="26"/>
  <c r="AM13420" i="26"/>
  <c r="AM13419" i="26"/>
  <c r="AM13418" i="26"/>
  <c r="AM13417" i="26"/>
  <c r="AM13416" i="26"/>
  <c r="AM13415" i="26"/>
  <c r="AM13414" i="26"/>
  <c r="AM13413" i="26"/>
  <c r="AM13412" i="26"/>
  <c r="AM13411" i="26"/>
  <c r="AM13410" i="26"/>
  <c r="AM13409" i="26"/>
  <c r="AM13408" i="26"/>
  <c r="AM13407" i="26"/>
  <c r="AM13406" i="26"/>
  <c r="AM13405" i="26"/>
  <c r="AM13404" i="26"/>
  <c r="AM13403" i="26"/>
  <c r="AM13402" i="26"/>
  <c r="AM13401" i="26"/>
  <c r="AM13400" i="26"/>
  <c r="AM13399" i="26"/>
  <c r="AM13398" i="26"/>
  <c r="AM13397" i="26"/>
  <c r="AM13396" i="26"/>
  <c r="AM13395" i="26"/>
  <c r="AM13394" i="26"/>
  <c r="AM13393" i="26"/>
  <c r="AM13392" i="26"/>
  <c r="AM13391" i="26"/>
  <c r="AM13390" i="26"/>
  <c r="AM13389" i="26"/>
  <c r="AM13388" i="26"/>
  <c r="AM13387" i="26"/>
  <c r="AM13386" i="26"/>
  <c r="AM13385" i="26"/>
  <c r="AM13384" i="26"/>
  <c r="AM13383" i="26"/>
  <c r="AM13382" i="26"/>
  <c r="AM13381" i="26"/>
  <c r="AM13380" i="26"/>
  <c r="AM13379" i="26"/>
  <c r="AM13378" i="26"/>
  <c r="AM13377" i="26"/>
  <c r="AM13376" i="26"/>
  <c r="AM13375" i="26"/>
  <c r="AM13374" i="26"/>
  <c r="AM13373" i="26"/>
  <c r="AM13372" i="26"/>
  <c r="AM13371" i="26"/>
  <c r="AM13370" i="26"/>
  <c r="AM13369" i="26"/>
  <c r="AM13368" i="26"/>
  <c r="AM13367" i="26"/>
  <c r="AM13366" i="26"/>
  <c r="AM13365" i="26"/>
  <c r="AM13364" i="26"/>
  <c r="AM13363" i="26"/>
  <c r="AM13362" i="26"/>
  <c r="AM13361" i="26"/>
  <c r="AM13360" i="26"/>
  <c r="AM13359" i="26"/>
  <c r="AM13358" i="26"/>
  <c r="AM13357" i="26"/>
  <c r="AM13356" i="26"/>
  <c r="AM13355" i="26"/>
  <c r="AM13354" i="26"/>
  <c r="AM13353" i="26"/>
  <c r="AM13352" i="26"/>
  <c r="AM13351" i="26"/>
  <c r="AM13350" i="26"/>
  <c r="AM13349" i="26"/>
  <c r="AM13348" i="26"/>
  <c r="AM13347" i="26"/>
  <c r="AM13346" i="26"/>
  <c r="AM13345" i="26"/>
  <c r="AM13344" i="26"/>
  <c r="AM13343" i="26"/>
  <c r="AM13342" i="26"/>
  <c r="AM13341" i="26"/>
  <c r="AM13340" i="26"/>
  <c r="AM13339" i="26"/>
  <c r="AM13338" i="26"/>
  <c r="AM13337" i="26"/>
  <c r="AM13336" i="26"/>
  <c r="AM13335" i="26"/>
  <c r="AM13334" i="26"/>
  <c r="AM13333" i="26"/>
  <c r="AM13332" i="26"/>
  <c r="AM13331" i="26"/>
  <c r="AM13330" i="26"/>
  <c r="AM13329" i="26"/>
  <c r="AM13328" i="26"/>
  <c r="AM13327" i="26"/>
  <c r="AM13326" i="26"/>
  <c r="AM13325" i="26"/>
  <c r="AM13324" i="26"/>
  <c r="AM13323" i="26"/>
  <c r="AM13322" i="26"/>
  <c r="AM13321" i="26"/>
  <c r="AM13320" i="26"/>
  <c r="AM13319" i="26"/>
  <c r="AM13318" i="26"/>
  <c r="AM13317" i="26"/>
  <c r="AM13316" i="26"/>
  <c r="AM13315" i="26"/>
  <c r="AM13314" i="26"/>
  <c r="AM13313" i="26"/>
  <c r="AM13312" i="26"/>
  <c r="AM13311" i="26"/>
  <c r="AM13310" i="26"/>
  <c r="AM13309" i="26"/>
  <c r="AM13308" i="26"/>
  <c r="AM13307" i="26"/>
  <c r="AM13306" i="26"/>
  <c r="AM13305" i="26"/>
  <c r="AM13304" i="26"/>
  <c r="AM13303" i="26"/>
  <c r="AM13302" i="26"/>
  <c r="AM13301" i="26"/>
  <c r="AM13300" i="26"/>
  <c r="AM13299" i="26"/>
  <c r="AM13298" i="26"/>
  <c r="AM13297" i="26"/>
  <c r="AM13296" i="26"/>
  <c r="AM13295" i="26"/>
  <c r="AM13294" i="26"/>
  <c r="AM13293" i="26"/>
  <c r="AM13292" i="26"/>
  <c r="AM13291" i="26"/>
  <c r="AM13290" i="26"/>
  <c r="AM13289" i="26"/>
  <c r="AM13288" i="26"/>
  <c r="AM13287" i="26"/>
  <c r="AM13286" i="26"/>
  <c r="AM13285" i="26"/>
  <c r="AM13284" i="26"/>
  <c r="AM13283" i="26"/>
  <c r="AM13282" i="26"/>
  <c r="AM13281" i="26"/>
  <c r="AM13280" i="26"/>
  <c r="AM13279" i="26"/>
  <c r="AM13278" i="26"/>
  <c r="AM13277" i="26"/>
  <c r="AM13276" i="26"/>
  <c r="AM13275" i="26"/>
  <c r="AM13274" i="26"/>
  <c r="AM13273" i="26"/>
  <c r="AM13272" i="26"/>
  <c r="AM13271" i="26"/>
  <c r="AM13270" i="26"/>
  <c r="AM13269" i="26"/>
  <c r="AM13268" i="26"/>
  <c r="AM13267" i="26"/>
  <c r="AM13266" i="26"/>
  <c r="AM13265" i="26"/>
  <c r="AM13264" i="26"/>
  <c r="AM13263" i="26"/>
  <c r="AM13262" i="26"/>
  <c r="AM13261" i="26"/>
  <c r="AM13260" i="26"/>
  <c r="AM13259" i="26"/>
  <c r="AM13258" i="26"/>
  <c r="AM13257" i="26"/>
  <c r="AM13256" i="26"/>
  <c r="AM13255" i="26"/>
  <c r="AM13254" i="26"/>
  <c r="AM13253" i="26"/>
  <c r="AM13252" i="26"/>
  <c r="AM13251" i="26"/>
  <c r="AM13250" i="26"/>
  <c r="AM13249" i="26"/>
  <c r="AM13248" i="26"/>
  <c r="AM13247" i="26"/>
  <c r="AM13246" i="26"/>
  <c r="AM13245" i="26"/>
  <c r="AM13244" i="26"/>
  <c r="AM13243" i="26"/>
  <c r="AM13242" i="26"/>
  <c r="AM13241" i="26"/>
  <c r="AM13240" i="26"/>
  <c r="AM13239" i="26"/>
  <c r="AM13238" i="26"/>
  <c r="AM13237" i="26"/>
  <c r="AM13236" i="26"/>
  <c r="AM13235" i="26"/>
  <c r="AM13234" i="26"/>
  <c r="AM13233" i="26"/>
  <c r="AM13232" i="26"/>
  <c r="AM13231" i="26"/>
  <c r="AM13230" i="26"/>
  <c r="AM13229" i="26"/>
  <c r="AM13228" i="26"/>
  <c r="AM13227" i="26"/>
  <c r="AM13226" i="26"/>
  <c r="AM13225" i="26"/>
  <c r="AM13224" i="26"/>
  <c r="AM13223" i="26"/>
  <c r="AM13222" i="26"/>
  <c r="AM13221" i="26"/>
  <c r="AM13220" i="26"/>
  <c r="AM13219" i="26"/>
  <c r="AM13218" i="26"/>
  <c r="AM13217" i="26"/>
  <c r="AM13216" i="26"/>
  <c r="AM13215" i="26"/>
  <c r="AM13214" i="26"/>
  <c r="AM13213" i="26"/>
  <c r="AM13212" i="26"/>
  <c r="AM13211" i="26"/>
  <c r="AM13210" i="26"/>
  <c r="AM13209" i="26"/>
  <c r="AM13208" i="26"/>
  <c r="AM13207" i="26"/>
  <c r="AM13206" i="26"/>
  <c r="AM13205" i="26"/>
  <c r="AM13204" i="26"/>
  <c r="AM13203" i="26"/>
  <c r="AM13202" i="26"/>
  <c r="AM13201" i="26"/>
  <c r="AM13200" i="26"/>
  <c r="AM13199" i="26"/>
  <c r="AM13198" i="26"/>
  <c r="AM13197" i="26"/>
  <c r="AM13196" i="26"/>
  <c r="AM13195" i="26"/>
  <c r="AM13194" i="26"/>
  <c r="AM13193" i="26"/>
  <c r="AM13192" i="26"/>
  <c r="AM13191" i="26"/>
  <c r="AM13190" i="26"/>
  <c r="AM13189" i="26"/>
  <c r="AM13188" i="26"/>
  <c r="AM13187" i="26"/>
  <c r="AM13186" i="26"/>
  <c r="AM13185" i="26"/>
  <c r="AM13184" i="26"/>
  <c r="AM13183" i="26"/>
  <c r="AM13182" i="26"/>
  <c r="AM13181" i="26"/>
  <c r="AM13180" i="26"/>
  <c r="AM13179" i="26"/>
  <c r="AM13178" i="26"/>
  <c r="AM13177" i="26"/>
  <c r="AM13176" i="26"/>
  <c r="AM13175" i="26"/>
  <c r="AM13174" i="26"/>
  <c r="AM13173" i="26"/>
  <c r="AM13172" i="26"/>
  <c r="AM13171" i="26"/>
  <c r="AM13170" i="26"/>
  <c r="AM13169" i="26"/>
  <c r="AM13168" i="26"/>
  <c r="AM13167" i="26"/>
  <c r="AM13166" i="26"/>
  <c r="AM13165" i="26"/>
  <c r="AM13164" i="26"/>
  <c r="AM13163" i="26"/>
  <c r="AM13162" i="26"/>
  <c r="AM13161" i="26"/>
  <c r="AM13160" i="26"/>
  <c r="AM13159" i="26"/>
  <c r="AM13158" i="26"/>
  <c r="AM13157" i="26"/>
  <c r="AM13156" i="26"/>
  <c r="AM13155" i="26"/>
  <c r="AM13154" i="26"/>
  <c r="AM13153" i="26"/>
  <c r="AM13152" i="26"/>
  <c r="AM13151" i="26"/>
  <c r="AM13150" i="26"/>
  <c r="AM13149" i="26"/>
  <c r="AM13148" i="26"/>
  <c r="AM13147" i="26"/>
  <c r="AM13146" i="26"/>
  <c r="AM13145" i="26"/>
  <c r="AM13144" i="26"/>
  <c r="AM13143" i="26"/>
  <c r="AM13142" i="26"/>
  <c r="AM13141" i="26"/>
  <c r="AM13140" i="26"/>
  <c r="AM13139" i="26"/>
  <c r="AM13138" i="26"/>
  <c r="AM13137" i="26"/>
  <c r="AM13136" i="26"/>
  <c r="AM13135" i="26"/>
  <c r="AM13134" i="26"/>
  <c r="AM13133" i="26"/>
  <c r="AM13132" i="26"/>
  <c r="AM13131" i="26"/>
  <c r="AM13130" i="26"/>
  <c r="AM13129" i="26"/>
  <c r="AM13128" i="26"/>
  <c r="AM13127" i="26"/>
  <c r="AM13126" i="26"/>
  <c r="AM13125" i="26"/>
  <c r="AM13124" i="26"/>
  <c r="AM13123" i="26"/>
  <c r="AM13122" i="26"/>
  <c r="AM13121" i="26"/>
  <c r="AM13120" i="26"/>
  <c r="AM13119" i="26"/>
  <c r="AM13118" i="26"/>
  <c r="AM13117" i="26"/>
  <c r="AM13116" i="26"/>
  <c r="AM13115" i="26"/>
  <c r="AM13114" i="26"/>
  <c r="AM13113" i="26"/>
  <c r="AM13112" i="26"/>
  <c r="AM13111" i="26"/>
  <c r="AM13110" i="26"/>
  <c r="AM13109" i="26"/>
  <c r="AM13108" i="26"/>
  <c r="AM13107" i="26"/>
  <c r="AM13106" i="26"/>
  <c r="AM13105" i="26"/>
  <c r="AM13104" i="26"/>
  <c r="AM13103" i="26"/>
  <c r="AM13102" i="26"/>
  <c r="AM13101" i="26"/>
  <c r="AM13100" i="26"/>
  <c r="AM13099" i="26"/>
  <c r="AM13098" i="26"/>
  <c r="AM13097" i="26"/>
  <c r="AM13096" i="26"/>
  <c r="AM13095" i="26"/>
  <c r="AM13094" i="26"/>
  <c r="AM13093" i="26"/>
  <c r="AM13092" i="26"/>
  <c r="AM13091" i="26"/>
  <c r="AM13090" i="26"/>
  <c r="AM13089" i="26"/>
  <c r="AM13088" i="26"/>
  <c r="AM13087" i="26"/>
  <c r="AM13086" i="26"/>
  <c r="AM13085" i="26"/>
  <c r="AM13084" i="26"/>
  <c r="AM13083" i="26"/>
  <c r="AM13082" i="26"/>
  <c r="AM13081" i="26"/>
  <c r="AM13080" i="26"/>
  <c r="AM13079" i="26"/>
  <c r="AM13078" i="26"/>
  <c r="AM13077" i="26"/>
  <c r="AM13076" i="26"/>
  <c r="AM13075" i="26"/>
  <c r="AM13074" i="26"/>
  <c r="AM13073" i="26"/>
  <c r="AM13072" i="26"/>
  <c r="AM13071" i="26"/>
  <c r="AM13070" i="26"/>
  <c r="AM13069" i="26"/>
  <c r="AM13068" i="26"/>
  <c r="AM13067" i="26"/>
  <c r="AM13066" i="26"/>
  <c r="AM13065" i="26"/>
  <c r="AM13064" i="26"/>
  <c r="AM13063" i="26"/>
  <c r="AM13062" i="26"/>
  <c r="AM13061" i="26"/>
  <c r="AM13060" i="26"/>
  <c r="AM13059" i="26"/>
  <c r="AM13058" i="26"/>
  <c r="AM13057" i="26"/>
  <c r="AM13056" i="26"/>
  <c r="AM13055" i="26"/>
  <c r="AM13054" i="26"/>
  <c r="AM13053" i="26"/>
  <c r="AM13052" i="26"/>
  <c r="AM13051" i="26"/>
  <c r="AM13050" i="26"/>
  <c r="AM13049" i="26"/>
  <c r="AM13048" i="26"/>
  <c r="AM13047" i="26"/>
  <c r="AM13046" i="26"/>
  <c r="AM13045" i="26"/>
  <c r="AM13044" i="26"/>
  <c r="AM13043" i="26"/>
  <c r="AM13042" i="26"/>
  <c r="AM13041" i="26"/>
  <c r="AM13040" i="26"/>
  <c r="AM13039" i="26"/>
  <c r="AM13038" i="26"/>
  <c r="AM13037" i="26"/>
  <c r="AM13036" i="26"/>
  <c r="AM13035" i="26"/>
  <c r="AM13034" i="26"/>
  <c r="AM13033" i="26"/>
  <c r="AM13032" i="26"/>
  <c r="AM13031" i="26"/>
  <c r="AM13030" i="26"/>
  <c r="AM13029" i="26"/>
  <c r="AM13028" i="26"/>
  <c r="AM13027" i="26"/>
  <c r="AM13026" i="26"/>
  <c r="AM13025" i="26"/>
  <c r="AM13024" i="26"/>
  <c r="AM13023" i="26"/>
  <c r="AM13022" i="26"/>
  <c r="AM13021" i="26"/>
  <c r="AM13020" i="26"/>
  <c r="AM13019" i="26"/>
  <c r="AM13018" i="26"/>
  <c r="AM13017" i="26"/>
  <c r="AM13016" i="26"/>
  <c r="AM13015" i="26"/>
  <c r="AM13014" i="26"/>
  <c r="AM13013" i="26"/>
  <c r="AM13012" i="26"/>
  <c r="AM13011" i="26"/>
  <c r="AM13010" i="26"/>
  <c r="AM13009" i="26"/>
  <c r="AM13008" i="26"/>
  <c r="AM13007" i="26"/>
  <c r="AM13006" i="26"/>
  <c r="AM13005" i="26"/>
  <c r="AM13004" i="26"/>
  <c r="AM13003" i="26"/>
  <c r="AM13002" i="26"/>
  <c r="AM13001" i="26"/>
  <c r="AM13000" i="26"/>
  <c r="AM12999" i="26"/>
  <c r="AM12998" i="26"/>
  <c r="AM12997" i="26"/>
  <c r="AM12996" i="26"/>
  <c r="AM12995" i="26"/>
  <c r="AM12994" i="26"/>
  <c r="AM12993" i="26"/>
  <c r="AM12992" i="26"/>
  <c r="AM12991" i="26"/>
  <c r="AM12990" i="26"/>
  <c r="AM12989" i="26"/>
  <c r="AM12988" i="26"/>
  <c r="AM12987" i="26"/>
  <c r="AM12986" i="26"/>
  <c r="AM12985" i="26"/>
  <c r="AM12984" i="26"/>
  <c r="AM12983" i="26"/>
  <c r="AM12982" i="26"/>
  <c r="AM12981" i="26"/>
  <c r="AM12980" i="26"/>
  <c r="AM12979" i="26"/>
  <c r="AM12978" i="26"/>
  <c r="AM12977" i="26"/>
  <c r="AM12976" i="26"/>
  <c r="AM12975" i="26"/>
  <c r="AM12974" i="26"/>
  <c r="AM12973" i="26"/>
  <c r="AM12972" i="26"/>
  <c r="AM12971" i="26"/>
  <c r="AM12970" i="26"/>
  <c r="AM12969" i="26"/>
  <c r="AM12968" i="26"/>
  <c r="AM12967" i="26"/>
  <c r="AM12966" i="26"/>
  <c r="AM12965" i="26"/>
  <c r="AM12964" i="26"/>
  <c r="AM12963" i="26"/>
  <c r="AM12962" i="26"/>
  <c r="AM12961" i="26"/>
  <c r="AM12960" i="26"/>
  <c r="AM12959" i="26"/>
  <c r="AM12958" i="26"/>
  <c r="AM12957" i="26"/>
  <c r="AM12956" i="26"/>
  <c r="AM12955" i="26"/>
  <c r="AM12954" i="26"/>
  <c r="AM12953" i="26"/>
  <c r="AM12952" i="26"/>
  <c r="AM12951" i="26"/>
  <c r="AM12950" i="26"/>
  <c r="AM12949" i="26"/>
  <c r="AM12948" i="26"/>
  <c r="AM12947" i="26"/>
  <c r="AM12946" i="26"/>
  <c r="AM12945" i="26"/>
  <c r="AM12944" i="26"/>
  <c r="AM12943" i="26"/>
  <c r="AM12942" i="26"/>
  <c r="AM12941" i="26"/>
  <c r="AM12940" i="26"/>
  <c r="AM12939" i="26"/>
  <c r="AM12938" i="26"/>
  <c r="AM12937" i="26"/>
  <c r="AM12936" i="26"/>
  <c r="AM12935" i="26"/>
  <c r="AM12934" i="26"/>
  <c r="AM12933" i="26"/>
  <c r="AM12932" i="26"/>
  <c r="AM12931" i="26"/>
  <c r="AM12930" i="26"/>
  <c r="AM12929" i="26"/>
  <c r="AM12928" i="26"/>
  <c r="AM12927" i="26"/>
  <c r="AM12926" i="26"/>
  <c r="AM12925" i="26"/>
  <c r="AM12924" i="26"/>
  <c r="AM12923" i="26"/>
  <c r="AM12922" i="26"/>
  <c r="AM12921" i="26"/>
  <c r="AM12920" i="26"/>
  <c r="AM12919" i="26"/>
  <c r="AM12918" i="26"/>
  <c r="AM12917" i="26"/>
  <c r="AM12916" i="26"/>
  <c r="AM12915" i="26"/>
  <c r="AM12914" i="26"/>
  <c r="AM12913" i="26"/>
  <c r="AM12912" i="26"/>
  <c r="AM12911" i="26"/>
  <c r="AM12910" i="26"/>
  <c r="AM12909" i="26"/>
  <c r="AM12908" i="26"/>
  <c r="AM12907" i="26"/>
  <c r="AM12906" i="26"/>
  <c r="AM12905" i="26"/>
  <c r="AM12904" i="26"/>
  <c r="AM12903" i="26"/>
  <c r="AM12902" i="26"/>
  <c r="AM12901" i="26"/>
  <c r="AM12900" i="26"/>
  <c r="AM12899" i="26"/>
  <c r="AM12898" i="26"/>
  <c r="AM12897" i="26"/>
  <c r="AM12896" i="26"/>
  <c r="AM12895" i="26"/>
  <c r="AM12894" i="26"/>
  <c r="AM12893" i="26"/>
  <c r="AM12892" i="26"/>
  <c r="AM12891" i="26"/>
  <c r="AM12890" i="26"/>
  <c r="AM12889" i="26"/>
  <c r="AM12888" i="26"/>
  <c r="AM12887" i="26"/>
  <c r="AM12886" i="26"/>
  <c r="AM12885" i="26"/>
  <c r="AM12884" i="26"/>
  <c r="AM12883" i="26"/>
  <c r="AM12882" i="26"/>
  <c r="AM12881" i="26"/>
  <c r="AM12880" i="26"/>
  <c r="AM12879" i="26"/>
  <c r="AM12878" i="26"/>
  <c r="AM12877" i="26"/>
  <c r="AM12876" i="26"/>
  <c r="AM12875" i="26"/>
  <c r="AM12874" i="26"/>
  <c r="AM12873" i="26"/>
  <c r="AM12872" i="26"/>
  <c r="AM12871" i="26"/>
  <c r="AM12870" i="26"/>
  <c r="AM12869" i="26"/>
  <c r="AM12868" i="26"/>
  <c r="AM12867" i="26"/>
  <c r="AM12866" i="26"/>
  <c r="AM12865" i="26"/>
  <c r="AM12864" i="26"/>
  <c r="AM12863" i="26"/>
  <c r="AM12862" i="26"/>
  <c r="AM12861" i="26"/>
  <c r="AM12860" i="26"/>
  <c r="AM12859" i="26"/>
  <c r="AM12858" i="26"/>
  <c r="AM12857" i="26"/>
  <c r="AM12856" i="26"/>
  <c r="AM12855" i="26"/>
  <c r="AM12854" i="26"/>
  <c r="AM12853" i="26"/>
  <c r="AM12852" i="26"/>
  <c r="AM12851" i="26"/>
  <c r="AM12850" i="26"/>
  <c r="AM12849" i="26"/>
  <c r="AM12848" i="26"/>
  <c r="AM12847" i="26"/>
  <c r="AM12846" i="26"/>
  <c r="AM12845" i="26"/>
  <c r="AM12844" i="26"/>
  <c r="AM12843" i="26"/>
  <c r="AM12842" i="26"/>
  <c r="AM12841" i="26"/>
  <c r="AM12840" i="26"/>
  <c r="AM12839" i="26"/>
  <c r="AM12838" i="26"/>
  <c r="AM12837" i="26"/>
  <c r="AM12836" i="26"/>
  <c r="AM12835" i="26"/>
  <c r="AM12834" i="26"/>
  <c r="AM12833" i="26"/>
  <c r="AM12832" i="26"/>
  <c r="AM12831" i="26"/>
  <c r="AM12830" i="26"/>
  <c r="AM12829" i="26"/>
  <c r="AM12828" i="26"/>
  <c r="AM12827" i="26"/>
  <c r="AM12826" i="26"/>
  <c r="AM12825" i="26"/>
  <c r="AM12824" i="26"/>
  <c r="AM12823" i="26"/>
  <c r="AM12822" i="26"/>
  <c r="AM12821" i="26"/>
  <c r="AM12820" i="26"/>
  <c r="AM12819" i="26"/>
  <c r="AM12818" i="26"/>
  <c r="AM12817" i="26"/>
  <c r="AM12816" i="26"/>
  <c r="AM12815" i="26"/>
  <c r="AM12814" i="26"/>
  <c r="AM12813" i="26"/>
  <c r="AM12812" i="26"/>
  <c r="AM12811" i="26"/>
  <c r="AM12810" i="26"/>
  <c r="AM12809" i="26"/>
  <c r="AM12808" i="26"/>
  <c r="AM12807" i="26"/>
  <c r="AM12806" i="26"/>
  <c r="AM12805" i="26"/>
  <c r="AM12804" i="26"/>
  <c r="AM12803" i="26"/>
  <c r="AM12802" i="26"/>
  <c r="AM12801" i="26"/>
  <c r="AM12800" i="26"/>
  <c r="AM12799" i="26"/>
  <c r="AM12798" i="26"/>
  <c r="AM12797" i="26"/>
  <c r="AM12796" i="26"/>
  <c r="AM12795" i="26"/>
  <c r="AM12794" i="26"/>
  <c r="AM12793" i="26"/>
  <c r="AM12792" i="26"/>
  <c r="AM12791" i="26"/>
  <c r="AM12790" i="26"/>
  <c r="AM12789" i="26"/>
  <c r="AM12788" i="26"/>
  <c r="AM12787" i="26"/>
  <c r="AM12786" i="26"/>
  <c r="AM12785" i="26"/>
  <c r="AM12784" i="26"/>
  <c r="AM12783" i="26"/>
  <c r="AM12782" i="26"/>
  <c r="AM12781" i="26"/>
  <c r="AM12780" i="26"/>
  <c r="AM12779" i="26"/>
  <c r="AM12778" i="26"/>
  <c r="AM12777" i="26"/>
  <c r="AM12776" i="26"/>
  <c r="AM12775" i="26"/>
  <c r="AM12774" i="26"/>
  <c r="AM12773" i="26"/>
  <c r="AM12772" i="26"/>
  <c r="AM12771" i="26"/>
  <c r="AM12770" i="26"/>
  <c r="AM12769" i="26"/>
  <c r="AM12768" i="26"/>
  <c r="AM12767" i="26"/>
  <c r="AM12766" i="26"/>
  <c r="AM12765" i="26"/>
  <c r="AM12764" i="26"/>
  <c r="AM12763" i="26"/>
  <c r="AM12762" i="26"/>
  <c r="AM12761" i="26"/>
  <c r="AM12760" i="26"/>
  <c r="AM12759" i="26"/>
  <c r="AM12758" i="26"/>
  <c r="AM12757" i="26"/>
  <c r="AM12756" i="26"/>
  <c r="AM12755" i="26"/>
  <c r="AM12754" i="26"/>
  <c r="AM12753" i="26"/>
  <c r="AM12752" i="26"/>
  <c r="AM12751" i="26"/>
  <c r="AM12750" i="26"/>
  <c r="AM12749" i="26"/>
  <c r="AM12748" i="26"/>
  <c r="AM12747" i="26"/>
  <c r="AM12746" i="26"/>
  <c r="AM12745" i="26"/>
  <c r="AM12744" i="26"/>
  <c r="AM12743" i="26"/>
  <c r="AM12742" i="26"/>
  <c r="AM12741" i="26"/>
  <c r="AM12740" i="26"/>
  <c r="AM12739" i="26"/>
  <c r="AM12738" i="26"/>
  <c r="AM12737" i="26"/>
  <c r="AM12736" i="26"/>
  <c r="AM12735" i="26"/>
  <c r="AM12734" i="26"/>
  <c r="AM12733" i="26"/>
  <c r="AM12732" i="26"/>
  <c r="AM12731" i="26"/>
  <c r="AM12730" i="26"/>
  <c r="AM12729" i="26"/>
  <c r="AM12728" i="26"/>
  <c r="AM12727" i="26"/>
  <c r="AM12726" i="26"/>
  <c r="AM12725" i="26"/>
  <c r="AM12724" i="26"/>
  <c r="AM12723" i="26"/>
  <c r="AM12722" i="26"/>
  <c r="AM12721" i="26"/>
  <c r="AM12720" i="26"/>
  <c r="AM12719" i="26"/>
  <c r="AM12718" i="26"/>
  <c r="AM12717" i="26"/>
  <c r="AM12716" i="26"/>
  <c r="AM12715" i="26"/>
  <c r="AM12714" i="26"/>
  <c r="AM12713" i="26"/>
  <c r="AM12712" i="26"/>
  <c r="AM12711" i="26"/>
  <c r="AM12710" i="26"/>
  <c r="AM12709" i="26"/>
  <c r="AM12708" i="26"/>
  <c r="AM12707" i="26"/>
  <c r="AM12706" i="26"/>
  <c r="AM12705" i="26"/>
  <c r="AM12704" i="26"/>
  <c r="AM12703" i="26"/>
  <c r="AM12702" i="26"/>
  <c r="AM12701" i="26"/>
  <c r="AM12700" i="26"/>
  <c r="AM12699" i="26"/>
  <c r="AM12698" i="26"/>
  <c r="AM12697" i="26"/>
  <c r="AM12696" i="26"/>
  <c r="AM12695" i="26"/>
  <c r="AM12694" i="26"/>
  <c r="AM12693" i="26"/>
  <c r="AM12692" i="26"/>
  <c r="AM12691" i="26"/>
  <c r="AM12690" i="26"/>
  <c r="AM12689" i="26"/>
  <c r="AM12688" i="26"/>
  <c r="AM12687" i="26"/>
  <c r="AM12686" i="26"/>
  <c r="AM12685" i="26"/>
  <c r="AM12684" i="26"/>
  <c r="AM12683" i="26"/>
  <c r="AM12682" i="26"/>
  <c r="AM12681" i="26"/>
  <c r="AM12680" i="26"/>
  <c r="AM12679" i="26"/>
  <c r="AM12678" i="26"/>
  <c r="AM12677" i="26"/>
  <c r="AM12676" i="26"/>
  <c r="AM12675" i="26"/>
  <c r="AM12674" i="26"/>
  <c r="AM12673" i="26"/>
  <c r="AM12672" i="26"/>
  <c r="AM12671" i="26"/>
  <c r="AM12670" i="26"/>
  <c r="AM12669" i="26"/>
  <c r="AM12668" i="26"/>
  <c r="AM12667" i="26"/>
  <c r="AM12666" i="26"/>
  <c r="AM12665" i="26"/>
  <c r="AM12664" i="26"/>
  <c r="AM12663" i="26"/>
  <c r="AM12662" i="26"/>
  <c r="AM12661" i="26"/>
  <c r="AM12660" i="26"/>
  <c r="AM12659" i="26"/>
  <c r="AM12658" i="26"/>
  <c r="AM12657" i="26"/>
  <c r="AM12656" i="26"/>
  <c r="AM12655" i="26"/>
  <c r="AM12654" i="26"/>
  <c r="AM12653" i="26"/>
  <c r="AM12652" i="26"/>
  <c r="AM12651" i="26"/>
  <c r="AM12650" i="26"/>
  <c r="AM12649" i="26"/>
  <c r="AM12648" i="26"/>
  <c r="AM12647" i="26"/>
  <c r="AM12646" i="26"/>
  <c r="AM12645" i="26"/>
  <c r="AM12644" i="26"/>
  <c r="AM12643" i="26"/>
  <c r="AM12642" i="26"/>
  <c r="AM12641" i="26"/>
  <c r="AM12640" i="26"/>
  <c r="AM12639" i="26"/>
  <c r="AM12638" i="26"/>
  <c r="AM12637" i="26"/>
  <c r="AM12636" i="26"/>
  <c r="AM12635" i="26"/>
  <c r="AM12634" i="26"/>
  <c r="AM12633" i="26"/>
  <c r="AM12632" i="26"/>
  <c r="AM12631" i="26"/>
  <c r="AM12630" i="26"/>
  <c r="AM12629" i="26"/>
  <c r="AM12628" i="26"/>
  <c r="AM12627" i="26"/>
  <c r="AM12626" i="26"/>
  <c r="AM12625" i="26"/>
  <c r="AM12624" i="26"/>
  <c r="AM12623" i="26"/>
  <c r="AM12622" i="26"/>
  <c r="AM12621" i="26"/>
  <c r="AM12620" i="26"/>
  <c r="AM12619" i="26"/>
  <c r="AM12618" i="26"/>
  <c r="AM12617" i="26"/>
  <c r="AM12616" i="26"/>
  <c r="AM12615" i="26"/>
  <c r="AM12614" i="26"/>
  <c r="AM12613" i="26"/>
  <c r="AM12612" i="26"/>
  <c r="AM12611" i="26"/>
  <c r="AM12610" i="26"/>
  <c r="AM12609" i="26"/>
  <c r="AM12608" i="26"/>
  <c r="AM12607" i="26"/>
  <c r="AM12606" i="26"/>
  <c r="AM12605" i="26"/>
  <c r="AM12604" i="26"/>
  <c r="AM12603" i="26"/>
  <c r="AM12602" i="26"/>
  <c r="AM12601" i="26"/>
  <c r="AM12600" i="26"/>
  <c r="AM12599" i="26"/>
  <c r="AM12598" i="26"/>
  <c r="AM12597" i="26"/>
  <c r="AM12596" i="26"/>
  <c r="AM12595" i="26"/>
  <c r="AM12594" i="26"/>
  <c r="AM12593" i="26"/>
  <c r="AM12592" i="26"/>
  <c r="AM12591" i="26"/>
  <c r="AM12590" i="26"/>
  <c r="AM12589" i="26"/>
  <c r="AM12588" i="26"/>
  <c r="AM12587" i="26"/>
  <c r="AM12586" i="26"/>
  <c r="AM12585" i="26"/>
  <c r="AM12584" i="26"/>
  <c r="AM12583" i="26"/>
  <c r="AM12582" i="26"/>
  <c r="AM12581" i="26"/>
  <c r="AM12580" i="26"/>
  <c r="AM12579" i="26"/>
  <c r="AM12578" i="26"/>
  <c r="AM12577" i="26"/>
  <c r="AM12576" i="26"/>
  <c r="AM12575" i="26"/>
  <c r="AM12574" i="26"/>
  <c r="AM12573" i="26"/>
  <c r="AM12572" i="26"/>
  <c r="AM12571" i="26"/>
  <c r="AM12570" i="26"/>
  <c r="AM12569" i="26"/>
  <c r="AM12568" i="26"/>
  <c r="AM12567" i="26"/>
  <c r="AM12566" i="26"/>
  <c r="AM12565" i="26"/>
  <c r="AM12564" i="26"/>
  <c r="AM12563" i="26"/>
  <c r="AM12562" i="26"/>
  <c r="AM12561" i="26"/>
  <c r="AM12560" i="26"/>
  <c r="AM12559" i="26"/>
  <c r="AM12558" i="26"/>
  <c r="AM12557" i="26"/>
  <c r="AM12556" i="26"/>
  <c r="AM12555" i="26"/>
  <c r="AM12554" i="26"/>
  <c r="AM12553" i="26"/>
  <c r="AM12552" i="26"/>
  <c r="AM12551" i="26"/>
  <c r="AM12550" i="26"/>
  <c r="AM12549" i="26"/>
  <c r="AM12548" i="26"/>
  <c r="AM12547" i="26"/>
  <c r="AM12546" i="26"/>
  <c r="AM12545" i="26"/>
  <c r="AM12544" i="26"/>
  <c r="AM12543" i="26"/>
  <c r="AM12542" i="26"/>
  <c r="AM12541" i="26"/>
  <c r="AM12540" i="26"/>
  <c r="AM12539" i="26"/>
  <c r="AM12538" i="26"/>
  <c r="AM12537" i="26"/>
  <c r="AM12536" i="26"/>
  <c r="AM12535" i="26"/>
  <c r="AM12534" i="26"/>
  <c r="AM12533" i="26"/>
  <c r="AM12532" i="26"/>
  <c r="AM12531" i="26"/>
  <c r="AM12530" i="26"/>
  <c r="AM12529" i="26"/>
  <c r="AM12528" i="26"/>
  <c r="AM12527" i="26"/>
  <c r="AM12526" i="26"/>
  <c r="AM12525" i="26"/>
  <c r="AM12524" i="26"/>
  <c r="AM12523" i="26"/>
  <c r="AM12522" i="26"/>
  <c r="AM12521" i="26"/>
  <c r="AM12520" i="26"/>
  <c r="AM12519" i="26"/>
  <c r="AM12518" i="26"/>
  <c r="AM12517" i="26"/>
  <c r="AM12516" i="26"/>
  <c r="AM12515" i="26"/>
  <c r="AM12514" i="26"/>
  <c r="AM12513" i="26"/>
  <c r="AM12512" i="26"/>
  <c r="AM12511" i="26"/>
  <c r="AM12510" i="26"/>
  <c r="AM12509" i="26"/>
  <c r="AM12508" i="26"/>
  <c r="AM12507" i="26"/>
  <c r="AM12506" i="26"/>
  <c r="AM12505" i="26"/>
  <c r="AM12504" i="26"/>
  <c r="AM12503" i="26"/>
  <c r="AM12502" i="26"/>
  <c r="AM12501" i="26"/>
  <c r="AM12500" i="26"/>
  <c r="AM12499" i="26"/>
  <c r="AM12498" i="26"/>
  <c r="AM12497" i="26"/>
  <c r="AM12496" i="26"/>
  <c r="AM12495" i="26"/>
  <c r="AM12494" i="26"/>
  <c r="AM12493" i="26"/>
  <c r="AM12492" i="26"/>
  <c r="AM12491" i="26"/>
  <c r="AM12490" i="26"/>
  <c r="AM12489" i="26"/>
  <c r="AM12488" i="26"/>
  <c r="AM12487" i="26"/>
  <c r="AM12486" i="26"/>
  <c r="AM12485" i="26"/>
  <c r="AM12484" i="26"/>
  <c r="AM12483" i="26"/>
  <c r="AM12482" i="26"/>
  <c r="AM12481" i="26"/>
  <c r="AM12480" i="26"/>
  <c r="AM12479" i="26"/>
  <c r="AM12478" i="26"/>
  <c r="AM12477" i="26"/>
  <c r="AM12476" i="26"/>
  <c r="AM12475" i="26"/>
  <c r="AM12474" i="26"/>
  <c r="AM12473" i="26"/>
  <c r="AM12472" i="26"/>
  <c r="AM12471" i="26"/>
  <c r="AM12470" i="26"/>
  <c r="AM12469" i="26"/>
  <c r="AM12468" i="26"/>
  <c r="AM12467" i="26"/>
  <c r="AM12466" i="26"/>
  <c r="AM12465" i="26"/>
  <c r="AM12464" i="26"/>
  <c r="AM12463" i="26"/>
  <c r="AM12462" i="26"/>
  <c r="AM12461" i="26"/>
  <c r="AM12460" i="26"/>
  <c r="AM12459" i="26"/>
  <c r="AM12458" i="26"/>
  <c r="AM12457" i="26"/>
  <c r="AM12456" i="26"/>
  <c r="AM12455" i="26"/>
  <c r="AM12454" i="26"/>
  <c r="AM12453" i="26"/>
  <c r="AM12452" i="26"/>
  <c r="AM12451" i="26"/>
  <c r="AM12450" i="26"/>
  <c r="AM12449" i="26"/>
  <c r="AM12448" i="26"/>
  <c r="AM12447" i="26"/>
  <c r="AM12446" i="26"/>
  <c r="AM12445" i="26"/>
  <c r="AM12444" i="26"/>
  <c r="AM12443" i="26"/>
  <c r="AM12442" i="26"/>
  <c r="AM12441" i="26"/>
  <c r="AM12440" i="26"/>
  <c r="AM12439" i="26"/>
  <c r="AM12438" i="26"/>
  <c r="AM12437" i="26"/>
  <c r="AM12436" i="26"/>
  <c r="AM12435" i="26"/>
  <c r="AM12434" i="26"/>
  <c r="AM12433" i="26"/>
  <c r="AM12432" i="26"/>
  <c r="AM12431" i="26"/>
  <c r="AM12430" i="26"/>
  <c r="AM12429" i="26"/>
  <c r="AM12428" i="26"/>
  <c r="AM12427" i="26"/>
  <c r="AM12426" i="26"/>
  <c r="AM12425" i="26"/>
  <c r="AM12424" i="26"/>
  <c r="AM12423" i="26"/>
  <c r="AM12422" i="26"/>
  <c r="AM12421" i="26"/>
  <c r="AM12420" i="26"/>
  <c r="AM12419" i="26"/>
  <c r="AM12418" i="26"/>
  <c r="AM12417" i="26"/>
  <c r="AM12416" i="26"/>
  <c r="AM12415" i="26"/>
  <c r="AM12414" i="26"/>
  <c r="AM12413" i="26"/>
  <c r="AM12412" i="26"/>
  <c r="AM12411" i="26"/>
  <c r="AM12410" i="26"/>
  <c r="AM12409" i="26"/>
  <c r="AM12408" i="26"/>
  <c r="AM12407" i="26"/>
  <c r="AM12406" i="26"/>
  <c r="AM12405" i="26"/>
  <c r="AM12404" i="26"/>
  <c r="AM12403" i="26"/>
  <c r="AM12402" i="26"/>
  <c r="AM12401" i="26"/>
  <c r="AM12400" i="26"/>
  <c r="AM12399" i="26"/>
  <c r="AM12398" i="26"/>
  <c r="AM12397" i="26"/>
  <c r="AM12396" i="26"/>
  <c r="AM12395" i="26"/>
  <c r="AM12394" i="26"/>
  <c r="AM12393" i="26"/>
  <c r="AM12392" i="26"/>
  <c r="AM12391" i="26"/>
  <c r="AM12390" i="26"/>
  <c r="AM12389" i="26"/>
  <c r="AM12388" i="26"/>
  <c r="AM12387" i="26"/>
  <c r="AM12386" i="26"/>
  <c r="AM12385" i="26"/>
  <c r="AM12384" i="26"/>
  <c r="AM12383" i="26"/>
  <c r="AM12382" i="26"/>
  <c r="AM12381" i="26"/>
  <c r="AM12380" i="26"/>
  <c r="AM12379" i="26"/>
  <c r="AM12378" i="26"/>
  <c r="AM12377" i="26"/>
  <c r="AM12376" i="26"/>
  <c r="AM12375" i="26"/>
  <c r="AM12374" i="26"/>
  <c r="AM12373" i="26"/>
  <c r="AM12372" i="26"/>
  <c r="AM12371" i="26"/>
  <c r="AM12370" i="26"/>
  <c r="AM12369" i="26"/>
  <c r="AM12368" i="26"/>
  <c r="AM12367" i="26"/>
  <c r="AM12366" i="26"/>
  <c r="AM12365" i="26"/>
  <c r="AM12364" i="26"/>
  <c r="AM12363" i="26"/>
  <c r="AM12362" i="26"/>
  <c r="AM12361" i="26"/>
  <c r="AM12360" i="26"/>
  <c r="AM12359" i="26"/>
  <c r="AM12358" i="26"/>
  <c r="AM12357" i="26"/>
  <c r="AM12356" i="26"/>
  <c r="AM12355" i="26"/>
  <c r="AM12354" i="26"/>
  <c r="AM12353" i="26"/>
  <c r="AM12352" i="26"/>
  <c r="AM12351" i="26"/>
  <c r="AM12350" i="26"/>
  <c r="AM12349" i="26"/>
  <c r="AM12348" i="26"/>
  <c r="AM12347" i="26"/>
  <c r="AM12346" i="26"/>
  <c r="AM12345" i="26"/>
  <c r="AM12344" i="26"/>
  <c r="AM12343" i="26"/>
  <c r="AM12342" i="26"/>
  <c r="AM12341" i="26"/>
  <c r="AM12340" i="26"/>
  <c r="AM12339" i="26"/>
  <c r="AM12338" i="26"/>
  <c r="AM12337" i="26"/>
  <c r="AM12336" i="26"/>
  <c r="AM12335" i="26"/>
  <c r="AM12334" i="26"/>
  <c r="AM12333" i="26"/>
  <c r="AM12332" i="26"/>
  <c r="AM12331" i="26"/>
  <c r="AM12330" i="26"/>
  <c r="AM12329" i="26"/>
  <c r="AM12328" i="26"/>
  <c r="AM12327" i="26"/>
  <c r="AM12326" i="26"/>
  <c r="AM12325" i="26"/>
  <c r="AM12324" i="26"/>
  <c r="AM12323" i="26"/>
  <c r="AM12322" i="26"/>
  <c r="AM12321" i="26"/>
  <c r="AM12320" i="26"/>
  <c r="AM12319" i="26"/>
  <c r="AM12318" i="26"/>
  <c r="AM12317" i="26"/>
  <c r="AM12316" i="26"/>
  <c r="AM12315" i="26"/>
  <c r="AM12314" i="26"/>
  <c r="AM12313" i="26"/>
  <c r="AM12312" i="26"/>
  <c r="AM12311" i="26"/>
  <c r="AM12310" i="26"/>
  <c r="AM12309" i="26"/>
  <c r="AM12308" i="26"/>
  <c r="AM12307" i="26"/>
  <c r="AM12306" i="26"/>
  <c r="AM12305" i="26"/>
  <c r="AM12304" i="26"/>
  <c r="AM12303" i="26"/>
  <c r="AM12302" i="26"/>
  <c r="AM12301" i="26"/>
  <c r="AM12300" i="26"/>
  <c r="AM12299" i="26"/>
  <c r="AM12298" i="26"/>
  <c r="AM12297" i="26"/>
  <c r="AM12296" i="26"/>
  <c r="AM12295" i="26"/>
  <c r="AM12294" i="26"/>
  <c r="AM12293" i="26"/>
  <c r="AM12292" i="26"/>
  <c r="AM12291" i="26"/>
  <c r="AM12290" i="26"/>
  <c r="AM12289" i="26"/>
  <c r="AM12288" i="26"/>
  <c r="AM12287" i="26"/>
  <c r="AM12286" i="26"/>
  <c r="AM12285" i="26"/>
  <c r="AM12284" i="26"/>
  <c r="AM12283" i="26"/>
  <c r="AM12282" i="26"/>
  <c r="AM12281" i="26"/>
  <c r="AM12280" i="26"/>
  <c r="AM12279" i="26"/>
  <c r="AM12278" i="26"/>
  <c r="AM12277" i="26"/>
  <c r="AM12276" i="26"/>
  <c r="AM12275" i="26"/>
  <c r="AM12274" i="26"/>
  <c r="AM12273" i="26"/>
  <c r="AM12272" i="26"/>
  <c r="AM12271" i="26"/>
  <c r="AM12270" i="26"/>
  <c r="AM12269" i="26"/>
  <c r="AM12268" i="26"/>
  <c r="AM12267" i="26"/>
  <c r="AM12266" i="26"/>
  <c r="AM12265" i="26"/>
  <c r="AM12264" i="26"/>
  <c r="AM12263" i="26"/>
  <c r="AM12262" i="26"/>
  <c r="AM12261" i="26"/>
  <c r="AM12260" i="26"/>
  <c r="AM12259" i="26"/>
  <c r="AM12258" i="26"/>
  <c r="AM12257" i="26"/>
  <c r="AM12256" i="26"/>
  <c r="AM12255" i="26"/>
  <c r="AM12254" i="26"/>
  <c r="AM12253" i="26"/>
  <c r="AM12252" i="26"/>
  <c r="AM12251" i="26"/>
  <c r="AM12250" i="26"/>
  <c r="AM12249" i="26"/>
  <c r="AM12248" i="26"/>
  <c r="AM12247" i="26"/>
  <c r="AM12246" i="26"/>
  <c r="AM12245" i="26"/>
  <c r="AM12244" i="26"/>
  <c r="AM12243" i="26"/>
  <c r="AM12242" i="26"/>
  <c r="AM12241" i="26"/>
  <c r="AM12240" i="26"/>
  <c r="AM12239" i="26"/>
  <c r="AM12238" i="26"/>
  <c r="AM12237" i="26"/>
  <c r="AM12236" i="26"/>
  <c r="AM12235" i="26"/>
  <c r="AM12234" i="26"/>
  <c r="AM12233" i="26"/>
  <c r="AM12232" i="26"/>
  <c r="AM12231" i="26"/>
  <c r="AM12230" i="26"/>
  <c r="AM12229" i="26"/>
  <c r="AM12228" i="26"/>
  <c r="AM12227" i="26"/>
  <c r="AM12226" i="26"/>
  <c r="AM12225" i="26"/>
  <c r="AM12224" i="26"/>
  <c r="AM12223" i="26"/>
  <c r="AM12222" i="26"/>
  <c r="AM12221" i="26"/>
  <c r="AM12220" i="26"/>
  <c r="AM12219" i="26"/>
  <c r="AM12218" i="26"/>
  <c r="AM12217" i="26"/>
  <c r="AM12216" i="26"/>
  <c r="AM12215" i="26"/>
  <c r="AM12214" i="26"/>
  <c r="AM12213" i="26"/>
  <c r="AM12212" i="26"/>
  <c r="AM12211" i="26"/>
  <c r="AM12210" i="26"/>
  <c r="AM12209" i="26"/>
  <c r="AM12208" i="26"/>
  <c r="AM12207" i="26"/>
  <c r="AM12206" i="26"/>
  <c r="AM12205" i="26"/>
  <c r="AM12204" i="26"/>
  <c r="AM12203" i="26"/>
  <c r="AM12202" i="26"/>
  <c r="AM12201" i="26"/>
  <c r="AM12200" i="26"/>
  <c r="AM12199" i="26"/>
  <c r="AM12198" i="26"/>
  <c r="AM12197" i="26"/>
  <c r="AM12196" i="26"/>
  <c r="AM12195" i="26"/>
  <c r="AM12194" i="26"/>
  <c r="AM12193" i="26"/>
  <c r="AM12192" i="26"/>
  <c r="AM12191" i="26"/>
  <c r="AM12190" i="26"/>
  <c r="AM12189" i="26"/>
  <c r="AM12188" i="26"/>
  <c r="AM12187" i="26"/>
  <c r="AM12186" i="26"/>
  <c r="AM12185" i="26"/>
  <c r="AM12184" i="26"/>
  <c r="AM12183" i="26"/>
  <c r="AM12182" i="26"/>
  <c r="AM12181" i="26"/>
  <c r="AM12180" i="26"/>
  <c r="AM12179" i="26"/>
  <c r="AM12178" i="26"/>
  <c r="AM12177" i="26"/>
  <c r="AM12176" i="26"/>
  <c r="AM12175" i="26"/>
  <c r="AM12174" i="26"/>
  <c r="AM12173" i="26"/>
  <c r="AM12172" i="26"/>
  <c r="AM12171" i="26"/>
  <c r="AM12170" i="26"/>
  <c r="AM12169" i="26"/>
  <c r="AM12168" i="26"/>
  <c r="AM12167" i="26"/>
  <c r="AM12166" i="26"/>
  <c r="AM12165" i="26"/>
  <c r="AM12164" i="26"/>
  <c r="AM12163" i="26"/>
  <c r="AM12162" i="26"/>
  <c r="AM12161" i="26"/>
  <c r="AM12160" i="26"/>
  <c r="AM12159" i="26"/>
  <c r="AM12158" i="26"/>
  <c r="AM12157" i="26"/>
  <c r="AM12156" i="26"/>
  <c r="AM12155" i="26"/>
  <c r="AM12154" i="26"/>
  <c r="AM12153" i="26"/>
  <c r="AM12152" i="26"/>
  <c r="AM12151" i="26"/>
  <c r="AM12150" i="26"/>
  <c r="AM12149" i="26"/>
  <c r="AM12148" i="26"/>
  <c r="AM12147" i="26"/>
  <c r="AM12146" i="26"/>
  <c r="AM12145" i="26"/>
  <c r="AM12144" i="26"/>
  <c r="AM12143" i="26"/>
  <c r="AM12142" i="26"/>
  <c r="AM12141" i="26"/>
  <c r="AM12140" i="26"/>
  <c r="AM12139" i="26"/>
  <c r="AM12138" i="26"/>
  <c r="AM12137" i="26"/>
  <c r="AM12136" i="26"/>
  <c r="AM12135" i="26"/>
  <c r="AM12134" i="26"/>
  <c r="AM12133" i="26"/>
  <c r="AM12132" i="26"/>
  <c r="AM12131" i="26"/>
  <c r="AM12130" i="26"/>
  <c r="AM12129" i="26"/>
  <c r="AM12128" i="26"/>
  <c r="AM12127" i="26"/>
  <c r="AM12126" i="26"/>
  <c r="AM12125" i="26"/>
  <c r="AM12124" i="26"/>
  <c r="AM12123" i="26"/>
  <c r="AM12122" i="26"/>
  <c r="AM12121" i="26"/>
  <c r="AM12120" i="26"/>
  <c r="AM12119" i="26"/>
  <c r="AM12118" i="26"/>
  <c r="AM12117" i="26"/>
  <c r="AM12116" i="26"/>
  <c r="AM12115" i="26"/>
  <c r="AM12114" i="26"/>
  <c r="AM12113" i="26"/>
  <c r="AM12112" i="26"/>
  <c r="AM12111" i="26"/>
  <c r="AM12110" i="26"/>
  <c r="AM12109" i="26"/>
  <c r="AM12108" i="26"/>
  <c r="AM12107" i="26"/>
  <c r="AM12106" i="26"/>
  <c r="AM12105" i="26"/>
  <c r="AM12104" i="26"/>
  <c r="AM12103" i="26"/>
  <c r="AM12102" i="26"/>
  <c r="AM12101" i="26"/>
  <c r="AM12100" i="26"/>
  <c r="AM12099" i="26"/>
  <c r="AM12098" i="26"/>
  <c r="AM12095" i="26"/>
  <c r="AM12094" i="26"/>
  <c r="AM12093" i="26"/>
  <c r="AM12092" i="26"/>
  <c r="AM12091" i="26"/>
  <c r="AM12090" i="26"/>
  <c r="AM12089" i="26"/>
  <c r="AM12088" i="26"/>
  <c r="AM12087" i="26"/>
  <c r="AM12086" i="26"/>
  <c r="AM12085" i="26"/>
  <c r="AM12084" i="26"/>
  <c r="AM12083" i="26"/>
  <c r="AM12082" i="26"/>
  <c r="AM12081" i="26"/>
  <c r="AM12080" i="26"/>
  <c r="AM12079" i="26"/>
  <c r="AM12078" i="26"/>
  <c r="AM12077" i="26"/>
  <c r="AM12076" i="26"/>
  <c r="AM12075" i="26"/>
  <c r="AM12074" i="26"/>
  <c r="AM12073" i="26"/>
  <c r="AM12072" i="26"/>
  <c r="AM12071" i="26"/>
  <c r="AM12070" i="26"/>
  <c r="AM12069" i="26"/>
  <c r="AM12068" i="26"/>
  <c r="AM12067" i="26"/>
  <c r="AM12066" i="26"/>
  <c r="AM12065" i="26"/>
  <c r="AM12064" i="26"/>
  <c r="AM12063" i="26"/>
  <c r="AM12062" i="26"/>
  <c r="AM12061" i="26"/>
  <c r="AM12060" i="26"/>
  <c r="AM12059" i="26"/>
  <c r="AM12058" i="26"/>
  <c r="AM12057" i="26"/>
  <c r="AM12056" i="26"/>
  <c r="AM12055" i="26"/>
  <c r="AM12054" i="26"/>
  <c r="AM12053" i="26"/>
  <c r="AM12052" i="26"/>
  <c r="AM12051" i="26"/>
  <c r="AM12050" i="26"/>
  <c r="AM12049" i="26"/>
  <c r="AM12048" i="26"/>
  <c r="AM12047" i="26"/>
  <c r="AM12046" i="26"/>
  <c r="AM12045" i="26"/>
  <c r="AM12044" i="26"/>
  <c r="AM12043" i="26"/>
  <c r="AM12042" i="26"/>
  <c r="AM12041" i="26"/>
  <c r="AM12040" i="26"/>
  <c r="AM12039" i="26"/>
  <c r="AM12038" i="26"/>
  <c r="AM12037" i="26"/>
  <c r="AM12036" i="26"/>
  <c r="AM12035" i="26"/>
  <c r="AM12034" i="26"/>
  <c r="AM12033" i="26"/>
  <c r="AM12032" i="26"/>
  <c r="AM12031" i="26"/>
  <c r="AM12030" i="26"/>
  <c r="AM12029" i="26"/>
  <c r="AM12028" i="26"/>
  <c r="AM12027" i="26"/>
  <c r="AM12026" i="26"/>
  <c r="AM12025" i="26"/>
  <c r="AM12024" i="26"/>
  <c r="AM12023" i="26"/>
  <c r="AM12022" i="26"/>
  <c r="AM12021" i="26"/>
  <c r="AM12020" i="26"/>
  <c r="AM12019" i="26"/>
  <c r="AM12018" i="26"/>
  <c r="AM12017" i="26"/>
  <c r="AM12016" i="26"/>
  <c r="AM12015" i="26"/>
  <c r="AM12014" i="26"/>
  <c r="AM12013" i="26"/>
  <c r="AM12012" i="26"/>
  <c r="AM12011" i="26"/>
  <c r="AM12010" i="26"/>
  <c r="AM12009" i="26"/>
  <c r="AM12008" i="26"/>
  <c r="AM12007" i="26"/>
  <c r="AM12006" i="26"/>
  <c r="AM12005" i="26"/>
  <c r="AM12004" i="26"/>
  <c r="AM12003" i="26"/>
  <c r="AM12002" i="26"/>
  <c r="AM12001" i="26"/>
  <c r="AM12000" i="26"/>
  <c r="AM11999" i="26"/>
  <c r="AM11998" i="26"/>
  <c r="AM11997" i="26"/>
  <c r="AM11996" i="26"/>
  <c r="AM11995" i="26"/>
  <c r="AM11994" i="26"/>
  <c r="AM11993" i="26"/>
  <c r="AM11992" i="26"/>
  <c r="AM11991" i="26"/>
  <c r="AM11990" i="26"/>
  <c r="AM11989" i="26"/>
  <c r="AM11988" i="26"/>
  <c r="AM11987" i="26"/>
  <c r="AM11986" i="26"/>
  <c r="AM11985" i="26"/>
  <c r="AM11984" i="26"/>
  <c r="AM11983" i="26"/>
  <c r="AM11982" i="26"/>
  <c r="AM11981" i="26"/>
  <c r="AM11980" i="26"/>
  <c r="AM11979" i="26"/>
  <c r="AM11978" i="26"/>
  <c r="AM11977" i="26"/>
  <c r="AM11976" i="26"/>
  <c r="AM11975" i="26"/>
  <c r="AM11974" i="26"/>
  <c r="AM11973" i="26"/>
  <c r="AM11972" i="26"/>
  <c r="AM11971" i="26"/>
  <c r="AM11970" i="26"/>
  <c r="AM11969" i="26"/>
  <c r="AM11968" i="26"/>
  <c r="AM11967" i="26"/>
  <c r="AM11966" i="26"/>
  <c r="AM11965" i="26"/>
  <c r="AM11964" i="26"/>
  <c r="AM11963" i="26"/>
  <c r="AM11962" i="26"/>
  <c r="AM11961" i="26"/>
  <c r="AM11960" i="26"/>
  <c r="AM11959" i="26"/>
  <c r="AM11958" i="26"/>
  <c r="AM11957" i="26"/>
  <c r="AM11956" i="26"/>
  <c r="AM11955" i="26"/>
  <c r="AM11954" i="26"/>
  <c r="AM11953" i="26"/>
  <c r="AM11952" i="26"/>
  <c r="AM11951" i="26"/>
  <c r="AM11950" i="26"/>
  <c r="AM11949" i="26"/>
  <c r="AM11948" i="26"/>
  <c r="AM11947" i="26"/>
  <c r="AM11946" i="26"/>
  <c r="AM11945" i="26"/>
  <c r="AM11944" i="26"/>
  <c r="AM11943" i="26"/>
  <c r="AM11942" i="26"/>
  <c r="AM11941" i="26"/>
  <c r="AM11940" i="26"/>
  <c r="AM11939" i="26"/>
  <c r="AM11938" i="26"/>
  <c r="AM11937" i="26"/>
  <c r="AM11936" i="26"/>
  <c r="AM11935" i="26"/>
  <c r="AM11934" i="26"/>
  <c r="AM11933" i="26"/>
  <c r="AM11932" i="26"/>
  <c r="AM11931" i="26"/>
  <c r="AM11930" i="26"/>
  <c r="AM11929" i="26"/>
  <c r="AM11928" i="26"/>
  <c r="AM11927" i="26"/>
  <c r="AM11926" i="26"/>
  <c r="AM11925" i="26"/>
  <c r="AM11924" i="26"/>
  <c r="AM11923" i="26"/>
  <c r="AM11922" i="26"/>
  <c r="AM11921" i="26"/>
  <c r="AM11920" i="26"/>
  <c r="AM11919" i="26"/>
  <c r="AM11918" i="26"/>
  <c r="AM11917" i="26"/>
  <c r="AM11916" i="26"/>
  <c r="AM11915" i="26"/>
  <c r="AM11914" i="26"/>
  <c r="AM11913" i="26"/>
  <c r="AM11912" i="26"/>
  <c r="AM11911" i="26"/>
  <c r="AM11910" i="26"/>
  <c r="AM11909" i="26"/>
  <c r="AM11908" i="26"/>
  <c r="AM11907" i="26"/>
  <c r="AM11906" i="26"/>
  <c r="AM11905" i="26"/>
  <c r="AM11904" i="26"/>
  <c r="AM11903" i="26"/>
  <c r="AM11902" i="26"/>
  <c r="AM11901" i="26"/>
  <c r="AM11900" i="26"/>
  <c r="AM11899" i="26"/>
  <c r="AM11898" i="26"/>
  <c r="AM11897" i="26"/>
  <c r="AM11896" i="26"/>
  <c r="AM11895" i="26"/>
  <c r="AM11894" i="26"/>
  <c r="AM11893" i="26"/>
  <c r="AM11892" i="26"/>
  <c r="AM11891" i="26"/>
  <c r="AM11890" i="26"/>
  <c r="AM11889" i="26"/>
  <c r="AM11888" i="26"/>
  <c r="AM11887" i="26"/>
  <c r="AM11886" i="26"/>
  <c r="AM11885" i="26"/>
  <c r="AM11884" i="26"/>
  <c r="AM11883" i="26"/>
  <c r="AM11882" i="26"/>
  <c r="AM11881" i="26"/>
  <c r="AM11880" i="26"/>
  <c r="AM11879" i="26"/>
  <c r="AM11878" i="26"/>
  <c r="AM11877" i="26"/>
  <c r="AM11876" i="26"/>
  <c r="AM11875" i="26"/>
  <c r="AM11874" i="26"/>
  <c r="AM11873" i="26"/>
  <c r="AM11872" i="26"/>
  <c r="AM11871" i="26"/>
  <c r="AM11870" i="26"/>
  <c r="AM11869" i="26"/>
  <c r="AM11868" i="26"/>
  <c r="AM11867" i="26"/>
  <c r="AM11866" i="26"/>
  <c r="AM11865" i="26"/>
  <c r="AM11864" i="26"/>
  <c r="AM11863" i="26"/>
  <c r="AM11862" i="26"/>
  <c r="AM11861" i="26"/>
  <c r="AM11860" i="26"/>
  <c r="AM11859" i="26"/>
  <c r="AM11858" i="26"/>
  <c r="AM11857" i="26"/>
  <c r="AM11856" i="26"/>
  <c r="AM11855" i="26"/>
  <c r="AM11854" i="26"/>
  <c r="AM11853" i="26"/>
  <c r="AM11852" i="26"/>
  <c r="AM11851" i="26"/>
  <c r="AM11850" i="26"/>
  <c r="AM11849" i="26"/>
  <c r="AM11848" i="26"/>
  <c r="AM11847" i="26"/>
  <c r="AM11846" i="26"/>
  <c r="AM11845" i="26"/>
  <c r="AM11844" i="26"/>
  <c r="AM11843" i="26"/>
  <c r="AM11842" i="26"/>
  <c r="AM11841" i="26"/>
  <c r="AM11840" i="26"/>
  <c r="AM11839" i="26"/>
  <c r="AM11838" i="26"/>
  <c r="AM11837" i="26"/>
  <c r="AM11836" i="26"/>
  <c r="AM11835" i="26"/>
  <c r="AM11834" i="26"/>
  <c r="AM11833" i="26"/>
  <c r="AM11832" i="26"/>
  <c r="AM11831" i="26"/>
  <c r="AM11830" i="26"/>
  <c r="AM11829" i="26"/>
  <c r="AM11828" i="26"/>
  <c r="AM11827" i="26"/>
  <c r="AM11826" i="26"/>
  <c r="AM11825" i="26"/>
  <c r="AM11824" i="26"/>
  <c r="AM11823" i="26"/>
  <c r="AM11822" i="26"/>
  <c r="AM11821" i="26"/>
  <c r="AM11820" i="26"/>
  <c r="AM11819" i="26"/>
  <c r="AM11818" i="26"/>
  <c r="AM11817" i="26"/>
  <c r="AM11816" i="26"/>
  <c r="AM11815" i="26"/>
  <c r="AM11814" i="26"/>
  <c r="AM11813" i="26"/>
  <c r="AM11812" i="26"/>
  <c r="AM11811" i="26"/>
  <c r="AM11810" i="26"/>
  <c r="AM11809" i="26"/>
  <c r="AM11808" i="26"/>
  <c r="AM11807" i="26"/>
  <c r="AM11806" i="26"/>
  <c r="AM11805" i="26"/>
  <c r="AM11804" i="26"/>
  <c r="AM11803" i="26"/>
  <c r="AM11802" i="26"/>
  <c r="AM11801" i="26"/>
  <c r="AM11800" i="26"/>
  <c r="AM11799" i="26"/>
  <c r="AM11798" i="26"/>
  <c r="AM11797" i="26"/>
  <c r="AM11796" i="26"/>
  <c r="AM11795" i="26"/>
  <c r="AM11794" i="26"/>
  <c r="AM11793" i="26"/>
  <c r="AM11792" i="26"/>
  <c r="AM11791" i="26"/>
  <c r="AM11790" i="26"/>
  <c r="AM11789" i="26"/>
  <c r="AM11788" i="26"/>
  <c r="AM11787" i="26"/>
  <c r="AM11786" i="26"/>
  <c r="AM11785" i="26"/>
  <c r="AM11784" i="26"/>
  <c r="AM11783" i="26"/>
  <c r="AM11782" i="26"/>
  <c r="AM11781" i="26"/>
  <c r="AM11780" i="26"/>
  <c r="AM11779" i="26"/>
  <c r="AM11778" i="26"/>
  <c r="AM11777" i="26"/>
  <c r="AM11776" i="26"/>
  <c r="AM11775" i="26"/>
  <c r="AM11774" i="26"/>
  <c r="AM11773" i="26"/>
  <c r="AM11772" i="26"/>
  <c r="AM11771" i="26"/>
  <c r="AM11770" i="26"/>
  <c r="AM11769" i="26"/>
  <c r="AM11768" i="26"/>
  <c r="AM11767" i="26"/>
  <c r="AM11766" i="26"/>
  <c r="AM11765" i="26"/>
  <c r="AM11764" i="26"/>
  <c r="AM11763" i="26"/>
  <c r="AM11762" i="26"/>
  <c r="AM11761" i="26"/>
  <c r="AM11760" i="26"/>
  <c r="AM11759" i="26"/>
  <c r="AM11758" i="26"/>
  <c r="AM11757" i="26"/>
  <c r="AM11756" i="26"/>
  <c r="AM11755" i="26"/>
  <c r="AM11754" i="26"/>
  <c r="AM11753" i="26"/>
  <c r="AM11752" i="26"/>
  <c r="AM11751" i="26"/>
  <c r="AM11750" i="26"/>
  <c r="AM11749" i="26"/>
  <c r="AM11748" i="26"/>
  <c r="AM11747" i="26"/>
  <c r="AM11746" i="26"/>
  <c r="AM11745" i="26"/>
  <c r="AM11744" i="26"/>
  <c r="AM11743" i="26"/>
  <c r="AM11742" i="26"/>
  <c r="AM11741" i="26"/>
  <c r="AM11740" i="26"/>
  <c r="AM11739" i="26"/>
  <c r="AM11738" i="26"/>
  <c r="AM11737" i="26"/>
  <c r="AM11736" i="26"/>
  <c r="AM11735" i="26"/>
  <c r="AM11734" i="26"/>
  <c r="AM11733" i="26"/>
  <c r="AM11732" i="26"/>
  <c r="AM11731" i="26"/>
  <c r="AM11730" i="26"/>
  <c r="AM11729" i="26"/>
  <c r="AM11728" i="26"/>
  <c r="AM11727" i="26"/>
  <c r="AM11726" i="26"/>
  <c r="AM11725" i="26"/>
  <c r="AM11724" i="26"/>
  <c r="AM11723" i="26"/>
  <c r="AM11722" i="26"/>
  <c r="AM11721" i="26"/>
  <c r="AM11720" i="26"/>
  <c r="AM11719" i="26"/>
  <c r="AM11718" i="26"/>
  <c r="AM11717" i="26"/>
  <c r="AM11716" i="26"/>
  <c r="AM11715" i="26"/>
  <c r="AM11714" i="26"/>
  <c r="AM11713" i="26"/>
  <c r="AM11712" i="26"/>
  <c r="AM11711" i="26"/>
  <c r="AM11710" i="26"/>
  <c r="AM11709" i="26"/>
  <c r="AM11708" i="26"/>
  <c r="AM11707" i="26"/>
  <c r="AM11706" i="26"/>
  <c r="AM11705" i="26"/>
  <c r="AM11704" i="26"/>
  <c r="AM11703" i="26"/>
  <c r="AM11702" i="26"/>
  <c r="AM11701" i="26"/>
  <c r="AM11700" i="26"/>
  <c r="AM11699" i="26"/>
  <c r="AM11698" i="26"/>
  <c r="AM11697" i="26"/>
  <c r="AM11696" i="26"/>
  <c r="AM11695" i="26"/>
  <c r="AM11694" i="26"/>
  <c r="AM11693" i="26"/>
  <c r="AM11692" i="26"/>
  <c r="AM11691" i="26"/>
  <c r="AM11690" i="26"/>
  <c r="AM11689" i="26"/>
  <c r="AM11688" i="26"/>
  <c r="AM11687" i="26"/>
  <c r="AM11686" i="26"/>
  <c r="AM11685" i="26"/>
  <c r="AM11684" i="26"/>
  <c r="AM11683" i="26"/>
  <c r="AM11682" i="26"/>
  <c r="AM11681" i="26"/>
  <c r="AM11680" i="26"/>
  <c r="AM11679" i="26"/>
  <c r="AM11678" i="26"/>
  <c r="AM11677" i="26"/>
  <c r="AM11676" i="26"/>
  <c r="AM11675" i="26"/>
  <c r="AM11674" i="26"/>
  <c r="AM11673" i="26"/>
  <c r="AM11672" i="26"/>
  <c r="AM11671" i="26"/>
  <c r="AM11670" i="26"/>
  <c r="AM11669" i="26"/>
  <c r="AM11668" i="26"/>
  <c r="AM11667" i="26"/>
  <c r="AM11666" i="26"/>
  <c r="AM11665" i="26"/>
  <c r="AM11664" i="26"/>
  <c r="AM11663" i="26"/>
  <c r="AM11662" i="26"/>
  <c r="AM11661" i="26"/>
  <c r="AM11660" i="26"/>
  <c r="AM11659" i="26"/>
  <c r="AM11658" i="26"/>
  <c r="AM11657" i="26"/>
  <c r="AM11656" i="26"/>
  <c r="AM11655" i="26"/>
  <c r="AM11654" i="26"/>
  <c r="AM11653" i="26"/>
  <c r="AM11652" i="26"/>
  <c r="AM11651" i="26"/>
  <c r="AM11650" i="26"/>
  <c r="AM11649" i="26"/>
  <c r="AM11648" i="26"/>
  <c r="AM11647" i="26"/>
  <c r="AM11646" i="26"/>
  <c r="AM11645" i="26"/>
  <c r="AM11644" i="26"/>
  <c r="AM11643" i="26"/>
  <c r="AM11642" i="26"/>
  <c r="AM11641" i="26"/>
  <c r="AM11640" i="26"/>
  <c r="AM11639" i="26"/>
  <c r="AM11638" i="26"/>
  <c r="AM11637" i="26"/>
  <c r="AM11636" i="26"/>
  <c r="AM11635" i="26"/>
  <c r="AM11634" i="26"/>
  <c r="AM11633" i="26"/>
  <c r="AM11632" i="26"/>
  <c r="AM11631" i="26"/>
  <c r="AM11630" i="26"/>
  <c r="AM11629" i="26"/>
  <c r="AM11628" i="26"/>
  <c r="AM11627" i="26"/>
  <c r="AM11626" i="26"/>
  <c r="AM11625" i="26"/>
  <c r="AM11624" i="26"/>
  <c r="AM11623" i="26"/>
  <c r="AM11622" i="26"/>
  <c r="AM11621" i="26"/>
  <c r="AM11620" i="26"/>
  <c r="AM11619" i="26"/>
  <c r="AM11618" i="26"/>
  <c r="AM11617" i="26"/>
  <c r="AM11616" i="26"/>
  <c r="AM11615" i="26"/>
  <c r="AM11614" i="26"/>
  <c r="AM11613" i="26"/>
  <c r="AM11612" i="26"/>
  <c r="AM11611" i="26"/>
  <c r="AM11610" i="26"/>
  <c r="AM11609" i="26"/>
  <c r="AM11608" i="26"/>
  <c r="AM11607" i="26"/>
  <c r="AM11606" i="26"/>
  <c r="AM11605" i="26"/>
  <c r="AM11604" i="26"/>
  <c r="AM11603" i="26"/>
  <c r="AM11602" i="26"/>
  <c r="AM11601" i="26"/>
  <c r="AM11600" i="26"/>
  <c r="AM11599" i="26"/>
  <c r="AM11598" i="26"/>
  <c r="AM11597" i="26"/>
  <c r="AM11596" i="26"/>
  <c r="AM11595" i="26"/>
  <c r="AM11594" i="26"/>
  <c r="AM11593" i="26"/>
  <c r="AM11592" i="26"/>
  <c r="AM11591" i="26"/>
  <c r="AM11590" i="26"/>
  <c r="AM11589" i="26"/>
  <c r="AM11588" i="26"/>
  <c r="AM11587" i="26"/>
  <c r="AM11586" i="26"/>
  <c r="AM11585" i="26"/>
  <c r="AM11584" i="26"/>
  <c r="AM11583" i="26"/>
  <c r="AM11582" i="26"/>
  <c r="AM11581" i="26"/>
  <c r="AM11580" i="26"/>
  <c r="AM11579" i="26"/>
  <c r="AM11578" i="26"/>
  <c r="AM11577" i="26"/>
  <c r="AM11576" i="26"/>
  <c r="AM11575" i="26"/>
  <c r="AM11574" i="26"/>
  <c r="AM11573" i="26"/>
  <c r="AM11572" i="26"/>
  <c r="AM11571" i="26"/>
  <c r="AM11570" i="26"/>
  <c r="AM11569" i="26"/>
  <c r="AM11568" i="26"/>
  <c r="AM11567" i="26"/>
  <c r="AM11566" i="26"/>
  <c r="AM11565" i="26"/>
  <c r="AM11564" i="26"/>
  <c r="AM11563" i="26"/>
  <c r="AM11562" i="26"/>
  <c r="AM11561" i="26"/>
  <c r="AM11560" i="26"/>
  <c r="AM11559" i="26"/>
  <c r="AM11558" i="26"/>
  <c r="AM11557" i="26"/>
  <c r="AM11556" i="26"/>
  <c r="AM11555" i="26"/>
  <c r="AM11554" i="26"/>
  <c r="AM11553" i="26"/>
  <c r="AM11552" i="26"/>
  <c r="AM11551" i="26"/>
  <c r="AM11550" i="26"/>
  <c r="AM11549" i="26"/>
  <c r="AM11548" i="26"/>
  <c r="AM11547" i="26"/>
  <c r="AM11546" i="26"/>
  <c r="AM11545" i="26"/>
  <c r="AM11544" i="26"/>
  <c r="AM11543" i="26"/>
  <c r="AM11542" i="26"/>
  <c r="AM11541" i="26"/>
  <c r="AM11540" i="26"/>
  <c r="AM11539" i="26"/>
  <c r="AM11538" i="26"/>
  <c r="AM11537" i="26"/>
  <c r="AM11536" i="26"/>
  <c r="AM11535" i="26"/>
  <c r="AM11534" i="26"/>
  <c r="AM11533" i="26"/>
  <c r="AM11532" i="26"/>
  <c r="AM11531" i="26"/>
  <c r="AM11530" i="26"/>
  <c r="AM11529" i="26"/>
  <c r="AM11528" i="26"/>
  <c r="AM11527" i="26"/>
  <c r="AM11526" i="26"/>
  <c r="AM11525" i="26"/>
  <c r="AM11524" i="26"/>
  <c r="AM11523" i="26"/>
  <c r="AM11522" i="26"/>
  <c r="AM11521" i="26"/>
  <c r="AM11520" i="26"/>
  <c r="AM11519" i="26"/>
  <c r="AM11518" i="26"/>
  <c r="AM11517" i="26"/>
  <c r="AM11516" i="26"/>
  <c r="AM11515" i="26"/>
  <c r="AM11514" i="26"/>
  <c r="AM11513" i="26"/>
  <c r="AM11512" i="26"/>
  <c r="AM11511" i="26"/>
  <c r="AM11510" i="26"/>
  <c r="AM11509" i="26"/>
  <c r="AM11508" i="26"/>
  <c r="AM11507" i="26"/>
  <c r="AM11506" i="26"/>
  <c r="AM11505" i="26"/>
  <c r="AM11504" i="26"/>
  <c r="AM11503" i="26"/>
  <c r="AM11502" i="26"/>
  <c r="AM11501" i="26"/>
  <c r="AM11500" i="26"/>
  <c r="AM11499" i="26"/>
  <c r="AM11498" i="26"/>
  <c r="AM11497" i="26"/>
  <c r="AM11496" i="26"/>
  <c r="AM11495" i="26"/>
  <c r="AM11494" i="26"/>
  <c r="AM11493" i="26"/>
  <c r="AM11492" i="26"/>
  <c r="AM11491" i="26"/>
  <c r="AM11490" i="26"/>
  <c r="AM11489" i="26"/>
  <c r="AM11488" i="26"/>
  <c r="AM11487" i="26"/>
  <c r="AM11486" i="26"/>
  <c r="AM11485" i="26"/>
  <c r="AM11484" i="26"/>
  <c r="AM11483" i="26"/>
  <c r="AM11482" i="26"/>
  <c r="AM11481" i="26"/>
  <c r="AM11480" i="26"/>
  <c r="AM11479" i="26"/>
  <c r="AM11478" i="26"/>
  <c r="AM11477" i="26"/>
  <c r="AM11476" i="26"/>
  <c r="AM11475" i="26"/>
  <c r="AM11474" i="26"/>
  <c r="AM11473" i="26"/>
  <c r="AM11472" i="26"/>
  <c r="AM11471" i="26"/>
  <c r="AM11470" i="26"/>
  <c r="AM11469" i="26"/>
  <c r="AM11468" i="26"/>
  <c r="AM11467" i="26"/>
  <c r="AM11466" i="26"/>
  <c r="AM11465" i="26"/>
  <c r="AM11464" i="26"/>
  <c r="AM11463" i="26"/>
  <c r="AM11462" i="26"/>
  <c r="AM11461" i="26"/>
  <c r="AM11460" i="26"/>
  <c r="AM11459" i="26"/>
  <c r="AM11458" i="26"/>
  <c r="AM11457" i="26"/>
  <c r="AM11456" i="26"/>
  <c r="AM11455" i="26"/>
  <c r="AM11454" i="26"/>
  <c r="AM11453" i="26"/>
  <c r="AM11452" i="26"/>
  <c r="AM11451" i="26"/>
  <c r="AM11450" i="26"/>
  <c r="AM11449" i="26"/>
  <c r="AM11448" i="26"/>
  <c r="AM11447" i="26"/>
  <c r="AM11446" i="26"/>
  <c r="AM11445" i="26"/>
  <c r="AM11444" i="26"/>
  <c r="AM11443" i="26"/>
  <c r="AM11442" i="26"/>
  <c r="AM11441" i="26"/>
  <c r="AM11440" i="26"/>
  <c r="AM11439" i="26"/>
  <c r="AM11438" i="26"/>
  <c r="AM11437" i="26"/>
  <c r="AM11436" i="26"/>
  <c r="AM11435" i="26"/>
  <c r="AM11434" i="26"/>
  <c r="AM11433" i="26"/>
  <c r="AM11432" i="26"/>
  <c r="AM11431" i="26"/>
  <c r="AM11430" i="26"/>
  <c r="AM11429" i="26"/>
  <c r="AM11428" i="26"/>
  <c r="AM11427" i="26"/>
  <c r="AM11426" i="26"/>
  <c r="AM11425" i="26"/>
  <c r="AM11424" i="26"/>
  <c r="AM11423" i="26"/>
  <c r="AM11422" i="26"/>
  <c r="AM11421" i="26"/>
  <c r="AM11420" i="26"/>
  <c r="AM11419" i="26"/>
  <c r="AM11418" i="26"/>
  <c r="AM11417" i="26"/>
  <c r="AM11416" i="26"/>
  <c r="AM11415" i="26"/>
  <c r="AM11414" i="26"/>
  <c r="AM11413" i="26"/>
  <c r="AM11412" i="26"/>
  <c r="AM11411" i="26"/>
  <c r="AM11410" i="26"/>
  <c r="AM11409" i="26"/>
  <c r="AM11408" i="26"/>
  <c r="AM11407" i="26"/>
  <c r="AM11406" i="26"/>
  <c r="AM11405" i="26"/>
  <c r="AM11404" i="26"/>
  <c r="AM11403" i="26"/>
  <c r="AM11402" i="26"/>
  <c r="AM11401" i="26"/>
  <c r="AM11400" i="26"/>
  <c r="AM11399" i="26"/>
  <c r="AM11398" i="26"/>
  <c r="AM11397" i="26"/>
  <c r="AM11396" i="26"/>
  <c r="AM11395" i="26"/>
  <c r="AM11394" i="26"/>
  <c r="AM11393" i="26"/>
  <c r="AM11392" i="26"/>
  <c r="AM11391" i="26"/>
  <c r="AM11390" i="26"/>
  <c r="AM11389" i="26"/>
  <c r="AM11388" i="26"/>
  <c r="AM11387" i="26"/>
  <c r="AM11386" i="26"/>
  <c r="AM11385" i="26"/>
  <c r="AM11384" i="26"/>
  <c r="AM11383" i="26"/>
  <c r="AM11382" i="26"/>
  <c r="AM11381" i="26"/>
  <c r="AM11380" i="26"/>
  <c r="AM11379" i="26"/>
  <c r="AM11378" i="26"/>
  <c r="AM11377" i="26"/>
  <c r="AM11376" i="26"/>
  <c r="AM11375" i="26"/>
  <c r="AM11374" i="26"/>
  <c r="AM11373" i="26"/>
  <c r="AM11372" i="26"/>
  <c r="AM11371" i="26"/>
  <c r="AM11370" i="26"/>
  <c r="AM11369" i="26"/>
  <c r="AM11368" i="26"/>
  <c r="AM11367" i="26"/>
  <c r="AM11366" i="26"/>
  <c r="AM11365" i="26"/>
  <c r="AM11364" i="26"/>
  <c r="AM11363" i="26"/>
  <c r="AM11362" i="26"/>
  <c r="AM11361" i="26"/>
  <c r="AM11360" i="26"/>
  <c r="AM11359" i="26"/>
  <c r="AM11358" i="26"/>
  <c r="AM11357" i="26"/>
  <c r="AM11356" i="26"/>
  <c r="AM11355" i="26"/>
  <c r="AM11354" i="26"/>
  <c r="AM11353" i="26"/>
  <c r="AM11352" i="26"/>
  <c r="AM11351" i="26"/>
  <c r="AM11350" i="26"/>
  <c r="AM11349" i="26"/>
  <c r="AM11348" i="26"/>
  <c r="AM11347" i="26"/>
  <c r="AM11346" i="26"/>
  <c r="AM11345" i="26"/>
  <c r="AM11344" i="26"/>
  <c r="AM11343" i="26"/>
  <c r="AM11342" i="26"/>
  <c r="AM11341" i="26"/>
  <c r="AM11340" i="26"/>
  <c r="AM11339" i="26"/>
  <c r="AM11338" i="26"/>
  <c r="AM11337" i="26"/>
  <c r="AM11336" i="26"/>
  <c r="AM11335" i="26"/>
  <c r="AM11334" i="26"/>
  <c r="AM11333" i="26"/>
  <c r="AM11332" i="26"/>
  <c r="AM11331" i="26"/>
  <c r="AM11330" i="26"/>
  <c r="AM11329" i="26"/>
  <c r="AM11328" i="26"/>
  <c r="AM11327" i="26"/>
  <c r="AM11326" i="26"/>
  <c r="AM11325" i="26"/>
  <c r="AM11324" i="26"/>
  <c r="AM11323" i="26"/>
  <c r="AM11322" i="26"/>
  <c r="AM11321" i="26"/>
  <c r="AM11320" i="26"/>
  <c r="AM11319" i="26"/>
  <c r="AM11318" i="26"/>
  <c r="AM11317" i="26"/>
  <c r="AM11316" i="26"/>
  <c r="AM11315" i="26"/>
  <c r="AM11314" i="26"/>
  <c r="AM11313" i="26"/>
  <c r="AM11312" i="26"/>
  <c r="AM11311" i="26"/>
  <c r="AM11310" i="26"/>
  <c r="AM11309" i="26"/>
  <c r="AM11308" i="26"/>
  <c r="AM11307" i="26"/>
  <c r="AM11306" i="26"/>
  <c r="AM11305" i="26"/>
  <c r="AM11304" i="26"/>
  <c r="AM11303" i="26"/>
  <c r="AM11302" i="26"/>
  <c r="AM11301" i="26"/>
  <c r="AM11300" i="26"/>
  <c r="AM11299" i="26"/>
  <c r="AM11298" i="26"/>
  <c r="AM11297" i="26"/>
  <c r="AM11296" i="26"/>
  <c r="AM11295" i="26"/>
  <c r="AM11294" i="26"/>
  <c r="AM11293" i="26"/>
  <c r="AM11292" i="26"/>
  <c r="AM11291" i="26"/>
  <c r="AM11290" i="26"/>
  <c r="AM11289" i="26"/>
  <c r="AM11288" i="26"/>
  <c r="AM11287" i="26"/>
  <c r="AM11286" i="26"/>
  <c r="AM11285" i="26"/>
  <c r="AM11284" i="26"/>
  <c r="AM11283" i="26"/>
  <c r="AM11282" i="26"/>
  <c r="AM11281" i="26"/>
  <c r="AM11280" i="26"/>
  <c r="AM11279" i="26"/>
  <c r="AM11278" i="26"/>
  <c r="AM11277" i="26"/>
  <c r="AM11276" i="26"/>
  <c r="AM11275" i="26"/>
  <c r="AM11274" i="26"/>
  <c r="AM11273" i="26"/>
  <c r="AM11272" i="26"/>
  <c r="AM11271" i="26"/>
  <c r="AM11270" i="26"/>
  <c r="AM11269" i="26"/>
  <c r="AM11268" i="26"/>
  <c r="AM11267" i="26"/>
  <c r="AM11266" i="26"/>
  <c r="AM11265" i="26"/>
  <c r="AM11264" i="26"/>
  <c r="AM11263" i="26"/>
  <c r="AM11262" i="26"/>
  <c r="AM11261" i="26"/>
  <c r="AM11260" i="26"/>
  <c r="AM11259" i="26"/>
  <c r="AM11258" i="26"/>
  <c r="AM11257" i="26"/>
  <c r="AM11256" i="26"/>
  <c r="AM11255" i="26"/>
  <c r="AM11254" i="26"/>
  <c r="AM11253" i="26"/>
  <c r="AM11252" i="26"/>
  <c r="AM11251" i="26"/>
  <c r="AM11250" i="26"/>
  <c r="AM11249" i="26"/>
  <c r="AM11248" i="26"/>
  <c r="AM11247" i="26"/>
  <c r="AM11246" i="26"/>
  <c r="AM11245" i="26"/>
  <c r="AM11244" i="26"/>
  <c r="AM11243" i="26"/>
  <c r="AM11242" i="26"/>
  <c r="AM11241" i="26"/>
  <c r="AM11240" i="26"/>
  <c r="AM11239" i="26"/>
  <c r="AM11238" i="26"/>
  <c r="AM11237" i="26"/>
  <c r="AM11236" i="26"/>
  <c r="AM11235" i="26"/>
  <c r="AM11234" i="26"/>
  <c r="AM11233" i="26"/>
  <c r="AM11232" i="26"/>
  <c r="AM11231" i="26"/>
  <c r="AM11230" i="26"/>
  <c r="AM11229" i="26"/>
  <c r="AM11228" i="26"/>
  <c r="AM11227" i="26"/>
  <c r="AM11226" i="26"/>
  <c r="AM11225" i="26"/>
  <c r="AM11224" i="26"/>
  <c r="AM11223" i="26"/>
  <c r="AM11222" i="26"/>
  <c r="AM11221" i="26"/>
  <c r="AM11220" i="26"/>
  <c r="AM11219" i="26"/>
  <c r="AM11218" i="26"/>
  <c r="AM11217" i="26"/>
  <c r="AM11216" i="26"/>
  <c r="AM11215" i="26"/>
  <c r="AM11214" i="26"/>
  <c r="AM11213" i="26"/>
  <c r="AM11212" i="26"/>
  <c r="AM11211" i="26"/>
  <c r="AM11210" i="26"/>
  <c r="AM11209" i="26"/>
  <c r="AM11208" i="26"/>
  <c r="AM11207" i="26"/>
  <c r="AM11206" i="26"/>
  <c r="AM11205" i="26"/>
  <c r="AM11204" i="26"/>
  <c r="AM11203" i="26"/>
  <c r="AM11202" i="26"/>
  <c r="AM11201" i="26"/>
  <c r="AM11200" i="26"/>
  <c r="AM11199" i="26"/>
  <c r="AM11198" i="26"/>
  <c r="AM11197" i="26"/>
  <c r="AM11196" i="26"/>
  <c r="AM11195" i="26"/>
  <c r="AM11194" i="26"/>
  <c r="AM11193" i="26"/>
  <c r="AM11192" i="26"/>
  <c r="AM11191" i="26"/>
  <c r="AM11190" i="26"/>
  <c r="AM11189" i="26"/>
  <c r="AM11188" i="26"/>
  <c r="AM11187" i="26"/>
  <c r="AM11186" i="26"/>
  <c r="AM11185" i="26"/>
  <c r="AM11184" i="26"/>
  <c r="AM11183" i="26"/>
  <c r="AM11182" i="26"/>
  <c r="AM11181" i="26"/>
  <c r="AM11180" i="26"/>
  <c r="AM11179" i="26"/>
  <c r="AM11178" i="26"/>
  <c r="AM11177" i="26"/>
  <c r="AM11176" i="26"/>
  <c r="AM11175" i="26"/>
  <c r="AM11174" i="26"/>
  <c r="AM11173" i="26"/>
  <c r="AM11172" i="26"/>
  <c r="AM11171" i="26"/>
  <c r="AM11170" i="26"/>
  <c r="AM11169" i="26"/>
  <c r="AM11168" i="26"/>
  <c r="AM11167" i="26"/>
  <c r="AM11166" i="26"/>
  <c r="AM11165" i="26"/>
  <c r="AM11164" i="26"/>
  <c r="AM11163" i="26"/>
  <c r="AM11162" i="26"/>
  <c r="AM11161" i="26"/>
  <c r="AM11160" i="26"/>
  <c r="AM11159" i="26"/>
  <c r="AM11158" i="26"/>
  <c r="AM11157" i="26"/>
  <c r="AM11156" i="26"/>
  <c r="AM11155" i="26"/>
  <c r="AM11154" i="26"/>
  <c r="AM11153" i="26"/>
  <c r="AM11152" i="26"/>
  <c r="AM11151" i="26"/>
  <c r="AM11150" i="26"/>
  <c r="AM11149" i="26"/>
  <c r="AM11148" i="26"/>
  <c r="AM11147" i="26"/>
  <c r="AM11146" i="26"/>
  <c r="AM11145" i="26"/>
  <c r="AM11144" i="26"/>
  <c r="AM11143" i="26"/>
  <c r="AM11142" i="26"/>
  <c r="AM11141" i="26"/>
  <c r="AM11140" i="26"/>
  <c r="AM11139" i="26"/>
  <c r="AM11138" i="26"/>
  <c r="AM11137" i="26"/>
  <c r="AM11136" i="26"/>
  <c r="AM11135" i="26"/>
  <c r="AM11134" i="26"/>
  <c r="AM11133" i="26"/>
  <c r="AM11132" i="26"/>
  <c r="AM11131" i="26"/>
  <c r="AM11130" i="26"/>
  <c r="AM11129" i="26"/>
  <c r="AM11128" i="26"/>
  <c r="AM11127" i="26"/>
  <c r="AM11126" i="26"/>
  <c r="AM11125" i="26"/>
  <c r="AM11124" i="26"/>
  <c r="AM11123" i="26"/>
  <c r="AM11122" i="26"/>
  <c r="AM11121" i="26"/>
  <c r="AM11120" i="26"/>
  <c r="AM11119" i="26"/>
  <c r="AM11118" i="26"/>
  <c r="AM11117" i="26"/>
  <c r="AM11116" i="26"/>
  <c r="AM11115" i="26"/>
  <c r="AM11114" i="26"/>
  <c r="AM11113" i="26"/>
  <c r="AM11112" i="26"/>
  <c r="AM11111" i="26"/>
  <c r="AM11110" i="26"/>
  <c r="AM11109" i="26"/>
  <c r="AM11108" i="26"/>
  <c r="AM11107" i="26"/>
  <c r="AM11106" i="26"/>
  <c r="AM11105" i="26"/>
  <c r="AM11104" i="26"/>
  <c r="AM11103" i="26"/>
  <c r="AM11102" i="26"/>
  <c r="AM11101" i="26"/>
  <c r="AM11100" i="26"/>
  <c r="AM11099" i="26"/>
  <c r="AM11098" i="26"/>
  <c r="AM11097" i="26"/>
  <c r="AM11096" i="26"/>
  <c r="AM11095" i="26"/>
  <c r="AM11094" i="26"/>
  <c r="AM11093" i="26"/>
  <c r="AM11092" i="26"/>
  <c r="AM11091" i="26"/>
  <c r="AM11090" i="26"/>
  <c r="AM11089" i="26"/>
  <c r="AM11088" i="26"/>
  <c r="AM11087" i="26"/>
  <c r="AM11086" i="26"/>
  <c r="AM11085" i="26"/>
  <c r="AM11084" i="26"/>
  <c r="AM11083" i="26"/>
  <c r="AM11082" i="26"/>
  <c r="AM11081" i="26"/>
  <c r="AM11080" i="26"/>
  <c r="AM11079" i="26"/>
  <c r="AM11078" i="26"/>
  <c r="AM11077" i="26"/>
  <c r="AM11076" i="26"/>
  <c r="AM11075" i="26"/>
  <c r="AM11074" i="26"/>
  <c r="AM11073" i="26"/>
  <c r="AM11072" i="26"/>
  <c r="AM11071" i="26"/>
  <c r="AM11070" i="26"/>
  <c r="AM11069" i="26"/>
  <c r="AM11068" i="26"/>
  <c r="AM11067" i="26"/>
  <c r="AM11066" i="26"/>
  <c r="AM11065" i="26"/>
  <c r="AM11064" i="26"/>
  <c r="AM11063" i="26"/>
  <c r="AM11062" i="26"/>
  <c r="AM11061" i="26"/>
  <c r="AM11060" i="26"/>
  <c r="AM11059" i="26"/>
  <c r="AM11058" i="26"/>
  <c r="AM11057" i="26"/>
  <c r="AM11056" i="26"/>
  <c r="AM11055" i="26"/>
  <c r="AM11054" i="26"/>
  <c r="AM11053" i="26"/>
  <c r="AM11052" i="26"/>
  <c r="AM11051" i="26"/>
  <c r="AM11050" i="26"/>
  <c r="AM11049" i="26"/>
  <c r="AM11048" i="26"/>
  <c r="AM11047" i="26"/>
  <c r="AM11046" i="26"/>
  <c r="AM11045" i="26"/>
  <c r="AM11044" i="26"/>
  <c r="AM11043" i="26"/>
  <c r="AM11042" i="26"/>
  <c r="AM11041" i="26"/>
  <c r="AM11040" i="26"/>
  <c r="AM11039" i="26"/>
  <c r="AM11038" i="26"/>
  <c r="AM11037" i="26"/>
  <c r="AM11036" i="26"/>
  <c r="AM11035" i="26"/>
  <c r="AM11034" i="26"/>
  <c r="AM11033" i="26"/>
  <c r="AM11032" i="26"/>
  <c r="AM11031" i="26"/>
  <c r="AM11030" i="26"/>
  <c r="AM11029" i="26"/>
  <c r="AM11028" i="26"/>
  <c r="AM11027" i="26"/>
  <c r="AM11026" i="26"/>
  <c r="AM11025" i="26"/>
  <c r="AM11024" i="26"/>
  <c r="AM11023" i="26"/>
  <c r="AM11022" i="26"/>
  <c r="AM11021" i="26"/>
  <c r="AM11020" i="26"/>
  <c r="AM11019" i="26"/>
  <c r="AM11018" i="26"/>
  <c r="AM11017" i="26"/>
  <c r="AM11016" i="26"/>
  <c r="AM11015" i="26"/>
  <c r="AM11014" i="26"/>
  <c r="AM11013" i="26"/>
  <c r="AM11012" i="26"/>
  <c r="AM11011" i="26"/>
  <c r="AM11010" i="26"/>
  <c r="AM11009" i="26"/>
  <c r="AM11008" i="26"/>
  <c r="AM11007" i="26"/>
  <c r="AM11006" i="26"/>
  <c r="AM11005" i="26"/>
  <c r="AM11004" i="26"/>
  <c r="AM11003" i="26"/>
  <c r="AM11002" i="26"/>
  <c r="AM11001" i="26"/>
  <c r="AM11000" i="26"/>
  <c r="AM10999" i="26"/>
  <c r="AM10998" i="26"/>
  <c r="AM10997" i="26"/>
  <c r="AM10996" i="26"/>
  <c r="AM10995" i="26"/>
  <c r="AM10994" i="26"/>
  <c r="AM10993" i="26"/>
  <c r="AM10992" i="26"/>
  <c r="AM10991" i="26"/>
  <c r="AM10990" i="26"/>
  <c r="AM10989" i="26"/>
  <c r="AM10988" i="26"/>
  <c r="AM10987" i="26"/>
  <c r="AM10986" i="26"/>
  <c r="AM10985" i="26"/>
  <c r="AM10984" i="26"/>
  <c r="AM10983" i="26"/>
  <c r="AM10982" i="26"/>
  <c r="AM10981" i="26"/>
  <c r="AM10980" i="26"/>
  <c r="AM10979" i="26"/>
  <c r="AM10978" i="26"/>
  <c r="AM10977" i="26"/>
  <c r="AM10976" i="26"/>
  <c r="AM10975" i="26"/>
  <c r="AM10974" i="26"/>
  <c r="AM10973" i="26"/>
  <c r="AM10972" i="26"/>
  <c r="AM10971" i="26"/>
  <c r="AM10970" i="26"/>
  <c r="AM10969" i="26"/>
  <c r="AM10968" i="26"/>
  <c r="AM10967" i="26"/>
  <c r="AM10966" i="26"/>
  <c r="AM10965" i="26"/>
  <c r="AM10964" i="26"/>
  <c r="AM10963" i="26"/>
  <c r="AM10962" i="26"/>
  <c r="AM10961" i="26"/>
  <c r="AM10960" i="26"/>
  <c r="AM10959" i="26"/>
  <c r="AM10958" i="26"/>
  <c r="AM10957" i="26"/>
  <c r="AM10956" i="26"/>
  <c r="AM10955" i="26"/>
  <c r="AM10954" i="26"/>
  <c r="AM10953" i="26"/>
  <c r="AM10952" i="26"/>
  <c r="AM10951" i="26"/>
  <c r="AM10950" i="26"/>
  <c r="AM10949" i="26"/>
  <c r="AM10948" i="26"/>
  <c r="AM10947" i="26"/>
  <c r="AM10946" i="26"/>
  <c r="AM10945" i="26"/>
  <c r="AM10944" i="26"/>
  <c r="AM10943" i="26"/>
  <c r="AM10942" i="26"/>
  <c r="AM10941" i="26"/>
  <c r="AM10940" i="26"/>
  <c r="AM10939" i="26"/>
  <c r="AM10938" i="26"/>
  <c r="AM10937" i="26"/>
  <c r="AM10936" i="26"/>
  <c r="AM10935" i="26"/>
  <c r="AM10934" i="26"/>
  <c r="AM10933" i="26"/>
  <c r="AM10932" i="26"/>
  <c r="AM10931" i="26"/>
  <c r="AM10930" i="26"/>
  <c r="AM10929" i="26"/>
  <c r="AM10928" i="26"/>
  <c r="AM10927" i="26"/>
  <c r="AM10926" i="26"/>
  <c r="AM10925" i="26"/>
  <c r="AM10924" i="26"/>
  <c r="AM10923" i="26"/>
  <c r="AM10922" i="26"/>
  <c r="AM10921" i="26"/>
  <c r="AM10920" i="26"/>
  <c r="AM10919" i="26"/>
  <c r="AM10918" i="26"/>
  <c r="AM10917" i="26"/>
  <c r="AM10916" i="26"/>
  <c r="AM10915" i="26"/>
  <c r="AM10914" i="26"/>
  <c r="AM10913" i="26"/>
  <c r="AM10912" i="26"/>
  <c r="AM10911" i="26"/>
  <c r="AM10910" i="26"/>
  <c r="AM10909" i="26"/>
  <c r="AM10908" i="26"/>
  <c r="AM10907" i="26"/>
  <c r="AM10906" i="26"/>
  <c r="AM10905" i="26"/>
  <c r="AM10904" i="26"/>
  <c r="AM10903" i="26"/>
  <c r="AM10902" i="26"/>
  <c r="AM10901" i="26"/>
  <c r="AM10900" i="26"/>
  <c r="AM10899" i="26"/>
  <c r="AM10898" i="26"/>
  <c r="AM10897" i="26"/>
  <c r="AM10896" i="26"/>
  <c r="AM10895" i="26"/>
  <c r="AM10894" i="26"/>
  <c r="AM10893" i="26"/>
  <c r="AM10892" i="26"/>
  <c r="AM10891" i="26"/>
  <c r="AM10890" i="26"/>
  <c r="AM10889" i="26"/>
  <c r="AM10888" i="26"/>
  <c r="AM10887" i="26"/>
  <c r="AM10886" i="26"/>
  <c r="AM10885" i="26"/>
  <c r="AM10884" i="26"/>
  <c r="AM10883" i="26"/>
  <c r="AM10882" i="26"/>
  <c r="AM10881" i="26"/>
  <c r="AM10880" i="26"/>
  <c r="AM10879" i="26"/>
  <c r="AM10878" i="26"/>
  <c r="AM10877" i="26"/>
  <c r="AM10876" i="26"/>
  <c r="AM10875" i="26"/>
  <c r="AM10874" i="26"/>
  <c r="AM10873" i="26"/>
  <c r="AM10872" i="26"/>
  <c r="AM10871" i="26"/>
  <c r="AM10870" i="26"/>
  <c r="AM10869" i="26"/>
  <c r="AM10868" i="26"/>
  <c r="AM10867" i="26"/>
  <c r="AM10866" i="26"/>
  <c r="AM10865" i="26"/>
  <c r="AM10864" i="26"/>
  <c r="AM10863" i="26"/>
  <c r="AM10862" i="26"/>
  <c r="AM10861" i="26"/>
  <c r="AM10860" i="26"/>
  <c r="AM10859" i="26"/>
  <c r="AM10858" i="26"/>
  <c r="AM10857" i="26"/>
  <c r="AM10856" i="26"/>
  <c r="AM10855" i="26"/>
  <c r="AM10854" i="26"/>
  <c r="AM10853" i="26"/>
  <c r="AM10852" i="26"/>
  <c r="AM10851" i="26"/>
  <c r="AM10850" i="26"/>
  <c r="AM10849" i="26"/>
  <c r="AM10848" i="26"/>
  <c r="AM10847" i="26"/>
  <c r="AM10846" i="26"/>
  <c r="AM10845" i="26"/>
  <c r="AM10844" i="26"/>
  <c r="AM10843" i="26"/>
  <c r="AM10842" i="26"/>
  <c r="AM10841" i="26"/>
  <c r="AM10840" i="26"/>
  <c r="AM10839" i="26"/>
  <c r="AM10838" i="26"/>
  <c r="AM10837" i="26"/>
  <c r="AM10836" i="26"/>
  <c r="AM10835" i="26"/>
  <c r="AM10834" i="26"/>
  <c r="AM10833" i="26"/>
  <c r="AM10832" i="26"/>
  <c r="AM10831" i="26"/>
  <c r="AM10830" i="26"/>
  <c r="AM10829" i="26"/>
  <c r="AM10828" i="26"/>
  <c r="AM10827" i="26"/>
  <c r="AM10826" i="26"/>
  <c r="AM10825" i="26"/>
  <c r="AM10824" i="26"/>
  <c r="AM10823" i="26"/>
  <c r="AM10822" i="26"/>
  <c r="AM10821" i="26"/>
  <c r="AM10820" i="26"/>
  <c r="AM10819" i="26"/>
  <c r="AM10818" i="26"/>
  <c r="AM10817" i="26"/>
  <c r="AM10816" i="26"/>
  <c r="AM10815" i="26"/>
  <c r="AM10814" i="26"/>
  <c r="AM10813" i="26"/>
  <c r="AM10812" i="26"/>
  <c r="AM10811" i="26"/>
  <c r="AM10810" i="26"/>
  <c r="AM10809" i="26"/>
  <c r="AM10808" i="26"/>
  <c r="AM10807" i="26"/>
  <c r="AM10806" i="26"/>
  <c r="AM10805" i="26"/>
  <c r="AM10804" i="26"/>
  <c r="AM10803" i="26"/>
  <c r="AM10802" i="26"/>
  <c r="AM10801" i="26"/>
  <c r="AM10800" i="26"/>
  <c r="AM10799" i="26"/>
  <c r="AM10798" i="26"/>
  <c r="AM10797" i="26"/>
  <c r="AM10796" i="26"/>
  <c r="AM10795" i="26"/>
  <c r="AM10794" i="26"/>
  <c r="AM10793" i="26"/>
  <c r="AM10792" i="26"/>
  <c r="AM10791" i="26"/>
  <c r="AM10790" i="26"/>
  <c r="AM10789" i="26"/>
  <c r="AM10788" i="26"/>
  <c r="AM10787" i="26"/>
  <c r="AM10786" i="26"/>
  <c r="AM10785" i="26"/>
  <c r="AM10784" i="26"/>
  <c r="AM10783" i="26"/>
  <c r="AM10782" i="26"/>
  <c r="AM10781" i="26"/>
  <c r="AM10780" i="26"/>
  <c r="AM10779" i="26"/>
  <c r="AM10778" i="26"/>
  <c r="AM10777" i="26"/>
  <c r="AM10776" i="26"/>
  <c r="AM10775" i="26"/>
  <c r="AM10774" i="26"/>
  <c r="AM10773" i="26"/>
  <c r="AM10772" i="26"/>
  <c r="AM10771" i="26"/>
  <c r="AM10770" i="26"/>
  <c r="AM10769" i="26"/>
  <c r="AM10768" i="26"/>
  <c r="AM10767" i="26"/>
  <c r="AM10766" i="26"/>
  <c r="AM10765" i="26"/>
  <c r="AM10764" i="26"/>
  <c r="AM10763" i="26"/>
  <c r="AM10762" i="26"/>
  <c r="AM10761" i="26"/>
  <c r="AM10760" i="26"/>
  <c r="AM10759" i="26"/>
  <c r="AM10758" i="26"/>
  <c r="AM10757" i="26"/>
  <c r="AM10756" i="26"/>
  <c r="AM10755" i="26"/>
  <c r="AM10754" i="26"/>
  <c r="AM10753" i="26"/>
  <c r="AM10752" i="26"/>
  <c r="AM10751" i="26"/>
  <c r="AM10750" i="26"/>
  <c r="AM10749" i="26"/>
  <c r="AM10748" i="26"/>
  <c r="AM10747" i="26"/>
  <c r="AM10746" i="26"/>
  <c r="AM10745" i="26"/>
  <c r="AM10744" i="26"/>
  <c r="AM10743" i="26"/>
  <c r="AM10742" i="26"/>
  <c r="AM10741" i="26"/>
  <c r="AM10740" i="26"/>
  <c r="AM10739" i="26"/>
  <c r="AM10738" i="26"/>
  <c r="AM10737" i="26"/>
  <c r="AM10736" i="26"/>
  <c r="AM10735" i="26"/>
  <c r="AM10734" i="26"/>
  <c r="AM10733" i="26"/>
  <c r="AM10732" i="26"/>
  <c r="AM10731" i="26"/>
  <c r="AM10730" i="26"/>
  <c r="AM10729" i="26"/>
  <c r="AM10728" i="26"/>
  <c r="AM10727" i="26"/>
  <c r="AM10726" i="26"/>
  <c r="AM10725" i="26"/>
  <c r="AM10724" i="26"/>
  <c r="AM10723" i="26"/>
  <c r="AM10722" i="26"/>
  <c r="AM10721" i="26"/>
  <c r="AM10720" i="26"/>
  <c r="AM10719" i="26"/>
  <c r="AM10718" i="26"/>
  <c r="AM10717" i="26"/>
  <c r="AM10716" i="26"/>
  <c r="AM10715" i="26"/>
  <c r="AM10714" i="26"/>
  <c r="AM10713" i="26"/>
  <c r="AM10712" i="26"/>
  <c r="AM10711" i="26"/>
  <c r="AM10710" i="26"/>
  <c r="AM10709" i="26"/>
  <c r="AM10708" i="26"/>
  <c r="AM10707" i="26"/>
  <c r="AM10706" i="26"/>
  <c r="AM10705" i="26"/>
  <c r="AM10704" i="26"/>
  <c r="AM10703" i="26"/>
  <c r="AM10702" i="26"/>
  <c r="AM10701" i="26"/>
  <c r="AM10700" i="26"/>
  <c r="AM10699" i="26"/>
  <c r="AM10698" i="26"/>
  <c r="AM10697" i="26"/>
  <c r="AM10696" i="26"/>
  <c r="AM10695" i="26"/>
  <c r="AM10694" i="26"/>
  <c r="AM10693" i="26"/>
  <c r="AM10692" i="26"/>
  <c r="AM10691" i="26"/>
  <c r="AM10690" i="26"/>
  <c r="AM10689" i="26"/>
  <c r="AM10688" i="26"/>
  <c r="AM10687" i="26"/>
  <c r="AM10686" i="26"/>
  <c r="AM10685" i="26"/>
  <c r="AM10684" i="26"/>
  <c r="AM10683" i="26"/>
  <c r="AM10682" i="26"/>
  <c r="AM10681" i="26"/>
  <c r="AM10680" i="26"/>
  <c r="AM10679" i="26"/>
  <c r="AM10678" i="26"/>
  <c r="AM10677" i="26"/>
  <c r="AM10676" i="26"/>
  <c r="AM10675" i="26"/>
  <c r="AM10674" i="26"/>
  <c r="AM10673" i="26"/>
  <c r="AM10672" i="26"/>
  <c r="AM10671" i="26"/>
  <c r="AM10670" i="26"/>
  <c r="AM10669" i="26"/>
  <c r="AM10668" i="26"/>
  <c r="AM10667" i="26"/>
  <c r="AM10666" i="26"/>
  <c r="AM10665" i="26"/>
  <c r="AM10664" i="26"/>
  <c r="AM10663" i="26"/>
  <c r="AM10662" i="26"/>
  <c r="AM10661" i="26"/>
  <c r="AM10660" i="26"/>
  <c r="AM10659" i="26"/>
  <c r="AM10658" i="26"/>
  <c r="AM10657" i="26"/>
  <c r="AM10656" i="26"/>
  <c r="AM10655" i="26"/>
  <c r="AM10654" i="26"/>
  <c r="AM10653" i="26"/>
  <c r="AM10652" i="26"/>
  <c r="AM10651" i="26"/>
  <c r="AM10650" i="26"/>
  <c r="AM10649" i="26"/>
  <c r="AM10648" i="26"/>
  <c r="AM10647" i="26"/>
  <c r="AM10646" i="26"/>
  <c r="AM10645" i="26"/>
  <c r="AM10644" i="26"/>
  <c r="AM10643" i="26"/>
  <c r="AM10642" i="26"/>
  <c r="AM10641" i="26"/>
  <c r="AM10640" i="26"/>
  <c r="AM10639" i="26"/>
  <c r="AM10638" i="26"/>
  <c r="AM10637" i="26"/>
  <c r="AM10636" i="26"/>
  <c r="AM10635" i="26"/>
  <c r="AM10634" i="26"/>
  <c r="AM10633" i="26"/>
  <c r="AM10632" i="26"/>
  <c r="AM10631" i="26"/>
  <c r="AM10630" i="26"/>
  <c r="AM10629" i="26"/>
  <c r="AM10628" i="26"/>
  <c r="AM10627" i="26"/>
  <c r="AM10626" i="26"/>
  <c r="AM10625" i="26"/>
  <c r="AM10624" i="26"/>
  <c r="AM10623" i="26"/>
  <c r="AM10622" i="26"/>
  <c r="AM10621" i="26"/>
  <c r="AM10620" i="26"/>
  <c r="AM10619" i="26"/>
  <c r="AM10618" i="26"/>
  <c r="AM10617" i="26"/>
  <c r="AM10616" i="26"/>
  <c r="AM10615" i="26"/>
  <c r="AM10614" i="26"/>
  <c r="AM10613" i="26"/>
  <c r="AM10612" i="26"/>
  <c r="AM10611" i="26"/>
  <c r="AM10610" i="26"/>
  <c r="AM10609" i="26"/>
  <c r="AM10608" i="26"/>
  <c r="AM10607" i="26"/>
  <c r="AM10606" i="26"/>
  <c r="AM10605" i="26"/>
  <c r="AM10604" i="26"/>
  <c r="AM10603" i="26"/>
  <c r="AM10602" i="26"/>
  <c r="AM10601" i="26"/>
  <c r="AM10600" i="26"/>
  <c r="AM10599" i="26"/>
  <c r="AM10598" i="26"/>
  <c r="AM10597" i="26"/>
  <c r="AM10596" i="26"/>
  <c r="AM10595" i="26"/>
  <c r="AM10594" i="26"/>
  <c r="AM10593" i="26"/>
  <c r="AM10592" i="26"/>
  <c r="AM10591" i="26"/>
  <c r="AM10590" i="26"/>
  <c r="AM10589" i="26"/>
  <c r="AM10588" i="26"/>
  <c r="AM10587" i="26"/>
  <c r="AM10586" i="26"/>
  <c r="AM10585" i="26"/>
  <c r="AM10584" i="26"/>
  <c r="AM10583" i="26"/>
  <c r="AM10582" i="26"/>
  <c r="AM10581" i="26"/>
  <c r="AM10580" i="26"/>
  <c r="AM10579" i="26"/>
  <c r="AM10578" i="26"/>
  <c r="AM10577" i="26"/>
  <c r="AM10576" i="26"/>
  <c r="AM10575" i="26"/>
  <c r="AM10574" i="26"/>
  <c r="AM10573" i="26"/>
  <c r="AM10572" i="26"/>
  <c r="AM10571" i="26"/>
  <c r="AM10570" i="26"/>
  <c r="AM10569" i="26"/>
  <c r="AM10568" i="26"/>
  <c r="AM10567" i="26"/>
  <c r="AM10566" i="26"/>
  <c r="AM10565" i="26"/>
  <c r="AM10564" i="26"/>
  <c r="AM10563" i="26"/>
  <c r="AM10562" i="26"/>
  <c r="AM10561" i="26"/>
  <c r="AM10560" i="26"/>
  <c r="AM10559" i="26"/>
  <c r="AM10558" i="26"/>
  <c r="AM10557" i="26"/>
  <c r="AM10556" i="26"/>
  <c r="AM10555" i="26"/>
  <c r="AM10554" i="26"/>
  <c r="AM10553" i="26"/>
  <c r="AM10552" i="26"/>
  <c r="AM10551" i="26"/>
  <c r="AM10550" i="26"/>
  <c r="AM10549" i="26"/>
  <c r="AM10548" i="26"/>
  <c r="AM10547" i="26"/>
  <c r="AM10546" i="26"/>
  <c r="AM10545" i="26"/>
  <c r="AM10544" i="26"/>
  <c r="AM10543" i="26"/>
  <c r="AM10542" i="26"/>
  <c r="AM10541" i="26"/>
  <c r="AM10540" i="26"/>
  <c r="AM10539" i="26"/>
  <c r="AM10538" i="26"/>
  <c r="AM10537" i="26"/>
  <c r="AM10536" i="26"/>
  <c r="AM10535" i="26"/>
  <c r="AM10534" i="26"/>
  <c r="AM10533" i="26"/>
  <c r="AM10532" i="26"/>
  <c r="AM10531" i="26"/>
  <c r="AM10530" i="26"/>
  <c r="AM10529" i="26"/>
  <c r="AM10528" i="26"/>
  <c r="AM10527" i="26"/>
  <c r="AM10526" i="26"/>
  <c r="AM10525" i="26"/>
  <c r="AM10524" i="26"/>
  <c r="AM10523" i="26"/>
  <c r="AM10522" i="26"/>
  <c r="AM10521" i="26"/>
  <c r="AM10520" i="26"/>
  <c r="AM10519" i="26"/>
  <c r="AM10518" i="26"/>
  <c r="AM10517" i="26"/>
  <c r="AM10516" i="26"/>
  <c r="AM10515" i="26"/>
  <c r="AM10514" i="26"/>
  <c r="AM10513" i="26"/>
  <c r="AM10512" i="26"/>
  <c r="AM10511" i="26"/>
  <c r="AM10510" i="26"/>
  <c r="AM10509" i="26"/>
  <c r="AM10508" i="26"/>
  <c r="AM10507" i="26"/>
  <c r="AM10506" i="26"/>
  <c r="AM10505" i="26"/>
  <c r="AM10504" i="26"/>
  <c r="AM10503" i="26"/>
  <c r="AM10502" i="26"/>
  <c r="AM10501" i="26"/>
  <c r="AM10500" i="26"/>
  <c r="AM10499" i="26"/>
  <c r="AM10498" i="26"/>
  <c r="AM10497" i="26"/>
  <c r="AM10496" i="26"/>
  <c r="AM10495" i="26"/>
  <c r="AM10494" i="26"/>
  <c r="AM10493" i="26"/>
  <c r="AM10492" i="26"/>
  <c r="AM10491" i="26"/>
  <c r="AM10490" i="26"/>
  <c r="AM10489" i="26"/>
  <c r="AM10488" i="26"/>
  <c r="AM10487" i="26"/>
  <c r="AM10486" i="26"/>
  <c r="AM10485" i="26"/>
  <c r="AM10484" i="26"/>
  <c r="AM10483" i="26"/>
  <c r="AM10482" i="26"/>
  <c r="AM10481" i="26"/>
  <c r="AM10480" i="26"/>
  <c r="AM10479" i="26"/>
  <c r="AM10478" i="26"/>
  <c r="AM10477" i="26"/>
  <c r="AM10476" i="26"/>
  <c r="AM10475" i="26"/>
  <c r="AM10474" i="26"/>
  <c r="AM10473" i="26"/>
  <c r="AM10472" i="26"/>
  <c r="AM10471" i="26"/>
  <c r="AM10470" i="26"/>
  <c r="AM10469" i="26"/>
  <c r="AM10468" i="26"/>
  <c r="AM10467" i="26"/>
  <c r="AM10466" i="26"/>
  <c r="AM10465" i="26"/>
  <c r="AM10464" i="26"/>
  <c r="AM10463" i="26"/>
  <c r="AM10462" i="26"/>
  <c r="AM10461" i="26"/>
  <c r="AM10460" i="26"/>
  <c r="AM10459" i="26"/>
  <c r="AM10458" i="26"/>
  <c r="AM10457" i="26"/>
  <c r="AM10456" i="26"/>
  <c r="AM10455" i="26"/>
  <c r="AM10454" i="26"/>
  <c r="AM10453" i="26"/>
  <c r="AM10452" i="26"/>
  <c r="AM10451" i="26"/>
  <c r="AM10450" i="26"/>
  <c r="AM10449" i="26"/>
  <c r="AM10448" i="26"/>
  <c r="AM10447" i="26"/>
  <c r="AM10446" i="26"/>
  <c r="AM10445" i="26"/>
  <c r="AM10444" i="26"/>
  <c r="AM10443" i="26"/>
  <c r="AM10442" i="26"/>
  <c r="AM10441" i="26"/>
  <c r="AM10440" i="26"/>
  <c r="AM10439" i="26"/>
  <c r="AM10438" i="26"/>
  <c r="AM10437" i="26"/>
  <c r="AM10436" i="26"/>
  <c r="AM10435" i="26"/>
  <c r="AM10434" i="26"/>
  <c r="AM10433" i="26"/>
  <c r="AM10432" i="26"/>
  <c r="AM10431" i="26"/>
  <c r="AM10430" i="26"/>
  <c r="AM10429" i="26"/>
  <c r="AM10428" i="26"/>
  <c r="AM10427" i="26"/>
  <c r="AM10426" i="26"/>
  <c r="AM10425" i="26"/>
  <c r="AM10424" i="26"/>
  <c r="AM10423" i="26"/>
  <c r="AM10422" i="26"/>
  <c r="AM10421" i="26"/>
  <c r="AM10420" i="26"/>
  <c r="AM10419" i="26"/>
  <c r="AM10418" i="26"/>
  <c r="AM10417" i="26"/>
  <c r="AM10416" i="26"/>
  <c r="AM10415" i="26"/>
  <c r="AM10414" i="26"/>
  <c r="AM10413" i="26"/>
  <c r="AM10412" i="26"/>
  <c r="AM10411" i="26"/>
  <c r="AM10410" i="26"/>
  <c r="AM10409" i="26"/>
  <c r="AM10408" i="26"/>
  <c r="AM10407" i="26"/>
  <c r="AM10406" i="26"/>
  <c r="AM10405" i="26"/>
  <c r="AM10404" i="26"/>
  <c r="AM10403" i="26"/>
  <c r="AM10402" i="26"/>
  <c r="AM10401" i="26"/>
  <c r="AM10400" i="26"/>
  <c r="AM10399" i="26"/>
  <c r="AM10398" i="26"/>
  <c r="AM10397" i="26"/>
  <c r="AM10396" i="26"/>
  <c r="AM10395" i="26"/>
  <c r="AM10394" i="26"/>
  <c r="AM10393" i="26"/>
  <c r="AM10392" i="26"/>
  <c r="AM10391" i="26"/>
  <c r="AM10390" i="26"/>
  <c r="AM10389" i="26"/>
  <c r="AM10388" i="26"/>
  <c r="AM10387" i="26"/>
  <c r="AM10386" i="26"/>
  <c r="AM10385" i="26"/>
  <c r="AM10384" i="26"/>
  <c r="AM10383" i="26"/>
  <c r="AM10382" i="26"/>
  <c r="AM10381" i="26"/>
  <c r="AM10380" i="26"/>
  <c r="AM10379" i="26"/>
  <c r="AM10378" i="26"/>
  <c r="AM10377" i="26"/>
  <c r="AM10376" i="26"/>
  <c r="AM10375" i="26"/>
  <c r="AM10374" i="26"/>
  <c r="AM10373" i="26"/>
  <c r="AM10372" i="26"/>
  <c r="AM10371" i="26"/>
  <c r="AM10370" i="26"/>
  <c r="AM10369" i="26"/>
  <c r="AM10368" i="26"/>
  <c r="AM10367" i="26"/>
  <c r="AM10366" i="26"/>
  <c r="AM10365" i="26"/>
  <c r="AM10364" i="26"/>
  <c r="AM10363" i="26"/>
  <c r="AM10362" i="26"/>
  <c r="AM10361" i="26"/>
  <c r="AM10360" i="26"/>
  <c r="AM10359" i="26"/>
  <c r="AM10358" i="26"/>
  <c r="AM10357" i="26"/>
  <c r="AM10356" i="26"/>
  <c r="AM10355" i="26"/>
  <c r="AM10354" i="26"/>
  <c r="AM10353" i="26"/>
  <c r="AM10352" i="26"/>
  <c r="AM10351" i="26"/>
  <c r="AM10350" i="26"/>
  <c r="AM10349" i="26"/>
  <c r="AM10348" i="26"/>
  <c r="AM10347" i="26"/>
  <c r="AM10346" i="26"/>
  <c r="AM10345" i="26"/>
  <c r="AM10344" i="26"/>
  <c r="AM10343" i="26"/>
  <c r="AM10342" i="26"/>
  <c r="AM10341" i="26"/>
  <c r="AM10340" i="26"/>
  <c r="AM10339" i="26"/>
  <c r="AM10338" i="26"/>
  <c r="AM10337" i="26"/>
  <c r="AM10336" i="26"/>
  <c r="AM10335" i="26"/>
  <c r="AM10334" i="26"/>
  <c r="AM10333" i="26"/>
  <c r="AM10332" i="26"/>
  <c r="AM10331" i="26"/>
  <c r="AM10330" i="26"/>
  <c r="AM10329" i="26"/>
  <c r="AM10328" i="26"/>
  <c r="AM10327" i="26"/>
  <c r="AM10326" i="26"/>
  <c r="AM10325" i="26"/>
  <c r="AM10324" i="26"/>
  <c r="AM10323" i="26"/>
  <c r="AM10322" i="26"/>
  <c r="AM10321" i="26"/>
  <c r="AM10320" i="26"/>
  <c r="AM10319" i="26"/>
  <c r="AM10318" i="26"/>
  <c r="AM10317" i="26"/>
  <c r="AM10316" i="26"/>
  <c r="AM10315" i="26"/>
  <c r="AM10314" i="26"/>
  <c r="AM10313" i="26"/>
  <c r="AM10312" i="26"/>
  <c r="AM10311" i="26"/>
  <c r="AM10310" i="26"/>
  <c r="AM10309" i="26"/>
  <c r="AM10308" i="26"/>
  <c r="AM10307" i="26"/>
  <c r="AM10306" i="26"/>
  <c r="AM10305" i="26"/>
  <c r="AM10304" i="26"/>
  <c r="AM10303" i="26"/>
  <c r="AM10302" i="26"/>
  <c r="AM10301" i="26"/>
  <c r="AM10300" i="26"/>
  <c r="AM10299" i="26"/>
  <c r="AM10298" i="26"/>
  <c r="AM10297" i="26"/>
  <c r="AM10296" i="26"/>
  <c r="AM10295" i="26"/>
  <c r="AM10294" i="26"/>
  <c r="AM10293" i="26"/>
  <c r="AM10292" i="26"/>
  <c r="AM10291" i="26"/>
  <c r="AM10290" i="26"/>
  <c r="AM10289" i="26"/>
  <c r="AM10288" i="26"/>
  <c r="AM10287" i="26"/>
  <c r="AM10286" i="26"/>
  <c r="AM10285" i="26"/>
  <c r="AM10284" i="26"/>
  <c r="AM10283" i="26"/>
  <c r="AM10282" i="26"/>
  <c r="AM10281" i="26"/>
  <c r="AM10280" i="26"/>
  <c r="AM10279" i="26"/>
  <c r="AM10278" i="26"/>
  <c r="AM10277" i="26"/>
  <c r="AM10276" i="26"/>
  <c r="AM10275" i="26"/>
  <c r="AM10274" i="26"/>
  <c r="AM10273" i="26"/>
  <c r="AM10272" i="26"/>
  <c r="AM10271" i="26"/>
  <c r="AM10270" i="26"/>
  <c r="AM10269" i="26"/>
  <c r="AM10268" i="26"/>
  <c r="AM10267" i="26"/>
  <c r="AM10266" i="26"/>
  <c r="AM10265" i="26"/>
  <c r="AM10264" i="26"/>
  <c r="AM10263" i="26"/>
  <c r="AM10262" i="26"/>
  <c r="AM10261" i="26"/>
  <c r="AM10260" i="26"/>
  <c r="AM10259" i="26"/>
  <c r="AM10258" i="26"/>
  <c r="AM10257" i="26"/>
  <c r="AM10256" i="26"/>
  <c r="AM10255" i="26"/>
  <c r="AM10254" i="26"/>
  <c r="AM10253" i="26"/>
  <c r="AM10252" i="26"/>
  <c r="AM10251" i="26"/>
  <c r="AM10250" i="26"/>
  <c r="AM10249" i="26"/>
  <c r="AM10248" i="26"/>
  <c r="AM10247" i="26"/>
  <c r="AM10246" i="26"/>
  <c r="AM10245" i="26"/>
  <c r="AM10244" i="26"/>
  <c r="AM10243" i="26"/>
  <c r="AM10242" i="26"/>
  <c r="AM10241" i="26"/>
  <c r="AM10240" i="26"/>
  <c r="AM10239" i="26"/>
  <c r="AM10238" i="26"/>
  <c r="AM10237" i="26"/>
  <c r="AM10236" i="26"/>
  <c r="AM10235" i="26"/>
  <c r="AM10234" i="26"/>
  <c r="AM10233" i="26"/>
  <c r="AM10232" i="26"/>
  <c r="AM10231" i="26"/>
  <c r="AM10230" i="26"/>
  <c r="AM10229" i="26"/>
  <c r="AM10228" i="26"/>
  <c r="AM10227" i="26"/>
  <c r="AM10226" i="26"/>
  <c r="AM10225" i="26"/>
  <c r="AM10224" i="26"/>
  <c r="AM10223" i="26"/>
  <c r="AM10222" i="26"/>
  <c r="AM10221" i="26"/>
  <c r="AM10220" i="26"/>
  <c r="AM10219" i="26"/>
  <c r="AM10218" i="26"/>
  <c r="AM10217" i="26"/>
  <c r="AM10216" i="26"/>
  <c r="AM10215" i="26"/>
  <c r="AM10214" i="26"/>
  <c r="AM10213" i="26"/>
  <c r="AM10212" i="26"/>
  <c r="AM10211" i="26"/>
  <c r="AM10210" i="26"/>
  <c r="AM10209" i="26"/>
  <c r="AM10208" i="26"/>
  <c r="AM10207" i="26"/>
  <c r="AM10206" i="26"/>
  <c r="AM10205" i="26"/>
  <c r="AM10204" i="26"/>
  <c r="AM10203" i="26"/>
  <c r="AM10202" i="26"/>
  <c r="AM10201" i="26"/>
  <c r="AM10200" i="26"/>
  <c r="AM10199" i="26"/>
  <c r="AM10198" i="26"/>
  <c r="AM10197" i="26"/>
  <c r="AM10196" i="26"/>
  <c r="AM10195" i="26"/>
  <c r="AM10194" i="26"/>
  <c r="AM10193" i="26"/>
  <c r="AM10192" i="26"/>
  <c r="AM10191" i="26"/>
  <c r="AM10190" i="26"/>
  <c r="AM10189" i="26"/>
  <c r="AM10188" i="26"/>
  <c r="AM10187" i="26"/>
  <c r="AM10186" i="26"/>
  <c r="AM10185" i="26"/>
  <c r="AM10184" i="26"/>
  <c r="AM10183" i="26"/>
  <c r="AM10182" i="26"/>
  <c r="AM10181" i="26"/>
  <c r="AM10180" i="26"/>
  <c r="AM10179" i="26"/>
  <c r="AM10178" i="26"/>
  <c r="AM10177" i="26"/>
  <c r="AM10176" i="26"/>
  <c r="AM10175" i="26"/>
  <c r="AM10174" i="26"/>
  <c r="AM10173" i="26"/>
  <c r="AM10172" i="26"/>
  <c r="AM10171" i="26"/>
  <c r="AM10170" i="26"/>
  <c r="AM10169" i="26"/>
  <c r="AM10168" i="26"/>
  <c r="AM10167" i="26"/>
  <c r="AM10166" i="26"/>
  <c r="AM10165" i="26"/>
  <c r="AM10164" i="26"/>
  <c r="AM10163" i="26"/>
  <c r="AM10162" i="26"/>
  <c r="AM10161" i="26"/>
  <c r="AM10160" i="26"/>
  <c r="AM10159" i="26"/>
  <c r="AM10158" i="26"/>
  <c r="AM10157" i="26"/>
  <c r="AM10156" i="26"/>
  <c r="AM10155" i="26"/>
  <c r="AM10154" i="26"/>
  <c r="AM10153" i="26"/>
  <c r="AM10152" i="26"/>
  <c r="AM10151" i="26"/>
  <c r="AM10150" i="26"/>
  <c r="AM10149" i="26"/>
  <c r="AM10148" i="26"/>
  <c r="AM10147" i="26"/>
  <c r="AM10146" i="26"/>
  <c r="AM10145" i="26"/>
  <c r="AM10144" i="26"/>
  <c r="AM10143" i="26"/>
  <c r="AM10142" i="26"/>
  <c r="AM10141" i="26"/>
  <c r="AM10140" i="26"/>
  <c r="AM10139" i="26"/>
  <c r="AM10138" i="26"/>
  <c r="AM10137" i="26"/>
  <c r="AM10136" i="26"/>
  <c r="AM10135" i="26"/>
  <c r="AM10134" i="26"/>
  <c r="AM10133" i="26"/>
  <c r="AM10132" i="26"/>
  <c r="AM10131" i="26"/>
  <c r="AM10130" i="26"/>
  <c r="AM10129" i="26"/>
  <c r="AM10128" i="26"/>
  <c r="AM10127" i="26"/>
  <c r="AM10126" i="26"/>
  <c r="AM10125" i="26"/>
  <c r="AM10124" i="26"/>
  <c r="AM10123" i="26"/>
  <c r="AM10122" i="26"/>
  <c r="AM10121" i="26"/>
  <c r="AM10120" i="26"/>
  <c r="AM10119" i="26"/>
  <c r="AM10118" i="26"/>
  <c r="AM10117" i="26"/>
  <c r="AM10116" i="26"/>
  <c r="AM10115" i="26"/>
  <c r="AM10114" i="26"/>
  <c r="AM10113" i="26"/>
  <c r="AM10112" i="26"/>
  <c r="AM10111" i="26"/>
  <c r="AM10110" i="26"/>
  <c r="AM10109" i="26"/>
  <c r="AM10108" i="26"/>
  <c r="AM10107" i="26"/>
  <c r="AM10106" i="26"/>
  <c r="AM10105" i="26"/>
  <c r="AM10104" i="26"/>
  <c r="AM10103" i="26"/>
  <c r="AM10102" i="26"/>
  <c r="AM10101" i="26"/>
  <c r="AM10100" i="26"/>
  <c r="AM10099" i="26"/>
  <c r="AM10098" i="26"/>
  <c r="AM10097" i="26"/>
  <c r="AM10096" i="26"/>
  <c r="AM10095" i="26"/>
  <c r="AM10094" i="26"/>
  <c r="AM10093" i="26"/>
  <c r="AM10092" i="26"/>
  <c r="AM10091" i="26"/>
  <c r="AM10090" i="26"/>
  <c r="AM10089" i="26"/>
  <c r="AM10088" i="26"/>
  <c r="AM10087" i="26"/>
  <c r="AM10086" i="26"/>
  <c r="AM10085" i="26"/>
  <c r="AM10084" i="26"/>
  <c r="AM10083" i="26"/>
  <c r="AM10082" i="26"/>
  <c r="AM10081" i="26"/>
  <c r="AM10080" i="26"/>
  <c r="AM10079" i="26"/>
  <c r="AM10078" i="26"/>
  <c r="AM10077" i="26"/>
  <c r="AM10076" i="26"/>
  <c r="AM10075" i="26"/>
  <c r="AM10074" i="26"/>
  <c r="AM10073" i="26"/>
  <c r="AM10072" i="26"/>
  <c r="AM10071" i="26"/>
  <c r="AM10070" i="26"/>
  <c r="AM10069" i="26"/>
  <c r="AM10068" i="26"/>
  <c r="AM10067" i="26"/>
  <c r="AM10066" i="26"/>
  <c r="AM10065" i="26"/>
  <c r="AM10064" i="26"/>
  <c r="AM10063" i="26"/>
  <c r="AM10062" i="26"/>
  <c r="AM10061" i="26"/>
  <c r="AM10060" i="26"/>
  <c r="AM10059" i="26"/>
  <c r="AM10058" i="26"/>
  <c r="AM10057" i="26"/>
  <c r="AM10056" i="26"/>
  <c r="AM10055" i="26"/>
  <c r="AM10054" i="26"/>
  <c r="AM10053" i="26"/>
  <c r="AM10052" i="26"/>
  <c r="AM10051" i="26"/>
  <c r="AM10050" i="26"/>
  <c r="AM10049" i="26"/>
  <c r="AM10048" i="26"/>
  <c r="AM10047" i="26"/>
  <c r="AM10046" i="26"/>
  <c r="AM10045" i="26"/>
  <c r="AM10044" i="26"/>
  <c r="AM10043" i="26"/>
  <c r="AM10042" i="26"/>
  <c r="AM10041" i="26"/>
  <c r="AM10040" i="26"/>
  <c r="AM10039" i="26"/>
  <c r="AM10038" i="26"/>
  <c r="AM10037" i="26"/>
  <c r="AM10036" i="26"/>
  <c r="AM10035" i="26"/>
  <c r="AM10034" i="26"/>
  <c r="AM10033" i="26"/>
  <c r="AM10032" i="26"/>
  <c r="AM10031" i="26"/>
  <c r="AM10030" i="26"/>
  <c r="AM10029" i="26"/>
  <c r="AM10028" i="26"/>
  <c r="AM10027" i="26"/>
  <c r="AM10026" i="26"/>
  <c r="AM10025" i="26"/>
  <c r="AM10024" i="26"/>
  <c r="AM10023" i="26"/>
  <c r="AM10022" i="26"/>
  <c r="AM10021" i="26"/>
  <c r="AM10020" i="26"/>
  <c r="AM10019" i="26"/>
  <c r="AM10018" i="26"/>
  <c r="AM10017" i="26"/>
  <c r="AM10016" i="26"/>
  <c r="AM10015" i="26"/>
  <c r="AM10014" i="26"/>
  <c r="AM10013" i="26"/>
  <c r="AM10012" i="26"/>
  <c r="AM10011" i="26"/>
  <c r="AM10010" i="26"/>
  <c r="AM10009" i="26"/>
  <c r="AM10008" i="26"/>
  <c r="AM10007" i="26"/>
  <c r="AM10006" i="26"/>
  <c r="AM10005" i="26"/>
  <c r="AM10004" i="26"/>
  <c r="AM10003" i="26"/>
  <c r="AM10002" i="26"/>
  <c r="AM10001" i="26"/>
  <c r="AM10000" i="26"/>
  <c r="AM9999" i="26"/>
  <c r="AM9998" i="26"/>
  <c r="AM9997" i="26"/>
  <c r="AM9996" i="26"/>
  <c r="AM9995" i="26"/>
  <c r="AM9994" i="26"/>
  <c r="AM9993" i="26"/>
  <c r="AM9992" i="26"/>
  <c r="AM9991" i="26"/>
  <c r="AM9990" i="26"/>
  <c r="AM9989" i="26"/>
  <c r="AM9988" i="26"/>
  <c r="AM9987" i="26"/>
  <c r="AM9986" i="26"/>
  <c r="AM9985" i="26"/>
  <c r="AM9984" i="26"/>
  <c r="AM9983" i="26"/>
  <c r="AM9982" i="26"/>
  <c r="AM9981" i="26"/>
  <c r="AM9980" i="26"/>
  <c r="AM9979" i="26"/>
  <c r="AM9978" i="26"/>
  <c r="AM9977" i="26"/>
  <c r="AM9976" i="26"/>
  <c r="AM9975" i="26"/>
  <c r="AM9974" i="26"/>
  <c r="AM9973" i="26"/>
  <c r="AM9972" i="26"/>
  <c r="AM9971" i="26"/>
  <c r="AM9970" i="26"/>
  <c r="AM9969" i="26"/>
  <c r="AM9968" i="26"/>
  <c r="AM9967" i="26"/>
  <c r="AM9966" i="26"/>
  <c r="AM9965" i="26"/>
  <c r="AM9964" i="26"/>
  <c r="AM9963" i="26"/>
  <c r="AM9962" i="26"/>
  <c r="AM9961" i="26"/>
  <c r="AM9960" i="26"/>
  <c r="AM9959" i="26"/>
  <c r="AM9958" i="26"/>
  <c r="AM9957" i="26"/>
  <c r="AM9956" i="26"/>
  <c r="AM9955" i="26"/>
  <c r="AM9954" i="26"/>
  <c r="AM9953" i="26"/>
  <c r="AM9952" i="26"/>
  <c r="AM9951" i="26"/>
  <c r="AM9950" i="26"/>
  <c r="AM9949" i="26"/>
  <c r="AM9948" i="26"/>
  <c r="AM9947" i="26"/>
  <c r="AM9946" i="26"/>
  <c r="AM9945" i="26"/>
  <c r="AM9944" i="26"/>
  <c r="AM9943" i="26"/>
  <c r="AM9942" i="26"/>
  <c r="AM9941" i="26"/>
  <c r="AM9940" i="26"/>
  <c r="AM9939" i="26"/>
  <c r="AM9938" i="26"/>
  <c r="AM9937" i="26"/>
  <c r="AM9936" i="26"/>
  <c r="AM9935" i="26"/>
  <c r="AM9934" i="26"/>
  <c r="AM9933" i="26"/>
  <c r="AM9932" i="26"/>
  <c r="AM9931" i="26"/>
  <c r="AM9930" i="26"/>
  <c r="AM9929" i="26"/>
  <c r="AM9928" i="26"/>
  <c r="AM9927" i="26"/>
  <c r="AM9926" i="26"/>
  <c r="AM9925" i="26"/>
  <c r="AM9924" i="26"/>
  <c r="AM9923" i="26"/>
  <c r="AM9922" i="26"/>
  <c r="AM9921" i="26"/>
  <c r="AM9920" i="26"/>
  <c r="AM9919" i="26"/>
  <c r="AM9918" i="26"/>
  <c r="AM9917" i="26"/>
  <c r="AM9916" i="26"/>
  <c r="AM9915" i="26"/>
  <c r="AM9914" i="26"/>
  <c r="AM9913" i="26"/>
  <c r="AM9912" i="26"/>
  <c r="AM9911" i="26"/>
  <c r="AM9910" i="26"/>
  <c r="AM9909" i="26"/>
  <c r="AM9908" i="26"/>
  <c r="AM9907" i="26"/>
  <c r="AM9906" i="26"/>
  <c r="AM9905" i="26"/>
  <c r="AM9904" i="26"/>
  <c r="AM9903" i="26"/>
  <c r="AM9902" i="26"/>
  <c r="AM9901" i="26"/>
  <c r="AM9900" i="26"/>
  <c r="AM9899" i="26"/>
  <c r="AM9898" i="26"/>
  <c r="AM9897" i="26"/>
  <c r="AM9896" i="26"/>
  <c r="AM9895" i="26"/>
  <c r="AM9894" i="26"/>
  <c r="AM9893" i="26"/>
  <c r="AM9892" i="26"/>
  <c r="AM9891" i="26"/>
  <c r="AM9890" i="26"/>
  <c r="AM9889" i="26"/>
  <c r="AM9888" i="26"/>
  <c r="AM9887" i="26"/>
  <c r="AM9886" i="26"/>
  <c r="AM9885" i="26"/>
  <c r="AM9884" i="26"/>
  <c r="AM9883" i="26"/>
  <c r="AM9882" i="26"/>
  <c r="AM9881" i="26"/>
  <c r="AM9880" i="26"/>
  <c r="AM9879" i="26"/>
  <c r="AM9878" i="26"/>
  <c r="AM9877" i="26"/>
  <c r="AM9876" i="26"/>
  <c r="AM9875" i="26"/>
  <c r="AM9874" i="26"/>
  <c r="AM9873" i="26"/>
  <c r="AM9872" i="26"/>
  <c r="AM9871" i="26"/>
  <c r="AM9870" i="26"/>
  <c r="AM9869" i="26"/>
  <c r="AM9868" i="26"/>
  <c r="AM9867" i="26"/>
  <c r="AM9866" i="26"/>
  <c r="AM9865" i="26"/>
  <c r="AM9864" i="26"/>
  <c r="AM9863" i="26"/>
  <c r="AM9862" i="26"/>
  <c r="AM9861" i="26"/>
  <c r="AM9860" i="26"/>
  <c r="AM9859" i="26"/>
  <c r="AM9858" i="26"/>
  <c r="AM9857" i="26"/>
  <c r="AM9856" i="26"/>
  <c r="AM9855" i="26"/>
  <c r="AM9854" i="26"/>
  <c r="AM9853" i="26"/>
  <c r="AM9852" i="26"/>
  <c r="AM9851" i="26"/>
  <c r="AM9850" i="26"/>
  <c r="AM9849" i="26"/>
  <c r="AM9848" i="26"/>
  <c r="AM9847" i="26"/>
  <c r="AM9846" i="26"/>
  <c r="AM9845" i="26"/>
  <c r="AM9844" i="26"/>
  <c r="AM9843" i="26"/>
  <c r="AM9842" i="26"/>
  <c r="AM9841" i="26"/>
  <c r="AM9840" i="26"/>
  <c r="AM9839" i="26"/>
  <c r="AM9838" i="26"/>
  <c r="AM9837" i="26"/>
  <c r="AM9836" i="26"/>
  <c r="AM9835" i="26"/>
  <c r="AM9834" i="26"/>
  <c r="AM9833" i="26"/>
  <c r="AM9832" i="26"/>
  <c r="AM9831" i="26"/>
  <c r="AM9830" i="26"/>
  <c r="AM9829" i="26"/>
  <c r="AM9828" i="26"/>
  <c r="AM9827" i="26"/>
  <c r="AM9826" i="26"/>
  <c r="AM9825" i="26"/>
  <c r="AM9824" i="26"/>
  <c r="AM9823" i="26"/>
  <c r="AM9822" i="26"/>
  <c r="AM9821" i="26"/>
  <c r="AM9820" i="26"/>
  <c r="AM9819" i="26"/>
  <c r="AM9818" i="26"/>
  <c r="AM9817" i="26"/>
  <c r="AM9816" i="26"/>
  <c r="AM9815" i="26"/>
  <c r="AM9814" i="26"/>
  <c r="AM9813" i="26"/>
  <c r="AM9812" i="26"/>
  <c r="AM9811" i="26"/>
  <c r="AM9810" i="26"/>
  <c r="AM9809" i="26"/>
  <c r="AM9808" i="26"/>
  <c r="AM9807" i="26"/>
  <c r="AM9806" i="26"/>
  <c r="AM9805" i="26"/>
  <c r="AM9804" i="26"/>
  <c r="AM9803" i="26"/>
  <c r="AM9802" i="26"/>
  <c r="AM9801" i="26"/>
  <c r="AM9800" i="26"/>
  <c r="AM9799" i="26"/>
  <c r="AM9798" i="26"/>
  <c r="AM9797" i="26"/>
  <c r="AM9796" i="26"/>
  <c r="AM9795" i="26"/>
  <c r="AM9794" i="26"/>
  <c r="AM9793" i="26"/>
  <c r="AM9792" i="26"/>
  <c r="AM9791" i="26"/>
  <c r="AM9790" i="26"/>
  <c r="AM9789" i="26"/>
  <c r="AM9788" i="26"/>
  <c r="AM9787" i="26"/>
  <c r="AM9786" i="26"/>
  <c r="AM9785" i="26"/>
  <c r="AM9784" i="26"/>
  <c r="AM9783" i="26"/>
  <c r="AM9782" i="26"/>
  <c r="AM9781" i="26"/>
  <c r="AM9780" i="26"/>
  <c r="AM9779" i="26"/>
  <c r="AM9778" i="26"/>
  <c r="AM9777" i="26"/>
  <c r="AM9776" i="26"/>
  <c r="AM9775" i="26"/>
  <c r="AM9774" i="26"/>
  <c r="AM9773" i="26"/>
  <c r="AM9772" i="26"/>
  <c r="AM9771" i="26"/>
  <c r="AM9770" i="26"/>
  <c r="AM9769" i="26"/>
  <c r="AM9768" i="26"/>
  <c r="AM9767" i="26"/>
  <c r="AM9766" i="26"/>
  <c r="AM9765" i="26"/>
  <c r="AM9764" i="26"/>
  <c r="AM9763" i="26"/>
  <c r="AM9762" i="26"/>
  <c r="AM9761" i="26"/>
  <c r="AM9760" i="26"/>
  <c r="AM9759" i="26"/>
  <c r="AM9758" i="26"/>
  <c r="AM9757" i="26"/>
  <c r="AM9756" i="26"/>
  <c r="AM9755" i="26"/>
  <c r="AM9754" i="26"/>
  <c r="AM9753" i="26"/>
  <c r="AM9752" i="26"/>
  <c r="AM9751" i="26"/>
  <c r="AM9750" i="26"/>
  <c r="AM9749" i="26"/>
  <c r="AM9748" i="26"/>
  <c r="AM9747" i="26"/>
  <c r="AM9746" i="26"/>
  <c r="AM9745" i="26"/>
  <c r="AM9744" i="26"/>
  <c r="AM9743" i="26"/>
  <c r="AM9742" i="26"/>
  <c r="AM9741" i="26"/>
  <c r="AM9740" i="26"/>
  <c r="AM9739" i="26"/>
  <c r="AM9738" i="26"/>
  <c r="AM9737" i="26"/>
  <c r="AM9736" i="26"/>
  <c r="AM9735" i="26"/>
  <c r="AM9734" i="26"/>
  <c r="AM9733" i="26"/>
  <c r="AM9732" i="26"/>
  <c r="AM9731" i="26"/>
  <c r="AM9730" i="26"/>
  <c r="AM9729" i="26"/>
  <c r="AM9728" i="26"/>
  <c r="AM9727" i="26"/>
  <c r="AM9726" i="26"/>
  <c r="AM9725" i="26"/>
  <c r="AM9724" i="26"/>
  <c r="AM9723" i="26"/>
  <c r="AM9722" i="26"/>
  <c r="AM9721" i="26"/>
  <c r="AM9720" i="26"/>
  <c r="AM9719" i="26"/>
  <c r="AM9718" i="26"/>
  <c r="AM9717" i="26"/>
  <c r="AM9716" i="26"/>
  <c r="AM9715" i="26"/>
  <c r="AM9714" i="26"/>
  <c r="AM9713" i="26"/>
  <c r="AM9712" i="26"/>
  <c r="AM9711" i="26"/>
  <c r="AM9710" i="26"/>
  <c r="AM9709" i="26"/>
  <c r="AM9708" i="26"/>
  <c r="AM9707" i="26"/>
  <c r="AM9706" i="26"/>
  <c r="AM9705" i="26"/>
  <c r="AM9704" i="26"/>
  <c r="AM9703" i="26"/>
  <c r="AM9702" i="26"/>
  <c r="AM9701" i="26"/>
  <c r="AM9700" i="26"/>
  <c r="AM9699" i="26"/>
  <c r="AM9698" i="26"/>
  <c r="AM9697" i="26"/>
  <c r="AM9696" i="26"/>
  <c r="AM9695" i="26"/>
  <c r="AM9694" i="26"/>
  <c r="AM9693" i="26"/>
  <c r="AM9692" i="26"/>
  <c r="AM9691" i="26"/>
  <c r="AM9690" i="26"/>
  <c r="AM9689" i="26"/>
  <c r="AM9688" i="26"/>
  <c r="AM9687" i="26"/>
  <c r="AM9686" i="26"/>
  <c r="AM9685" i="26"/>
  <c r="AM9684" i="26"/>
  <c r="AM9683" i="26"/>
  <c r="AM9682" i="26"/>
  <c r="AM9681" i="26"/>
  <c r="AM9680" i="26"/>
  <c r="AM9679" i="26"/>
  <c r="AM9678" i="26"/>
  <c r="AM9677" i="26"/>
  <c r="AM9676" i="26"/>
  <c r="AM9675" i="26"/>
  <c r="AM9674" i="26"/>
  <c r="AM9673" i="26"/>
  <c r="AM9672" i="26"/>
  <c r="AM9671" i="26"/>
  <c r="AM9670" i="26"/>
  <c r="AM9669" i="26"/>
  <c r="AM9668" i="26"/>
  <c r="AM9667" i="26"/>
  <c r="AM9666" i="26"/>
  <c r="AM9665" i="26"/>
  <c r="AM9664" i="26"/>
  <c r="AM9663" i="26"/>
  <c r="AM9662" i="26"/>
  <c r="AM9661" i="26"/>
  <c r="AM9660" i="26"/>
  <c r="AM9659" i="26"/>
  <c r="AM9658" i="26"/>
  <c r="AM9657" i="26"/>
  <c r="AM9656" i="26"/>
  <c r="AM9655" i="26"/>
  <c r="AM9654" i="26"/>
  <c r="AM9653" i="26"/>
  <c r="AM9652" i="26"/>
  <c r="AM9651" i="26"/>
  <c r="AM9650" i="26"/>
  <c r="AM9649" i="26"/>
  <c r="AM9648" i="26"/>
  <c r="AM9647" i="26"/>
  <c r="AM9646" i="26"/>
  <c r="AM9645" i="26"/>
  <c r="AM9644" i="26"/>
  <c r="AM9643" i="26"/>
  <c r="AM9642" i="26"/>
  <c r="AM9641" i="26"/>
  <c r="AM9640" i="26"/>
  <c r="AM9639" i="26"/>
  <c r="AM9638" i="26"/>
  <c r="AM9637" i="26"/>
  <c r="AM9636" i="26"/>
  <c r="AM9635" i="26"/>
  <c r="AM9634" i="26"/>
  <c r="AM9633" i="26"/>
  <c r="AM9632" i="26"/>
  <c r="AM9631" i="26"/>
  <c r="AM9630" i="26"/>
  <c r="AM9629" i="26"/>
  <c r="AM9628" i="26"/>
  <c r="AM9627" i="26"/>
  <c r="AM9626" i="26"/>
  <c r="AM9625" i="26"/>
  <c r="AM9624" i="26"/>
  <c r="AM9623" i="26"/>
  <c r="AM9622" i="26"/>
  <c r="AM9621" i="26"/>
  <c r="AM9620" i="26"/>
  <c r="AM9619" i="26"/>
  <c r="AM9618" i="26"/>
  <c r="AM9617" i="26"/>
  <c r="AM9616" i="26"/>
  <c r="AM9615" i="26"/>
  <c r="AM9614" i="26"/>
  <c r="AM9613" i="26"/>
  <c r="AM9612" i="26"/>
  <c r="AM9611" i="26"/>
  <c r="AM9610" i="26"/>
  <c r="AM9609" i="26"/>
  <c r="AM9608" i="26"/>
  <c r="AM9607" i="26"/>
  <c r="AM9606" i="26"/>
  <c r="AM9605" i="26"/>
  <c r="AM9604" i="26"/>
  <c r="AM9603" i="26"/>
  <c r="AM9602" i="26"/>
  <c r="AM9601" i="26"/>
  <c r="AM9600" i="26"/>
  <c r="AM9599" i="26"/>
  <c r="AM9598" i="26"/>
  <c r="AM9597" i="26"/>
  <c r="AM9596" i="26"/>
  <c r="AM9595" i="26"/>
  <c r="AM9594" i="26"/>
  <c r="AM9593" i="26"/>
  <c r="AM9592" i="26"/>
  <c r="AM9591" i="26"/>
  <c r="AM9590" i="26"/>
  <c r="AM9589" i="26"/>
  <c r="AM9588" i="26"/>
  <c r="AM9587" i="26"/>
  <c r="AM9586" i="26"/>
  <c r="AM9585" i="26"/>
  <c r="AM9584" i="26"/>
  <c r="AM9583" i="26"/>
  <c r="AM9582" i="26"/>
  <c r="AM9581" i="26"/>
  <c r="AM9580" i="26"/>
  <c r="AM9579" i="26"/>
  <c r="AM9578" i="26"/>
  <c r="AM9577" i="26"/>
  <c r="AM9576" i="26"/>
  <c r="AM9575" i="26"/>
  <c r="AM9574" i="26"/>
  <c r="AM9573" i="26"/>
  <c r="AM9572" i="26"/>
  <c r="AM9571" i="26"/>
  <c r="AM9570" i="26"/>
  <c r="AM9569" i="26"/>
  <c r="AM9568" i="26"/>
  <c r="AM9567" i="26"/>
  <c r="AM9566" i="26"/>
  <c r="AM9565" i="26"/>
  <c r="AM9564" i="26"/>
  <c r="AM9563" i="26"/>
  <c r="AM9562" i="26"/>
  <c r="AM9561" i="26"/>
  <c r="AM9560" i="26"/>
  <c r="AM9559" i="26"/>
  <c r="AM9558" i="26"/>
  <c r="AM9557" i="26"/>
  <c r="AM9556" i="26"/>
  <c r="AM9555" i="26"/>
  <c r="AM9554" i="26"/>
  <c r="AM9553" i="26"/>
  <c r="AM9552" i="26"/>
  <c r="AM9551" i="26"/>
  <c r="AM9550" i="26"/>
  <c r="AM9549" i="26"/>
  <c r="AM9548" i="26"/>
  <c r="AM9547" i="26"/>
  <c r="AM9546" i="26"/>
  <c r="AM9545" i="26"/>
  <c r="AM9544" i="26"/>
  <c r="AM9543" i="26"/>
  <c r="AM9542" i="26"/>
  <c r="AM9541" i="26"/>
  <c r="AM9540" i="26"/>
  <c r="AM9539" i="26"/>
  <c r="AM9538" i="26"/>
  <c r="AM9537" i="26"/>
  <c r="AM9536" i="26"/>
  <c r="AM9535" i="26"/>
  <c r="AM9534" i="26"/>
  <c r="AM9533" i="26"/>
  <c r="AM9532" i="26"/>
  <c r="AM9531" i="26"/>
  <c r="AM9530" i="26"/>
  <c r="AM9529" i="26"/>
  <c r="AM9528" i="26"/>
  <c r="AM9527" i="26"/>
  <c r="AM9526" i="26"/>
  <c r="AM9525" i="26"/>
  <c r="AM9524" i="26"/>
  <c r="AM9523" i="26"/>
  <c r="AM9522" i="26"/>
  <c r="AM9521" i="26"/>
  <c r="AM9520" i="26"/>
  <c r="AM9519" i="26"/>
  <c r="AM9518" i="26"/>
  <c r="AM9517" i="26"/>
  <c r="AM9516" i="26"/>
  <c r="AM9515" i="26"/>
  <c r="AM9514" i="26"/>
  <c r="AM9513" i="26"/>
  <c r="AM9512" i="26"/>
  <c r="AM9511" i="26"/>
  <c r="AM9510" i="26"/>
  <c r="AM9509" i="26"/>
  <c r="AM9508" i="26"/>
  <c r="AM9507" i="26"/>
  <c r="AM9506" i="26"/>
  <c r="AM9505" i="26"/>
  <c r="AM9504" i="26"/>
  <c r="AM9503" i="26"/>
  <c r="AM9502" i="26"/>
  <c r="AM9501" i="26"/>
  <c r="AM9500" i="26"/>
  <c r="AM9499" i="26"/>
  <c r="AM9498" i="26"/>
  <c r="AM9497" i="26"/>
  <c r="AM9496" i="26"/>
  <c r="AM9495" i="26"/>
  <c r="AM9494" i="26"/>
  <c r="AM9493" i="26"/>
  <c r="AM9492" i="26"/>
  <c r="AM9491" i="26"/>
  <c r="AM9490" i="26"/>
  <c r="AM9489" i="26"/>
  <c r="AM9488" i="26"/>
  <c r="AM9487" i="26"/>
  <c r="AM9486" i="26"/>
  <c r="AM9485" i="26"/>
  <c r="AM9484" i="26"/>
  <c r="AM9483" i="26"/>
  <c r="AM9482" i="26"/>
  <c r="AM9481" i="26"/>
  <c r="AM9480" i="26"/>
  <c r="AM9479" i="26"/>
  <c r="AM9478" i="26"/>
  <c r="AM9477" i="26"/>
  <c r="AM9476" i="26"/>
  <c r="AM9475" i="26"/>
  <c r="AM9474" i="26"/>
  <c r="AM9473" i="26"/>
  <c r="AM9472" i="26"/>
  <c r="AM9471" i="26"/>
  <c r="AM9470" i="26"/>
  <c r="AM9469" i="26"/>
  <c r="AM9468" i="26"/>
  <c r="AM9467" i="26"/>
  <c r="AM9466" i="26"/>
  <c r="AM9465" i="26"/>
  <c r="AM9464" i="26"/>
  <c r="AM9463" i="26"/>
  <c r="AM9462" i="26"/>
  <c r="AM9461" i="26"/>
  <c r="AM9460" i="26"/>
  <c r="AM9459" i="26"/>
  <c r="AM9458" i="26"/>
  <c r="AM9457" i="26"/>
  <c r="AM9456" i="26"/>
  <c r="AM9455" i="26"/>
  <c r="AM9454" i="26"/>
  <c r="AM9453" i="26"/>
  <c r="AM9452" i="26"/>
  <c r="AM9451" i="26"/>
  <c r="AM9450" i="26"/>
  <c r="AM9449" i="26"/>
  <c r="AM9448" i="26"/>
  <c r="AM9447" i="26"/>
  <c r="AM9446" i="26"/>
  <c r="AM9445" i="26"/>
  <c r="AM9444" i="26"/>
  <c r="AM9443" i="26"/>
  <c r="AM9442" i="26"/>
  <c r="AM9441" i="26"/>
  <c r="AM9440" i="26"/>
  <c r="AM9439" i="26"/>
  <c r="AM9438" i="26"/>
  <c r="AM9437" i="26"/>
  <c r="AM9436" i="26"/>
  <c r="AM9435" i="26"/>
  <c r="AM9434" i="26"/>
  <c r="AM9433" i="26"/>
  <c r="AM9432" i="26"/>
  <c r="AM9431" i="26"/>
  <c r="AM9430" i="26"/>
  <c r="AM9429" i="26"/>
  <c r="AM9428" i="26"/>
  <c r="AM9427" i="26"/>
  <c r="AM9426" i="26"/>
  <c r="AM9425" i="26"/>
  <c r="AM9424" i="26"/>
  <c r="AM9423" i="26"/>
  <c r="AM9422" i="26"/>
  <c r="AM9421" i="26"/>
  <c r="AM9420" i="26"/>
  <c r="AM9419" i="26"/>
  <c r="AM9418" i="26"/>
  <c r="AM9417" i="26"/>
  <c r="AM9416" i="26"/>
  <c r="AM9415" i="26"/>
  <c r="AM9414" i="26"/>
  <c r="AM9413" i="26"/>
  <c r="AM9412" i="26"/>
  <c r="AM9411" i="26"/>
  <c r="AM9410" i="26"/>
  <c r="AM9409" i="26"/>
  <c r="AM9408" i="26"/>
  <c r="AM9407" i="26"/>
  <c r="AM9406" i="26"/>
  <c r="AM9405" i="26"/>
  <c r="AM9404" i="26"/>
  <c r="AM9403" i="26"/>
  <c r="AM9402" i="26"/>
  <c r="AM9401" i="26"/>
  <c r="AM9400" i="26"/>
  <c r="AM9399" i="26"/>
  <c r="AM9398" i="26"/>
  <c r="AM9397" i="26"/>
  <c r="AM9396" i="26"/>
  <c r="AM9395" i="26"/>
  <c r="AM9394" i="26"/>
  <c r="AM9393" i="26"/>
  <c r="AM9392" i="26"/>
  <c r="AM9391" i="26"/>
  <c r="AM9390" i="26"/>
  <c r="AM9389" i="26"/>
  <c r="AM9388" i="26"/>
  <c r="AM9387" i="26"/>
  <c r="AM9386" i="26"/>
  <c r="AM9385" i="26"/>
  <c r="AM9384" i="26"/>
  <c r="AM9383" i="26"/>
  <c r="AM9382" i="26"/>
  <c r="AM9381" i="26"/>
  <c r="AM9380" i="26"/>
  <c r="AM9379" i="26"/>
  <c r="AM9378" i="26"/>
  <c r="AM9377" i="26"/>
  <c r="AM9376" i="26"/>
  <c r="AM9375" i="26"/>
  <c r="AM9374" i="26"/>
  <c r="AM9373" i="26"/>
  <c r="AM9372" i="26"/>
  <c r="AM9371" i="26"/>
  <c r="AM9370" i="26"/>
  <c r="AM9369" i="26"/>
  <c r="AM9368" i="26"/>
  <c r="AM9367" i="26"/>
  <c r="AM9366" i="26"/>
  <c r="AM9365" i="26"/>
  <c r="AM9364" i="26"/>
  <c r="AM9363" i="26"/>
  <c r="AM9362" i="26"/>
  <c r="AM9361" i="26"/>
  <c r="AM9360" i="26"/>
  <c r="AM9359" i="26"/>
  <c r="AM9358" i="26"/>
  <c r="AM9357" i="26"/>
  <c r="AM9356" i="26"/>
  <c r="AM9355" i="26"/>
  <c r="AM9354" i="26"/>
  <c r="AM9353" i="26"/>
  <c r="AM9352" i="26"/>
  <c r="AM9351" i="26"/>
  <c r="AM9350" i="26"/>
  <c r="AM9349" i="26"/>
  <c r="AM9348" i="26"/>
  <c r="AM9347" i="26"/>
  <c r="AM9346" i="26"/>
  <c r="AM9345" i="26"/>
  <c r="AM9344" i="26"/>
  <c r="AM9343" i="26"/>
  <c r="AM9342" i="26"/>
  <c r="AM9341" i="26"/>
  <c r="AM9340" i="26"/>
  <c r="AM9339" i="26"/>
  <c r="AM9338" i="26"/>
  <c r="AM9337" i="26"/>
  <c r="AM9336" i="26"/>
  <c r="AM9335" i="26"/>
  <c r="AM9334" i="26"/>
  <c r="AM9333" i="26"/>
  <c r="AM9332" i="26"/>
  <c r="AM9331" i="26"/>
  <c r="AM9330" i="26"/>
  <c r="AM9329" i="26"/>
  <c r="AM9328" i="26"/>
  <c r="AM9327" i="26"/>
  <c r="AM9326" i="26"/>
  <c r="AM9325" i="26"/>
  <c r="AM9324" i="26"/>
  <c r="AM9323" i="26"/>
  <c r="AM9322" i="26"/>
  <c r="AM9321" i="26"/>
  <c r="AM9320" i="26"/>
  <c r="AM9319" i="26"/>
  <c r="AM9318" i="26"/>
  <c r="AM9317" i="26"/>
  <c r="AM9316" i="26"/>
  <c r="AM9315" i="26"/>
  <c r="AM9314" i="26"/>
  <c r="AM9313" i="26"/>
  <c r="AM9312" i="26"/>
  <c r="AM9311" i="26"/>
  <c r="AM9310" i="26"/>
  <c r="AM9309" i="26"/>
  <c r="AM9308" i="26"/>
  <c r="AM9307" i="26"/>
  <c r="AM9306" i="26"/>
  <c r="AM9305" i="26"/>
  <c r="AM9304" i="26"/>
  <c r="AM9303" i="26"/>
  <c r="AM9302" i="26"/>
  <c r="AM9301" i="26"/>
  <c r="AM9300" i="26"/>
  <c r="AM9299" i="26"/>
  <c r="AM9298" i="26"/>
  <c r="AM9297" i="26"/>
  <c r="AM9296" i="26"/>
  <c r="AM9295" i="26"/>
  <c r="AM9294" i="26"/>
  <c r="AM9293" i="26"/>
  <c r="AM9292" i="26"/>
  <c r="AM9291" i="26"/>
  <c r="AM9290" i="26"/>
  <c r="AM9289" i="26"/>
  <c r="AM9288" i="26"/>
  <c r="AM9287" i="26"/>
  <c r="AM9286" i="26"/>
  <c r="AM9285" i="26"/>
  <c r="AM9284" i="26"/>
  <c r="AM9283" i="26"/>
  <c r="AM9282" i="26"/>
  <c r="AM9281" i="26"/>
  <c r="AM9280" i="26"/>
  <c r="AM9279" i="26"/>
  <c r="AM9278" i="26"/>
  <c r="AM9277" i="26"/>
  <c r="AM9276" i="26"/>
  <c r="AM9275" i="26"/>
  <c r="AM9274" i="26"/>
  <c r="AM9273" i="26"/>
  <c r="AM9272" i="26"/>
  <c r="AM9271" i="26"/>
  <c r="AM9270" i="26"/>
  <c r="AM9269" i="26"/>
  <c r="AM9268" i="26"/>
  <c r="AM9267" i="26"/>
  <c r="AM9266" i="26"/>
  <c r="AM9265" i="26"/>
  <c r="AM9264" i="26"/>
  <c r="AM9263" i="26"/>
  <c r="AM9262" i="26"/>
  <c r="AM9261" i="26"/>
  <c r="AM9260" i="26"/>
  <c r="AM9259" i="26"/>
  <c r="AM9258" i="26"/>
  <c r="AM9257" i="26"/>
  <c r="AM9256" i="26"/>
  <c r="AM9255" i="26"/>
  <c r="AM9254" i="26"/>
  <c r="AM9253" i="26"/>
  <c r="AM9252" i="26"/>
  <c r="AM9251" i="26"/>
  <c r="AM9250" i="26"/>
  <c r="AM9249" i="26"/>
  <c r="AM9248" i="26"/>
  <c r="AM9247" i="26"/>
  <c r="AM9246" i="26"/>
  <c r="AM9245" i="26"/>
  <c r="AM9244" i="26"/>
  <c r="AM9243" i="26"/>
  <c r="AM9242" i="26"/>
  <c r="AM9241" i="26"/>
  <c r="AM9240" i="26"/>
  <c r="AM9239" i="26"/>
  <c r="AM9238" i="26"/>
  <c r="AM9237" i="26"/>
  <c r="AM9236" i="26"/>
  <c r="AM9235" i="26"/>
  <c r="AM9234" i="26"/>
  <c r="AM9233" i="26"/>
  <c r="AM9232" i="26"/>
  <c r="AM9231" i="26"/>
  <c r="AM9230" i="26"/>
  <c r="AM9229" i="26"/>
  <c r="AM9228" i="26"/>
  <c r="AM9227" i="26"/>
  <c r="AM9226" i="26"/>
  <c r="AM9225" i="26"/>
  <c r="AM9224" i="26"/>
  <c r="AM9223" i="26"/>
  <c r="AM9222" i="26"/>
  <c r="AM9221" i="26"/>
  <c r="AM9220" i="26"/>
  <c r="AM9219" i="26"/>
  <c r="AM9218" i="26"/>
  <c r="AM9217" i="26"/>
  <c r="AM9216" i="26"/>
  <c r="AM9215" i="26"/>
  <c r="AM9214" i="26"/>
  <c r="AM9213" i="26"/>
  <c r="AM9212" i="26"/>
  <c r="AM9211" i="26"/>
  <c r="AM9210" i="26"/>
  <c r="AM9209" i="26"/>
  <c r="AM9208" i="26"/>
  <c r="AM9207" i="26"/>
  <c r="AM9206" i="26"/>
  <c r="AM9205" i="26"/>
  <c r="AM9204" i="26"/>
  <c r="AM9203" i="26"/>
  <c r="AM9202" i="26"/>
  <c r="AM9201" i="26"/>
  <c r="AM9200" i="26"/>
  <c r="AM9199" i="26"/>
  <c r="AM9198" i="26"/>
  <c r="AM9197" i="26"/>
  <c r="AM9196" i="26"/>
  <c r="AM9195" i="26"/>
  <c r="AM9194" i="26"/>
  <c r="AM9193" i="26"/>
  <c r="AM9192" i="26"/>
  <c r="AM9191" i="26"/>
  <c r="AM9190" i="26"/>
  <c r="AM9189" i="26"/>
  <c r="AM9188" i="26"/>
  <c r="AM9187" i="26"/>
  <c r="AM9186" i="26"/>
  <c r="AM9185" i="26"/>
  <c r="AM9184" i="26"/>
  <c r="AM9183" i="26"/>
  <c r="AM9182" i="26"/>
  <c r="AM9181" i="26"/>
  <c r="AM9180" i="26"/>
  <c r="AM9179" i="26"/>
  <c r="AM9178" i="26"/>
  <c r="AM9177" i="26"/>
  <c r="AM9176" i="26"/>
  <c r="AM9175" i="26"/>
  <c r="AM9174" i="26"/>
  <c r="AM9173" i="26"/>
  <c r="AM9172" i="26"/>
  <c r="AM9171" i="26"/>
  <c r="AM9170" i="26"/>
  <c r="AM9169" i="26"/>
  <c r="AM9168" i="26"/>
  <c r="AM9167" i="26"/>
  <c r="AM9166" i="26"/>
  <c r="AM9165" i="26"/>
  <c r="AM9164" i="26"/>
  <c r="AM9163" i="26"/>
  <c r="AM9162" i="26"/>
  <c r="AM9161" i="26"/>
  <c r="AM9160" i="26"/>
  <c r="AM9159" i="26"/>
  <c r="AM9158" i="26"/>
  <c r="AM9157" i="26"/>
  <c r="AM9156" i="26"/>
  <c r="AM9155" i="26"/>
  <c r="AM9154" i="26"/>
  <c r="AM9153" i="26"/>
  <c r="AM9152" i="26"/>
  <c r="AM9151" i="26"/>
  <c r="AM9150" i="26"/>
  <c r="AM9149" i="26"/>
  <c r="AM9148" i="26"/>
  <c r="AM9147" i="26"/>
  <c r="AM9146" i="26"/>
  <c r="AM9145" i="26"/>
  <c r="AM9144" i="26"/>
  <c r="AM9143" i="26"/>
  <c r="AM9142" i="26"/>
  <c r="AM9141" i="26"/>
  <c r="AM9140" i="26"/>
  <c r="AM9139" i="26"/>
  <c r="AM9138" i="26"/>
  <c r="AM9137" i="26"/>
  <c r="AM9136" i="26"/>
  <c r="AM9135" i="26"/>
  <c r="AM9134" i="26"/>
  <c r="AM9133" i="26"/>
  <c r="AM9132" i="26"/>
  <c r="AM9131" i="26"/>
  <c r="AM9130" i="26"/>
  <c r="AM9129" i="26"/>
  <c r="AM9128" i="26"/>
  <c r="AM9127" i="26"/>
  <c r="AM9126" i="26"/>
  <c r="AM9125" i="26"/>
  <c r="AM9124" i="26"/>
  <c r="AM9123" i="26"/>
  <c r="AM9122" i="26"/>
  <c r="AM9121" i="26"/>
  <c r="AM9120" i="26"/>
  <c r="AM9119" i="26"/>
  <c r="AM9118" i="26"/>
  <c r="AM9117" i="26"/>
  <c r="AM9116" i="26"/>
  <c r="AM9115" i="26"/>
  <c r="AM9114" i="26"/>
  <c r="AM9113" i="26"/>
  <c r="AM9112" i="26"/>
  <c r="AM9111" i="26"/>
  <c r="AM9110" i="26"/>
  <c r="AM9109" i="26"/>
  <c r="AM9108" i="26"/>
  <c r="AM9107" i="26"/>
  <c r="AM9106" i="26"/>
  <c r="AM9105" i="26"/>
  <c r="AM9104" i="26"/>
  <c r="AM9103" i="26"/>
  <c r="AM9102" i="26"/>
  <c r="AM9101" i="26"/>
  <c r="AM9100" i="26"/>
  <c r="AM9099" i="26"/>
  <c r="AM9098" i="26"/>
  <c r="AM9097" i="26"/>
  <c r="AM9096" i="26"/>
  <c r="AM9095" i="26"/>
  <c r="AM9094" i="26"/>
  <c r="AM9093" i="26"/>
  <c r="AM9092" i="26"/>
  <c r="AM9091" i="26"/>
  <c r="AM9090" i="26"/>
  <c r="AM9089" i="26"/>
  <c r="AM9088" i="26"/>
  <c r="AM9087" i="26"/>
  <c r="AM9086" i="26"/>
  <c r="AM9085" i="26"/>
  <c r="AM9084" i="26"/>
  <c r="AM9083" i="26"/>
  <c r="AM9082" i="26"/>
  <c r="AM9081" i="26"/>
  <c r="AM9080" i="26"/>
  <c r="AM9079" i="26"/>
  <c r="AM9078" i="26"/>
  <c r="AM9077" i="26"/>
  <c r="AM9076" i="26"/>
  <c r="AM9075" i="26"/>
  <c r="AM9074" i="26"/>
  <c r="AM9073" i="26"/>
  <c r="AM9072" i="26"/>
  <c r="AM9071" i="26"/>
  <c r="AM9070" i="26"/>
  <c r="AM9069" i="26"/>
  <c r="AM9068" i="26"/>
  <c r="AM9067" i="26"/>
  <c r="AM9066" i="26"/>
  <c r="AM9065" i="26"/>
  <c r="AM9064" i="26"/>
  <c r="AM9063" i="26"/>
  <c r="AM9062" i="26"/>
  <c r="AM9061" i="26"/>
  <c r="AM9060" i="26"/>
  <c r="AM9059" i="26"/>
  <c r="AM9058" i="26"/>
  <c r="AM9057" i="26"/>
  <c r="AM9056" i="26"/>
  <c r="AM9055" i="26"/>
  <c r="AM9054" i="26"/>
  <c r="AM9053" i="26"/>
  <c r="AM9052" i="26"/>
  <c r="AM9051" i="26"/>
  <c r="AM9050" i="26"/>
  <c r="AM9049" i="26"/>
  <c r="AM9048" i="26"/>
  <c r="AM9047" i="26"/>
  <c r="AM9046" i="26"/>
  <c r="AM9045" i="26"/>
  <c r="AM9044" i="26"/>
  <c r="AM9043" i="26"/>
  <c r="AM9042" i="26"/>
  <c r="AM9041" i="26"/>
  <c r="AM9040" i="26"/>
  <c r="AM9039" i="26"/>
  <c r="AM9038" i="26"/>
  <c r="AM9037" i="26"/>
  <c r="AM9036" i="26"/>
  <c r="AM9035" i="26"/>
  <c r="AM9034" i="26"/>
  <c r="AM9033" i="26"/>
  <c r="AM9032" i="26"/>
  <c r="AM9031" i="26"/>
  <c r="AM9030" i="26"/>
  <c r="AM9029" i="26"/>
  <c r="AM9028" i="26"/>
  <c r="AM9027" i="26"/>
  <c r="AM9026" i="26"/>
  <c r="AM9025" i="26"/>
  <c r="AM9024" i="26"/>
  <c r="AM9023" i="26"/>
  <c r="AM9022" i="26"/>
  <c r="AM9021" i="26"/>
  <c r="AM9020" i="26"/>
  <c r="AM9019" i="26"/>
  <c r="AM9018" i="26"/>
  <c r="AM9017" i="26"/>
  <c r="AM9016" i="26"/>
  <c r="AM9015" i="26"/>
  <c r="AM9014" i="26"/>
  <c r="AM9013" i="26"/>
  <c r="AM9012" i="26"/>
  <c r="AM9011" i="26"/>
  <c r="AM9010" i="26"/>
  <c r="AM9009" i="26"/>
  <c r="AM9008" i="26"/>
  <c r="AM9007" i="26"/>
  <c r="AM9006" i="26"/>
  <c r="AM9005" i="26"/>
  <c r="AM9004" i="26"/>
  <c r="AM9003" i="26"/>
  <c r="AM9002" i="26"/>
  <c r="AM9001" i="26"/>
  <c r="AM9000" i="26"/>
  <c r="AM8999" i="26"/>
  <c r="AM8998" i="26"/>
  <c r="AM8997" i="26"/>
  <c r="AM8996" i="26"/>
  <c r="AM8995" i="26"/>
  <c r="AM8994" i="26"/>
  <c r="AM8993" i="26"/>
  <c r="AM8992" i="26"/>
  <c r="AM8991" i="26"/>
  <c r="AM8990" i="26"/>
  <c r="AM8989" i="26"/>
  <c r="AM8988" i="26"/>
  <c r="AM8987" i="26"/>
  <c r="AM8986" i="26"/>
  <c r="AM8985" i="26"/>
  <c r="AM8984" i="26"/>
  <c r="AM8983" i="26"/>
  <c r="AM8982" i="26"/>
  <c r="AM8981" i="26"/>
  <c r="AM8980" i="26"/>
  <c r="AM8979" i="26"/>
  <c r="AM8978" i="26"/>
  <c r="AM8977" i="26"/>
  <c r="AM8976" i="26"/>
  <c r="AM8975" i="26"/>
  <c r="AM8974" i="26"/>
  <c r="AM8973" i="26"/>
  <c r="AM8972" i="26"/>
  <c r="AM8971" i="26"/>
  <c r="AM8970" i="26"/>
  <c r="AM8969" i="26"/>
  <c r="AM8968" i="26"/>
  <c r="AM8967" i="26"/>
  <c r="AM8966" i="26"/>
  <c r="AM8965" i="26"/>
  <c r="AM8964" i="26"/>
  <c r="AM8963" i="26"/>
  <c r="AM8962" i="26"/>
  <c r="AM8961" i="26"/>
  <c r="AM8960" i="26"/>
  <c r="AM8959" i="26"/>
  <c r="AM8958" i="26"/>
  <c r="AM8957" i="26"/>
  <c r="AM8956" i="26"/>
  <c r="AM8955" i="26"/>
  <c r="AM8954" i="26"/>
  <c r="AM8953" i="26"/>
  <c r="AM8952" i="26"/>
  <c r="AM8951" i="26"/>
  <c r="AM8950" i="26"/>
  <c r="AM8949" i="26"/>
  <c r="AM8948" i="26"/>
  <c r="AM8947" i="26"/>
  <c r="AM8946" i="26"/>
  <c r="AM8945" i="26"/>
  <c r="AM8944" i="26"/>
  <c r="AM8943" i="26"/>
  <c r="AM8942" i="26"/>
  <c r="AM8941" i="26"/>
  <c r="AM8940" i="26"/>
  <c r="AM8939" i="26"/>
  <c r="AM8938" i="26"/>
  <c r="AM8937" i="26"/>
  <c r="AM8936" i="26"/>
  <c r="AM8935" i="26"/>
  <c r="AM8934" i="26"/>
  <c r="AM8933" i="26"/>
  <c r="AM8932" i="26"/>
  <c r="AM8931" i="26"/>
  <c r="AM8930" i="26"/>
  <c r="AM8929" i="26"/>
  <c r="AM8928" i="26"/>
  <c r="AM8927" i="26"/>
  <c r="AM8926" i="26"/>
  <c r="AM8925" i="26"/>
  <c r="AM8924" i="26"/>
  <c r="AM8923" i="26"/>
  <c r="AM8922" i="26"/>
  <c r="AM8921" i="26"/>
  <c r="AM8920" i="26"/>
  <c r="AM8919" i="26"/>
  <c r="AM8918" i="26"/>
  <c r="AM8917" i="26"/>
  <c r="AM8916" i="26"/>
  <c r="AM8915" i="26"/>
  <c r="AM8914" i="26"/>
  <c r="AM8913" i="26"/>
  <c r="AM8912" i="26"/>
  <c r="AM8911" i="26"/>
  <c r="AM8910" i="26"/>
  <c r="AM8909" i="26"/>
  <c r="AM8908" i="26"/>
  <c r="AM8907" i="26"/>
  <c r="AM8906" i="26"/>
  <c r="AM8905" i="26"/>
  <c r="AM8904" i="26"/>
  <c r="AM8903" i="26"/>
  <c r="AM8902" i="26"/>
  <c r="AM8901" i="26"/>
  <c r="AM8900" i="26"/>
  <c r="AM8899" i="26"/>
  <c r="AM8898" i="26"/>
  <c r="AM8897" i="26"/>
  <c r="AM8896" i="26"/>
  <c r="AM8895" i="26"/>
  <c r="AM8894" i="26"/>
  <c r="AM8893" i="26"/>
  <c r="AM8892" i="26"/>
  <c r="AM8891" i="26"/>
  <c r="AM8890" i="26"/>
  <c r="AM8889" i="26"/>
  <c r="AM8888" i="26"/>
  <c r="AM8887" i="26"/>
  <c r="AM8886" i="26"/>
  <c r="AM8885" i="26"/>
  <c r="AM8884" i="26"/>
  <c r="AM8883" i="26"/>
  <c r="AM8882" i="26"/>
  <c r="AM8881" i="26"/>
  <c r="AM8880" i="26"/>
  <c r="AM8879" i="26"/>
  <c r="AM8878" i="26"/>
  <c r="AM8877" i="26"/>
  <c r="AM8876" i="26"/>
  <c r="AM8875" i="26"/>
  <c r="AM8874" i="26"/>
  <c r="AM8873" i="26"/>
  <c r="AM8872" i="26"/>
  <c r="AM8871" i="26"/>
  <c r="AM8870" i="26"/>
  <c r="AM8869" i="26"/>
  <c r="AM8868" i="26"/>
  <c r="AM8867" i="26"/>
  <c r="AM8866" i="26"/>
  <c r="AM8865" i="26"/>
  <c r="AM8864" i="26"/>
  <c r="AM8863" i="26"/>
  <c r="AM8862" i="26"/>
  <c r="AM8861" i="26"/>
  <c r="AM8860" i="26"/>
  <c r="AM8859" i="26"/>
  <c r="AM8858" i="26"/>
  <c r="AM8857" i="26"/>
  <c r="AM8856" i="26"/>
  <c r="AM8855" i="26"/>
  <c r="AM8854" i="26"/>
  <c r="AM8853" i="26"/>
  <c r="AM8852" i="26"/>
  <c r="AM8851" i="26"/>
  <c r="AM8850" i="26"/>
  <c r="AM8849" i="26"/>
  <c r="AM8848" i="26"/>
  <c r="AM8847" i="26"/>
  <c r="AM8846" i="26"/>
  <c r="AM8845" i="26"/>
  <c r="AM8844" i="26"/>
  <c r="AM8843" i="26"/>
  <c r="AM8842" i="26"/>
  <c r="AM8841" i="26"/>
  <c r="AM8840" i="26"/>
  <c r="AM8839" i="26"/>
  <c r="AM8838" i="26"/>
  <c r="AM8837" i="26"/>
  <c r="AM8836" i="26"/>
  <c r="AM8835" i="26"/>
  <c r="AM8834" i="26"/>
  <c r="AM8833" i="26"/>
  <c r="AM8832" i="26"/>
  <c r="AM8831" i="26"/>
  <c r="AM8830" i="26"/>
  <c r="AM8829" i="26"/>
  <c r="AM8828" i="26"/>
  <c r="AM8827" i="26"/>
  <c r="AM8826" i="26"/>
  <c r="AM8825" i="26"/>
  <c r="AM8824" i="26"/>
  <c r="AM8823" i="26"/>
  <c r="AM8822" i="26"/>
  <c r="AM8821" i="26"/>
  <c r="AM8820" i="26"/>
  <c r="AM8819" i="26"/>
  <c r="AM8818" i="26"/>
  <c r="AM8817" i="26"/>
  <c r="AM8816" i="26"/>
  <c r="AM8815" i="26"/>
  <c r="AM8814" i="26"/>
  <c r="AM8813" i="26"/>
  <c r="AM8812" i="26"/>
  <c r="AM8811" i="26"/>
  <c r="AM8810" i="26"/>
  <c r="AM8809" i="26"/>
  <c r="AM8808" i="26"/>
  <c r="AM8807" i="26"/>
  <c r="AM8806" i="26"/>
  <c r="AM8805" i="26"/>
  <c r="AM8804" i="26"/>
  <c r="AM8803" i="26"/>
  <c r="AM8802" i="26"/>
  <c r="AM8801" i="26"/>
  <c r="AM8800" i="26"/>
  <c r="AM8799" i="26"/>
  <c r="AM8798" i="26"/>
  <c r="AM8797" i="26"/>
  <c r="AM8796" i="26"/>
  <c r="AM8795" i="26"/>
  <c r="AM8794" i="26"/>
  <c r="AM8793" i="26"/>
  <c r="AM8792" i="26"/>
  <c r="AM8791" i="26"/>
  <c r="AM8790" i="26"/>
  <c r="AM8789" i="26"/>
  <c r="AM8788" i="26"/>
  <c r="AM8787" i="26"/>
  <c r="AM8786" i="26"/>
  <c r="AM8785" i="26"/>
  <c r="AM8784" i="26"/>
  <c r="AM8783" i="26"/>
  <c r="AM8782" i="26"/>
  <c r="AM8781" i="26"/>
  <c r="AM8780" i="26"/>
  <c r="AM8779" i="26"/>
  <c r="AM8778" i="26"/>
  <c r="AM8777" i="26"/>
  <c r="AM8776" i="26"/>
  <c r="AM8775" i="26"/>
  <c r="AM8774" i="26"/>
  <c r="AM8773" i="26"/>
  <c r="AM8772" i="26"/>
  <c r="AM8771" i="26"/>
  <c r="AM8770" i="26"/>
  <c r="AM8769" i="26"/>
  <c r="AM8768" i="26"/>
  <c r="AM8767" i="26"/>
  <c r="AM8766" i="26"/>
  <c r="AM8765" i="26"/>
  <c r="AM8764" i="26"/>
  <c r="AM8763" i="26"/>
  <c r="AM8762" i="26"/>
  <c r="AM8761" i="26"/>
  <c r="AM8760" i="26"/>
  <c r="AM8759" i="26"/>
  <c r="AM8758" i="26"/>
  <c r="AM8757" i="26"/>
  <c r="AM8756" i="26"/>
  <c r="AM8755" i="26"/>
  <c r="AM8754" i="26"/>
  <c r="AM8753" i="26"/>
  <c r="AM8752" i="26"/>
  <c r="AM8751" i="26"/>
  <c r="AM8750" i="26"/>
  <c r="AM8749" i="26"/>
  <c r="AM8748" i="26"/>
  <c r="AM8747" i="26"/>
  <c r="AM8746" i="26"/>
  <c r="AM8745" i="26"/>
  <c r="AM8744" i="26"/>
  <c r="AM8743" i="26"/>
  <c r="AM8742" i="26"/>
  <c r="AM8741" i="26"/>
  <c r="AM8740" i="26"/>
  <c r="AM8739" i="26"/>
  <c r="AM8738" i="26"/>
  <c r="AM8737" i="26"/>
  <c r="AM8736" i="26"/>
  <c r="AM8735" i="26"/>
  <c r="AM8734" i="26"/>
  <c r="AM8733" i="26"/>
  <c r="AM8732" i="26"/>
  <c r="AM8731" i="26"/>
  <c r="AM8730" i="26"/>
  <c r="AM8729" i="26"/>
  <c r="AM8728" i="26"/>
  <c r="AM8727" i="26"/>
  <c r="AM8726" i="26"/>
  <c r="AM8725" i="26"/>
  <c r="AM8724" i="26"/>
  <c r="AM8723" i="26"/>
  <c r="AM8722" i="26"/>
  <c r="AM8721" i="26"/>
  <c r="AM8720" i="26"/>
  <c r="AM8719" i="26"/>
  <c r="AM8718" i="26"/>
  <c r="AM8717" i="26"/>
  <c r="AM8716" i="26"/>
  <c r="AM8715" i="26"/>
  <c r="AM8714" i="26"/>
  <c r="AM8713" i="26"/>
  <c r="AM8712" i="26"/>
  <c r="AM8711" i="26"/>
  <c r="AM8710" i="26"/>
  <c r="AM8709" i="26"/>
  <c r="AM8708" i="26"/>
  <c r="AM8707" i="26"/>
  <c r="AM8706" i="26"/>
  <c r="AM8705" i="26"/>
  <c r="AM8704" i="26"/>
  <c r="AM8703" i="26"/>
  <c r="AM8702" i="26"/>
  <c r="AM8701" i="26"/>
  <c r="AM8700" i="26"/>
  <c r="AM8699" i="26"/>
  <c r="AM8698" i="26"/>
  <c r="AM8697" i="26"/>
  <c r="AM8696" i="26"/>
  <c r="AM8695" i="26"/>
  <c r="AM8694" i="26"/>
  <c r="AM8693" i="26"/>
  <c r="AM8692" i="26"/>
  <c r="AM8691" i="26"/>
  <c r="AM8690" i="26"/>
  <c r="AM8689" i="26"/>
  <c r="AM8688" i="26"/>
  <c r="AM8687" i="26"/>
  <c r="AM8686" i="26"/>
  <c r="AM8685" i="26"/>
  <c r="AM8684" i="26"/>
  <c r="AM8683" i="26"/>
  <c r="AM8682" i="26"/>
  <c r="AM8681" i="26"/>
  <c r="AM8680" i="26"/>
  <c r="AM8679" i="26"/>
  <c r="AM8678" i="26"/>
  <c r="AM8677" i="26"/>
  <c r="AM8676" i="26"/>
  <c r="AM8675" i="26"/>
  <c r="AM8674" i="26"/>
  <c r="AM8673" i="26"/>
  <c r="AM8672" i="26"/>
  <c r="AM8671" i="26"/>
  <c r="AM8670" i="26"/>
  <c r="AM8669" i="26"/>
  <c r="AM8668" i="26"/>
  <c r="AM8667" i="26"/>
  <c r="AM8666" i="26"/>
  <c r="AM8665" i="26"/>
  <c r="AM8664" i="26"/>
  <c r="AM8663" i="26"/>
  <c r="AM8662" i="26"/>
  <c r="AM8661" i="26"/>
  <c r="AM8660" i="26"/>
  <c r="AM8659" i="26"/>
  <c r="AM8658" i="26"/>
  <c r="AM8657" i="26"/>
  <c r="AM8656" i="26"/>
  <c r="AM8655" i="26"/>
  <c r="AM8654" i="26"/>
  <c r="AM8653" i="26"/>
  <c r="AM8652" i="26"/>
  <c r="AM8651" i="26"/>
  <c r="AM8650" i="26"/>
  <c r="AM8649" i="26"/>
  <c r="AM8648" i="26"/>
  <c r="AM8647" i="26"/>
  <c r="AM8646" i="26"/>
  <c r="AM8645" i="26"/>
  <c r="AM8644" i="26"/>
  <c r="AM8643" i="26"/>
  <c r="AM8642" i="26"/>
  <c r="AM8641" i="26"/>
  <c r="AM8640" i="26"/>
  <c r="AM8639" i="26"/>
  <c r="AM8638" i="26"/>
  <c r="AM8637" i="26"/>
  <c r="AM8636" i="26"/>
  <c r="AM8635" i="26"/>
  <c r="AM8634" i="26"/>
  <c r="AM8633" i="26"/>
  <c r="AM8632" i="26"/>
  <c r="AM8631" i="26"/>
  <c r="AM8630" i="26"/>
  <c r="AM8629" i="26"/>
  <c r="AM8628" i="26"/>
  <c r="AM8627" i="26"/>
  <c r="AM8626" i="26"/>
  <c r="AM8625" i="26"/>
  <c r="AM8624" i="26"/>
  <c r="AM8623" i="26"/>
  <c r="AM8622" i="26"/>
  <c r="AM8621" i="26"/>
  <c r="AM8620" i="26"/>
  <c r="AM8619" i="26"/>
  <c r="AM8618" i="26"/>
  <c r="AM8617" i="26"/>
  <c r="AM8616" i="26"/>
  <c r="AM8615" i="26"/>
  <c r="AM8614" i="26"/>
  <c r="AM8613" i="26"/>
  <c r="AM8612" i="26"/>
  <c r="AM8611" i="26"/>
  <c r="AM8610" i="26"/>
  <c r="AM8609" i="26"/>
  <c r="AM8608" i="26"/>
  <c r="AM8607" i="26"/>
  <c r="AM8606" i="26"/>
  <c r="AM8605" i="26"/>
  <c r="AM8604" i="26"/>
  <c r="AM8603" i="26"/>
  <c r="AM8602" i="26"/>
  <c r="AM8601" i="26"/>
  <c r="AM8600" i="26"/>
  <c r="AM8599" i="26"/>
  <c r="AM8598" i="26"/>
  <c r="AM8597" i="26"/>
  <c r="AM8596" i="26"/>
  <c r="AM8595" i="26"/>
  <c r="AM8594" i="26"/>
  <c r="AM8593" i="26"/>
  <c r="AM8592" i="26"/>
  <c r="AM8591" i="26"/>
  <c r="AM8590" i="26"/>
  <c r="AM8589" i="26"/>
  <c r="AM8588" i="26"/>
  <c r="AM8587" i="26"/>
  <c r="AM8586" i="26"/>
  <c r="AM8585" i="26"/>
  <c r="AM8584" i="26"/>
  <c r="AM8583" i="26"/>
  <c r="AM8582" i="26"/>
  <c r="AM8581" i="26"/>
  <c r="AM8580" i="26"/>
  <c r="AM8579" i="26"/>
  <c r="AM8578" i="26"/>
  <c r="AM8577" i="26"/>
  <c r="AM8576" i="26"/>
  <c r="AM8575" i="26"/>
  <c r="AM8574" i="26"/>
  <c r="AM8573" i="26"/>
  <c r="AM8572" i="26"/>
  <c r="AM8571" i="26"/>
  <c r="AM8570" i="26"/>
  <c r="AM8569" i="26"/>
  <c r="AM8568" i="26"/>
  <c r="AM8567" i="26"/>
  <c r="AM8566" i="26"/>
  <c r="AM8565" i="26"/>
  <c r="AM8564" i="26"/>
  <c r="AM8563" i="26"/>
  <c r="AM8562" i="26"/>
  <c r="AM8561" i="26"/>
  <c r="AM8560" i="26"/>
  <c r="AM8559" i="26"/>
  <c r="AM8558" i="26"/>
  <c r="AM8557" i="26"/>
  <c r="AM8556" i="26"/>
  <c r="AM8555" i="26"/>
  <c r="AM8554" i="26"/>
  <c r="AM8553" i="26"/>
  <c r="AM8552" i="26"/>
  <c r="AM8551" i="26"/>
  <c r="AM8550" i="26"/>
  <c r="AM8549" i="26"/>
  <c r="AM8548" i="26"/>
  <c r="AM8547" i="26"/>
  <c r="AM8546" i="26"/>
  <c r="AM8545" i="26"/>
  <c r="AM8544" i="26"/>
  <c r="AM8543" i="26"/>
  <c r="AM8542" i="26"/>
  <c r="AM8541" i="26"/>
  <c r="AM8540" i="26"/>
  <c r="AM8539" i="26"/>
  <c r="AM8538" i="26"/>
  <c r="AM8537" i="26"/>
  <c r="AM8536" i="26"/>
  <c r="AM8535" i="26"/>
  <c r="AM8534" i="26"/>
  <c r="AM8533" i="26"/>
  <c r="AM8532" i="26"/>
  <c r="AM8531" i="26"/>
  <c r="AM8530" i="26"/>
  <c r="AM8529" i="26"/>
  <c r="AM8528" i="26"/>
  <c r="AM8527" i="26"/>
  <c r="AM8526" i="26"/>
  <c r="AM8525" i="26"/>
  <c r="AM8524" i="26"/>
  <c r="AM8523" i="26"/>
  <c r="AM8522" i="26"/>
  <c r="AM8521" i="26"/>
  <c r="AM8520" i="26"/>
  <c r="AM8519" i="26"/>
  <c r="AM8518" i="26"/>
  <c r="AM8517" i="26"/>
  <c r="AM8516" i="26"/>
  <c r="AM8515" i="26"/>
  <c r="AM8514" i="26"/>
  <c r="AM8513" i="26"/>
  <c r="AM8512" i="26"/>
  <c r="AM8511" i="26"/>
  <c r="AM8510" i="26"/>
  <c r="AM8509" i="26"/>
  <c r="AM8508" i="26"/>
  <c r="AM8507" i="26"/>
  <c r="AM8506" i="26"/>
  <c r="AM8505" i="26"/>
  <c r="AM8504" i="26"/>
  <c r="AM8503" i="26"/>
  <c r="AM8502" i="26"/>
  <c r="AM8501" i="26"/>
  <c r="AM8500" i="26"/>
  <c r="AM8499" i="26"/>
  <c r="AM8498" i="26"/>
  <c r="AM8497" i="26"/>
  <c r="AM8496" i="26"/>
  <c r="AM8495" i="26"/>
  <c r="AM8494" i="26"/>
  <c r="AM8493" i="26"/>
  <c r="AM8492" i="26"/>
  <c r="AM8491" i="26"/>
  <c r="AM8490" i="26"/>
  <c r="AM8489" i="26"/>
  <c r="AM8488" i="26"/>
  <c r="AM8487" i="26"/>
  <c r="AM8486" i="26"/>
  <c r="AM8485" i="26"/>
  <c r="AM8484" i="26"/>
  <c r="AM8483" i="26"/>
  <c r="AM8482" i="26"/>
  <c r="AM8481" i="26"/>
  <c r="AM8480" i="26"/>
  <c r="AM8479" i="26"/>
  <c r="AM8478" i="26"/>
  <c r="AM8477" i="26"/>
  <c r="AM8476" i="26"/>
  <c r="AM8475" i="26"/>
  <c r="AM8474" i="26"/>
  <c r="AM8473" i="26"/>
  <c r="AM8472" i="26"/>
  <c r="AM8471" i="26"/>
  <c r="AM8470" i="26"/>
  <c r="AM8469" i="26"/>
  <c r="AM8468" i="26"/>
  <c r="AM8467" i="26"/>
  <c r="AM8466" i="26"/>
  <c r="AM8465" i="26"/>
  <c r="AM8464" i="26"/>
  <c r="AM8463" i="26"/>
  <c r="AM8462" i="26"/>
  <c r="AM8461" i="26"/>
  <c r="AM8460" i="26"/>
  <c r="AM8459" i="26"/>
  <c r="AM8458" i="26"/>
  <c r="AM8457" i="26"/>
  <c r="AM8456" i="26"/>
  <c r="AM8455" i="26"/>
  <c r="AM8454" i="26"/>
  <c r="AM8453" i="26"/>
  <c r="AM8452" i="26"/>
  <c r="AM8451" i="26"/>
  <c r="AM8450" i="26"/>
  <c r="AM8449" i="26"/>
  <c r="AM8448" i="26"/>
  <c r="AM8447" i="26"/>
  <c r="AM8446" i="26"/>
  <c r="AM8445" i="26"/>
  <c r="AM8444" i="26"/>
  <c r="AM8443" i="26"/>
  <c r="AM8442" i="26"/>
  <c r="AM8441" i="26"/>
  <c r="AM8440" i="26"/>
  <c r="AM8439" i="26"/>
  <c r="AM8438" i="26"/>
  <c r="AM8437" i="26"/>
  <c r="AM8436" i="26"/>
  <c r="AM8435" i="26"/>
  <c r="AM8434" i="26"/>
  <c r="AM8433" i="26"/>
  <c r="AM8432" i="26"/>
  <c r="AM8431" i="26"/>
  <c r="AM8430" i="26"/>
  <c r="AM8429" i="26"/>
  <c r="AM8428" i="26"/>
  <c r="AM8427" i="26"/>
  <c r="AM8426" i="26"/>
  <c r="AM8425" i="26"/>
  <c r="AM8424" i="26"/>
  <c r="AM8423" i="26"/>
  <c r="AM8422" i="26"/>
  <c r="AM8421" i="26"/>
  <c r="AM8420" i="26"/>
  <c r="AM8419" i="26"/>
  <c r="AM8418" i="26"/>
  <c r="AM8417" i="26"/>
  <c r="AM8416" i="26"/>
  <c r="AM8415" i="26"/>
  <c r="AM8414" i="26"/>
  <c r="AM8413" i="26"/>
  <c r="AM8412" i="26"/>
  <c r="AM8411" i="26"/>
  <c r="AM8410" i="26"/>
  <c r="AM8409" i="26"/>
  <c r="AM8408" i="26"/>
  <c r="AM8407" i="26"/>
  <c r="AM8406" i="26"/>
  <c r="AM8405" i="26"/>
  <c r="AM8404" i="26"/>
  <c r="AM8403" i="26"/>
  <c r="AM8402" i="26"/>
  <c r="AM8401" i="26"/>
  <c r="AM8400" i="26"/>
  <c r="AM8399" i="26"/>
  <c r="AM8398" i="26"/>
  <c r="AM8397" i="26"/>
  <c r="AM8396" i="26"/>
  <c r="AM8395" i="26"/>
  <c r="AM8394" i="26"/>
  <c r="AM8393" i="26"/>
  <c r="AM8392" i="26"/>
  <c r="AM8391" i="26"/>
  <c r="AM8390" i="26"/>
  <c r="AM8389" i="26"/>
  <c r="AM8388" i="26"/>
  <c r="AM8387" i="26"/>
  <c r="AM8386" i="26"/>
  <c r="AM8385" i="26"/>
  <c r="AM8384" i="26"/>
  <c r="AM8383" i="26"/>
  <c r="AM8382" i="26"/>
  <c r="AM8381" i="26"/>
  <c r="AM8380" i="26"/>
  <c r="AM8379" i="26"/>
  <c r="AM8378" i="26"/>
  <c r="AM8377" i="26"/>
  <c r="AM8376" i="26"/>
  <c r="AM8375" i="26"/>
  <c r="AM8374" i="26"/>
  <c r="AM8373" i="26"/>
  <c r="AM8372" i="26"/>
  <c r="AM8371" i="26"/>
  <c r="AM8370" i="26"/>
  <c r="AM8369" i="26"/>
  <c r="AM8368" i="26"/>
  <c r="AM8367" i="26"/>
  <c r="AM8366" i="26"/>
  <c r="AM8365" i="26"/>
  <c r="AM8364" i="26"/>
  <c r="AM8363" i="26"/>
  <c r="AM8362" i="26"/>
  <c r="AM8361" i="26"/>
  <c r="AM8360" i="26"/>
  <c r="AM8359" i="26"/>
  <c r="AM8358" i="26"/>
  <c r="AM8357" i="26"/>
  <c r="AM8356" i="26"/>
  <c r="AM8355" i="26"/>
  <c r="AM8354" i="26"/>
  <c r="AM8353" i="26"/>
  <c r="AM8352" i="26"/>
  <c r="AM8351" i="26"/>
  <c r="AM8350" i="26"/>
  <c r="AM8349" i="26"/>
  <c r="AM8348" i="26"/>
  <c r="AM8347" i="26"/>
  <c r="AM8346" i="26"/>
  <c r="AM8345" i="26"/>
  <c r="AM8344" i="26"/>
  <c r="AM8343" i="26"/>
  <c r="AM8342" i="26"/>
  <c r="AM8341" i="26"/>
  <c r="AM8340" i="26"/>
  <c r="AM8339" i="26"/>
  <c r="AM8338" i="26"/>
  <c r="AM8337" i="26"/>
  <c r="AM8336" i="26"/>
  <c r="AM8335" i="26"/>
  <c r="AM8334" i="26"/>
  <c r="AM8333" i="26"/>
  <c r="AM8332" i="26"/>
  <c r="AM8331" i="26"/>
  <c r="AM8330" i="26"/>
  <c r="AM8329" i="26"/>
  <c r="AM8328" i="26"/>
  <c r="AM8327" i="26"/>
  <c r="AM8326" i="26"/>
  <c r="AM8325" i="26"/>
  <c r="AM8324" i="26"/>
  <c r="AM8323" i="26"/>
  <c r="AM8322" i="26"/>
  <c r="AM8321" i="26"/>
  <c r="AM8320" i="26"/>
  <c r="AM8319" i="26"/>
  <c r="AM8318" i="26"/>
  <c r="AM8317" i="26"/>
  <c r="AM8316" i="26"/>
  <c r="AM8315" i="26"/>
  <c r="AM8314" i="26"/>
  <c r="AM8313" i="26"/>
  <c r="AM8312" i="26"/>
  <c r="AM8311" i="26"/>
  <c r="AM8310" i="26"/>
  <c r="AM8309" i="26"/>
  <c r="AM8308" i="26"/>
  <c r="AM8307" i="26"/>
  <c r="AM8306" i="26"/>
  <c r="AM8305" i="26"/>
  <c r="AM8304" i="26"/>
  <c r="AM8303" i="26"/>
  <c r="AM8302" i="26"/>
  <c r="AM8301" i="26"/>
  <c r="AM8300" i="26"/>
  <c r="AM8299" i="26"/>
  <c r="AM8298" i="26"/>
  <c r="AM8297" i="26"/>
  <c r="AM8296" i="26"/>
  <c r="AM8295" i="26"/>
  <c r="AM8294" i="26"/>
  <c r="AM8293" i="26"/>
  <c r="AM8292" i="26"/>
  <c r="AM8291" i="26"/>
  <c r="AM8290" i="26"/>
  <c r="AM8289" i="26"/>
  <c r="AM8288" i="26"/>
  <c r="AM8287" i="26"/>
  <c r="AM8286" i="26"/>
  <c r="AM8285" i="26"/>
  <c r="AM8284" i="26"/>
  <c r="AM8283" i="26"/>
  <c r="AM8282" i="26"/>
  <c r="AM8281" i="26"/>
  <c r="AM8280" i="26"/>
  <c r="AM8279" i="26"/>
  <c r="AM8278" i="26"/>
  <c r="AM8277" i="26"/>
  <c r="AM8276" i="26"/>
  <c r="AM8275" i="26"/>
  <c r="AM8274" i="26"/>
  <c r="AM8273" i="26"/>
  <c r="AM8272" i="26"/>
  <c r="AM8271" i="26"/>
  <c r="AM8270" i="26"/>
  <c r="AM8269" i="26"/>
  <c r="AM8268" i="26"/>
  <c r="AM8267" i="26"/>
  <c r="AM8266" i="26"/>
  <c r="AM8265" i="26"/>
  <c r="AM8264" i="26"/>
  <c r="AM8263" i="26"/>
  <c r="AM8262" i="26"/>
  <c r="AM8261" i="26"/>
  <c r="AM8260" i="26"/>
  <c r="AM8259" i="26"/>
  <c r="AM8258" i="26"/>
  <c r="AM8257" i="26"/>
  <c r="AM8256" i="26"/>
  <c r="AM8255" i="26"/>
  <c r="AM8254" i="26"/>
  <c r="AM8253" i="26"/>
  <c r="AM8252" i="26"/>
  <c r="AM8251" i="26"/>
  <c r="AM8250" i="26"/>
  <c r="AM8249" i="26"/>
  <c r="AM8248" i="26"/>
  <c r="AM8247" i="26"/>
  <c r="AM8246" i="26"/>
  <c r="AM8245" i="26"/>
  <c r="AM8244" i="26"/>
  <c r="AM8243" i="26"/>
  <c r="AM8242" i="26"/>
  <c r="AM8241" i="26"/>
  <c r="AM8240" i="26"/>
  <c r="AM8239" i="26"/>
  <c r="AM8238" i="26"/>
  <c r="AM8237" i="26"/>
  <c r="AM8236" i="26"/>
  <c r="AM8235" i="26"/>
  <c r="AM8234" i="26"/>
  <c r="AM8233" i="26"/>
  <c r="AM8232" i="26"/>
  <c r="AM8231" i="26"/>
  <c r="AM8230" i="26"/>
  <c r="AM8229" i="26"/>
  <c r="AM8228" i="26"/>
  <c r="AM8227" i="26"/>
  <c r="AM8226" i="26"/>
  <c r="AM8225" i="26"/>
  <c r="AM8224" i="26"/>
  <c r="AM8223" i="26"/>
  <c r="AM8222" i="26"/>
  <c r="AM8221" i="26"/>
  <c r="AM8220" i="26"/>
  <c r="AM8219" i="26"/>
  <c r="AM8218" i="26"/>
  <c r="AM8217" i="26"/>
  <c r="AM8216" i="26"/>
  <c r="AM8215" i="26"/>
  <c r="AM8214" i="26"/>
  <c r="AM8213" i="26"/>
  <c r="AM8212" i="26"/>
  <c r="AM8211" i="26"/>
  <c r="AM8210" i="26"/>
  <c r="AM8209" i="26"/>
  <c r="AM8208" i="26"/>
  <c r="AM8207" i="26"/>
  <c r="AM8206" i="26"/>
  <c r="AM8205" i="26"/>
  <c r="AM8204" i="26"/>
  <c r="AM8203" i="26"/>
  <c r="AM8202" i="26"/>
  <c r="AM8201" i="26"/>
  <c r="AM8200" i="26"/>
  <c r="AM8199" i="26"/>
  <c r="AM8198" i="26"/>
  <c r="AM8197" i="26"/>
  <c r="AM8196" i="26"/>
  <c r="AM8195" i="26"/>
  <c r="AM8194" i="26"/>
  <c r="AM8193" i="26"/>
  <c r="AM8192" i="26"/>
  <c r="AM8191" i="26"/>
  <c r="AM8190" i="26"/>
  <c r="AM8189" i="26"/>
  <c r="AM8188" i="26"/>
  <c r="AM8187" i="26"/>
  <c r="AM8186" i="26"/>
  <c r="AM8185" i="26"/>
  <c r="AM8184" i="26"/>
  <c r="AM8183" i="26"/>
  <c r="AM8182" i="26"/>
  <c r="AM8181" i="26"/>
  <c r="AM8180" i="26"/>
  <c r="AM8179" i="26"/>
  <c r="AM8178" i="26"/>
  <c r="AM8177" i="26"/>
  <c r="AM8176" i="26"/>
  <c r="AM8175" i="26"/>
  <c r="AM8174" i="26"/>
  <c r="AM8173" i="26"/>
  <c r="AM8172" i="26"/>
  <c r="AM8171" i="26"/>
  <c r="AM8170" i="26"/>
  <c r="AM8169" i="26"/>
  <c r="AM8168" i="26"/>
  <c r="AM8167" i="26"/>
  <c r="AM8166" i="26"/>
  <c r="AM8165" i="26"/>
  <c r="AM8164" i="26"/>
  <c r="AM8163" i="26"/>
  <c r="AM8162" i="26"/>
  <c r="AM8161" i="26"/>
  <c r="AM8160" i="26"/>
  <c r="AM8159" i="26"/>
  <c r="AM8158" i="26"/>
  <c r="AM8157" i="26"/>
  <c r="AM8156" i="26"/>
  <c r="AM8155" i="26"/>
  <c r="AM8154" i="26"/>
  <c r="AM8153" i="26"/>
  <c r="AM8152" i="26"/>
  <c r="AM8151" i="26"/>
  <c r="AM8150" i="26"/>
  <c r="AM8149" i="26"/>
  <c r="AM8148" i="26"/>
  <c r="AM8147" i="26"/>
  <c r="AM8146" i="26"/>
  <c r="AM8145" i="26"/>
  <c r="AM8144" i="26"/>
  <c r="AM8143" i="26"/>
  <c r="AM8142" i="26"/>
  <c r="AM8141" i="26"/>
  <c r="AM8140" i="26"/>
  <c r="AM8139" i="26"/>
  <c r="AM8138" i="26"/>
  <c r="AM8137" i="26"/>
  <c r="AM8136" i="26"/>
  <c r="AM8135" i="26"/>
  <c r="AM8134" i="26"/>
  <c r="AM8133" i="26"/>
  <c r="AM8132" i="26"/>
  <c r="AM8131" i="26"/>
  <c r="AM8130" i="26"/>
  <c r="AM8129" i="26"/>
  <c r="AM8128" i="26"/>
  <c r="AM8127" i="26"/>
  <c r="AM8126" i="26"/>
  <c r="AM8125" i="26"/>
  <c r="AM8124" i="26"/>
  <c r="AM8123" i="26"/>
  <c r="AM8122" i="26"/>
  <c r="AM8121" i="26"/>
  <c r="AM8120" i="26"/>
  <c r="AM8119" i="26"/>
  <c r="AM8118" i="26"/>
  <c r="AM8117" i="26"/>
  <c r="AM8116" i="26"/>
  <c r="AM8115" i="26"/>
  <c r="AM8114" i="26"/>
  <c r="AM8113" i="26"/>
  <c r="AM8112" i="26"/>
  <c r="AM8111" i="26"/>
  <c r="AM8110" i="26"/>
  <c r="AM8109" i="26"/>
  <c r="AM8108" i="26"/>
  <c r="AM8107" i="26"/>
  <c r="AM8106" i="26"/>
  <c r="AM8105" i="26"/>
  <c r="AM8104" i="26"/>
  <c r="AM8103" i="26"/>
  <c r="AM8102" i="26"/>
  <c r="AM8101" i="26"/>
  <c r="AM8100" i="26"/>
  <c r="AM8099" i="26"/>
  <c r="AM8098" i="26"/>
  <c r="AM8097" i="26"/>
  <c r="AM8096" i="26"/>
  <c r="AM8095" i="26"/>
  <c r="AM8094" i="26"/>
  <c r="AM8093" i="26"/>
  <c r="AM8092" i="26"/>
  <c r="AM8091" i="26"/>
  <c r="AM8090" i="26"/>
  <c r="AM8089" i="26"/>
  <c r="AM8088" i="26"/>
  <c r="AM8087" i="26"/>
  <c r="AM8086" i="26"/>
  <c r="AM8085" i="26"/>
  <c r="AM8084" i="26"/>
  <c r="AM8083" i="26"/>
  <c r="AM8082" i="26"/>
  <c r="AM8081" i="26"/>
  <c r="AM8080" i="26"/>
  <c r="AM8079" i="26"/>
  <c r="AM8078" i="26"/>
  <c r="AM8077" i="26"/>
  <c r="AM8076" i="26"/>
  <c r="AM8075" i="26"/>
  <c r="AM8074" i="26"/>
  <c r="AM8073" i="26"/>
  <c r="AM8072" i="26"/>
  <c r="AM8071" i="26"/>
  <c r="AM8070" i="26"/>
  <c r="AM8069" i="26"/>
  <c r="AM8068" i="26"/>
  <c r="AM8067" i="26"/>
  <c r="AM8066" i="26"/>
  <c r="AM8065" i="26"/>
  <c r="AM8064" i="26"/>
  <c r="AM8063" i="26"/>
  <c r="AM8062" i="26"/>
  <c r="AM8061" i="26"/>
  <c r="AM8060" i="26"/>
  <c r="AM8059" i="26"/>
  <c r="AM8058" i="26"/>
  <c r="AM8057" i="26"/>
  <c r="AM8056" i="26"/>
  <c r="AM8055" i="26"/>
  <c r="AM8054" i="26"/>
  <c r="AM8053" i="26"/>
  <c r="AM8052" i="26"/>
  <c r="AM8051" i="26"/>
  <c r="AM8050" i="26"/>
  <c r="AM8049" i="26"/>
  <c r="AM8048" i="26"/>
  <c r="AM8047" i="26"/>
  <c r="AM8046" i="26"/>
  <c r="AM8045" i="26"/>
  <c r="AM8044" i="26"/>
  <c r="AM8043" i="26"/>
  <c r="AM8042" i="26"/>
  <c r="AM8041" i="26"/>
  <c r="AM8040" i="26"/>
  <c r="AM8039" i="26"/>
  <c r="AM8038" i="26"/>
  <c r="AM8037" i="26"/>
  <c r="AM8036" i="26"/>
  <c r="AM8035" i="26"/>
  <c r="AM8034" i="26"/>
  <c r="AM8033" i="26"/>
  <c r="AM8032" i="26"/>
  <c r="AM8031" i="26"/>
  <c r="AM8030" i="26"/>
  <c r="AM8029" i="26"/>
  <c r="AM8028" i="26"/>
  <c r="AM8027" i="26"/>
  <c r="AM8026" i="26"/>
  <c r="AM8025" i="26"/>
  <c r="AM8024" i="26"/>
  <c r="AM8023" i="26"/>
  <c r="AM8022" i="26"/>
  <c r="AM8021" i="26"/>
  <c r="AM8020" i="26"/>
  <c r="AM8019" i="26"/>
  <c r="AM8018" i="26"/>
  <c r="AM8017" i="26"/>
  <c r="AM8016" i="26"/>
  <c r="AM8015" i="26"/>
  <c r="AM8014" i="26"/>
  <c r="AM8013" i="26"/>
  <c r="AM8012" i="26"/>
  <c r="AM8011" i="26"/>
  <c r="AM8010" i="26"/>
  <c r="AM8009" i="26"/>
  <c r="AM8008" i="26"/>
  <c r="AM8007" i="26"/>
  <c r="AM8006" i="26"/>
  <c r="AM8005" i="26"/>
  <c r="AM8004" i="26"/>
  <c r="AM8003" i="26"/>
  <c r="AM8002" i="26"/>
  <c r="AM8001" i="26"/>
  <c r="AM8000" i="26"/>
  <c r="AM7999" i="26"/>
  <c r="AM7998" i="26"/>
  <c r="AM7997" i="26"/>
  <c r="AM7996" i="26"/>
  <c r="AM7995" i="26"/>
  <c r="AM7994" i="26"/>
  <c r="AM7993" i="26"/>
  <c r="AM7992" i="26"/>
  <c r="AM7991" i="26"/>
  <c r="AM7990" i="26"/>
  <c r="AM7989" i="26"/>
  <c r="AM7988" i="26"/>
  <c r="AM7987" i="26"/>
  <c r="AM7986" i="26"/>
  <c r="AM7985" i="26"/>
  <c r="AM7984" i="26"/>
  <c r="AM7983" i="26"/>
  <c r="AM7982" i="26"/>
  <c r="AM7981" i="26"/>
  <c r="AM7980" i="26"/>
  <c r="AM7979" i="26"/>
  <c r="AM7978" i="26"/>
  <c r="AM7977" i="26"/>
  <c r="AM7976" i="26"/>
  <c r="AM7975" i="26"/>
  <c r="AM7974" i="26"/>
  <c r="AM7973" i="26"/>
  <c r="AM7972" i="26"/>
  <c r="AM7971" i="26"/>
  <c r="AM7970" i="26"/>
  <c r="AM7969" i="26"/>
  <c r="AM7968" i="26"/>
  <c r="AM7967" i="26"/>
  <c r="AM7966" i="26"/>
  <c r="AM7965" i="26"/>
  <c r="AM7964" i="26"/>
  <c r="AM7963" i="26"/>
  <c r="AM7962" i="26"/>
  <c r="AM7961" i="26"/>
  <c r="AM7960" i="26"/>
  <c r="AM7959" i="26"/>
  <c r="AM7958" i="26"/>
  <c r="AM7957" i="26"/>
  <c r="AM7956" i="26"/>
  <c r="AM7955" i="26"/>
  <c r="AM7954" i="26"/>
  <c r="AM7953" i="26"/>
  <c r="AM7952" i="26"/>
  <c r="AM7951" i="26"/>
  <c r="AM7950" i="26"/>
  <c r="AM7949" i="26"/>
  <c r="AM7948" i="26"/>
  <c r="AM7947" i="26"/>
  <c r="AM7946" i="26"/>
  <c r="AM7945" i="26"/>
  <c r="AM7944" i="26"/>
  <c r="AM7943" i="26"/>
  <c r="AM7942" i="26"/>
  <c r="AM7941" i="26"/>
  <c r="AM7940" i="26"/>
  <c r="AM7939" i="26"/>
  <c r="AM7938" i="26"/>
  <c r="AM7937" i="26"/>
  <c r="AM7936" i="26"/>
  <c r="AM7935" i="26"/>
  <c r="AM7934" i="26"/>
  <c r="AM7933" i="26"/>
  <c r="AM7932" i="26"/>
  <c r="AM7931" i="26"/>
  <c r="AM7930" i="26"/>
  <c r="AM7929" i="26"/>
  <c r="AM7928" i="26"/>
  <c r="AM7927" i="26"/>
  <c r="AM7926" i="26"/>
  <c r="AM7925" i="26"/>
  <c r="AM7924" i="26"/>
  <c r="AM7923" i="26"/>
  <c r="AM7922" i="26"/>
  <c r="AM7921" i="26"/>
  <c r="AM7920" i="26"/>
  <c r="AM7919" i="26"/>
  <c r="AM7918" i="26"/>
  <c r="AM7917" i="26"/>
  <c r="AM7916" i="26"/>
  <c r="AM7915" i="26"/>
  <c r="AM7914" i="26"/>
  <c r="AM7913" i="26"/>
  <c r="AM7912" i="26"/>
  <c r="AM7911" i="26"/>
  <c r="AM7910" i="26"/>
  <c r="AM7909" i="26"/>
  <c r="AM7908" i="26"/>
  <c r="AM7907" i="26"/>
  <c r="AM7906" i="26"/>
  <c r="AM7905" i="26"/>
  <c r="AM7904" i="26"/>
  <c r="AM7903" i="26"/>
  <c r="AM7902" i="26"/>
  <c r="AM7901" i="26"/>
  <c r="AM7900" i="26"/>
  <c r="AM7899" i="26"/>
  <c r="AM7898" i="26"/>
  <c r="AM7897" i="26"/>
  <c r="AM7896" i="26"/>
  <c r="AM7895" i="26"/>
  <c r="AM7894" i="26"/>
  <c r="AM7893" i="26"/>
  <c r="AM7892" i="26"/>
  <c r="AM7891" i="26"/>
  <c r="AM7890" i="26"/>
  <c r="AM7889" i="26"/>
  <c r="AM7888" i="26"/>
  <c r="AM7887" i="26"/>
  <c r="AM7886" i="26"/>
  <c r="AM7885" i="26"/>
  <c r="AM7884" i="26"/>
  <c r="AM7883" i="26"/>
  <c r="AM7882" i="26"/>
  <c r="AM7881" i="26"/>
  <c r="AM7880" i="26"/>
  <c r="AM7879" i="26"/>
  <c r="AM7878" i="26"/>
  <c r="AM7877" i="26"/>
  <c r="AM7876" i="26"/>
  <c r="AM7875" i="26"/>
  <c r="AM7874" i="26"/>
  <c r="AM7873" i="26"/>
  <c r="AM7872" i="26"/>
  <c r="AM7871" i="26"/>
  <c r="AM7870" i="26"/>
  <c r="AM7869" i="26"/>
  <c r="AM7868" i="26"/>
  <c r="AM7867" i="26"/>
  <c r="AM7866" i="26"/>
  <c r="AM7865" i="26"/>
  <c r="AM7864" i="26"/>
  <c r="AM7863" i="26"/>
  <c r="AM7862" i="26"/>
  <c r="AM7861" i="26"/>
  <c r="AM7860" i="26"/>
  <c r="AM7859" i="26"/>
  <c r="AM7858" i="26"/>
  <c r="AM7857" i="26"/>
  <c r="AM7856" i="26"/>
  <c r="AM7855" i="26"/>
  <c r="AM7854" i="26"/>
  <c r="AM7853" i="26"/>
  <c r="AM7852" i="26"/>
  <c r="AM7851" i="26"/>
  <c r="AM7850" i="26"/>
  <c r="AM7849" i="26"/>
  <c r="AM7848" i="26"/>
  <c r="AM7847" i="26"/>
  <c r="AM7846" i="26"/>
  <c r="AM7845" i="26"/>
  <c r="AM7844" i="26"/>
  <c r="AM7843" i="26"/>
  <c r="AM7842" i="26"/>
  <c r="AM7841" i="26"/>
  <c r="AM7840" i="26"/>
  <c r="AM7839" i="26"/>
  <c r="AM7838" i="26"/>
  <c r="AM7837" i="26"/>
  <c r="AM7836" i="26"/>
  <c r="AM7835" i="26"/>
  <c r="AM7834" i="26"/>
  <c r="AM7833" i="26"/>
  <c r="AM7832" i="26"/>
  <c r="AM7831" i="26"/>
  <c r="AM7830" i="26"/>
  <c r="AM7829" i="26"/>
  <c r="AM7828" i="26"/>
  <c r="AM7827" i="26"/>
  <c r="AM7826" i="26"/>
  <c r="AM7825" i="26"/>
  <c r="AM7824" i="26"/>
  <c r="AM7823" i="26"/>
  <c r="AM7822" i="26"/>
  <c r="AM7821" i="26"/>
  <c r="AM7820" i="26"/>
  <c r="AM7819" i="26"/>
  <c r="AM7818" i="26"/>
  <c r="AM7817" i="26"/>
  <c r="AM7816" i="26"/>
  <c r="AM7815" i="26"/>
  <c r="AM7814" i="26"/>
  <c r="AM7813" i="26"/>
  <c r="AM7812" i="26"/>
  <c r="AM7811" i="26"/>
  <c r="AM7810" i="26"/>
  <c r="AM7809" i="26"/>
  <c r="AM7808" i="26"/>
  <c r="AM7807" i="26"/>
  <c r="AM7806" i="26"/>
  <c r="AM7805" i="26"/>
  <c r="AM7804" i="26"/>
  <c r="AM7803" i="26"/>
  <c r="AM7802" i="26"/>
  <c r="AM7801" i="26"/>
  <c r="AM7800" i="26"/>
  <c r="AM7799" i="26"/>
  <c r="AM7798" i="26"/>
  <c r="AM7797" i="26"/>
  <c r="AM7796" i="26"/>
  <c r="AM7795" i="26"/>
  <c r="AM7794" i="26"/>
  <c r="AM7793" i="26"/>
  <c r="AM7792" i="26"/>
  <c r="AM7791" i="26"/>
  <c r="AM7790" i="26"/>
  <c r="AM7789" i="26"/>
  <c r="AM7788" i="26"/>
  <c r="AM7787" i="26"/>
  <c r="AM7786" i="26"/>
  <c r="AM7785" i="26"/>
  <c r="AM7784" i="26"/>
  <c r="AM7783" i="26"/>
  <c r="AM7782" i="26"/>
  <c r="AM7781" i="26"/>
  <c r="AM7780" i="26"/>
  <c r="AM7779" i="26"/>
  <c r="AM7778" i="26"/>
  <c r="AM7777" i="26"/>
  <c r="AM7776" i="26"/>
  <c r="AM7775" i="26"/>
  <c r="AM7774" i="26"/>
  <c r="AM7773" i="26"/>
  <c r="AM7772" i="26"/>
  <c r="AM7771" i="26"/>
  <c r="AM7770" i="26"/>
  <c r="AM7769" i="26"/>
  <c r="AM7768" i="26"/>
  <c r="AM7767" i="26"/>
  <c r="AM7766" i="26"/>
  <c r="AM7765" i="26"/>
  <c r="AM7764" i="26"/>
  <c r="AM7763" i="26"/>
  <c r="AM7762" i="26"/>
  <c r="AM7761" i="26"/>
  <c r="AM7760" i="26"/>
  <c r="AM7759" i="26"/>
  <c r="AM7758" i="26"/>
  <c r="AM7757" i="26"/>
  <c r="AM7756" i="26"/>
  <c r="AM7755" i="26"/>
  <c r="AM7754" i="26"/>
  <c r="AM7753" i="26"/>
  <c r="AM7752" i="26"/>
  <c r="AM7751" i="26"/>
  <c r="AM7750" i="26"/>
  <c r="AM7749" i="26"/>
  <c r="AM7748" i="26"/>
  <c r="AM7747" i="26"/>
  <c r="AM7746" i="26"/>
  <c r="AM7745" i="26"/>
  <c r="AM7744" i="26"/>
  <c r="AM7743" i="26"/>
  <c r="AM7742" i="26"/>
  <c r="AM7741" i="26"/>
  <c r="AM7740" i="26"/>
  <c r="AM7739" i="26"/>
  <c r="AM7738" i="26"/>
  <c r="AM7737" i="26"/>
  <c r="AM7736" i="26"/>
  <c r="AM7735" i="26"/>
  <c r="AM7734" i="26"/>
  <c r="AM7733" i="26"/>
  <c r="AM7732" i="26"/>
  <c r="AM7731" i="26"/>
  <c r="AM7730" i="26"/>
  <c r="AM7729" i="26"/>
  <c r="AM7728" i="26"/>
  <c r="AM7727" i="26"/>
  <c r="AM7726" i="26"/>
  <c r="AM7725" i="26"/>
  <c r="AM7724" i="26"/>
  <c r="AM7723" i="26"/>
  <c r="AM7722" i="26"/>
  <c r="AM7721" i="26"/>
  <c r="AM7720" i="26"/>
  <c r="AM7719" i="26"/>
  <c r="AM7718" i="26"/>
  <c r="AM7717" i="26"/>
  <c r="AM7716" i="26"/>
  <c r="AM7715" i="26"/>
  <c r="AM7714" i="26"/>
  <c r="AM7713" i="26"/>
  <c r="AM7712" i="26"/>
  <c r="AM7711" i="26"/>
  <c r="AM7710" i="26"/>
  <c r="AM7709" i="26"/>
  <c r="AM7708" i="26"/>
  <c r="AM7707" i="26"/>
  <c r="AM7706" i="26"/>
  <c r="AM7705" i="26"/>
  <c r="AM7704" i="26"/>
  <c r="AM7703" i="26"/>
  <c r="AM7702" i="26"/>
  <c r="AM7701" i="26"/>
  <c r="AM7700" i="26"/>
  <c r="AM7699" i="26"/>
  <c r="AM7698" i="26"/>
  <c r="AM7697" i="26"/>
  <c r="AM7696" i="26"/>
  <c r="AM7695" i="26"/>
  <c r="AM7694" i="26"/>
  <c r="AM7693" i="26"/>
  <c r="AM7692" i="26"/>
  <c r="AM7691" i="26"/>
  <c r="AM7690" i="26"/>
  <c r="AM7689" i="26"/>
  <c r="AM7688" i="26"/>
  <c r="AM7687" i="26"/>
  <c r="AM7686" i="26"/>
  <c r="AM7685" i="26"/>
  <c r="AM7684" i="26"/>
  <c r="AM7683" i="26"/>
  <c r="AM7682" i="26"/>
  <c r="AM7681" i="26"/>
  <c r="AM7680" i="26"/>
  <c r="AM7679" i="26"/>
  <c r="AM7678" i="26"/>
  <c r="AM7677" i="26"/>
  <c r="AM7676" i="26"/>
  <c r="AM7675" i="26"/>
  <c r="AM7674" i="26"/>
  <c r="AM7673" i="26"/>
  <c r="AM7672" i="26"/>
  <c r="AM7671" i="26"/>
  <c r="AM7670" i="26"/>
  <c r="AM7669" i="26"/>
  <c r="AM7668" i="26"/>
  <c r="AM7667" i="26"/>
  <c r="AM7666" i="26"/>
  <c r="AM7665" i="26"/>
  <c r="AM7664" i="26"/>
  <c r="AM7663" i="26"/>
  <c r="AM7662" i="26"/>
  <c r="AM7661" i="26"/>
  <c r="AM7660" i="26"/>
  <c r="AM7659" i="26"/>
  <c r="AM7658" i="26"/>
  <c r="AM7657" i="26"/>
  <c r="AM7656" i="26"/>
  <c r="AM7655" i="26"/>
  <c r="AM7654" i="26"/>
  <c r="AM7653" i="26"/>
  <c r="AM7652" i="26"/>
  <c r="AM7651" i="26"/>
  <c r="AM7650" i="26"/>
  <c r="AM7649" i="26"/>
  <c r="AM7648" i="26"/>
  <c r="AM7647" i="26"/>
  <c r="AM7646" i="26"/>
  <c r="AM7645" i="26"/>
  <c r="AM7644" i="26"/>
  <c r="AM7643" i="26"/>
  <c r="AM7642" i="26"/>
  <c r="AM7641" i="26"/>
  <c r="AM7640" i="26"/>
  <c r="AM7639" i="26"/>
  <c r="AM7638" i="26"/>
  <c r="AM7637" i="26"/>
  <c r="AM7636" i="26"/>
  <c r="AM7635" i="26"/>
  <c r="AM7634" i="26"/>
  <c r="AM7633" i="26"/>
  <c r="AM7632" i="26"/>
  <c r="AM7631" i="26"/>
  <c r="AM7630" i="26"/>
  <c r="AM7629" i="26"/>
  <c r="AM7628" i="26"/>
  <c r="AM7627" i="26"/>
  <c r="AM7626" i="26"/>
  <c r="AM7625" i="26"/>
  <c r="AM7624" i="26"/>
  <c r="AM7623" i="26"/>
  <c r="AM7622" i="26"/>
  <c r="AM7621" i="26"/>
  <c r="AM7620" i="26"/>
  <c r="AM7619" i="26"/>
  <c r="AM7618" i="26"/>
  <c r="AM7617" i="26"/>
  <c r="AM7616" i="26"/>
  <c r="AM7615" i="26"/>
  <c r="AM7614" i="26"/>
  <c r="AM7613" i="26"/>
  <c r="AM7612" i="26"/>
  <c r="AM7611" i="26"/>
  <c r="AM7610" i="26"/>
  <c r="AM7609" i="26"/>
  <c r="AM7608" i="26"/>
  <c r="AM7607" i="26"/>
  <c r="AM7606" i="26"/>
  <c r="AM7605" i="26"/>
  <c r="AM7604" i="26"/>
  <c r="AM7603" i="26"/>
  <c r="AM7602" i="26"/>
  <c r="AM7601" i="26"/>
  <c r="AM7600" i="26"/>
  <c r="AM7599" i="26"/>
  <c r="AM7598" i="26"/>
  <c r="AM7597" i="26"/>
  <c r="AM7596" i="26"/>
  <c r="AM7595" i="26"/>
  <c r="AM7594" i="26"/>
  <c r="AM7593" i="26"/>
  <c r="AM7592" i="26"/>
  <c r="AM7591" i="26"/>
  <c r="AM7590" i="26"/>
  <c r="AM7589" i="26"/>
  <c r="AM7588" i="26"/>
  <c r="AM7587" i="26"/>
  <c r="AM7586" i="26"/>
  <c r="AM7585" i="26"/>
  <c r="AM7584" i="26"/>
  <c r="AM7583" i="26"/>
  <c r="AM7582" i="26"/>
  <c r="AM7581" i="26"/>
  <c r="AM7580" i="26"/>
  <c r="AM7579" i="26"/>
  <c r="AM7578" i="26"/>
  <c r="AM7577" i="26"/>
  <c r="AM7576" i="26"/>
  <c r="AM7575" i="26"/>
  <c r="AM7574" i="26"/>
  <c r="AM7573" i="26"/>
  <c r="AM7572" i="26"/>
  <c r="AM7571" i="26"/>
  <c r="AM7570" i="26"/>
  <c r="AM7569" i="26"/>
  <c r="AM7568" i="26"/>
  <c r="AM7567" i="26"/>
  <c r="AM7566" i="26"/>
  <c r="AM7565" i="26"/>
  <c r="AM7564" i="26"/>
  <c r="AM7563" i="26"/>
  <c r="AM7562" i="26"/>
  <c r="AM7561" i="26"/>
  <c r="AM7560" i="26"/>
  <c r="AM7559" i="26"/>
  <c r="AM7558" i="26"/>
  <c r="AM7557" i="26"/>
  <c r="AM7556" i="26"/>
  <c r="AM7555" i="26"/>
  <c r="AM7554" i="26"/>
  <c r="AM7553" i="26"/>
  <c r="AM7552" i="26"/>
  <c r="AM7551" i="26"/>
  <c r="AM7550" i="26"/>
  <c r="AM7549" i="26"/>
  <c r="AM7548" i="26"/>
  <c r="AM7547" i="26"/>
  <c r="AM7546" i="26"/>
  <c r="AM7545" i="26"/>
  <c r="AM7544" i="26"/>
  <c r="AM7543" i="26"/>
  <c r="AM7542" i="26"/>
  <c r="AM7541" i="26"/>
  <c r="AM7540" i="26"/>
  <c r="AM7539" i="26"/>
  <c r="AM7538" i="26"/>
  <c r="AM7537" i="26"/>
  <c r="AM7536" i="26"/>
  <c r="AM7535" i="26"/>
  <c r="AM7534" i="26"/>
  <c r="AM7533" i="26"/>
  <c r="AM7532" i="26"/>
  <c r="AM7531" i="26"/>
  <c r="AM7530" i="26"/>
  <c r="AM7529" i="26"/>
  <c r="AM7528" i="26"/>
  <c r="AM7527" i="26"/>
  <c r="AM7526" i="26"/>
  <c r="AM7525" i="26"/>
  <c r="AM7524" i="26"/>
  <c r="AM7523" i="26"/>
  <c r="AM7522" i="26"/>
  <c r="AM7521" i="26"/>
  <c r="AM7520" i="26"/>
  <c r="AM7519" i="26"/>
  <c r="AM7518" i="26"/>
  <c r="AM7517" i="26"/>
  <c r="AM7516" i="26"/>
  <c r="AM7515" i="26"/>
  <c r="AM7514" i="26"/>
  <c r="AM7513" i="26"/>
  <c r="AM7512" i="26"/>
  <c r="AM7511" i="26"/>
  <c r="AM7510" i="26"/>
  <c r="AM7509" i="26"/>
  <c r="AM7508" i="26"/>
  <c r="AM7507" i="26"/>
  <c r="AM7506" i="26"/>
  <c r="AM7505" i="26"/>
  <c r="AM7504" i="26"/>
  <c r="AM7503" i="26"/>
  <c r="AM7502" i="26"/>
  <c r="AM7501" i="26"/>
  <c r="AM7500" i="26"/>
  <c r="AM7499" i="26"/>
  <c r="AM7498" i="26"/>
  <c r="AM7497" i="26"/>
  <c r="AM7496" i="26"/>
  <c r="AM7495" i="26"/>
  <c r="AM7494" i="26"/>
  <c r="AM7493" i="26"/>
  <c r="AM7492" i="26"/>
  <c r="AM7491" i="26"/>
  <c r="AM7490" i="26"/>
  <c r="AM7489" i="26"/>
  <c r="AM7488" i="26"/>
  <c r="AM7487" i="26"/>
  <c r="AM7486" i="26"/>
  <c r="AM7485" i="26"/>
  <c r="AM7484" i="26"/>
  <c r="AM7483" i="26"/>
  <c r="AM7482" i="26"/>
  <c r="AM7481" i="26"/>
  <c r="AM7480" i="26"/>
  <c r="AM7479" i="26"/>
  <c r="AM7478" i="26"/>
  <c r="AM7477" i="26"/>
  <c r="AM7476" i="26"/>
  <c r="AM7475" i="26"/>
  <c r="AM7474" i="26"/>
  <c r="AM7473" i="26"/>
  <c r="AM7472" i="26"/>
  <c r="AM7471" i="26"/>
  <c r="AM7470" i="26"/>
  <c r="AM7469" i="26"/>
  <c r="AM7468" i="26"/>
  <c r="AM7467" i="26"/>
  <c r="AM7466" i="26"/>
  <c r="AM7465" i="26"/>
  <c r="AM7464" i="26"/>
  <c r="AM7463" i="26"/>
  <c r="AM7462" i="26"/>
  <c r="AM7461" i="26"/>
  <c r="AM7460" i="26"/>
  <c r="AM7459" i="26"/>
  <c r="AM7458" i="26"/>
  <c r="AM7457" i="26"/>
  <c r="AM7456" i="26"/>
  <c r="AM7455" i="26"/>
  <c r="AM7454" i="26"/>
  <c r="AM7453" i="26"/>
  <c r="AM7452" i="26"/>
  <c r="AM7451" i="26"/>
  <c r="AM7450" i="26"/>
  <c r="AM7449" i="26"/>
  <c r="AM7448" i="26"/>
  <c r="AM7447" i="26"/>
  <c r="AM7446" i="26"/>
  <c r="AM7445" i="26"/>
  <c r="AM7444" i="26"/>
  <c r="AM7443" i="26"/>
  <c r="AM7442" i="26"/>
  <c r="AM7441" i="26"/>
  <c r="AM7440" i="26"/>
  <c r="AM7439" i="26"/>
  <c r="AM7438" i="26"/>
  <c r="AM7437" i="26"/>
  <c r="AM7436" i="26"/>
  <c r="AM7435" i="26"/>
  <c r="AM7434" i="26"/>
  <c r="AM7433" i="26"/>
  <c r="AM7432" i="26"/>
  <c r="AM7431" i="26"/>
  <c r="AM7430" i="26"/>
  <c r="AM7429" i="26"/>
  <c r="AM7428" i="26"/>
  <c r="AM7427" i="26"/>
  <c r="AM7426" i="26"/>
  <c r="AM7425" i="26"/>
  <c r="AM7424" i="26"/>
  <c r="AM7423" i="26"/>
  <c r="AM7422" i="26"/>
  <c r="AM7421" i="26"/>
  <c r="AM7420" i="26"/>
  <c r="AM7419" i="26"/>
  <c r="AM7418" i="26"/>
  <c r="AM7417" i="26"/>
  <c r="AM7416" i="26"/>
  <c r="AM7415" i="26"/>
  <c r="AM7414" i="26"/>
  <c r="AM7413" i="26"/>
  <c r="AM7412" i="26"/>
  <c r="AM7411" i="26"/>
  <c r="AM7410" i="26"/>
  <c r="AM7409" i="26"/>
  <c r="AM7408" i="26"/>
  <c r="AM7407" i="26"/>
  <c r="AM7406" i="26"/>
  <c r="AM7405" i="26"/>
  <c r="AM7404" i="26"/>
  <c r="AM7403" i="26"/>
  <c r="AM7402" i="26"/>
  <c r="AM7401" i="26"/>
  <c r="AM7400" i="26"/>
  <c r="AM7399" i="26"/>
  <c r="AM7398" i="26"/>
  <c r="AM7397" i="26"/>
  <c r="AM7396" i="26"/>
  <c r="AM7395" i="26"/>
  <c r="AM7394" i="26"/>
  <c r="AM7393" i="26"/>
  <c r="AM7392" i="26"/>
  <c r="AM7391" i="26"/>
  <c r="AM7390" i="26"/>
  <c r="AM7389" i="26"/>
  <c r="AM7388" i="26"/>
  <c r="AM7387" i="26"/>
  <c r="AM7386" i="26"/>
  <c r="AM7385" i="26"/>
  <c r="AM7384" i="26"/>
  <c r="AM7383" i="26"/>
  <c r="AM7382" i="26"/>
  <c r="AM7381" i="26"/>
  <c r="AM7380" i="26"/>
  <c r="AM7379" i="26"/>
  <c r="AM7378" i="26"/>
  <c r="AM7377" i="26"/>
  <c r="AM7376" i="26"/>
  <c r="AM7375" i="26"/>
  <c r="AM7374" i="26"/>
  <c r="AM7373" i="26"/>
  <c r="AM7372" i="26"/>
  <c r="AM7371" i="26"/>
  <c r="AM7370" i="26"/>
  <c r="AM7369" i="26"/>
  <c r="AM7368" i="26"/>
  <c r="AM7367" i="26"/>
  <c r="AM7366" i="26"/>
  <c r="AM7365" i="26"/>
  <c r="AM7364" i="26"/>
  <c r="AM7363" i="26"/>
  <c r="AM7362" i="26"/>
  <c r="AM7361" i="26"/>
  <c r="AM7360" i="26"/>
  <c r="AM7359" i="26"/>
  <c r="AM7358" i="26"/>
  <c r="AM7357" i="26"/>
  <c r="AM7356" i="26"/>
  <c r="AM7355" i="26"/>
  <c r="AM7354" i="26"/>
  <c r="AM7353" i="26"/>
  <c r="AM7352" i="26"/>
  <c r="AM7351" i="26"/>
  <c r="AM7350" i="26"/>
  <c r="AM7349" i="26"/>
  <c r="AM7348" i="26"/>
  <c r="AM7347" i="26"/>
  <c r="AM7346" i="26"/>
  <c r="AM7345" i="26"/>
  <c r="AM7344" i="26"/>
  <c r="AM7343" i="26"/>
  <c r="AM7342" i="26"/>
  <c r="AM7341" i="26"/>
  <c r="AM7340" i="26"/>
  <c r="AM7339" i="26"/>
  <c r="AM7338" i="26"/>
  <c r="AM7337" i="26"/>
  <c r="AM7336" i="26"/>
  <c r="AM7335" i="26"/>
  <c r="AM7334" i="26"/>
  <c r="AM7333" i="26"/>
  <c r="AM7332" i="26"/>
  <c r="AM7331" i="26"/>
  <c r="AM7330" i="26"/>
  <c r="AM7329" i="26"/>
  <c r="AM7328" i="26"/>
  <c r="AM7327" i="26"/>
  <c r="AM7326" i="26"/>
  <c r="AM7325" i="26"/>
  <c r="AM7324" i="26"/>
  <c r="AM7323" i="26"/>
  <c r="AM7322" i="26"/>
  <c r="AM7321" i="26"/>
  <c r="AM7320" i="26"/>
  <c r="AM7319" i="26"/>
  <c r="AM7318" i="26"/>
  <c r="AM7317" i="26"/>
  <c r="AM7316" i="26"/>
  <c r="AM7315" i="26"/>
  <c r="AM7314" i="26"/>
  <c r="AM7313" i="26"/>
  <c r="AM7312" i="26"/>
  <c r="AM7311" i="26"/>
  <c r="AM7310" i="26"/>
  <c r="AM7309" i="26"/>
  <c r="AM7308" i="26"/>
  <c r="AM7307" i="26"/>
  <c r="AM7306" i="26"/>
  <c r="AM7305" i="26"/>
  <c r="AM7304" i="26"/>
  <c r="AM7303" i="26"/>
  <c r="AM7302" i="26"/>
  <c r="AM7301" i="26"/>
  <c r="AM7300" i="26"/>
  <c r="AM7299" i="26"/>
  <c r="AM7298" i="26"/>
  <c r="AM7297" i="26"/>
  <c r="AM7296" i="26"/>
  <c r="AM7295" i="26"/>
  <c r="AM7294" i="26"/>
  <c r="AM7293" i="26"/>
  <c r="AM7292" i="26"/>
  <c r="AM7291" i="26"/>
  <c r="AM7290" i="26"/>
  <c r="AM7289" i="26"/>
  <c r="AM7288" i="26"/>
  <c r="AM7287" i="26"/>
  <c r="AM7286" i="26"/>
  <c r="AM7285" i="26"/>
  <c r="AM7284" i="26"/>
  <c r="AM7283" i="26"/>
  <c r="AM7282" i="26"/>
  <c r="AM7281" i="26"/>
  <c r="AM7280" i="26"/>
  <c r="AM7279" i="26"/>
  <c r="AM7278" i="26"/>
  <c r="AM7277" i="26"/>
  <c r="AM7276" i="26"/>
  <c r="AM7275" i="26"/>
  <c r="AM7274" i="26"/>
  <c r="AM7273" i="26"/>
  <c r="AM7272" i="26"/>
  <c r="AM7271" i="26"/>
  <c r="AM7270" i="26"/>
  <c r="AM7269" i="26"/>
  <c r="AM7268" i="26"/>
  <c r="AM7267" i="26"/>
  <c r="AM7266" i="26"/>
  <c r="AM7265" i="26"/>
  <c r="AM7264" i="26"/>
  <c r="AM7263" i="26"/>
  <c r="AM7262" i="26"/>
  <c r="AM7261" i="26"/>
  <c r="AM7260" i="26"/>
  <c r="AM7259" i="26"/>
  <c r="AM7258" i="26"/>
  <c r="AM7257" i="26"/>
  <c r="AM7256" i="26"/>
  <c r="AM7255" i="26"/>
  <c r="AM7254" i="26"/>
  <c r="AM7253" i="26"/>
  <c r="AM7252" i="26"/>
  <c r="AM7251" i="26"/>
  <c r="AM7250" i="26"/>
  <c r="AM7249" i="26"/>
  <c r="AM7248" i="26"/>
  <c r="AM7247" i="26"/>
  <c r="AM7246" i="26"/>
  <c r="AM7245" i="26"/>
  <c r="AM7244" i="26"/>
  <c r="AM7243" i="26"/>
  <c r="AM7242" i="26"/>
  <c r="AM7241" i="26"/>
  <c r="AM7240" i="26"/>
  <c r="AM7239" i="26"/>
  <c r="AM7238" i="26"/>
  <c r="AM7237" i="26"/>
  <c r="AM7236" i="26"/>
  <c r="AM7235" i="26"/>
  <c r="AM7234" i="26"/>
  <c r="AM7233" i="26"/>
  <c r="AM7232" i="26"/>
  <c r="AM7231" i="26"/>
  <c r="AM7230" i="26"/>
  <c r="AM7229" i="26"/>
  <c r="AM7228" i="26"/>
  <c r="AM7227" i="26"/>
  <c r="AM7226" i="26"/>
  <c r="AM7225" i="26"/>
  <c r="AM7224" i="26"/>
  <c r="AM7223" i="26"/>
  <c r="AM7222" i="26"/>
  <c r="AM7221" i="26"/>
  <c r="AM7220" i="26"/>
  <c r="AM7219" i="26"/>
  <c r="AM7218" i="26"/>
  <c r="AM7217" i="26"/>
  <c r="AM7216" i="26"/>
  <c r="AM7215" i="26"/>
  <c r="AM7214" i="26"/>
  <c r="AM7213" i="26"/>
  <c r="AM7212" i="26"/>
  <c r="AM7211" i="26"/>
  <c r="AM7210" i="26"/>
  <c r="AM7209" i="26"/>
  <c r="AM7208" i="26"/>
  <c r="AM7207" i="26"/>
  <c r="AM7206" i="26"/>
  <c r="AM7205" i="26"/>
  <c r="AM7204" i="26"/>
  <c r="AM7203" i="26"/>
  <c r="AM7202" i="26"/>
  <c r="AM7201" i="26"/>
  <c r="AM7200" i="26"/>
  <c r="AM7199" i="26"/>
  <c r="AM7198" i="26"/>
  <c r="AM7197" i="26"/>
  <c r="AM7196" i="26"/>
  <c r="AM7195" i="26"/>
  <c r="AM7194" i="26"/>
  <c r="AM7193" i="26"/>
  <c r="AM7192" i="26"/>
  <c r="AM7191" i="26"/>
  <c r="AM7190" i="26"/>
  <c r="AM7189" i="26"/>
  <c r="AM7188" i="26"/>
  <c r="AM7187" i="26"/>
  <c r="AM7186" i="26"/>
  <c r="AM7185" i="26"/>
  <c r="AM7184" i="26"/>
  <c r="AM7183" i="26"/>
  <c r="AM7182" i="26"/>
  <c r="AM7181" i="26"/>
  <c r="AM7180" i="26"/>
  <c r="AM7179" i="26"/>
  <c r="AM7178" i="26"/>
  <c r="AM7177" i="26"/>
  <c r="AM7176" i="26"/>
  <c r="AM7175" i="26"/>
  <c r="AM7174" i="26"/>
  <c r="AM7173" i="26"/>
  <c r="AM7172" i="26"/>
  <c r="AM7171" i="26"/>
  <c r="AM7170" i="26"/>
  <c r="AM7169" i="26"/>
  <c r="AM7168" i="26"/>
  <c r="AM7167" i="26"/>
  <c r="AM7166" i="26"/>
  <c r="AM7165" i="26"/>
  <c r="AM7164" i="26"/>
  <c r="AM7163" i="26"/>
  <c r="AM7162" i="26"/>
  <c r="AM7161" i="26"/>
  <c r="AM7160" i="26"/>
  <c r="AM7159" i="26"/>
  <c r="AM7158" i="26"/>
  <c r="AM7157" i="26"/>
  <c r="AM7156" i="26"/>
  <c r="AM7155" i="26"/>
  <c r="AM7154" i="26"/>
  <c r="AM7153" i="26"/>
  <c r="AM7152" i="26"/>
  <c r="AM7151" i="26"/>
  <c r="AM7150" i="26"/>
  <c r="AM7149" i="26"/>
  <c r="AM7148" i="26"/>
  <c r="AM7147" i="26"/>
  <c r="AM7146" i="26"/>
  <c r="AM7145" i="26"/>
  <c r="AM7144" i="26"/>
  <c r="AM7143" i="26"/>
  <c r="AM7142" i="26"/>
  <c r="AM7141" i="26"/>
  <c r="AM7140" i="26"/>
  <c r="AM7139" i="26"/>
  <c r="AM7138" i="26"/>
  <c r="AM7137" i="26"/>
  <c r="AM7136" i="26"/>
  <c r="AM7135" i="26"/>
  <c r="AM7134" i="26"/>
  <c r="AM7133" i="26"/>
  <c r="AM7132" i="26"/>
  <c r="AM7131" i="26"/>
  <c r="AM7130" i="26"/>
  <c r="AM7129" i="26"/>
  <c r="AM7128" i="26"/>
  <c r="AM7127" i="26"/>
  <c r="AM7126" i="26"/>
  <c r="AM7125" i="26"/>
  <c r="AM7124" i="26"/>
  <c r="AM7123" i="26"/>
  <c r="AM7122" i="26"/>
  <c r="AM7121" i="26"/>
  <c r="AM7120" i="26"/>
  <c r="AM7119" i="26"/>
  <c r="AM7118" i="26"/>
  <c r="AM7117" i="26"/>
  <c r="AM7116" i="26"/>
  <c r="AM7115" i="26"/>
  <c r="AM7114" i="26"/>
  <c r="AM7113" i="26"/>
  <c r="AM7112" i="26"/>
  <c r="AM7111" i="26"/>
  <c r="AM7110" i="26"/>
  <c r="AM7109" i="26"/>
  <c r="AM7108" i="26"/>
  <c r="AM7107" i="26"/>
  <c r="AM7106" i="26"/>
  <c r="AM7105" i="26"/>
  <c r="AM7104" i="26"/>
  <c r="AM7103" i="26"/>
  <c r="AM7102" i="26"/>
  <c r="AM7101" i="26"/>
  <c r="AM7100" i="26"/>
  <c r="AM7099" i="26"/>
  <c r="AM7098" i="26"/>
  <c r="AM7097" i="26"/>
  <c r="AM7096" i="26"/>
  <c r="AM7095" i="26"/>
  <c r="AM7094" i="26"/>
  <c r="AM7093" i="26"/>
  <c r="AM7092" i="26"/>
  <c r="AM7091" i="26"/>
  <c r="AM7090" i="26"/>
  <c r="AM7089" i="26"/>
  <c r="AM7088" i="26"/>
  <c r="AM7087" i="26"/>
  <c r="AM7086" i="26"/>
  <c r="AM7085" i="26"/>
  <c r="AM7084" i="26"/>
  <c r="AM7083" i="26"/>
  <c r="AM7082" i="26"/>
  <c r="AM7081" i="26"/>
  <c r="AM7080" i="26"/>
  <c r="AM7079" i="26"/>
  <c r="AM7078" i="26"/>
  <c r="AM7077" i="26"/>
  <c r="AM7076" i="26"/>
  <c r="AM7075" i="26"/>
  <c r="AM7074" i="26"/>
  <c r="AM7073" i="26"/>
  <c r="AM7072" i="26"/>
  <c r="AM7071" i="26"/>
  <c r="AM7070" i="26"/>
  <c r="AM7069" i="26"/>
  <c r="AM7068" i="26"/>
  <c r="AM7067" i="26"/>
  <c r="AM7066" i="26"/>
  <c r="AM7065" i="26"/>
  <c r="AM7064" i="26"/>
  <c r="AM7063" i="26"/>
  <c r="AM7062" i="26"/>
  <c r="AM7061" i="26"/>
  <c r="AM7060" i="26"/>
  <c r="AM7059" i="26"/>
  <c r="AM7058" i="26"/>
  <c r="AM7057" i="26"/>
  <c r="AM7056" i="26"/>
  <c r="AM7055" i="26"/>
  <c r="AM7054" i="26"/>
  <c r="AM7053" i="26"/>
  <c r="AM7052" i="26"/>
  <c r="AM7051" i="26"/>
  <c r="AM7050" i="26"/>
  <c r="AM7049" i="26"/>
  <c r="AM7048" i="26"/>
  <c r="AM7047" i="26"/>
  <c r="AM7046" i="26"/>
  <c r="AM7045" i="26"/>
  <c r="AM7044" i="26"/>
  <c r="AM7043" i="26"/>
  <c r="AM7042" i="26"/>
  <c r="AM7041" i="26"/>
  <c r="AM7040" i="26"/>
  <c r="AM7039" i="26"/>
  <c r="AM7038" i="26"/>
  <c r="AM7037" i="26"/>
  <c r="AM7036" i="26"/>
  <c r="AM7035" i="26"/>
  <c r="AM7034" i="26"/>
  <c r="AM7033" i="26"/>
  <c r="AM7032" i="26"/>
  <c r="AM7031" i="26"/>
  <c r="AM7030" i="26"/>
  <c r="AM7029" i="26"/>
  <c r="AM7028" i="26"/>
  <c r="AM7027" i="26"/>
  <c r="AM7026" i="26"/>
  <c r="AM7025" i="26"/>
  <c r="AM7024" i="26"/>
  <c r="AM7023" i="26"/>
  <c r="AM7022" i="26"/>
  <c r="AM7021" i="26"/>
  <c r="AM7020" i="26"/>
  <c r="AM7019" i="26"/>
  <c r="AM7018" i="26"/>
  <c r="AM7017" i="26"/>
  <c r="AM7016" i="26"/>
  <c r="AM7015" i="26"/>
  <c r="AM7014" i="26"/>
  <c r="AM7013" i="26"/>
  <c r="AM7012" i="26"/>
  <c r="AM7011" i="26"/>
  <c r="AM7010" i="26"/>
  <c r="AM7009" i="26"/>
  <c r="AM7008" i="26"/>
  <c r="AM7007" i="26"/>
  <c r="AM7006" i="26"/>
  <c r="AM7005" i="26"/>
  <c r="AM7004" i="26"/>
  <c r="AM7003" i="26"/>
  <c r="AM7002" i="26"/>
  <c r="AM7001" i="26"/>
  <c r="AM7000" i="26"/>
  <c r="AM6999" i="26"/>
  <c r="AM6998" i="26"/>
  <c r="AM6997" i="26"/>
  <c r="AM6996" i="26"/>
  <c r="AM6995" i="26"/>
  <c r="AM6994" i="26"/>
  <c r="AM6993" i="26"/>
  <c r="AM6992" i="26"/>
  <c r="AM6991" i="26"/>
  <c r="AM6990" i="26"/>
  <c r="AM6989" i="26"/>
  <c r="AM6988" i="26"/>
  <c r="AM6987" i="26"/>
  <c r="AM6986" i="26"/>
  <c r="AM6985" i="26"/>
  <c r="AM6984" i="26"/>
  <c r="AM6983" i="26"/>
  <c r="AM6982" i="26"/>
  <c r="AM6981" i="26"/>
  <c r="AM6980" i="26"/>
  <c r="AM6979" i="26"/>
  <c r="AM6978" i="26"/>
  <c r="AM6977" i="26"/>
  <c r="AM6976" i="26"/>
  <c r="AM6975" i="26"/>
  <c r="AM6974" i="26"/>
  <c r="AM6973" i="26"/>
  <c r="AM6972" i="26"/>
  <c r="AM6971" i="26"/>
  <c r="AM6970" i="26"/>
  <c r="AM6969" i="26"/>
  <c r="AM6968" i="26"/>
  <c r="AM6967" i="26"/>
  <c r="AM6966" i="26"/>
  <c r="AM6965" i="26"/>
  <c r="AM6964" i="26"/>
  <c r="AM6963" i="26"/>
  <c r="AM6962" i="26"/>
  <c r="AM6961" i="26"/>
  <c r="AM6960" i="26"/>
  <c r="AM6959" i="26"/>
  <c r="AM6958" i="26"/>
  <c r="AM6957" i="26"/>
  <c r="AM6956" i="26"/>
  <c r="AM6955" i="26"/>
  <c r="AM6954" i="26"/>
  <c r="AM6953" i="26"/>
  <c r="AM6952" i="26"/>
  <c r="AM6951" i="26"/>
  <c r="AM6950" i="26"/>
  <c r="AM6949" i="26"/>
  <c r="AM6948" i="26"/>
  <c r="AM6947" i="26"/>
  <c r="AM6946" i="26"/>
  <c r="AM6945" i="26"/>
  <c r="AM6944" i="26"/>
  <c r="AM6943" i="26"/>
  <c r="AM6942" i="26"/>
  <c r="AM6941" i="26"/>
  <c r="AM6940" i="26"/>
  <c r="AM6939" i="26"/>
  <c r="AM6938" i="26"/>
  <c r="AM6937" i="26"/>
  <c r="AM6936" i="26"/>
  <c r="AM6935" i="26"/>
  <c r="AM6934" i="26"/>
  <c r="AM6933" i="26"/>
  <c r="AM6932" i="26"/>
  <c r="AM6931" i="26"/>
  <c r="AM6930" i="26"/>
  <c r="AM6929" i="26"/>
  <c r="AM6928" i="26"/>
  <c r="AM6927" i="26"/>
  <c r="AM6926" i="26"/>
  <c r="AM6925" i="26"/>
  <c r="AM6924" i="26"/>
  <c r="AM6923" i="26"/>
  <c r="AM6922" i="26"/>
  <c r="AM6921" i="26"/>
  <c r="AM6920" i="26"/>
  <c r="AM6919" i="26"/>
  <c r="AM6918" i="26"/>
  <c r="AM6917" i="26"/>
  <c r="AM6916" i="26"/>
  <c r="AM6915" i="26"/>
  <c r="AM6914" i="26"/>
  <c r="AM6913" i="26"/>
  <c r="AM6912" i="26"/>
  <c r="AM6911" i="26"/>
  <c r="AM6910" i="26"/>
  <c r="AM6909" i="26"/>
  <c r="AM6908" i="26"/>
  <c r="AM6907" i="26"/>
  <c r="AM6906" i="26"/>
  <c r="AM6905" i="26"/>
  <c r="AM6904" i="26"/>
  <c r="AM6903" i="26"/>
  <c r="AM6902" i="26"/>
  <c r="AM6901" i="26"/>
  <c r="AM6900" i="26"/>
  <c r="AM6899" i="26"/>
  <c r="AM6898" i="26"/>
  <c r="AM6897" i="26"/>
  <c r="AM6896" i="26"/>
  <c r="AM6895" i="26"/>
  <c r="AM6894" i="26"/>
  <c r="AM6893" i="26"/>
  <c r="AM6892" i="26"/>
  <c r="AM6891" i="26"/>
  <c r="AM6890" i="26"/>
  <c r="AM6889" i="26"/>
  <c r="AM6888" i="26"/>
  <c r="AM6887" i="26"/>
  <c r="AM6886" i="26"/>
  <c r="AM6885" i="26"/>
  <c r="AM6884" i="26"/>
  <c r="AM6883" i="26"/>
  <c r="AM6882" i="26"/>
  <c r="AM6881" i="26"/>
  <c r="AM6880" i="26"/>
  <c r="AM6879" i="26"/>
  <c r="AM6878" i="26"/>
  <c r="AM6877" i="26"/>
  <c r="AM6876" i="26"/>
  <c r="AM6875" i="26"/>
  <c r="AM6874" i="26"/>
  <c r="AM6873" i="26"/>
  <c r="AM6872" i="26"/>
  <c r="AM6871" i="26"/>
  <c r="AM6870" i="26"/>
  <c r="AM6869" i="26"/>
  <c r="AM6868" i="26"/>
  <c r="AM6867" i="26"/>
  <c r="AM6866" i="26"/>
  <c r="AM6865" i="26"/>
  <c r="AM6864" i="26"/>
  <c r="AM6863" i="26"/>
  <c r="AM6862" i="26"/>
  <c r="AM6861" i="26"/>
  <c r="AM6860" i="26"/>
  <c r="AM6859" i="26"/>
  <c r="AM6858" i="26"/>
  <c r="AM6857" i="26"/>
  <c r="AM6856" i="26"/>
  <c r="AM6855" i="26"/>
  <c r="AM6854" i="26"/>
  <c r="AM6853" i="26"/>
  <c r="AM6852" i="26"/>
  <c r="AM6851" i="26"/>
  <c r="AM6850" i="26"/>
  <c r="AM6849" i="26"/>
  <c r="AM6848" i="26"/>
  <c r="AM6847" i="26"/>
  <c r="AM6846" i="26"/>
  <c r="AM6845" i="26"/>
  <c r="AM6844" i="26"/>
  <c r="AM6843" i="26"/>
  <c r="AM6842" i="26"/>
  <c r="AM6841" i="26"/>
  <c r="AM6840" i="26"/>
  <c r="AM6839" i="26"/>
  <c r="AM6838" i="26"/>
  <c r="AM6837" i="26"/>
  <c r="AM6836" i="26"/>
  <c r="AM6835" i="26"/>
  <c r="AM6834" i="26"/>
  <c r="AM6833" i="26"/>
  <c r="AM6832" i="26"/>
  <c r="AM6831" i="26"/>
  <c r="AM6830" i="26"/>
  <c r="AM6829" i="26"/>
  <c r="AM6828" i="26"/>
  <c r="AM6827" i="26"/>
  <c r="AM6826" i="26"/>
  <c r="AM6825" i="26"/>
  <c r="AM6824" i="26"/>
  <c r="AM6823" i="26"/>
  <c r="AM6822" i="26"/>
  <c r="AM6821" i="26"/>
  <c r="AM6820" i="26"/>
  <c r="AM6819" i="26"/>
  <c r="AM6818" i="26"/>
  <c r="AM6817" i="26"/>
  <c r="AM6816" i="26"/>
  <c r="AM6815" i="26"/>
  <c r="AM6814" i="26"/>
  <c r="AM6813" i="26"/>
  <c r="AM6812" i="26"/>
  <c r="AM6811" i="26"/>
  <c r="AM6810" i="26"/>
  <c r="AM6809" i="26"/>
  <c r="AM6808" i="26"/>
  <c r="AM6807" i="26"/>
  <c r="AM6806" i="26"/>
  <c r="AM6805" i="26"/>
  <c r="AM6804" i="26"/>
  <c r="AM6803" i="26"/>
  <c r="AM6802" i="26"/>
  <c r="AM6801" i="26"/>
  <c r="AM6800" i="26"/>
  <c r="AM6799" i="26"/>
  <c r="AM6798" i="26"/>
  <c r="AM6797" i="26"/>
  <c r="AM6796" i="26"/>
  <c r="AM6795" i="26"/>
  <c r="AM6794" i="26"/>
  <c r="AM6793" i="26"/>
  <c r="AM6792" i="26"/>
  <c r="AM6791" i="26"/>
  <c r="AM6790" i="26"/>
  <c r="AM6789" i="26"/>
  <c r="AM6788" i="26"/>
  <c r="AM6787" i="26"/>
  <c r="AM6786" i="26"/>
  <c r="AM6785" i="26"/>
  <c r="AM6784" i="26"/>
  <c r="AM6783" i="26"/>
  <c r="AM6782" i="26"/>
  <c r="AM6781" i="26"/>
  <c r="AM6780" i="26"/>
  <c r="AM6779" i="26"/>
  <c r="AM6778" i="26"/>
  <c r="AM6777" i="26"/>
  <c r="AM6776" i="26"/>
  <c r="AM6775" i="26"/>
  <c r="AM6774" i="26"/>
  <c r="AM6773" i="26"/>
  <c r="AM6772" i="26"/>
  <c r="AM6771" i="26"/>
  <c r="AM6770" i="26"/>
  <c r="AM6769" i="26"/>
  <c r="AM6768" i="26"/>
  <c r="AM6767" i="26"/>
  <c r="AM6766" i="26"/>
  <c r="AM6765" i="26"/>
  <c r="AM6764" i="26"/>
  <c r="AM6763" i="26"/>
  <c r="AM6762" i="26"/>
  <c r="AM6761" i="26"/>
  <c r="AM6760" i="26"/>
  <c r="AM6759" i="26"/>
  <c r="AM6758" i="26"/>
  <c r="AM6757" i="26"/>
  <c r="AM6756" i="26"/>
  <c r="AM6755" i="26"/>
  <c r="AM6754" i="26"/>
  <c r="AM6753" i="26"/>
  <c r="AM6752" i="26"/>
  <c r="AM6751" i="26"/>
  <c r="AM6750" i="26"/>
  <c r="AM6749" i="26"/>
  <c r="AM6748" i="26"/>
  <c r="AM6747" i="26"/>
  <c r="AM6746" i="26"/>
  <c r="AM6745" i="26"/>
  <c r="AM6744" i="26"/>
  <c r="AM6743" i="26"/>
  <c r="AM6742" i="26"/>
  <c r="AM6741" i="26"/>
  <c r="AM6740" i="26"/>
  <c r="AM6739" i="26"/>
  <c r="AM6738" i="26"/>
  <c r="AM6737" i="26"/>
  <c r="AM6736" i="26"/>
  <c r="AM6735" i="26"/>
  <c r="AM6734" i="26"/>
  <c r="AM6733" i="26"/>
  <c r="AM6732" i="26"/>
  <c r="AM6731" i="26"/>
  <c r="AM6730" i="26"/>
  <c r="AM6729" i="26"/>
  <c r="AM6728" i="26"/>
  <c r="AM6727" i="26"/>
  <c r="AM6726" i="26"/>
  <c r="AM6725" i="26"/>
  <c r="AM6724" i="26"/>
  <c r="AM6723" i="26"/>
  <c r="AM6722" i="26"/>
  <c r="AM6721" i="26"/>
  <c r="AM6720" i="26"/>
  <c r="AM6719" i="26"/>
  <c r="AM6718" i="26"/>
  <c r="AM6717" i="26"/>
  <c r="AM6716" i="26"/>
  <c r="AM6715" i="26"/>
  <c r="AM6714" i="26"/>
  <c r="AM6713" i="26"/>
  <c r="AM6712" i="26"/>
  <c r="AM6711" i="26"/>
  <c r="AM6710" i="26"/>
  <c r="AM6709" i="26"/>
  <c r="AM6708" i="26"/>
  <c r="AM6707" i="26"/>
  <c r="AM6706" i="26"/>
  <c r="AM6705" i="26"/>
  <c r="AM6704" i="26"/>
  <c r="AM6703" i="26"/>
  <c r="AM6702" i="26"/>
  <c r="AM6701" i="26"/>
  <c r="AM6700" i="26"/>
  <c r="AM6699" i="26"/>
  <c r="AM6698" i="26"/>
  <c r="AM6697" i="26"/>
  <c r="AM6696" i="26"/>
  <c r="AM6695" i="26"/>
  <c r="AM6694" i="26"/>
  <c r="AM6693" i="26"/>
  <c r="AM6692" i="26"/>
  <c r="AM6691" i="26"/>
  <c r="AM6690" i="26"/>
  <c r="AM6689" i="26"/>
  <c r="AM6688" i="26"/>
  <c r="AM6687" i="26"/>
  <c r="AM6686" i="26"/>
  <c r="AM6685" i="26"/>
  <c r="AM6684" i="26"/>
  <c r="AM6683" i="26"/>
  <c r="AM6682" i="26"/>
  <c r="AM6681" i="26"/>
  <c r="AM6680" i="26"/>
  <c r="AM6679" i="26"/>
  <c r="AM6678" i="26"/>
  <c r="AM6677" i="26"/>
  <c r="AM6676" i="26"/>
  <c r="AM6675" i="26"/>
  <c r="AM6674" i="26"/>
  <c r="AM6673" i="26"/>
  <c r="AM6672" i="26"/>
  <c r="AM6671" i="26"/>
  <c r="AM6670" i="26"/>
  <c r="AM6669" i="26"/>
  <c r="AM6668" i="26"/>
  <c r="AM6667" i="26"/>
  <c r="AM6666" i="26"/>
  <c r="AM6665" i="26"/>
  <c r="AM6664" i="26"/>
  <c r="AM6663" i="26"/>
  <c r="AM6662" i="26"/>
  <c r="AM6661" i="26"/>
  <c r="AM6660" i="26"/>
  <c r="AM6659" i="26"/>
  <c r="AM6658" i="26"/>
  <c r="AM6657" i="26"/>
  <c r="AM6656" i="26"/>
  <c r="AM6655" i="26"/>
  <c r="AM6654" i="26"/>
  <c r="AM6653" i="26"/>
  <c r="AM6652" i="26"/>
  <c r="AM6651" i="26"/>
  <c r="AM6650" i="26"/>
  <c r="AM6649" i="26"/>
  <c r="AM6648" i="26"/>
  <c r="AM6647" i="26"/>
  <c r="AM6646" i="26"/>
  <c r="AM6645" i="26"/>
  <c r="AM6644" i="26"/>
  <c r="AM6643" i="26"/>
  <c r="AM6642" i="26"/>
  <c r="AM6641" i="26"/>
  <c r="AM6640" i="26"/>
  <c r="AM6639" i="26"/>
  <c r="AM6638" i="26"/>
  <c r="AM6637" i="26"/>
  <c r="AM6636" i="26"/>
  <c r="AM6635" i="26"/>
  <c r="AM6634" i="26"/>
  <c r="AM6633" i="26"/>
  <c r="AM6632" i="26"/>
  <c r="AM6631" i="26"/>
  <c r="AM6630" i="26"/>
  <c r="AM6629" i="26"/>
  <c r="AM6628" i="26"/>
  <c r="AM6627" i="26"/>
  <c r="AM6626" i="26"/>
  <c r="AM6625" i="26"/>
  <c r="AM6624" i="26"/>
  <c r="AM6623" i="26"/>
  <c r="AM6622" i="26"/>
  <c r="AM6621" i="26"/>
  <c r="AM6620" i="26"/>
  <c r="AM6619" i="26"/>
  <c r="AM6618" i="26"/>
  <c r="AM6617" i="26"/>
  <c r="AM6616" i="26"/>
  <c r="AM6615" i="26"/>
  <c r="AM6614" i="26"/>
  <c r="AM6613" i="26"/>
  <c r="AM6612" i="26"/>
  <c r="AM6611" i="26"/>
  <c r="AM6610" i="26"/>
  <c r="AM6609" i="26"/>
  <c r="AM6608" i="26"/>
  <c r="AM6607" i="26"/>
  <c r="AM6606" i="26"/>
  <c r="AM6605" i="26"/>
  <c r="AM6604" i="26"/>
  <c r="AM6603" i="26"/>
  <c r="AM6602" i="26"/>
  <c r="AM6601" i="26"/>
  <c r="AM6600" i="26"/>
  <c r="AM6599" i="26"/>
  <c r="AM6598" i="26"/>
  <c r="AM6597" i="26"/>
  <c r="AM6596" i="26"/>
  <c r="AM6595" i="26"/>
  <c r="AM6594" i="26"/>
  <c r="AM6593" i="26"/>
  <c r="AM6592" i="26"/>
  <c r="AM6591" i="26"/>
  <c r="AM6590" i="26"/>
  <c r="AM6589" i="26"/>
  <c r="AM6588" i="26"/>
  <c r="AM6587" i="26"/>
  <c r="AM6586" i="26"/>
  <c r="AM6585" i="26"/>
  <c r="AM6584" i="26"/>
  <c r="AM6583" i="26"/>
  <c r="AM6582" i="26"/>
  <c r="AM6581" i="26"/>
  <c r="AM6580" i="26"/>
  <c r="AM6579" i="26"/>
  <c r="AM6578" i="26"/>
  <c r="AM6577" i="26"/>
  <c r="AM6576" i="26"/>
  <c r="AM6575" i="26"/>
  <c r="AM6574" i="26"/>
  <c r="AM6573" i="26"/>
  <c r="AM6572" i="26"/>
  <c r="AM6571" i="26"/>
  <c r="AM6570" i="26"/>
  <c r="AM6569" i="26"/>
  <c r="AM6568" i="26"/>
  <c r="AM6567" i="26"/>
  <c r="AM6566" i="26"/>
  <c r="AM6565" i="26"/>
  <c r="AM6564" i="26"/>
  <c r="AM6563" i="26"/>
  <c r="AM6562" i="26"/>
  <c r="AM6561" i="26"/>
  <c r="AM6560" i="26"/>
  <c r="AM6559" i="26"/>
  <c r="AM6558" i="26"/>
  <c r="AM6557" i="26"/>
  <c r="AM6556" i="26"/>
  <c r="AM6555" i="26"/>
  <c r="AM6554" i="26"/>
  <c r="AM6553" i="26"/>
  <c r="AM6552" i="26"/>
  <c r="AM6551" i="26"/>
  <c r="AM6550" i="26"/>
  <c r="AM6549" i="26"/>
  <c r="AM6548" i="26"/>
  <c r="AM6547" i="26"/>
  <c r="AM6546" i="26"/>
  <c r="AM6545" i="26"/>
  <c r="AM6544" i="26"/>
  <c r="AM6543" i="26"/>
  <c r="AM6542" i="26"/>
  <c r="AM6541" i="26"/>
  <c r="AM6540" i="26"/>
  <c r="AM6539" i="26"/>
  <c r="AM6538" i="26"/>
  <c r="AM6537" i="26"/>
  <c r="AM6536" i="26"/>
  <c r="AM6535" i="26"/>
  <c r="AM6534" i="26"/>
  <c r="AM6533" i="26"/>
  <c r="AM6532" i="26"/>
  <c r="AM6531" i="26"/>
  <c r="AM6530" i="26"/>
  <c r="AM6529" i="26"/>
  <c r="AM6528" i="26"/>
  <c r="AM6527" i="26"/>
  <c r="AM6526" i="26"/>
  <c r="AM6525" i="26"/>
  <c r="AM6524" i="26"/>
  <c r="AM6523" i="26"/>
  <c r="AM6522" i="26"/>
  <c r="AM6521" i="26"/>
  <c r="AM6520" i="26"/>
  <c r="AM6519" i="26"/>
  <c r="AM6518" i="26"/>
  <c r="AM6517" i="26"/>
  <c r="AM6516" i="26"/>
  <c r="AM6515" i="26"/>
  <c r="AM6514" i="26"/>
  <c r="AM6513" i="26"/>
  <c r="AM6512" i="26"/>
  <c r="AM6511" i="26"/>
  <c r="AM6510" i="26"/>
  <c r="AM6509" i="26"/>
  <c r="AM6508" i="26"/>
  <c r="AM6507" i="26"/>
  <c r="AM6506" i="26"/>
  <c r="AM6505" i="26"/>
  <c r="AM6504" i="26"/>
  <c r="AM6503" i="26"/>
  <c r="AM6502" i="26"/>
  <c r="AM6501" i="26"/>
  <c r="AM6500" i="26"/>
  <c r="AM6499" i="26"/>
  <c r="AM6498" i="26"/>
  <c r="AM6497" i="26"/>
  <c r="AM6496" i="26"/>
  <c r="AM6495" i="26"/>
  <c r="AM6494" i="26"/>
  <c r="AM6493" i="26"/>
  <c r="AM6492" i="26"/>
  <c r="AM6491" i="26"/>
  <c r="AM6490" i="26"/>
  <c r="AM6489" i="26"/>
  <c r="AM6488" i="26"/>
  <c r="AM6487" i="26"/>
  <c r="AM6486" i="26"/>
  <c r="AM6485" i="26"/>
  <c r="AM6484" i="26"/>
  <c r="AM6483" i="26"/>
  <c r="AM6482" i="26"/>
  <c r="AM6481" i="26"/>
  <c r="AM6480" i="26"/>
  <c r="AM6479" i="26"/>
  <c r="AM6478" i="26"/>
  <c r="AM6477" i="26"/>
  <c r="AM6476" i="26"/>
  <c r="AM6475" i="26"/>
  <c r="AM6474" i="26"/>
  <c r="AM6473" i="26"/>
  <c r="AM6472" i="26"/>
  <c r="AM6471" i="26"/>
  <c r="AM6470" i="26"/>
  <c r="AM6469" i="26"/>
  <c r="AM6468" i="26"/>
  <c r="AM6467" i="26"/>
  <c r="AM6466" i="26"/>
  <c r="AM6465" i="26"/>
  <c r="AM6464" i="26"/>
  <c r="AM6463" i="26"/>
  <c r="AM6462" i="26"/>
  <c r="AM6461" i="26"/>
  <c r="AM6460" i="26"/>
  <c r="AM6459" i="26"/>
  <c r="AM6458" i="26"/>
  <c r="AM6457" i="26"/>
  <c r="AM6456" i="26"/>
  <c r="AM6455" i="26"/>
  <c r="AM6454" i="26"/>
  <c r="AM6453" i="26"/>
  <c r="AM6452" i="26"/>
  <c r="AM6451" i="26"/>
  <c r="AM6450" i="26"/>
  <c r="AM6449" i="26"/>
  <c r="AM6448" i="26"/>
  <c r="AM6447" i="26"/>
  <c r="AM6446" i="26"/>
  <c r="AM6445" i="26"/>
  <c r="AM6444" i="26"/>
  <c r="AM6443" i="26"/>
  <c r="AM6442" i="26"/>
  <c r="AM6441" i="26"/>
  <c r="AM6440" i="26"/>
  <c r="AM6439" i="26"/>
  <c r="AM6438" i="26"/>
  <c r="AM6437" i="26"/>
  <c r="AM6436" i="26"/>
  <c r="AM6435" i="26"/>
  <c r="AM6434" i="26"/>
  <c r="AM6433" i="26"/>
  <c r="AM6432" i="26"/>
  <c r="AM6431" i="26"/>
  <c r="AM6430" i="26"/>
  <c r="AM6429" i="26"/>
  <c r="AM6428" i="26"/>
  <c r="AM6427" i="26"/>
  <c r="AM6426" i="26"/>
  <c r="AM6425" i="26"/>
  <c r="AM6424" i="26"/>
  <c r="AM6423" i="26"/>
  <c r="AM6422" i="26"/>
  <c r="AM6421" i="26"/>
  <c r="AM6420" i="26"/>
  <c r="AM6419" i="26"/>
  <c r="AM6418" i="26"/>
  <c r="AM6417" i="26"/>
  <c r="AM6416" i="26"/>
  <c r="AM6415" i="26"/>
  <c r="AM6414" i="26"/>
  <c r="AM6413" i="26"/>
  <c r="AM6412" i="26"/>
  <c r="AM6411" i="26"/>
  <c r="AM6410" i="26"/>
  <c r="AM6409" i="26"/>
  <c r="AM6408" i="26"/>
  <c r="AM6407" i="26"/>
  <c r="AM6406" i="26"/>
  <c r="AM6405" i="26"/>
  <c r="AM6404" i="26"/>
  <c r="AM6403" i="26"/>
  <c r="AM6402" i="26"/>
  <c r="AM6401" i="26"/>
  <c r="AM6400" i="26"/>
  <c r="AM6399" i="26"/>
  <c r="AM6398" i="26"/>
  <c r="AM6397" i="26"/>
  <c r="AM6396" i="26"/>
  <c r="AM6395" i="26"/>
  <c r="AM6394" i="26"/>
  <c r="AM6393" i="26"/>
  <c r="AM6392" i="26"/>
  <c r="AM6391" i="26"/>
  <c r="AM6390" i="26"/>
  <c r="AM6389" i="26"/>
  <c r="AM6388" i="26"/>
  <c r="AM6387" i="26"/>
  <c r="AM6386" i="26"/>
  <c r="AM6385" i="26"/>
  <c r="AM6384" i="26"/>
  <c r="AM6383" i="26"/>
  <c r="AM6382" i="26"/>
  <c r="AM6381" i="26"/>
  <c r="AM6380" i="26"/>
  <c r="AM6379" i="26"/>
  <c r="AM6378" i="26"/>
  <c r="AM6377" i="26"/>
  <c r="AM6376" i="26"/>
  <c r="AM6375" i="26"/>
  <c r="AM6374" i="26"/>
  <c r="AM6373" i="26"/>
  <c r="AM6372" i="26"/>
  <c r="AM6371" i="26"/>
  <c r="AM6370" i="26"/>
  <c r="AM6369" i="26"/>
  <c r="AM6368" i="26"/>
  <c r="AM6367" i="26"/>
  <c r="AM6366" i="26"/>
  <c r="AM6365" i="26"/>
  <c r="AM6364" i="26"/>
  <c r="AM6363" i="26"/>
  <c r="AM6362" i="26"/>
  <c r="AM6361" i="26"/>
  <c r="AM6360" i="26"/>
  <c r="AM6359" i="26"/>
  <c r="AM6358" i="26"/>
  <c r="AM6357" i="26"/>
  <c r="AM6356" i="26"/>
  <c r="AM6355" i="26"/>
  <c r="AM6354" i="26"/>
  <c r="AM6353" i="26"/>
  <c r="AM6352" i="26"/>
  <c r="AM6351" i="26"/>
  <c r="AM6350" i="26"/>
  <c r="AM6349" i="26"/>
  <c r="AM6348" i="26"/>
  <c r="AM6347" i="26"/>
  <c r="AM6346" i="26"/>
  <c r="AM6345" i="26"/>
  <c r="AM6344" i="26"/>
  <c r="AM6343" i="26"/>
  <c r="AM6342" i="26"/>
  <c r="AM6341" i="26"/>
  <c r="AM6340" i="26"/>
  <c r="AM6339" i="26"/>
  <c r="AM6338" i="26"/>
  <c r="AM6337" i="26"/>
  <c r="AM6336" i="26"/>
  <c r="AM6335" i="26"/>
  <c r="AM6334" i="26"/>
  <c r="AM6333" i="26"/>
  <c r="AM6332" i="26"/>
  <c r="AM6331" i="26"/>
  <c r="AM6330" i="26"/>
  <c r="AM6329" i="26"/>
  <c r="AM6328" i="26"/>
  <c r="AM6327" i="26"/>
  <c r="AM6326" i="26"/>
  <c r="AM6325" i="26"/>
  <c r="AM6324" i="26"/>
  <c r="AM6323" i="26"/>
  <c r="AM6322" i="26"/>
  <c r="AM6321" i="26"/>
  <c r="AM6320" i="26"/>
  <c r="AM6319" i="26"/>
  <c r="AM6318" i="26"/>
  <c r="AM6317" i="26"/>
  <c r="AM6316" i="26"/>
  <c r="AM6315" i="26"/>
  <c r="AM6314" i="26"/>
  <c r="AM6313" i="26"/>
  <c r="AM6312" i="26"/>
  <c r="AM6311" i="26"/>
  <c r="AM6310" i="26"/>
  <c r="AM6309" i="26"/>
  <c r="AM6308" i="26"/>
  <c r="AM6307" i="26"/>
  <c r="AM6306" i="26"/>
  <c r="AM6305" i="26"/>
  <c r="AM6304" i="26"/>
  <c r="AM6303" i="26"/>
  <c r="AM6302" i="26"/>
  <c r="AM6301" i="26"/>
  <c r="AM6300" i="26"/>
  <c r="AM6299" i="26"/>
  <c r="AM6298" i="26"/>
  <c r="AM6297" i="26"/>
  <c r="AM6296" i="26"/>
  <c r="AM6295" i="26"/>
  <c r="AM6294" i="26"/>
  <c r="AM6293" i="26"/>
  <c r="AM6292" i="26"/>
  <c r="AM6291" i="26"/>
  <c r="AM6290" i="26"/>
  <c r="AM6289" i="26"/>
  <c r="AM6288" i="26"/>
  <c r="AM6287" i="26"/>
  <c r="AM6286" i="26"/>
  <c r="AM6285" i="26"/>
  <c r="AM6284" i="26"/>
  <c r="AM6283" i="26"/>
  <c r="AM6282" i="26"/>
  <c r="AM6281" i="26"/>
  <c r="AM6280" i="26"/>
  <c r="AM6279" i="26"/>
  <c r="AM6278" i="26"/>
  <c r="AM6277" i="26"/>
  <c r="AM6276" i="26"/>
  <c r="AM6275" i="26"/>
  <c r="AM6274" i="26"/>
  <c r="AM6273" i="26"/>
  <c r="AM6272" i="26"/>
  <c r="AM6271" i="26"/>
  <c r="AM6270" i="26"/>
  <c r="AM6269" i="26"/>
  <c r="AM6268" i="26"/>
  <c r="AM6267" i="26"/>
  <c r="AM6266" i="26"/>
  <c r="AM6265" i="26"/>
  <c r="AM6264" i="26"/>
  <c r="AM6263" i="26"/>
  <c r="AM6262" i="26"/>
  <c r="AM6261" i="26"/>
  <c r="AM6260" i="26"/>
  <c r="AM6259" i="26"/>
  <c r="AM6258" i="26"/>
  <c r="AM6257" i="26"/>
  <c r="AM6256" i="26"/>
  <c r="AM6255" i="26"/>
  <c r="AM6254" i="26"/>
  <c r="AM6253" i="26"/>
  <c r="AM6252" i="26"/>
  <c r="AM6251" i="26"/>
  <c r="AM6250" i="26"/>
  <c r="AM6249" i="26"/>
  <c r="AM6248" i="26"/>
  <c r="AM6247" i="26"/>
  <c r="AM6246" i="26"/>
  <c r="AM6245" i="26"/>
  <c r="AM6244" i="26"/>
  <c r="AM6243" i="26"/>
  <c r="AM6242" i="26"/>
  <c r="AM6241" i="26"/>
  <c r="AM6240" i="26"/>
  <c r="AM6239" i="26"/>
  <c r="AM6238" i="26"/>
  <c r="AM6237" i="26"/>
  <c r="AM6236" i="26"/>
  <c r="AM6235" i="26"/>
  <c r="AM6234" i="26"/>
  <c r="AM6233" i="26"/>
  <c r="AM6232" i="26"/>
  <c r="AM6231" i="26"/>
  <c r="AM6230" i="26"/>
  <c r="AM6229" i="26"/>
  <c r="AM6228" i="26"/>
  <c r="AM6227" i="26"/>
  <c r="AM6226" i="26"/>
  <c r="AM6225" i="26"/>
  <c r="AM6224" i="26"/>
  <c r="AM6223" i="26"/>
  <c r="AM6222" i="26"/>
  <c r="AM6221" i="26"/>
  <c r="AM6220" i="26"/>
  <c r="AM6219" i="26"/>
  <c r="AM6218" i="26"/>
  <c r="AM6217" i="26"/>
  <c r="AM6216" i="26"/>
  <c r="AM6215" i="26"/>
  <c r="AM6214" i="26"/>
  <c r="AM6213" i="26"/>
  <c r="AM6212" i="26"/>
  <c r="AM6211" i="26"/>
  <c r="AM6210" i="26"/>
  <c r="AM6209" i="26"/>
  <c r="AM6208" i="26"/>
  <c r="AM6207" i="26"/>
  <c r="AM6206" i="26"/>
  <c r="AM6205" i="26"/>
  <c r="AM6204" i="26"/>
  <c r="AM6203" i="26"/>
  <c r="AM6202" i="26"/>
  <c r="AM6201" i="26"/>
  <c r="AM6200" i="26"/>
  <c r="AM6199" i="26"/>
  <c r="AM6198" i="26"/>
  <c r="AM6197" i="26"/>
  <c r="AM6196" i="26"/>
  <c r="AM6195" i="26"/>
  <c r="AM6194" i="26"/>
  <c r="AM6193" i="26"/>
  <c r="AM6192" i="26"/>
  <c r="AM6191" i="26"/>
  <c r="AM6190" i="26"/>
  <c r="AM6189" i="26"/>
  <c r="AM6188" i="26"/>
  <c r="AM6187" i="26"/>
  <c r="AM6186" i="26"/>
  <c r="AM6185" i="26"/>
  <c r="AM6184" i="26"/>
  <c r="AM6183" i="26"/>
  <c r="AM6182" i="26"/>
  <c r="AM6181" i="26"/>
  <c r="AM6180" i="26"/>
  <c r="AM6179" i="26"/>
  <c r="AM6178" i="26"/>
  <c r="AM6177" i="26"/>
  <c r="AM6176" i="26"/>
  <c r="AM6175" i="26"/>
  <c r="AM6174" i="26"/>
  <c r="AM6173" i="26"/>
  <c r="AM6172" i="26"/>
  <c r="AM6171" i="26"/>
  <c r="AM6170" i="26"/>
  <c r="AM6169" i="26"/>
  <c r="AM6168" i="26"/>
  <c r="AM6167" i="26"/>
  <c r="AM6166" i="26"/>
  <c r="AM6165" i="26"/>
  <c r="AM6164" i="26"/>
  <c r="AM6163" i="26"/>
  <c r="AM6162" i="26"/>
  <c r="AM6161" i="26"/>
  <c r="AM6160" i="26"/>
  <c r="AM6159" i="26"/>
  <c r="AM6158" i="26"/>
  <c r="AM6157" i="26"/>
  <c r="AM6156" i="26"/>
  <c r="AM6155" i="26"/>
  <c r="AM6154" i="26"/>
  <c r="AM6153" i="26"/>
  <c r="AM6152" i="26"/>
  <c r="AM6151" i="26"/>
  <c r="AM6150" i="26"/>
  <c r="AM6149" i="26"/>
  <c r="AM6148" i="26"/>
  <c r="AM6147" i="26"/>
  <c r="AM6146" i="26"/>
  <c r="AM6145" i="26"/>
  <c r="AM6144" i="26"/>
  <c r="AM6143" i="26"/>
  <c r="AM6142" i="26"/>
  <c r="AM6141" i="26"/>
  <c r="AM6140" i="26"/>
  <c r="AM6139" i="26"/>
  <c r="AM6138" i="26"/>
  <c r="AM6137" i="26"/>
  <c r="AM6136" i="26"/>
  <c r="AM6135" i="26"/>
  <c r="AM6134" i="26"/>
  <c r="AM6133" i="26"/>
  <c r="AM6132" i="26"/>
  <c r="AM6131" i="26"/>
  <c r="AM6130" i="26"/>
  <c r="AM6129" i="26"/>
  <c r="AM6128" i="26"/>
  <c r="AM6127" i="26"/>
  <c r="AM6126" i="26"/>
  <c r="AM6125" i="26"/>
  <c r="AM6124" i="26"/>
  <c r="AM6123" i="26"/>
  <c r="AM6122" i="26"/>
  <c r="AM6121" i="26"/>
  <c r="AM6120" i="26"/>
  <c r="AM6119" i="26"/>
  <c r="AM6118" i="26"/>
  <c r="AM6117" i="26"/>
  <c r="AM6116" i="26"/>
  <c r="AM6115" i="26"/>
  <c r="AM6114" i="26"/>
  <c r="AM6113" i="26"/>
  <c r="AM6112" i="26"/>
  <c r="AM6111" i="26"/>
  <c r="AM6110" i="26"/>
  <c r="AM6109" i="26"/>
  <c r="AM6108" i="26"/>
  <c r="AM6107" i="26"/>
  <c r="AM6106" i="26"/>
  <c r="AM6105" i="26"/>
  <c r="AM6104" i="26"/>
  <c r="AM6103" i="26"/>
  <c r="AM6102" i="26"/>
  <c r="AM6101" i="26"/>
  <c r="AM6100" i="26"/>
  <c r="AM6099" i="26"/>
  <c r="AM6098" i="26"/>
  <c r="AM6097" i="26"/>
  <c r="AM6096" i="26"/>
  <c r="AM6095" i="26"/>
  <c r="AM6094" i="26"/>
  <c r="AM6093" i="26"/>
  <c r="AM6092" i="26"/>
  <c r="AM6091" i="26"/>
  <c r="AM6090" i="26"/>
  <c r="AM6089" i="26"/>
  <c r="AM6088" i="26"/>
  <c r="AM6087" i="26"/>
  <c r="AM6086" i="26"/>
  <c r="AM6085" i="26"/>
  <c r="AM6084" i="26"/>
  <c r="AM6083" i="26"/>
  <c r="AM6082" i="26"/>
  <c r="AM6081" i="26"/>
  <c r="AM6080" i="26"/>
  <c r="AM6079" i="26"/>
  <c r="AM6078" i="26"/>
  <c r="AM6077" i="26"/>
  <c r="AM6076" i="26"/>
  <c r="AM6075" i="26"/>
  <c r="AM6074" i="26"/>
  <c r="AM6073" i="26"/>
  <c r="AM6072" i="26"/>
  <c r="AM6071" i="26"/>
  <c r="AM6070" i="26"/>
  <c r="AM6069" i="26"/>
  <c r="AM6068" i="26"/>
  <c r="AM6067" i="26"/>
  <c r="AM6066" i="26"/>
  <c r="AM6065" i="26"/>
  <c r="AM6064" i="26"/>
  <c r="AM6063" i="26"/>
  <c r="AM6062" i="26"/>
  <c r="AM6061" i="26"/>
  <c r="AM6060" i="26"/>
  <c r="AM6059" i="26"/>
  <c r="AM6058" i="26"/>
  <c r="AM6057" i="26"/>
  <c r="AM6056" i="26"/>
  <c r="AM6055" i="26"/>
  <c r="AM6054" i="26"/>
  <c r="AM6053" i="26"/>
  <c r="AM6052" i="26"/>
  <c r="AM6051" i="26"/>
  <c r="AM6050" i="26"/>
  <c r="AM6049" i="26"/>
  <c r="AM6048" i="26"/>
  <c r="AM6047" i="26"/>
  <c r="AM6046" i="26"/>
  <c r="AM6045" i="26"/>
  <c r="AM6044" i="26"/>
  <c r="AM6043" i="26"/>
  <c r="AM6042" i="26"/>
  <c r="AM6041" i="26"/>
  <c r="AM6040" i="26"/>
  <c r="AM6039" i="26"/>
  <c r="AM6038" i="26"/>
  <c r="AM6037" i="26"/>
  <c r="AM6036" i="26"/>
  <c r="AM6035" i="26"/>
  <c r="AM6034" i="26"/>
  <c r="AM6033" i="26"/>
  <c r="AM6032" i="26"/>
  <c r="AM6031" i="26"/>
  <c r="AM6030" i="26"/>
  <c r="AM6029" i="26"/>
  <c r="AM6028" i="26"/>
  <c r="AM6027" i="26"/>
  <c r="AM6026" i="26"/>
  <c r="AM6025" i="26"/>
  <c r="AM6024" i="26"/>
  <c r="AM6023" i="26"/>
  <c r="AM6022" i="26"/>
  <c r="AM6021" i="26"/>
  <c r="AM6020" i="26"/>
  <c r="AM6019" i="26"/>
  <c r="AM6018" i="26"/>
  <c r="AM6017" i="26"/>
  <c r="AM6016" i="26"/>
  <c r="AM6015" i="26"/>
  <c r="AM6014" i="26"/>
  <c r="AM6013" i="26"/>
  <c r="AM6012" i="26"/>
  <c r="AM6011" i="26"/>
  <c r="AM6010" i="26"/>
  <c r="AM6009" i="26"/>
  <c r="AM6008" i="26"/>
  <c r="AM6007" i="26"/>
  <c r="AM6006" i="26"/>
  <c r="AM6005" i="26"/>
  <c r="AM6004" i="26"/>
  <c r="AM6003" i="26"/>
  <c r="AM6002" i="26"/>
  <c r="AM6001" i="26"/>
  <c r="AM6000" i="26"/>
  <c r="AM5999" i="26"/>
  <c r="AM5998" i="26"/>
  <c r="AM5997" i="26"/>
  <c r="AM5996" i="26"/>
  <c r="AM5995" i="26"/>
  <c r="AM5994" i="26"/>
  <c r="AM5993" i="26"/>
  <c r="AM5992" i="26"/>
  <c r="AM5991" i="26"/>
  <c r="AM5990" i="26"/>
  <c r="AM5989" i="26"/>
  <c r="AM5988" i="26"/>
  <c r="AM5987" i="26"/>
  <c r="AM5986" i="26"/>
  <c r="AM5985" i="26"/>
  <c r="AM5984" i="26"/>
  <c r="AM5983" i="26"/>
  <c r="AM5982" i="26"/>
  <c r="AM5981" i="26"/>
  <c r="AM5980" i="26"/>
  <c r="AM5979" i="26"/>
  <c r="AM5978" i="26"/>
  <c r="AM5977" i="26"/>
  <c r="AM5976" i="26"/>
  <c r="AM5975" i="26"/>
  <c r="AM5974" i="26"/>
  <c r="AM5973" i="26"/>
  <c r="AM5972" i="26"/>
  <c r="AM5971" i="26"/>
  <c r="AM5970" i="26"/>
  <c r="AM5969" i="26"/>
  <c r="AM5968" i="26"/>
  <c r="AM5967" i="26"/>
  <c r="AM5966" i="26"/>
  <c r="AM5965" i="26"/>
  <c r="AM5964" i="26"/>
  <c r="AM5963" i="26"/>
  <c r="AM5962" i="26"/>
  <c r="AM5961" i="26"/>
  <c r="AM5960" i="26"/>
  <c r="AM5959" i="26"/>
  <c r="AM5958" i="26"/>
  <c r="AM5957" i="26"/>
  <c r="AM5956" i="26"/>
  <c r="AM5955" i="26"/>
  <c r="AM5954" i="26"/>
  <c r="AM5953" i="26"/>
  <c r="AM5952" i="26"/>
  <c r="AM5951" i="26"/>
  <c r="AM5950" i="26"/>
  <c r="AM5949" i="26"/>
  <c r="AM5948" i="26"/>
  <c r="AM5947" i="26"/>
  <c r="AM5946" i="26"/>
  <c r="AM5945" i="26"/>
  <c r="AM5944" i="26"/>
  <c r="AM5943" i="26"/>
  <c r="AM5942" i="26"/>
  <c r="AM5941" i="26"/>
  <c r="AM5940" i="26"/>
  <c r="AM5939" i="26"/>
  <c r="AM5938" i="26"/>
  <c r="AM5937" i="26"/>
  <c r="AM5936" i="26"/>
  <c r="AM5935" i="26"/>
  <c r="AM5934" i="26"/>
  <c r="AM5933" i="26"/>
  <c r="AM5932" i="26"/>
  <c r="AM5931" i="26"/>
  <c r="AM5930" i="26"/>
  <c r="AM5929" i="26"/>
  <c r="AM5928" i="26"/>
  <c r="AM5927" i="26"/>
  <c r="AM5926" i="26"/>
  <c r="AM5925" i="26"/>
  <c r="AM5924" i="26"/>
  <c r="AM5923" i="26"/>
  <c r="AM5922" i="26"/>
  <c r="AM5921" i="26"/>
  <c r="AM5920" i="26"/>
  <c r="AM5919" i="26"/>
  <c r="AM5918" i="26"/>
  <c r="AM5917" i="26"/>
  <c r="AM5916" i="26"/>
  <c r="AM5915" i="26"/>
  <c r="AM5914" i="26"/>
  <c r="AM5913" i="26"/>
  <c r="AM5912" i="26"/>
  <c r="AM5911" i="26"/>
  <c r="AM5910" i="26"/>
  <c r="AM5909" i="26"/>
  <c r="AM5908" i="26"/>
  <c r="AM5907" i="26"/>
  <c r="AM5906" i="26"/>
  <c r="AM5905" i="26"/>
  <c r="AM5904" i="26"/>
  <c r="AM5903" i="26"/>
  <c r="AM5902" i="26"/>
  <c r="AM5901" i="26"/>
  <c r="AM5900" i="26"/>
  <c r="AM5899" i="26"/>
  <c r="AM5898" i="26"/>
  <c r="AM5897" i="26"/>
  <c r="AM5896" i="26"/>
  <c r="AM5895" i="26"/>
  <c r="AM5894" i="26"/>
  <c r="AM5893" i="26"/>
  <c r="AM5892" i="26"/>
  <c r="AM5891" i="26"/>
  <c r="AM5890" i="26"/>
  <c r="AM5889" i="26"/>
  <c r="AM5888" i="26"/>
  <c r="AM5887" i="26"/>
  <c r="AM5886" i="26"/>
  <c r="AM5885" i="26"/>
  <c r="AM5884" i="26"/>
  <c r="AM5883" i="26"/>
  <c r="AM5882" i="26"/>
  <c r="AM5881" i="26"/>
  <c r="AM5880" i="26"/>
  <c r="AM5879" i="26"/>
  <c r="AM5878" i="26"/>
  <c r="AM5877" i="26"/>
  <c r="AM5876" i="26"/>
  <c r="AM5875" i="26"/>
  <c r="AM5874" i="26"/>
  <c r="AM5873" i="26"/>
  <c r="AM5872" i="26"/>
  <c r="AM5871" i="26"/>
  <c r="AM5870" i="26"/>
  <c r="AM5869" i="26"/>
  <c r="AM5868" i="26"/>
  <c r="AM5867" i="26"/>
  <c r="AM5866" i="26"/>
  <c r="AM5865" i="26"/>
  <c r="AM5864" i="26"/>
  <c r="AM5863" i="26"/>
  <c r="AM5862" i="26"/>
  <c r="AM5861" i="26"/>
  <c r="AM5860" i="26"/>
  <c r="AM5859" i="26"/>
  <c r="AM5858" i="26"/>
  <c r="AM5857" i="26"/>
  <c r="AM5856" i="26"/>
  <c r="AM5855" i="26"/>
  <c r="AM5854" i="26"/>
  <c r="AM5853" i="26"/>
  <c r="AM5852" i="26"/>
  <c r="AM5851" i="26"/>
  <c r="AM5850" i="26"/>
  <c r="AM5849" i="26"/>
  <c r="AM5848" i="26"/>
  <c r="AM5847" i="26"/>
  <c r="AM5846" i="26"/>
  <c r="AM5845" i="26"/>
  <c r="AM5844" i="26"/>
  <c r="AM5843" i="26"/>
  <c r="AM5842" i="26"/>
  <c r="AM5841" i="26"/>
  <c r="AM5840" i="26"/>
  <c r="AM5839" i="26"/>
  <c r="AM5838" i="26"/>
  <c r="AM5837" i="26"/>
  <c r="AM5836" i="26"/>
  <c r="AM5835" i="26"/>
  <c r="AM5834" i="26"/>
  <c r="AM5833" i="26"/>
  <c r="AM5832" i="26"/>
  <c r="AM5831" i="26"/>
  <c r="AM5830" i="26"/>
  <c r="AM5829" i="26"/>
  <c r="AM5828" i="26"/>
  <c r="AM5827" i="26"/>
  <c r="AM5826" i="26"/>
  <c r="AM5825" i="26"/>
  <c r="AM5824" i="26"/>
  <c r="AM5823" i="26"/>
  <c r="AM5822" i="26"/>
  <c r="AM5821" i="26"/>
  <c r="AM5820" i="26"/>
  <c r="AM5819" i="26"/>
  <c r="AM5818" i="26"/>
  <c r="AM5817" i="26"/>
  <c r="AM5816" i="26"/>
  <c r="AM5815" i="26"/>
  <c r="AM5814" i="26"/>
  <c r="AM5813" i="26"/>
  <c r="AM5812" i="26"/>
  <c r="AM5811" i="26"/>
  <c r="AM5810" i="26"/>
  <c r="AM5809" i="26"/>
  <c r="AM5808" i="26"/>
  <c r="AM5807" i="26"/>
  <c r="AM5806" i="26"/>
  <c r="AM5805" i="26"/>
  <c r="AM5804" i="26"/>
  <c r="AM5803" i="26"/>
  <c r="AM5802" i="26"/>
  <c r="AM5801" i="26"/>
  <c r="AM5800" i="26"/>
  <c r="AM5799" i="26"/>
  <c r="AM5798" i="26"/>
  <c r="AM5797" i="26"/>
  <c r="AM5796" i="26"/>
  <c r="AM5795" i="26"/>
  <c r="AM5794" i="26"/>
  <c r="AM5793" i="26"/>
  <c r="AM5792" i="26"/>
  <c r="AM5791" i="26"/>
  <c r="AM5790" i="26"/>
  <c r="AM5789" i="26"/>
  <c r="AM5788" i="26"/>
  <c r="AM5787" i="26"/>
  <c r="AM5786" i="26"/>
  <c r="AM5785" i="26"/>
  <c r="AM5784" i="26"/>
  <c r="AM5783" i="26"/>
  <c r="AM5782" i="26"/>
  <c r="AM5781" i="26"/>
  <c r="AM5780" i="26"/>
  <c r="AM5779" i="26"/>
  <c r="AM5778" i="26"/>
  <c r="AM5777" i="26"/>
  <c r="AM5776" i="26"/>
  <c r="AM5775" i="26"/>
  <c r="AM5774" i="26"/>
  <c r="AM5773" i="26"/>
  <c r="AM5772" i="26"/>
  <c r="AM5771" i="26"/>
  <c r="AM5770" i="26"/>
  <c r="AM5769" i="26"/>
  <c r="AM5768" i="26"/>
  <c r="AM5767" i="26"/>
  <c r="AM5766" i="26"/>
  <c r="AM5765" i="26"/>
  <c r="AM5764" i="26"/>
  <c r="AM5763" i="26"/>
  <c r="AM5762" i="26"/>
  <c r="AM5761" i="26"/>
  <c r="AM5760" i="26"/>
  <c r="AM5759" i="26"/>
  <c r="AM5758" i="26"/>
  <c r="AM5757" i="26"/>
  <c r="AM5756" i="26"/>
  <c r="AM5755" i="26"/>
  <c r="AM5754" i="26"/>
  <c r="AM5753" i="26"/>
  <c r="AM5752" i="26"/>
  <c r="AM5751" i="26"/>
  <c r="AM5750" i="26"/>
  <c r="AM5749" i="26"/>
  <c r="AM5748" i="26"/>
  <c r="AM5747" i="26"/>
  <c r="AM5746" i="26"/>
  <c r="AM5745" i="26"/>
  <c r="AM5744" i="26"/>
  <c r="AM5743" i="26"/>
  <c r="AM5742" i="26"/>
  <c r="AM5741" i="26"/>
  <c r="AM5740" i="26"/>
  <c r="AM5739" i="26"/>
  <c r="AM5738" i="26"/>
  <c r="AM5737" i="26"/>
  <c r="AM5736" i="26"/>
  <c r="AM5735" i="26"/>
  <c r="AM5734" i="26"/>
  <c r="AM5733" i="26"/>
  <c r="AM5732" i="26"/>
  <c r="AM5731" i="26"/>
  <c r="AM5730" i="26"/>
  <c r="AM5729" i="26"/>
  <c r="AM5728" i="26"/>
  <c r="AM5727" i="26"/>
  <c r="AM5726" i="26"/>
  <c r="AM5725" i="26"/>
  <c r="AM5724" i="26"/>
  <c r="AM5723" i="26"/>
  <c r="AM5722" i="26"/>
  <c r="AM5721" i="26"/>
  <c r="AM5720" i="26"/>
  <c r="AM5719" i="26"/>
  <c r="AM5718" i="26"/>
  <c r="AM5717" i="26"/>
  <c r="AM5716" i="26"/>
  <c r="AM5715" i="26"/>
  <c r="AM5714" i="26"/>
  <c r="AM5713" i="26"/>
  <c r="AM5712" i="26"/>
  <c r="AM5711" i="26"/>
  <c r="AM5710" i="26"/>
  <c r="AM5709" i="26"/>
  <c r="AM5708" i="26"/>
  <c r="AM5707" i="26"/>
  <c r="AM5706" i="26"/>
  <c r="AM5705" i="26"/>
  <c r="AM5704" i="26"/>
  <c r="AM5703" i="26"/>
  <c r="AM5702" i="26"/>
  <c r="AM5701" i="26"/>
  <c r="AM5700" i="26"/>
  <c r="AM5699" i="26"/>
  <c r="AM5698" i="26"/>
  <c r="AM5697" i="26"/>
  <c r="AM5696" i="26"/>
  <c r="AM5695" i="26"/>
  <c r="AM5694" i="26"/>
  <c r="AM5693" i="26"/>
  <c r="AM5692" i="26"/>
  <c r="AM5691" i="26"/>
  <c r="AM5690" i="26"/>
  <c r="AM5689" i="26"/>
  <c r="AM5688" i="26"/>
  <c r="AM5687" i="26"/>
  <c r="AM5686" i="26"/>
  <c r="AM5685" i="26"/>
  <c r="AM5684" i="26"/>
  <c r="AM5683" i="26"/>
  <c r="AM5682" i="26"/>
  <c r="AM5681" i="26"/>
  <c r="AM5680" i="26"/>
  <c r="AM5679" i="26"/>
  <c r="AM5678" i="26"/>
  <c r="AM5677" i="26"/>
  <c r="AM5676" i="26"/>
  <c r="AM5675" i="26"/>
  <c r="AM5674" i="26"/>
  <c r="AM5673" i="26"/>
  <c r="AM5672" i="26"/>
  <c r="AM5671" i="26"/>
  <c r="AM5670" i="26"/>
  <c r="AM5669" i="26"/>
  <c r="AM5668" i="26"/>
  <c r="AM5667" i="26"/>
  <c r="AM5666" i="26"/>
  <c r="AM5665" i="26"/>
  <c r="AM5664" i="26"/>
  <c r="AM5663" i="26"/>
  <c r="AM5662" i="26"/>
  <c r="AM5661" i="26"/>
  <c r="AM5660" i="26"/>
  <c r="AM5659" i="26"/>
  <c r="AM5658" i="26"/>
  <c r="AM5657" i="26"/>
  <c r="AM5656" i="26"/>
  <c r="AM5655" i="26"/>
  <c r="AM5654" i="26"/>
  <c r="AM5653" i="26"/>
  <c r="AM5652" i="26"/>
  <c r="AM5651" i="26"/>
  <c r="AM5650" i="26"/>
  <c r="AM5649" i="26"/>
  <c r="AM5648" i="26"/>
  <c r="AM5647" i="26"/>
  <c r="AM5646" i="26"/>
  <c r="AM5645" i="26"/>
  <c r="AM5644" i="26"/>
  <c r="AM5643" i="26"/>
  <c r="AM5642" i="26"/>
  <c r="AM5641" i="26"/>
  <c r="AM5640" i="26"/>
  <c r="AM5639" i="26"/>
  <c r="AM5638" i="26"/>
  <c r="AM5637" i="26"/>
  <c r="AM5636" i="26"/>
  <c r="AM5635" i="26"/>
  <c r="AM5634" i="26"/>
  <c r="AM5633" i="26"/>
  <c r="AM5632" i="26"/>
  <c r="AM5631" i="26"/>
  <c r="AM5630" i="26"/>
  <c r="AM5629" i="26"/>
  <c r="AM5628" i="26"/>
  <c r="AM5627" i="26"/>
  <c r="AM5626" i="26"/>
  <c r="AM5625" i="26"/>
  <c r="AM5624" i="26"/>
  <c r="AM5623" i="26"/>
  <c r="AM5622" i="26"/>
  <c r="AM5621" i="26"/>
  <c r="AM5620" i="26"/>
  <c r="AM5619" i="26"/>
  <c r="AM5618" i="26"/>
  <c r="AM5617" i="26"/>
  <c r="AM5616" i="26"/>
  <c r="AM5615" i="26"/>
  <c r="AM5614" i="26"/>
  <c r="AM5613" i="26"/>
  <c r="AM5612" i="26"/>
  <c r="AM5611" i="26"/>
  <c r="AM5610" i="26"/>
  <c r="AM5609" i="26"/>
  <c r="AM5608" i="26"/>
  <c r="AM5607" i="26"/>
  <c r="AM5606" i="26"/>
  <c r="AM5605" i="26"/>
  <c r="AM5604" i="26"/>
  <c r="AM5603" i="26"/>
  <c r="AM5602" i="26"/>
  <c r="AM5601" i="26"/>
  <c r="AM5600" i="26"/>
  <c r="AM5599" i="26"/>
  <c r="AM5598" i="26"/>
  <c r="AM5597" i="26"/>
  <c r="AM5596" i="26"/>
  <c r="AM5595" i="26"/>
  <c r="AM5594" i="26"/>
  <c r="AM5593" i="26"/>
  <c r="AM5592" i="26"/>
  <c r="AM5591" i="26"/>
  <c r="AM5590" i="26"/>
  <c r="AM5589" i="26"/>
  <c r="AM5588" i="26"/>
  <c r="AM5587" i="26"/>
  <c r="AM5586" i="26"/>
  <c r="AM5585" i="26"/>
  <c r="AM5584" i="26"/>
  <c r="AM5583" i="26"/>
  <c r="AM5582" i="26"/>
  <c r="AM5581" i="26"/>
  <c r="AM5580" i="26"/>
  <c r="AM5579" i="26"/>
  <c r="AM5578" i="26"/>
  <c r="AM5577" i="26"/>
  <c r="AM5576" i="26"/>
  <c r="AM5575" i="26"/>
  <c r="AM5574" i="26"/>
  <c r="AM5573" i="26"/>
  <c r="AM5572" i="26"/>
  <c r="AM5571" i="26"/>
  <c r="AM5570" i="26"/>
  <c r="AM5569" i="26"/>
  <c r="AM5568" i="26"/>
  <c r="AM5567" i="26"/>
  <c r="AM5566" i="26"/>
  <c r="AM5565" i="26"/>
  <c r="AM5564" i="26"/>
  <c r="AM5563" i="26"/>
  <c r="AM5562" i="26"/>
  <c r="AM5561" i="26"/>
  <c r="AM5560" i="26"/>
  <c r="AM5559" i="26"/>
  <c r="AM5558" i="26"/>
  <c r="AM5557" i="26"/>
  <c r="AM5556" i="26"/>
  <c r="AM5555" i="26"/>
  <c r="AM5554" i="26"/>
  <c r="AM5553" i="26"/>
  <c r="AM5552" i="26"/>
  <c r="AM5551" i="26"/>
  <c r="AM5550" i="26"/>
  <c r="AM5549" i="26"/>
  <c r="AM5548" i="26"/>
  <c r="AM5547" i="26"/>
  <c r="AM5546" i="26"/>
  <c r="AM5545" i="26"/>
  <c r="AM5544" i="26"/>
  <c r="AM5543" i="26"/>
  <c r="AM5542" i="26"/>
  <c r="AM5541" i="26"/>
  <c r="AM5540" i="26"/>
  <c r="AM5539" i="26"/>
  <c r="AM5538" i="26"/>
  <c r="AM5537" i="26"/>
  <c r="AM5536" i="26"/>
  <c r="AM5535" i="26"/>
  <c r="AM5534" i="26"/>
  <c r="AM5533" i="26"/>
  <c r="AM5532" i="26"/>
  <c r="AM5531" i="26"/>
  <c r="AM5530" i="26"/>
  <c r="AM5529" i="26"/>
  <c r="AM5528" i="26"/>
  <c r="AM5527" i="26"/>
  <c r="AM5526" i="26"/>
  <c r="AM5525" i="26"/>
  <c r="AM5524" i="26"/>
  <c r="AM5523" i="26"/>
  <c r="AM5522" i="26"/>
  <c r="AM5521" i="26"/>
  <c r="AM5520" i="26"/>
  <c r="AM5519" i="26"/>
  <c r="AM5518" i="26"/>
  <c r="AM5517" i="26"/>
  <c r="AM5516" i="26"/>
  <c r="AM5515" i="26"/>
  <c r="AM5514" i="26"/>
  <c r="AM5513" i="26"/>
  <c r="AM5512" i="26"/>
  <c r="AM5511" i="26"/>
  <c r="AM5510" i="26"/>
  <c r="AM5509" i="26"/>
  <c r="AM5508" i="26"/>
  <c r="AM5507" i="26"/>
  <c r="AM5506" i="26"/>
  <c r="AM5505" i="26"/>
  <c r="AM5504" i="26"/>
  <c r="AM5503" i="26"/>
  <c r="AM5502" i="26"/>
  <c r="AM5501" i="26"/>
  <c r="AM5500" i="26"/>
  <c r="AM5499" i="26"/>
  <c r="AM5498" i="26"/>
  <c r="AM5497" i="26"/>
  <c r="AM5496" i="26"/>
  <c r="AM5495" i="26"/>
  <c r="AM5494" i="26"/>
  <c r="AM5493" i="26"/>
  <c r="AM5492" i="26"/>
  <c r="AM5491" i="26"/>
  <c r="AM5490" i="26"/>
  <c r="AM5489" i="26"/>
  <c r="AM5488" i="26"/>
  <c r="AM5487" i="26"/>
  <c r="AM5486" i="26"/>
  <c r="AM5485" i="26"/>
  <c r="AM5484" i="26"/>
  <c r="AM5483" i="26"/>
  <c r="AM5482" i="26"/>
  <c r="AM5481" i="26"/>
  <c r="AM5480" i="26"/>
  <c r="AM5479" i="26"/>
  <c r="AM5478" i="26"/>
  <c r="AM5477" i="26"/>
  <c r="AM5476" i="26"/>
  <c r="AM5475" i="26"/>
  <c r="AM5474" i="26"/>
  <c r="AM5473" i="26"/>
  <c r="AM5472" i="26"/>
  <c r="AM5471" i="26"/>
  <c r="AM5470" i="26"/>
  <c r="AM5469" i="26"/>
  <c r="AM5468" i="26"/>
  <c r="AM5467" i="26"/>
  <c r="AM5466" i="26"/>
  <c r="AM5465" i="26"/>
  <c r="AM5464" i="26"/>
  <c r="AM5463" i="26"/>
  <c r="AM5462" i="26"/>
  <c r="AM5461" i="26"/>
  <c r="AM5460" i="26"/>
  <c r="AM5459" i="26"/>
  <c r="AM5458" i="26"/>
  <c r="AM5457" i="26"/>
  <c r="AM5456" i="26"/>
  <c r="AM5455" i="26"/>
  <c r="AM5454" i="26"/>
  <c r="AM5453" i="26"/>
  <c r="AM5452" i="26"/>
  <c r="AM5451" i="26"/>
  <c r="AM5450" i="26"/>
  <c r="AM5449" i="26"/>
  <c r="AM5448" i="26"/>
  <c r="AM5447" i="26"/>
  <c r="AM5446" i="26"/>
  <c r="AM5445" i="26"/>
  <c r="AM5444" i="26"/>
  <c r="AM5443" i="26"/>
  <c r="AM5442" i="26"/>
  <c r="AM5441" i="26"/>
  <c r="AM5440" i="26"/>
  <c r="AM5439" i="26"/>
  <c r="AM5438" i="26"/>
  <c r="AM5437" i="26"/>
  <c r="AM5436" i="26"/>
  <c r="AM5435" i="26"/>
  <c r="AM5434" i="26"/>
  <c r="AM5433" i="26"/>
  <c r="AM5432" i="26"/>
  <c r="AM5431" i="26"/>
  <c r="AM5430" i="26"/>
  <c r="AM5429" i="26"/>
  <c r="AM5428" i="26"/>
  <c r="AM5427" i="26"/>
  <c r="AM5426" i="26"/>
  <c r="AM5425" i="26"/>
  <c r="AM5424" i="26"/>
  <c r="AM5423" i="26"/>
  <c r="AM5422" i="26"/>
  <c r="AM5421" i="26"/>
  <c r="AM5420" i="26"/>
  <c r="AM5419" i="26"/>
  <c r="AM5418" i="26"/>
  <c r="AM5417" i="26"/>
  <c r="AM5416" i="26"/>
  <c r="AM5415" i="26"/>
  <c r="AM5414" i="26"/>
  <c r="AM5413" i="26"/>
  <c r="AM5412" i="26"/>
  <c r="AM5411" i="26"/>
  <c r="AM5410" i="26"/>
  <c r="AM5409" i="26"/>
  <c r="AM5408" i="26"/>
  <c r="AM5407" i="26"/>
  <c r="AM5406" i="26"/>
  <c r="AM5405" i="26"/>
  <c r="AM5404" i="26"/>
  <c r="AM5403" i="26"/>
  <c r="AM5402" i="26"/>
  <c r="AM5401" i="26"/>
  <c r="AM5400" i="26"/>
  <c r="AM5399" i="26"/>
  <c r="AM5398" i="26"/>
  <c r="AM5397" i="26"/>
  <c r="AM5396" i="26"/>
  <c r="AM5395" i="26"/>
  <c r="AM5394" i="26"/>
  <c r="AM5393" i="26"/>
  <c r="AM5392" i="26"/>
  <c r="AM5391" i="26"/>
  <c r="AM5390" i="26"/>
  <c r="AM5389" i="26"/>
  <c r="AM5388" i="26"/>
  <c r="AM5387" i="26"/>
  <c r="AM5386" i="26"/>
  <c r="AM5385" i="26"/>
  <c r="AM5384" i="26"/>
  <c r="AM5383" i="26"/>
  <c r="AM5382" i="26"/>
  <c r="AM5381" i="26"/>
  <c r="AM5380" i="26"/>
  <c r="AM5379" i="26"/>
  <c r="AM5378" i="26"/>
  <c r="AM5377" i="26"/>
  <c r="AM5376" i="26"/>
  <c r="AM5375" i="26"/>
  <c r="AM5374" i="26"/>
  <c r="AM5373" i="26"/>
  <c r="AM5372" i="26"/>
  <c r="AM5371" i="26"/>
  <c r="AM5370" i="26"/>
  <c r="AM5369" i="26"/>
  <c r="AM5368" i="26"/>
  <c r="AM5367" i="26"/>
  <c r="AM5366" i="26"/>
  <c r="AM5365" i="26"/>
  <c r="AM5364" i="26"/>
  <c r="AM5363" i="26"/>
  <c r="AM5362" i="26"/>
  <c r="AM5361" i="26"/>
  <c r="AM5360" i="26"/>
  <c r="AM5359" i="26"/>
  <c r="AM5358" i="26"/>
  <c r="AM5357" i="26"/>
  <c r="AM5356" i="26"/>
  <c r="AM5355" i="26"/>
  <c r="AM5354" i="26"/>
  <c r="AM5353" i="26"/>
  <c r="AM5352" i="26"/>
  <c r="AM5351" i="26"/>
  <c r="AM5350" i="26"/>
  <c r="AM5349" i="26"/>
  <c r="AM5348" i="26"/>
  <c r="AM5347" i="26"/>
  <c r="AM5346" i="26"/>
  <c r="AM5345" i="26"/>
  <c r="AM5344" i="26"/>
  <c r="AM5343" i="26"/>
  <c r="AM5342" i="26"/>
  <c r="AM5341" i="26"/>
  <c r="AM5340" i="26"/>
  <c r="AM5339" i="26"/>
  <c r="AM5338" i="26"/>
  <c r="AM5337" i="26"/>
  <c r="AM5336" i="26"/>
  <c r="AM5335" i="26"/>
  <c r="AM5334" i="26"/>
  <c r="AM5333" i="26"/>
  <c r="AM5332" i="26"/>
  <c r="AM5331" i="26"/>
  <c r="AM5330" i="26"/>
  <c r="AM5329" i="26"/>
  <c r="AM5328" i="26"/>
  <c r="AM5327" i="26"/>
  <c r="AM5326" i="26"/>
  <c r="AM5325" i="26"/>
  <c r="AM5324" i="26"/>
  <c r="AM5323" i="26"/>
  <c r="AM5322" i="26"/>
  <c r="AM5321" i="26"/>
  <c r="AM5320" i="26"/>
  <c r="AM5319" i="26"/>
  <c r="AM5318" i="26"/>
  <c r="AM5317" i="26"/>
  <c r="AM5316" i="26"/>
  <c r="AM5315" i="26"/>
  <c r="AM5314" i="26"/>
  <c r="AM5313" i="26"/>
  <c r="AM5312" i="26"/>
  <c r="AM5311" i="26"/>
  <c r="AM5310" i="26"/>
  <c r="AM5309" i="26"/>
  <c r="AM5308" i="26"/>
  <c r="AM5307" i="26"/>
  <c r="AM5306" i="26"/>
  <c r="AM5305" i="26"/>
  <c r="AM5304" i="26"/>
  <c r="AM5303" i="26"/>
  <c r="AM5302" i="26"/>
  <c r="AM5301" i="26"/>
  <c r="AM5300" i="26"/>
  <c r="AM5299" i="26"/>
  <c r="AM5298" i="26"/>
  <c r="AM5297" i="26"/>
  <c r="AM5296" i="26"/>
  <c r="AM5295" i="26"/>
  <c r="AM5294" i="26"/>
  <c r="AM5293" i="26"/>
  <c r="AM5292" i="26"/>
  <c r="AM5291" i="26"/>
  <c r="AM5290" i="26"/>
  <c r="AM5289" i="26"/>
  <c r="AM5288" i="26"/>
  <c r="AM5287" i="26"/>
  <c r="AM5286" i="26"/>
  <c r="AM5285" i="26"/>
  <c r="AM5284" i="26"/>
  <c r="AM5283" i="26"/>
  <c r="AM5282" i="26"/>
  <c r="AM5281" i="26"/>
  <c r="AM5280" i="26"/>
  <c r="AM5279" i="26"/>
  <c r="AM5278" i="26"/>
  <c r="AM5277" i="26"/>
  <c r="AM5276" i="26"/>
  <c r="AM5275" i="26"/>
  <c r="AM5274" i="26"/>
  <c r="AM5273" i="26"/>
  <c r="AM5272" i="26"/>
  <c r="AM5271" i="26"/>
  <c r="AM5270" i="26"/>
  <c r="AM5269" i="26"/>
  <c r="AM5268" i="26"/>
  <c r="AM5267" i="26"/>
  <c r="AM5266" i="26"/>
  <c r="AM5265" i="26"/>
  <c r="AM5264" i="26"/>
  <c r="AM5263" i="26"/>
  <c r="AM5262" i="26"/>
  <c r="AM5261" i="26"/>
  <c r="AM5260" i="26"/>
  <c r="AM5259" i="26"/>
  <c r="AM5258" i="26"/>
  <c r="AM5257" i="26"/>
  <c r="AM5256" i="26"/>
  <c r="AM5255" i="26"/>
  <c r="AM5254" i="26"/>
  <c r="AM5253" i="26"/>
  <c r="AM5252" i="26"/>
  <c r="AM5251" i="26"/>
  <c r="AM5250" i="26"/>
  <c r="AM5249" i="26"/>
  <c r="AM5248" i="26"/>
  <c r="AM5247" i="26"/>
  <c r="AM5246" i="26"/>
  <c r="AM5245" i="26"/>
  <c r="AM5244" i="26"/>
  <c r="AM5243" i="26"/>
  <c r="AM5242" i="26"/>
  <c r="AM5241" i="26"/>
  <c r="AM5240" i="26"/>
  <c r="AM5239" i="26"/>
  <c r="AM5238" i="26"/>
  <c r="AM5237" i="26"/>
  <c r="AM5236" i="26"/>
  <c r="AM5235" i="26"/>
  <c r="AM5234" i="26"/>
  <c r="AM5233" i="26"/>
  <c r="AM5232" i="26"/>
  <c r="AM5231" i="26"/>
  <c r="AM5230" i="26"/>
  <c r="AM5229" i="26"/>
  <c r="AM5228" i="26"/>
  <c r="AM5227" i="26"/>
  <c r="AM5226" i="26"/>
  <c r="AM5225" i="26"/>
  <c r="AM5224" i="26"/>
  <c r="AM5223" i="26"/>
  <c r="AM5222" i="26"/>
  <c r="AM5221" i="26"/>
  <c r="AM5220" i="26"/>
  <c r="AM5219" i="26"/>
  <c r="AM5218" i="26"/>
  <c r="AM5217" i="26"/>
  <c r="AM5216" i="26"/>
  <c r="AM5215" i="26"/>
  <c r="AM5214" i="26"/>
  <c r="AM5213" i="26"/>
  <c r="AM5212" i="26"/>
  <c r="AM5211" i="26"/>
  <c r="AM5210" i="26"/>
  <c r="AM5209" i="26"/>
  <c r="AM5208" i="26"/>
  <c r="AM5207" i="26"/>
  <c r="AM5206" i="26"/>
  <c r="AM5205" i="26"/>
  <c r="AM5204" i="26"/>
  <c r="AM5203" i="26"/>
  <c r="AM5202" i="26"/>
  <c r="AM5201" i="26"/>
  <c r="AM5200" i="26"/>
  <c r="AM5199" i="26"/>
  <c r="AM5198" i="26"/>
  <c r="AM5197" i="26"/>
  <c r="AM5196" i="26"/>
  <c r="AM5195" i="26"/>
  <c r="AM5194" i="26"/>
  <c r="AM5193" i="26"/>
  <c r="AM5192" i="26"/>
  <c r="AM5191" i="26"/>
  <c r="AM5190" i="26"/>
  <c r="AM5189" i="26"/>
  <c r="AM5188" i="26"/>
  <c r="AM5187" i="26"/>
  <c r="AM5186" i="26"/>
  <c r="AM5185" i="26"/>
  <c r="AM5184" i="26"/>
  <c r="AM5183" i="26"/>
  <c r="AM5182" i="26"/>
  <c r="AM5181" i="26"/>
  <c r="AM5180" i="26"/>
  <c r="AM5179" i="26"/>
  <c r="AM5178" i="26"/>
  <c r="AM5177" i="26"/>
  <c r="AM5176" i="26"/>
  <c r="AM5175" i="26"/>
  <c r="AM5174" i="26"/>
  <c r="AM5173" i="26"/>
  <c r="AM5172" i="26"/>
  <c r="AM5171" i="26"/>
  <c r="AM5170" i="26"/>
  <c r="AM5169" i="26"/>
  <c r="AM5168" i="26"/>
  <c r="AM5167" i="26"/>
  <c r="AM5166" i="26"/>
  <c r="AM5165" i="26"/>
  <c r="AM5164" i="26"/>
  <c r="AM5163" i="26"/>
  <c r="AM5162" i="26"/>
  <c r="AM5161" i="26"/>
  <c r="AM5160" i="26"/>
  <c r="AM5159" i="26"/>
  <c r="AM5158" i="26"/>
  <c r="AM5157" i="26"/>
  <c r="AM5156" i="26"/>
  <c r="AM5155" i="26"/>
  <c r="AM5154" i="26"/>
  <c r="AM5153" i="26"/>
  <c r="AM5152" i="26"/>
  <c r="AM5151" i="26"/>
  <c r="AM5150" i="26"/>
  <c r="AM5149" i="26"/>
  <c r="AM5148" i="26"/>
  <c r="AM5147" i="26"/>
  <c r="AM5146" i="26"/>
  <c r="AM5145" i="26"/>
  <c r="AM5144" i="26"/>
  <c r="AM5143" i="26"/>
  <c r="AM5142" i="26"/>
  <c r="AM5141" i="26"/>
  <c r="AM5140" i="26"/>
  <c r="AM5139" i="26"/>
  <c r="AM5138" i="26"/>
  <c r="AM5137" i="26"/>
  <c r="AM5136" i="26"/>
  <c r="AM5135" i="26"/>
  <c r="AM5134" i="26"/>
  <c r="AM5133" i="26"/>
  <c r="AM5132" i="26"/>
  <c r="AM5131" i="26"/>
  <c r="AM5130" i="26"/>
  <c r="AM5129" i="26"/>
  <c r="AM5128" i="26"/>
  <c r="AM5127" i="26"/>
  <c r="AM5126" i="26"/>
  <c r="AM5125" i="26"/>
  <c r="AM5124" i="26"/>
  <c r="AM5123" i="26"/>
  <c r="AM5122" i="26"/>
  <c r="AM5121" i="26"/>
  <c r="AM5120" i="26"/>
  <c r="AM5119" i="26"/>
  <c r="AM5118" i="26"/>
  <c r="AM5117" i="26"/>
  <c r="AM5116" i="26"/>
  <c r="AM5115" i="26"/>
  <c r="AM5114" i="26"/>
  <c r="AM5113" i="26"/>
  <c r="AM5112" i="26"/>
  <c r="AM5111" i="26"/>
  <c r="AM5110" i="26"/>
  <c r="AM5109" i="26"/>
  <c r="AM5108" i="26"/>
  <c r="AM5107" i="26"/>
  <c r="AM5106" i="26"/>
  <c r="AM5105" i="26"/>
  <c r="AM5104" i="26"/>
  <c r="AM5103" i="26"/>
  <c r="AM5102" i="26"/>
  <c r="AM5101" i="26"/>
  <c r="AM5100" i="26"/>
  <c r="AM5099" i="26"/>
  <c r="AM5098" i="26"/>
  <c r="AM5097" i="26"/>
  <c r="AM5096" i="26"/>
  <c r="AM5095" i="26"/>
  <c r="AM5094" i="26"/>
  <c r="AM5093" i="26"/>
  <c r="AM5092" i="26"/>
  <c r="AM5091" i="26"/>
  <c r="AM5090" i="26"/>
  <c r="AM5089" i="26"/>
  <c r="AM5088" i="26"/>
  <c r="AM5087" i="26"/>
  <c r="AM5086" i="26"/>
  <c r="AM5085" i="26"/>
  <c r="AM5084" i="26"/>
  <c r="AM5083" i="26"/>
  <c r="AM5082" i="26"/>
  <c r="AM5081" i="26"/>
  <c r="AM5080" i="26"/>
  <c r="AM5079" i="26"/>
  <c r="AM5078" i="26"/>
  <c r="AM5077" i="26"/>
  <c r="AM5076" i="26"/>
  <c r="AM5075" i="26"/>
  <c r="AM5074" i="26"/>
  <c r="AM5073" i="26"/>
  <c r="AM5072" i="26"/>
  <c r="AM5071" i="26"/>
  <c r="AM5070" i="26"/>
  <c r="AM5069" i="26"/>
  <c r="AM5068" i="26"/>
  <c r="AM5067" i="26"/>
  <c r="AM5066" i="26"/>
  <c r="AM5065" i="26"/>
  <c r="AM5064" i="26"/>
  <c r="AM5063" i="26"/>
  <c r="AM5062" i="26"/>
  <c r="AM5061" i="26"/>
  <c r="AM5060" i="26"/>
  <c r="AM5059" i="26"/>
  <c r="AM5058" i="26"/>
  <c r="AM5057" i="26"/>
  <c r="AM5056" i="26"/>
  <c r="AM5055" i="26"/>
  <c r="AM5054" i="26"/>
  <c r="AM5053" i="26"/>
  <c r="AM5052" i="26"/>
  <c r="AM5051" i="26"/>
  <c r="AM5050" i="26"/>
  <c r="AM5049" i="26"/>
  <c r="AM5048" i="26"/>
  <c r="AM5047" i="26"/>
  <c r="AM5046" i="26"/>
  <c r="AM5045" i="26"/>
  <c r="AM5044" i="26"/>
  <c r="AM5043" i="26"/>
  <c r="AM5042" i="26"/>
  <c r="AM5041" i="26"/>
  <c r="AM5040" i="26"/>
  <c r="AM5039" i="26"/>
  <c r="AM5038" i="26"/>
  <c r="AM5037" i="26"/>
  <c r="AM5036" i="26"/>
  <c r="AM5035" i="26"/>
  <c r="AM5034" i="26"/>
  <c r="AM5033" i="26"/>
  <c r="AM5032" i="26"/>
  <c r="AM5031" i="26"/>
  <c r="AM5030" i="26"/>
  <c r="AM5029" i="26"/>
  <c r="AM5028" i="26"/>
  <c r="AM5027" i="26"/>
  <c r="AM5026" i="26"/>
  <c r="AM5025" i="26"/>
  <c r="AM5024" i="26"/>
  <c r="AM5023" i="26"/>
  <c r="AM5022" i="26"/>
  <c r="AM5021" i="26"/>
  <c r="AM5020" i="26"/>
  <c r="AM5019" i="26"/>
  <c r="AM5018" i="26"/>
  <c r="AM5017" i="26"/>
  <c r="AM5016" i="26"/>
  <c r="AM5015" i="26"/>
  <c r="AM5014" i="26"/>
  <c r="AM5013" i="26"/>
  <c r="AM5012" i="26"/>
  <c r="AM5011" i="26"/>
  <c r="AM5010" i="26"/>
  <c r="AM5009" i="26"/>
  <c r="AM5008" i="26"/>
  <c r="AM5007" i="26"/>
  <c r="AM5006" i="26"/>
  <c r="AM5005" i="26"/>
  <c r="AM5004" i="26"/>
  <c r="AM5003" i="26"/>
  <c r="AM5002" i="26"/>
  <c r="AM5001" i="26"/>
  <c r="AM5000" i="26"/>
  <c r="AM4999" i="26"/>
  <c r="AM4998" i="26"/>
  <c r="AM4997" i="26"/>
  <c r="AM4996" i="26"/>
  <c r="AM4995" i="26"/>
  <c r="AM4994" i="26"/>
  <c r="AM4993" i="26"/>
  <c r="AM4992" i="26"/>
  <c r="AM4991" i="26"/>
  <c r="AM4990" i="26"/>
  <c r="AM4989" i="26"/>
  <c r="AM4988" i="26"/>
  <c r="AM4987" i="26"/>
  <c r="AM4986" i="26"/>
  <c r="AM4985" i="26"/>
  <c r="AM4984" i="26"/>
  <c r="AM4983" i="26"/>
  <c r="AM4982" i="26"/>
  <c r="AM4981" i="26"/>
  <c r="AM4980" i="26"/>
  <c r="AM4979" i="26"/>
  <c r="AM4978" i="26"/>
  <c r="AM4977" i="26"/>
  <c r="AM4976" i="26"/>
  <c r="AM4975" i="26"/>
  <c r="AM4974" i="26"/>
  <c r="AM4973" i="26"/>
  <c r="AM4972" i="26"/>
  <c r="AM4971" i="26"/>
  <c r="AM4970" i="26"/>
  <c r="AM4969" i="26"/>
  <c r="AM4968" i="26"/>
  <c r="AM4967" i="26"/>
  <c r="AM4966" i="26"/>
  <c r="AM4965" i="26"/>
  <c r="AM4964" i="26"/>
  <c r="AM4963" i="26"/>
  <c r="AM4962" i="26"/>
  <c r="AM4961" i="26"/>
  <c r="AM4960" i="26"/>
  <c r="AM4959" i="26"/>
  <c r="AM4958" i="26"/>
  <c r="AM4957" i="26"/>
  <c r="AM4956" i="26"/>
  <c r="AM4955" i="26"/>
  <c r="AM4954" i="26"/>
  <c r="AM4953" i="26"/>
  <c r="AM4952" i="26"/>
  <c r="AM4951" i="26"/>
  <c r="AM4950" i="26"/>
  <c r="AM4949" i="26"/>
  <c r="AM4948" i="26"/>
  <c r="AM4947" i="26"/>
  <c r="AM4946" i="26"/>
  <c r="AM4945" i="26"/>
  <c r="AM4944" i="26"/>
  <c r="AM4943" i="26"/>
  <c r="AM4942" i="26"/>
  <c r="AM4941" i="26"/>
  <c r="AM4940" i="26"/>
  <c r="AM4939" i="26"/>
  <c r="AM4938" i="26"/>
  <c r="AM4937" i="26"/>
  <c r="AM4936" i="26"/>
  <c r="AM4935" i="26"/>
  <c r="AM4934" i="26"/>
  <c r="AM4933" i="26"/>
  <c r="AM4932" i="26"/>
  <c r="AM4931" i="26"/>
  <c r="AM4930" i="26"/>
  <c r="AM4929" i="26"/>
  <c r="AM4928" i="26"/>
  <c r="AM4927" i="26"/>
  <c r="AM4926" i="26"/>
  <c r="AM4925" i="26"/>
  <c r="AM4924" i="26"/>
  <c r="AM4923" i="26"/>
  <c r="AM4922" i="26"/>
  <c r="AM4921" i="26"/>
  <c r="AM4920" i="26"/>
  <c r="AM4919" i="26"/>
  <c r="AM4918" i="26"/>
  <c r="AM4917" i="26"/>
  <c r="AM4916" i="26"/>
  <c r="AM4915" i="26"/>
  <c r="AM4914" i="26"/>
  <c r="AM4913" i="26"/>
  <c r="AM4912" i="26"/>
  <c r="AM4911" i="26"/>
  <c r="AM4910" i="26"/>
  <c r="AM4909" i="26"/>
  <c r="AM4908" i="26"/>
  <c r="AM4907" i="26"/>
  <c r="AM4906" i="26"/>
  <c r="AM4905" i="26"/>
  <c r="AM4904" i="26"/>
  <c r="AM4903" i="26"/>
  <c r="AM4902" i="26"/>
  <c r="AM4901" i="26"/>
  <c r="AM4900" i="26"/>
  <c r="AM4899" i="26"/>
  <c r="AM4898" i="26"/>
  <c r="AM4897" i="26"/>
  <c r="AM4896" i="26"/>
  <c r="AM4895" i="26"/>
  <c r="AM4894" i="26"/>
  <c r="AM4893" i="26"/>
  <c r="AM4892" i="26"/>
  <c r="AM4891" i="26"/>
  <c r="AM4890" i="26"/>
  <c r="AM4889" i="26"/>
  <c r="AM4888" i="26"/>
  <c r="AM4887" i="26"/>
  <c r="AM4886" i="26"/>
  <c r="AM4885" i="26"/>
  <c r="AM4884" i="26"/>
  <c r="AM4883" i="26"/>
  <c r="AM4882" i="26"/>
  <c r="AM4881" i="26"/>
  <c r="AM4880" i="26"/>
  <c r="AM4879" i="26"/>
  <c r="AM4878" i="26"/>
  <c r="AM4877" i="26"/>
  <c r="AM4876" i="26"/>
  <c r="AM4875" i="26"/>
  <c r="AM4874" i="26"/>
  <c r="AM4873" i="26"/>
  <c r="AM4872" i="26"/>
  <c r="AM4871" i="26"/>
  <c r="AM4870" i="26"/>
  <c r="AM4869" i="26"/>
  <c r="AM4868" i="26"/>
  <c r="AM4867" i="26"/>
  <c r="AM4866" i="26"/>
  <c r="AM4865" i="26"/>
  <c r="AM4864" i="26"/>
  <c r="AM4863" i="26"/>
  <c r="AM4862" i="26"/>
  <c r="AM4861" i="26"/>
  <c r="AM4860" i="26"/>
  <c r="AM4859" i="26"/>
  <c r="AM4858" i="26"/>
  <c r="AM4857" i="26"/>
  <c r="AM4856" i="26"/>
  <c r="AM4855" i="26"/>
  <c r="AM4854" i="26"/>
  <c r="AM4853" i="26"/>
  <c r="AM4852" i="26"/>
  <c r="AM4851" i="26"/>
  <c r="AM4850" i="26"/>
  <c r="AM4849" i="26"/>
  <c r="AM4848" i="26"/>
  <c r="AM4847" i="26"/>
  <c r="AM4846" i="26"/>
  <c r="AM4845" i="26"/>
  <c r="AM4844" i="26"/>
  <c r="AM4843" i="26"/>
  <c r="AM4842" i="26"/>
  <c r="AM4841" i="26"/>
  <c r="AM4840" i="26"/>
  <c r="AM4839" i="26"/>
  <c r="AM4838" i="26"/>
  <c r="AM4837" i="26"/>
  <c r="AM4836" i="26"/>
  <c r="AM4835" i="26"/>
  <c r="AM4834" i="26"/>
  <c r="AM4833" i="26"/>
  <c r="AM4832" i="26"/>
  <c r="AM4831" i="26"/>
  <c r="AM4830" i="26"/>
  <c r="AM4829" i="26"/>
  <c r="AM4828" i="26"/>
  <c r="AM4827" i="26"/>
  <c r="AM4826" i="26"/>
  <c r="AM4825" i="26"/>
  <c r="AM4824" i="26"/>
  <c r="AM4823" i="26"/>
  <c r="AM4822" i="26"/>
  <c r="AM4821" i="26"/>
  <c r="AM4820" i="26"/>
  <c r="AM4819" i="26"/>
  <c r="AM4818" i="26"/>
  <c r="AM4817" i="26"/>
  <c r="AM4816" i="26"/>
  <c r="AM4815" i="26"/>
  <c r="AM4814" i="26"/>
  <c r="AM4813" i="26"/>
  <c r="AM4812" i="26"/>
  <c r="AM4811" i="26"/>
  <c r="AM4810" i="26"/>
  <c r="AM4809" i="26"/>
  <c r="AM4808" i="26"/>
  <c r="AM4807" i="26"/>
  <c r="AM4806" i="26"/>
  <c r="AM4805" i="26"/>
  <c r="AM4804" i="26"/>
  <c r="AM4803" i="26"/>
  <c r="AM4802" i="26"/>
  <c r="AM4801" i="26"/>
  <c r="AM4800" i="26"/>
  <c r="AM4799" i="26"/>
  <c r="AM4798" i="26"/>
  <c r="AM4797" i="26"/>
  <c r="AM4796" i="26"/>
  <c r="AM4795" i="26"/>
  <c r="AM4794" i="26"/>
  <c r="AM4793" i="26"/>
  <c r="AM4792" i="26"/>
  <c r="AM4791" i="26"/>
  <c r="AM4790" i="26"/>
  <c r="AM4789" i="26"/>
  <c r="AM4788" i="26"/>
  <c r="AM4787" i="26"/>
  <c r="AM4786" i="26"/>
  <c r="AM4785" i="26"/>
  <c r="AM4784" i="26"/>
  <c r="AM4783" i="26"/>
  <c r="AM4782" i="26"/>
  <c r="AM4781" i="26"/>
  <c r="AM4780" i="26"/>
  <c r="AM4779" i="26"/>
  <c r="AM4778" i="26"/>
  <c r="AM4777" i="26"/>
  <c r="AM4776" i="26"/>
  <c r="AM4775" i="26"/>
  <c r="AM4774" i="26"/>
  <c r="AM4773" i="26"/>
  <c r="AM4772" i="26"/>
  <c r="AM4771" i="26"/>
  <c r="AM4770" i="26"/>
  <c r="AM4769" i="26"/>
  <c r="AM4768" i="26"/>
  <c r="AM4767" i="26"/>
  <c r="AM4766" i="26"/>
  <c r="AM4765" i="26"/>
  <c r="AM4764" i="26"/>
  <c r="AM4763" i="26"/>
  <c r="AM4762" i="26"/>
  <c r="AM4761" i="26"/>
  <c r="AM4760" i="26"/>
  <c r="AM4759" i="26"/>
  <c r="AM4758" i="26"/>
  <c r="AM4757" i="26"/>
  <c r="AM4756" i="26"/>
  <c r="AM4755" i="26"/>
  <c r="AM4754" i="26"/>
  <c r="AM4753" i="26"/>
  <c r="AM4752" i="26"/>
  <c r="AM4751" i="26"/>
  <c r="AM4750" i="26"/>
  <c r="AM4749" i="26"/>
  <c r="AM4748" i="26"/>
  <c r="AM4747" i="26"/>
  <c r="AM4746" i="26"/>
  <c r="AM4745" i="26"/>
  <c r="AM4744" i="26"/>
  <c r="AM4743" i="26"/>
  <c r="AM4742" i="26"/>
  <c r="AM4741" i="26"/>
  <c r="AM4740" i="26"/>
  <c r="AM4739" i="26"/>
  <c r="AM4738" i="26"/>
  <c r="AM4737" i="26"/>
  <c r="AM4736" i="26"/>
  <c r="AM4735" i="26"/>
  <c r="AM4734" i="26"/>
  <c r="AM4733" i="26"/>
  <c r="AM4732" i="26"/>
  <c r="AM4731" i="26"/>
  <c r="AM4730" i="26"/>
  <c r="AM4729" i="26"/>
  <c r="AM4728" i="26"/>
  <c r="AM4727" i="26"/>
  <c r="AM4726" i="26"/>
  <c r="AM4725" i="26"/>
  <c r="AM4724" i="26"/>
  <c r="AM4723" i="26"/>
  <c r="AM4722" i="26"/>
  <c r="AM4721" i="26"/>
  <c r="AM4720" i="26"/>
  <c r="AM4719" i="26"/>
  <c r="AM4718" i="26"/>
  <c r="AM4717" i="26"/>
  <c r="AM4716" i="26"/>
  <c r="AM4715" i="26"/>
  <c r="AM4714" i="26"/>
  <c r="AM4713" i="26"/>
  <c r="AM4712" i="26"/>
  <c r="AM4711" i="26"/>
  <c r="AM4710" i="26"/>
  <c r="AM4709" i="26"/>
  <c r="AM4708" i="26"/>
  <c r="AM4707" i="26"/>
  <c r="AM4706" i="26"/>
  <c r="AM4705" i="26"/>
  <c r="AM4704" i="26"/>
  <c r="AM4703" i="26"/>
  <c r="AM4702" i="26"/>
  <c r="AM4701" i="26"/>
  <c r="AM4700" i="26"/>
  <c r="AM4699" i="26"/>
  <c r="AM4698" i="26"/>
  <c r="AM4697" i="26"/>
  <c r="AM4696" i="26"/>
  <c r="AM4695" i="26"/>
  <c r="AM4694" i="26"/>
  <c r="AM4693" i="26"/>
  <c r="AM4692" i="26"/>
  <c r="AM4691" i="26"/>
  <c r="AM4690" i="26"/>
  <c r="AM4689" i="26"/>
  <c r="AM4688" i="26"/>
  <c r="AM4687" i="26"/>
  <c r="AM4686" i="26"/>
  <c r="AM4685" i="26"/>
  <c r="AM4684" i="26"/>
  <c r="AM4683" i="26"/>
  <c r="AM4682" i="26"/>
  <c r="AM4681" i="26"/>
  <c r="AM4680" i="26"/>
  <c r="AM4679" i="26"/>
  <c r="AM4678" i="26"/>
  <c r="AM4677" i="26"/>
  <c r="AM4676" i="26"/>
  <c r="AM4675" i="26"/>
  <c r="AM4674" i="26"/>
  <c r="AM4673" i="26"/>
  <c r="AM4672" i="26"/>
  <c r="AM4671" i="26"/>
  <c r="AM4670" i="26"/>
  <c r="AM4669" i="26"/>
  <c r="AM4668" i="26"/>
  <c r="AM4667" i="26"/>
  <c r="AM4666" i="26"/>
  <c r="AM4665" i="26"/>
  <c r="AM4664" i="26"/>
  <c r="AM4663" i="26"/>
  <c r="AM4662" i="26"/>
  <c r="AM4661" i="26"/>
  <c r="AM4660" i="26"/>
  <c r="AM4659" i="26"/>
  <c r="AM4658" i="26"/>
  <c r="AM4657" i="26"/>
  <c r="AM4656" i="26"/>
  <c r="AM4655" i="26"/>
  <c r="AM4654" i="26"/>
  <c r="AM4653" i="26"/>
  <c r="AM4652" i="26"/>
  <c r="AM4651" i="26"/>
  <c r="AM4650" i="26"/>
  <c r="AM4649" i="26"/>
  <c r="AM4648" i="26"/>
  <c r="AM4647" i="26"/>
  <c r="AM4646" i="26"/>
  <c r="AM4645" i="26"/>
  <c r="AM4644" i="26"/>
  <c r="AM4643" i="26"/>
  <c r="AM4642" i="26"/>
  <c r="AM4641" i="26"/>
  <c r="AM4640" i="26"/>
  <c r="AM4639" i="26"/>
  <c r="AM4638" i="26"/>
  <c r="AM4637" i="26"/>
  <c r="AM4636" i="26"/>
  <c r="AM4635" i="26"/>
  <c r="AM4634" i="26"/>
  <c r="AM4633" i="26"/>
  <c r="AM4632" i="26"/>
  <c r="AM4631" i="26"/>
  <c r="AM4630" i="26"/>
  <c r="AM4629" i="26"/>
  <c r="AM4628" i="26"/>
  <c r="AM4627" i="26"/>
  <c r="AM4626" i="26"/>
  <c r="AM4625" i="26"/>
  <c r="AM4624" i="26"/>
  <c r="AM4623" i="26"/>
  <c r="AM4622" i="26"/>
  <c r="AM4621" i="26"/>
  <c r="AM4620" i="26"/>
  <c r="AM4619" i="26"/>
  <c r="AM4618" i="26"/>
  <c r="AM4617" i="26"/>
  <c r="AM4616" i="26"/>
  <c r="AM4615" i="26"/>
  <c r="AM4614" i="26"/>
  <c r="AM4613" i="26"/>
  <c r="AM4612" i="26"/>
  <c r="AM4611" i="26"/>
  <c r="AM4610" i="26"/>
  <c r="AM4609" i="26"/>
  <c r="AM4608" i="26"/>
  <c r="AM4607" i="26"/>
  <c r="AM4606" i="26"/>
  <c r="AM4605" i="26"/>
  <c r="AM4604" i="26"/>
  <c r="AM4603" i="26"/>
  <c r="AM4602" i="26"/>
  <c r="AM4601" i="26"/>
  <c r="AM4600" i="26"/>
  <c r="AM4599" i="26"/>
  <c r="AM4598" i="26"/>
  <c r="AM4597" i="26"/>
  <c r="AM4596" i="26"/>
  <c r="AM4595" i="26"/>
  <c r="AM4594" i="26"/>
  <c r="AM4593" i="26"/>
  <c r="AM4592" i="26"/>
  <c r="AM4591" i="26"/>
  <c r="AM4590" i="26"/>
  <c r="AM4589" i="26"/>
  <c r="AM4588" i="26"/>
  <c r="AM4587" i="26"/>
  <c r="AM4586" i="26"/>
  <c r="AM4585" i="26"/>
  <c r="AM4584" i="26"/>
  <c r="AM4583" i="26"/>
  <c r="AM4582" i="26"/>
  <c r="AM4581" i="26"/>
  <c r="AM4580" i="26"/>
  <c r="AM4579" i="26"/>
  <c r="AM4578" i="26"/>
  <c r="AM4577" i="26"/>
  <c r="AM4576" i="26"/>
  <c r="AM4575" i="26"/>
  <c r="AM4574" i="26"/>
  <c r="AM4573" i="26"/>
  <c r="AM4572" i="26"/>
  <c r="AM4571" i="26"/>
  <c r="AM4570" i="26"/>
  <c r="AM4569" i="26"/>
  <c r="AM4568" i="26"/>
  <c r="AM4567" i="26"/>
  <c r="AM4566" i="26"/>
  <c r="AM4565" i="26"/>
  <c r="AM4564" i="26"/>
  <c r="AM4563" i="26"/>
  <c r="AM4562" i="26"/>
  <c r="AM4561" i="26"/>
  <c r="AM4560" i="26"/>
  <c r="AM4559" i="26"/>
  <c r="AM4558" i="26"/>
  <c r="AM4557" i="26"/>
  <c r="AM4556" i="26"/>
  <c r="AM4555" i="26"/>
  <c r="AM4554" i="26"/>
  <c r="AM4553" i="26"/>
  <c r="AM4552" i="26"/>
  <c r="AM4551" i="26"/>
  <c r="AM4550" i="26"/>
  <c r="AM4549" i="26"/>
  <c r="AM4548" i="26"/>
  <c r="AM4547" i="26"/>
  <c r="AM4546" i="26"/>
  <c r="AM4545" i="26"/>
  <c r="AM4544" i="26"/>
  <c r="AM4543" i="26"/>
  <c r="AM4542" i="26"/>
  <c r="AM4541" i="26"/>
  <c r="AM4540" i="26"/>
  <c r="AM4539" i="26"/>
  <c r="AM4538" i="26"/>
  <c r="AM4537" i="26"/>
  <c r="AM4536" i="26"/>
  <c r="AM4535" i="26"/>
  <c r="AM4534" i="26"/>
  <c r="AM4533" i="26"/>
  <c r="AM4532" i="26"/>
  <c r="AM4531" i="26"/>
  <c r="AM4530" i="26"/>
  <c r="AM4529" i="26"/>
  <c r="AM4528" i="26"/>
  <c r="AM4527" i="26"/>
  <c r="AM4526" i="26"/>
  <c r="AM4525" i="26"/>
  <c r="AM4524" i="26"/>
  <c r="AM4523" i="26"/>
  <c r="AM4522" i="26"/>
  <c r="AM4521" i="26"/>
  <c r="AM4520" i="26"/>
  <c r="AM4519" i="26"/>
  <c r="AM4518" i="26"/>
  <c r="AM4517" i="26"/>
  <c r="AM4516" i="26"/>
  <c r="AM4515" i="26"/>
  <c r="AM4514" i="26"/>
  <c r="AM4513" i="26"/>
  <c r="AM4512" i="26"/>
  <c r="AM4511" i="26"/>
  <c r="AM4510" i="26"/>
  <c r="AM4509" i="26"/>
  <c r="AM4508" i="26"/>
  <c r="AM4507" i="26"/>
  <c r="AM4506" i="26"/>
  <c r="AM4505" i="26"/>
  <c r="AM4504" i="26"/>
  <c r="AM4503" i="26"/>
  <c r="AM4502" i="26"/>
  <c r="AM4501" i="26"/>
  <c r="AM4500" i="26"/>
  <c r="AM4499" i="26"/>
  <c r="AM4498" i="26"/>
  <c r="AM4497" i="26"/>
  <c r="AM4496" i="26"/>
  <c r="AM4495" i="26"/>
  <c r="AM4494" i="26"/>
  <c r="AM4493" i="26"/>
  <c r="AM4492" i="26"/>
  <c r="AM4491" i="26"/>
  <c r="AM4490" i="26"/>
  <c r="AM4489" i="26"/>
  <c r="AM4488" i="26"/>
  <c r="AM4487" i="26"/>
  <c r="AM4486" i="26"/>
  <c r="AM4485" i="26"/>
  <c r="AM4484" i="26"/>
  <c r="AM4483" i="26"/>
  <c r="AM4482" i="26"/>
  <c r="AM4481" i="26"/>
  <c r="AM4480" i="26"/>
  <c r="AM4479" i="26"/>
  <c r="AM4478" i="26"/>
  <c r="AM4477" i="26"/>
  <c r="AM4476" i="26"/>
  <c r="AM4475" i="26"/>
  <c r="AM4474" i="26"/>
  <c r="AM4473" i="26"/>
  <c r="AM4472" i="26"/>
  <c r="AM4471" i="26"/>
  <c r="AM4470" i="26"/>
  <c r="AM4469" i="26"/>
  <c r="AM4468" i="26"/>
  <c r="AM4467" i="26"/>
  <c r="AM4466" i="26"/>
  <c r="AM4465" i="26"/>
  <c r="AM4464" i="26"/>
  <c r="AM4463" i="26"/>
  <c r="AM4462" i="26"/>
  <c r="AM4461" i="26"/>
  <c r="AM4460" i="26"/>
  <c r="AM4459" i="26"/>
  <c r="AM4458" i="26"/>
  <c r="AM4457" i="26"/>
  <c r="AM4456" i="26"/>
  <c r="AM4455" i="26"/>
  <c r="AM4454" i="26"/>
  <c r="AM4453" i="26"/>
  <c r="AM4452" i="26"/>
  <c r="AM4451" i="26"/>
  <c r="AM4450" i="26"/>
  <c r="AM4449" i="26"/>
  <c r="AM4448" i="26"/>
  <c r="AM4447" i="26"/>
  <c r="AM4446" i="26"/>
  <c r="AM4445" i="26"/>
  <c r="AM4444" i="26"/>
  <c r="AM4443" i="26"/>
  <c r="AM4442" i="26"/>
  <c r="AM4441" i="26"/>
  <c r="AM4440" i="26"/>
  <c r="AM4439" i="26"/>
  <c r="AM4438" i="26"/>
  <c r="AM4437" i="26"/>
  <c r="AM4436" i="26"/>
  <c r="AM4435" i="26"/>
  <c r="AM4434" i="26"/>
  <c r="AM4433" i="26"/>
  <c r="AM4432" i="26"/>
  <c r="AM4431" i="26"/>
  <c r="AM4430" i="26"/>
  <c r="AM4429" i="26"/>
  <c r="AM4428" i="26"/>
  <c r="AM4427" i="26"/>
  <c r="AM4426" i="26"/>
  <c r="AM4425" i="26"/>
  <c r="AM4424" i="26"/>
  <c r="AM4423" i="26"/>
  <c r="AM4422" i="26"/>
  <c r="AM4421" i="26"/>
  <c r="AM4420" i="26"/>
  <c r="AM4419" i="26"/>
  <c r="AM4418" i="26"/>
  <c r="AM4417" i="26"/>
  <c r="AM4416" i="26"/>
  <c r="AM4415" i="26"/>
  <c r="AM4414" i="26"/>
  <c r="AM4413" i="26"/>
  <c r="AM4412" i="26"/>
  <c r="AM4411" i="26"/>
  <c r="AM4410" i="26"/>
  <c r="AM4409" i="26"/>
  <c r="AM4408" i="26"/>
  <c r="AM4407" i="26"/>
  <c r="AM4406" i="26"/>
  <c r="AM4405" i="26"/>
  <c r="AM4404" i="26"/>
  <c r="AM4403" i="26"/>
  <c r="AM4402" i="26"/>
  <c r="AM4401" i="26"/>
  <c r="AM4400" i="26"/>
  <c r="AM4399" i="26"/>
  <c r="AM4398" i="26"/>
  <c r="AM4397" i="26"/>
  <c r="AM4396" i="26"/>
  <c r="AM4395" i="26"/>
  <c r="AM4394" i="26"/>
  <c r="AM4393" i="26"/>
  <c r="AM4392" i="26"/>
  <c r="AM4391" i="26"/>
  <c r="AM4390" i="26"/>
  <c r="AM4389" i="26"/>
  <c r="AM4388" i="26"/>
  <c r="AM4387" i="26"/>
  <c r="AM4386" i="26"/>
  <c r="AM4385" i="26"/>
  <c r="AM4384" i="26"/>
  <c r="AM4383" i="26"/>
  <c r="AM4382" i="26"/>
  <c r="AM4381" i="26"/>
  <c r="AM4380" i="26"/>
  <c r="AM4379" i="26"/>
  <c r="AM4378" i="26"/>
  <c r="AM4377" i="26"/>
  <c r="AM4376" i="26"/>
  <c r="AM4375" i="26"/>
  <c r="AM4374" i="26"/>
  <c r="AM4373" i="26"/>
  <c r="AM4372" i="26"/>
  <c r="AM4371" i="26"/>
  <c r="AM4370" i="26"/>
  <c r="AM4369" i="26"/>
  <c r="AM4368" i="26"/>
  <c r="AM4367" i="26"/>
  <c r="AM4366" i="26"/>
  <c r="AM4365" i="26"/>
  <c r="AM4364" i="26"/>
  <c r="AM4363" i="26"/>
  <c r="AM4362" i="26"/>
  <c r="AM4361" i="26"/>
  <c r="AM4360" i="26"/>
  <c r="AM4359" i="26"/>
  <c r="AM4358" i="26"/>
  <c r="AM4357" i="26"/>
  <c r="AM4356" i="26"/>
  <c r="AM4355" i="26"/>
  <c r="AM4354" i="26"/>
  <c r="AM4353" i="26"/>
  <c r="AM4352" i="26"/>
  <c r="AM4351" i="26"/>
  <c r="AM4350" i="26"/>
  <c r="AM4349" i="26"/>
  <c r="AM4348" i="26"/>
  <c r="AM4347" i="26"/>
  <c r="AM4346" i="26"/>
  <c r="AM4345" i="26"/>
  <c r="AM4344" i="26"/>
  <c r="AM4343" i="26"/>
  <c r="AM4342" i="26"/>
  <c r="AM4341" i="26"/>
  <c r="AM4340" i="26"/>
  <c r="AM4339" i="26"/>
  <c r="AM4338" i="26"/>
  <c r="AM4337" i="26"/>
  <c r="AM4336" i="26"/>
  <c r="AM4335" i="26"/>
  <c r="AM4334" i="26"/>
  <c r="AM4333" i="26"/>
  <c r="AM4332" i="26"/>
  <c r="AM4331" i="26"/>
  <c r="AM4330" i="26"/>
  <c r="AM4329" i="26"/>
  <c r="AM4328" i="26"/>
  <c r="AM4327" i="26"/>
  <c r="AM4326" i="26"/>
  <c r="AM4325" i="26"/>
  <c r="AM4324" i="26"/>
  <c r="AM4323" i="26"/>
  <c r="AM4322" i="26"/>
  <c r="AM4321" i="26"/>
  <c r="AM4320" i="26"/>
  <c r="AM4319" i="26"/>
  <c r="AM4318" i="26"/>
  <c r="AM4317" i="26"/>
  <c r="AM4316" i="26"/>
  <c r="AM4315" i="26"/>
  <c r="AM4314" i="26"/>
  <c r="AM4313" i="26"/>
  <c r="AM4312" i="26"/>
  <c r="AM4311" i="26"/>
  <c r="AM4310" i="26"/>
  <c r="AM4309" i="26"/>
  <c r="AM4308" i="26"/>
  <c r="AM4307" i="26"/>
  <c r="AM4306" i="26"/>
  <c r="AM4305" i="26"/>
  <c r="AM4304" i="26"/>
  <c r="AM4303" i="26"/>
  <c r="AM4302" i="26"/>
  <c r="AM4301" i="26"/>
  <c r="AM4300" i="26"/>
  <c r="AM4299" i="26"/>
  <c r="AM4298" i="26"/>
  <c r="AM4297" i="26"/>
  <c r="AM4296" i="26"/>
  <c r="AM4295" i="26"/>
  <c r="AM4294" i="26"/>
  <c r="AM4293" i="26"/>
  <c r="AM4292" i="26"/>
  <c r="AM4291" i="26"/>
  <c r="AM4290" i="26"/>
  <c r="AM4289" i="26"/>
  <c r="AM4288" i="26"/>
  <c r="AM4287" i="26"/>
  <c r="AM4286" i="26"/>
  <c r="AM4285" i="26"/>
  <c r="AM4284" i="26"/>
  <c r="AM4283" i="26"/>
  <c r="AM4282" i="26"/>
  <c r="AM4281" i="26"/>
  <c r="AM4280" i="26"/>
  <c r="AM4279" i="26"/>
  <c r="AM4278" i="26"/>
  <c r="AM4277" i="26"/>
  <c r="AM4276" i="26"/>
  <c r="AM4275" i="26"/>
  <c r="AM4274" i="26"/>
  <c r="AM4273" i="26"/>
  <c r="AM4272" i="26"/>
  <c r="AM4271" i="26"/>
  <c r="AM4270" i="26"/>
  <c r="AM4269" i="26"/>
  <c r="AM4268" i="26"/>
  <c r="AM4267" i="26"/>
  <c r="AM4266" i="26"/>
  <c r="AM4265" i="26"/>
  <c r="AM4264" i="26"/>
  <c r="AM4263" i="26"/>
  <c r="AM4262" i="26"/>
  <c r="AM4261" i="26"/>
  <c r="AM4260" i="26"/>
  <c r="AM4259" i="26"/>
  <c r="AM4258" i="26"/>
  <c r="AM4257" i="26"/>
  <c r="AM4256" i="26"/>
  <c r="AM4255" i="26"/>
  <c r="AM4254" i="26"/>
  <c r="AM4253" i="26"/>
  <c r="AM4252" i="26"/>
  <c r="AM4251" i="26"/>
  <c r="AM4250" i="26"/>
  <c r="AM4249" i="26"/>
  <c r="AM4248" i="26"/>
  <c r="AM4247" i="26"/>
  <c r="AM4246" i="26"/>
  <c r="AM4245" i="26"/>
  <c r="AM4244" i="26"/>
  <c r="AM4243" i="26"/>
  <c r="AM4242" i="26"/>
  <c r="AM4241" i="26"/>
  <c r="AM4240" i="26"/>
  <c r="AM4239" i="26"/>
  <c r="AM4238" i="26"/>
  <c r="AM4237" i="26"/>
  <c r="AM4236" i="26"/>
  <c r="AM4235" i="26"/>
  <c r="AM4234" i="26"/>
  <c r="AM4233" i="26"/>
  <c r="AM4232" i="26"/>
  <c r="AM4231" i="26"/>
  <c r="AM4230" i="26"/>
  <c r="AM4229" i="26"/>
  <c r="AM4228" i="26"/>
  <c r="AM4227" i="26"/>
  <c r="AM4226" i="26"/>
  <c r="AM4225" i="26"/>
  <c r="AM4224" i="26"/>
  <c r="AM4223" i="26"/>
  <c r="AM4222" i="26"/>
  <c r="AM4221" i="26"/>
  <c r="AM4220" i="26"/>
  <c r="AM4219" i="26"/>
  <c r="AM4218" i="26"/>
  <c r="AM4217" i="26"/>
  <c r="AM4216" i="26"/>
  <c r="AM4215" i="26"/>
  <c r="AM4214" i="26"/>
  <c r="AM4213" i="26"/>
  <c r="AM4212" i="26"/>
  <c r="AM4211" i="26"/>
  <c r="AM4210" i="26"/>
  <c r="AM4209" i="26"/>
  <c r="AM4208" i="26"/>
  <c r="AM4207" i="26"/>
  <c r="AM4206" i="26"/>
  <c r="AM4205" i="26"/>
  <c r="AM4204" i="26"/>
  <c r="AM4203" i="26"/>
  <c r="AM4202" i="26"/>
  <c r="AM4201" i="26"/>
  <c r="AM4200" i="26"/>
  <c r="AM4199" i="26"/>
  <c r="AM4198" i="26"/>
  <c r="AM4197" i="26"/>
  <c r="AM4196" i="26"/>
  <c r="AM4195" i="26"/>
  <c r="AM4194" i="26"/>
  <c r="AM4193" i="26"/>
  <c r="AM4192" i="26"/>
  <c r="AM4191" i="26"/>
  <c r="AM4190" i="26"/>
  <c r="AM4189" i="26"/>
  <c r="AM4188" i="26"/>
  <c r="AM4187" i="26"/>
  <c r="AM4186" i="26"/>
  <c r="AM4185" i="26"/>
  <c r="AM4184" i="26"/>
  <c r="AM4183" i="26"/>
  <c r="AM4182" i="26"/>
  <c r="AM4181" i="26"/>
  <c r="AM4180" i="26"/>
  <c r="AM4179" i="26"/>
  <c r="AM4178" i="26"/>
  <c r="AM4177" i="26"/>
  <c r="AM4176" i="26"/>
  <c r="AM4175" i="26"/>
  <c r="AM4174" i="26"/>
  <c r="AM4173" i="26"/>
  <c r="AM4172" i="26"/>
  <c r="AM4171" i="26"/>
  <c r="AM4170" i="26"/>
  <c r="AM4169" i="26"/>
  <c r="AM4168" i="26"/>
  <c r="AM4167" i="26"/>
  <c r="AM4166" i="26"/>
  <c r="AM4165" i="26"/>
  <c r="AM4164" i="26"/>
  <c r="AM4163" i="26"/>
  <c r="AM4162" i="26"/>
  <c r="AM4161" i="26"/>
  <c r="AM4160" i="26"/>
  <c r="AM4159" i="26"/>
  <c r="AM4158" i="26"/>
  <c r="AM4157" i="26"/>
  <c r="AM4156" i="26"/>
  <c r="AM4155" i="26"/>
  <c r="AM4154" i="26"/>
  <c r="AM4153" i="26"/>
  <c r="AM4152" i="26"/>
  <c r="AM4151" i="26"/>
  <c r="AM4150" i="26"/>
  <c r="AM4149" i="26"/>
  <c r="AM4148" i="26"/>
  <c r="AM4147" i="26"/>
  <c r="AM4146" i="26"/>
  <c r="AM4145" i="26"/>
  <c r="AM4144" i="26"/>
  <c r="AM4143" i="26"/>
  <c r="AM4142" i="26"/>
  <c r="AM4141" i="26"/>
  <c r="AM4140" i="26"/>
  <c r="AM4139" i="26"/>
  <c r="AM4138" i="26"/>
  <c r="AM4137" i="26"/>
  <c r="AM4136" i="26"/>
  <c r="AM4135" i="26"/>
  <c r="AM4134" i="26"/>
  <c r="AM4133" i="26"/>
  <c r="AM4132" i="26"/>
  <c r="AM4131" i="26"/>
  <c r="AM4130" i="26"/>
  <c r="AM4129" i="26"/>
  <c r="AM4128" i="26"/>
  <c r="AM4127" i="26"/>
  <c r="AM4126" i="26"/>
  <c r="AM4125" i="26"/>
  <c r="AM4124" i="26"/>
  <c r="AM4123" i="26"/>
  <c r="AM4122" i="26"/>
  <c r="AM4121" i="26"/>
  <c r="AM4120" i="26"/>
  <c r="AM4119" i="26"/>
  <c r="AM4118" i="26"/>
  <c r="AM4117" i="26"/>
  <c r="AM4116" i="26"/>
  <c r="AM4115" i="26"/>
  <c r="AM4114" i="26"/>
  <c r="AM4113" i="26"/>
  <c r="AM4112" i="26"/>
  <c r="AM4111" i="26"/>
  <c r="AM4110" i="26"/>
  <c r="AM4109" i="26"/>
  <c r="AM4108" i="26"/>
  <c r="AM4107" i="26"/>
  <c r="AM4106" i="26"/>
  <c r="AM4105" i="26"/>
  <c r="AM4104" i="26"/>
  <c r="AM4103" i="26"/>
  <c r="AM4102" i="26"/>
  <c r="AM4101" i="26"/>
  <c r="AM4100" i="26"/>
  <c r="AM4099" i="26"/>
  <c r="AM4098" i="26"/>
  <c r="AM4097" i="26"/>
  <c r="AM4096" i="26"/>
  <c r="AM4095" i="26"/>
  <c r="AM4094" i="26"/>
  <c r="AM4093" i="26"/>
  <c r="AM4092" i="26"/>
  <c r="AM4091" i="26"/>
  <c r="AM4090" i="26"/>
  <c r="AM4089" i="26"/>
  <c r="AM4088" i="26"/>
  <c r="AM4087" i="26"/>
  <c r="AM4086" i="26"/>
  <c r="AM4085" i="26"/>
  <c r="AM4084" i="26"/>
  <c r="AM4083" i="26"/>
  <c r="AM4082" i="26"/>
  <c r="AM4081" i="26"/>
  <c r="AM4080" i="26"/>
  <c r="AM4079" i="26"/>
  <c r="AM4078" i="26"/>
  <c r="AM4077" i="26"/>
  <c r="AM4076" i="26"/>
  <c r="AM4075" i="26"/>
  <c r="AM4074" i="26"/>
  <c r="AM4073" i="26"/>
  <c r="AM4072" i="26"/>
  <c r="AM4071" i="26"/>
  <c r="AM4070" i="26"/>
  <c r="AM4069" i="26"/>
  <c r="AM4068" i="26"/>
  <c r="AM4067" i="26"/>
  <c r="AM4066" i="26"/>
  <c r="AM4065" i="26"/>
  <c r="AM4064" i="26"/>
  <c r="AM4063" i="26"/>
  <c r="AM4062" i="26"/>
  <c r="AM4061" i="26"/>
  <c r="AM4060" i="26"/>
  <c r="AM4059" i="26"/>
  <c r="AM4058" i="26"/>
  <c r="AM4057" i="26"/>
  <c r="AM4056" i="26"/>
  <c r="AM4055" i="26"/>
  <c r="AM4054" i="26"/>
  <c r="AM4053" i="26"/>
  <c r="AM4052" i="26"/>
  <c r="AM4051" i="26"/>
  <c r="AM4050" i="26"/>
  <c r="AM4049" i="26"/>
  <c r="AM4048" i="26"/>
  <c r="AM4047" i="26"/>
  <c r="AM4046" i="26"/>
  <c r="AM4045" i="26"/>
  <c r="AM4044" i="26"/>
  <c r="AM4043" i="26"/>
  <c r="AM4042" i="26"/>
  <c r="AM4041" i="26"/>
  <c r="AM4040" i="26"/>
  <c r="AM4039" i="26"/>
  <c r="AM4038" i="26"/>
  <c r="AM4037" i="26"/>
  <c r="AM4036" i="26"/>
  <c r="AM4035" i="26"/>
  <c r="AM4034" i="26"/>
  <c r="AM4033" i="26"/>
  <c r="AM4032" i="26"/>
  <c r="AM4031" i="26"/>
  <c r="AM4030" i="26"/>
  <c r="AM4029" i="26"/>
  <c r="AM4028" i="26"/>
  <c r="AM4027" i="26"/>
  <c r="AM4026" i="26"/>
  <c r="AM4025" i="26"/>
  <c r="AM4024" i="26"/>
  <c r="AM4023" i="26"/>
  <c r="AM4022" i="26"/>
  <c r="AM4021" i="26"/>
  <c r="AM4020" i="26"/>
  <c r="AM4019" i="26"/>
  <c r="AM4018" i="26"/>
  <c r="AM4017" i="26"/>
  <c r="AM4016" i="26"/>
  <c r="AM4015" i="26"/>
  <c r="AM4014" i="26"/>
  <c r="AM4013" i="26"/>
  <c r="AM4012" i="26"/>
  <c r="AM4011" i="26"/>
  <c r="AM4010" i="26"/>
  <c r="AM4009" i="26"/>
  <c r="AM4008" i="26"/>
  <c r="AM4007" i="26"/>
  <c r="AM4006" i="26"/>
  <c r="AM4005" i="26"/>
  <c r="AM4004" i="26"/>
  <c r="AM4003" i="26"/>
  <c r="AM4002" i="26"/>
  <c r="AM4001" i="26"/>
  <c r="AM4000" i="26"/>
  <c r="AM3999" i="26"/>
  <c r="AM3998" i="26"/>
  <c r="AM3997" i="26"/>
  <c r="AM3996" i="26"/>
  <c r="AM3995" i="26"/>
  <c r="AM3994" i="26"/>
  <c r="AM3993" i="26"/>
  <c r="AM3992" i="26"/>
  <c r="AM3991" i="26"/>
  <c r="AM3990" i="26"/>
  <c r="AM3989" i="26"/>
  <c r="AM3988" i="26"/>
  <c r="AM3987" i="26"/>
  <c r="AM3986" i="26"/>
  <c r="AM3985" i="26"/>
  <c r="AM3984" i="26"/>
  <c r="AM3983" i="26"/>
  <c r="AM3982" i="26"/>
  <c r="AM3981" i="26"/>
  <c r="AM3980" i="26"/>
  <c r="AM3979" i="26"/>
  <c r="AM3978" i="26"/>
  <c r="AM3977" i="26"/>
  <c r="AM3976" i="26"/>
  <c r="AM3975" i="26"/>
  <c r="AM3974" i="26"/>
  <c r="AM3973" i="26"/>
  <c r="AM3972" i="26"/>
  <c r="AM3971" i="26"/>
  <c r="AM3970" i="26"/>
  <c r="AM3969" i="26"/>
  <c r="AM3968" i="26"/>
  <c r="AM3967" i="26"/>
  <c r="AM3966" i="26"/>
  <c r="AM3965" i="26"/>
  <c r="AM3964" i="26"/>
  <c r="AM3963" i="26"/>
  <c r="AM3962" i="26"/>
  <c r="AM3961" i="26"/>
  <c r="AM3960" i="26"/>
  <c r="AM3959" i="26"/>
  <c r="AM3958" i="26"/>
  <c r="AM3957" i="26"/>
  <c r="AM3956" i="26"/>
  <c r="AM3955" i="26"/>
  <c r="AM3954" i="26"/>
  <c r="AM3953" i="26"/>
  <c r="AM3952" i="26"/>
  <c r="AM3951" i="26"/>
  <c r="AM3950" i="26"/>
  <c r="AM3949" i="26"/>
  <c r="AM3948" i="26"/>
  <c r="AM3947" i="26"/>
  <c r="AM3946" i="26"/>
  <c r="AM3945" i="26"/>
  <c r="AM3944" i="26"/>
  <c r="AM3943" i="26"/>
  <c r="AM3942" i="26"/>
  <c r="AM3941" i="26"/>
  <c r="AM3940" i="26"/>
  <c r="AM3939" i="26"/>
  <c r="AM3938" i="26"/>
  <c r="AM3937" i="26"/>
  <c r="AM3936" i="26"/>
  <c r="AM3935" i="26"/>
  <c r="AM3934" i="26"/>
  <c r="AM3933" i="26"/>
  <c r="AM3932" i="26"/>
  <c r="AM3931" i="26"/>
  <c r="AM3930" i="26"/>
  <c r="AM3929" i="26"/>
  <c r="AM3928" i="26"/>
  <c r="AM3927" i="26"/>
  <c r="AM3926" i="26"/>
  <c r="AM3925" i="26"/>
  <c r="AM3924" i="26"/>
  <c r="AM3923" i="26"/>
  <c r="AM3922" i="26"/>
  <c r="AM3921" i="26"/>
  <c r="AM3920" i="26"/>
  <c r="AM3919" i="26"/>
  <c r="AM3918" i="26"/>
  <c r="AM3917" i="26"/>
  <c r="AM3916" i="26"/>
  <c r="AM3915" i="26"/>
  <c r="AM3914" i="26"/>
  <c r="AM3913" i="26"/>
  <c r="AM3912" i="26"/>
  <c r="AM3911" i="26"/>
  <c r="AM3910" i="26"/>
  <c r="AM3909" i="26"/>
  <c r="AM3908" i="26"/>
  <c r="AM3907" i="26"/>
  <c r="AM3906" i="26"/>
  <c r="AM3905" i="26"/>
  <c r="AM3904" i="26"/>
  <c r="AM3903" i="26"/>
  <c r="AM3902" i="26"/>
  <c r="AM3901" i="26"/>
  <c r="AM3900" i="26"/>
  <c r="AM3899" i="26"/>
  <c r="AM3898" i="26"/>
  <c r="AM3897" i="26"/>
  <c r="AM3896" i="26"/>
  <c r="AM3895" i="26"/>
  <c r="AM3894" i="26"/>
  <c r="AM3893" i="26"/>
  <c r="AM3892" i="26"/>
  <c r="AM3891" i="26"/>
  <c r="AM3890" i="26"/>
  <c r="AM3889" i="26"/>
  <c r="AM3888" i="26"/>
  <c r="AM3887" i="26"/>
  <c r="AM3886" i="26"/>
  <c r="AM3885" i="26"/>
  <c r="AM3884" i="26"/>
  <c r="AM3883" i="26"/>
  <c r="AM3882" i="26"/>
  <c r="AM3881" i="26"/>
  <c r="AM3880" i="26"/>
  <c r="AM3879" i="26"/>
  <c r="AM3878" i="26"/>
  <c r="AM3877" i="26"/>
  <c r="AM3876" i="26"/>
  <c r="AM3875" i="26"/>
  <c r="AM3874" i="26"/>
  <c r="AM3873" i="26"/>
  <c r="AM3872" i="26"/>
  <c r="AM3871" i="26"/>
  <c r="AM3870" i="26"/>
  <c r="AM3869" i="26"/>
  <c r="AM3868" i="26"/>
  <c r="AM3867" i="26"/>
  <c r="AM3866" i="26"/>
  <c r="AM3865" i="26"/>
  <c r="AM3864" i="26"/>
  <c r="AM3863" i="26"/>
  <c r="AM3862" i="26"/>
  <c r="AM3861" i="26"/>
  <c r="AM3860" i="26"/>
  <c r="AM3859" i="26"/>
  <c r="AM3858" i="26"/>
  <c r="AM3857" i="26"/>
  <c r="AM3856" i="26"/>
  <c r="AM3855" i="26"/>
  <c r="AM3854" i="26"/>
  <c r="AM3853" i="26"/>
  <c r="AM3852" i="26"/>
  <c r="AM3851" i="26"/>
  <c r="AM3850" i="26"/>
  <c r="AM3849" i="26"/>
  <c r="AM3848" i="26"/>
  <c r="AM3847" i="26"/>
  <c r="AM3846" i="26"/>
  <c r="AM3845" i="26"/>
  <c r="AM3844" i="26"/>
  <c r="AM3843" i="26"/>
  <c r="AM3842" i="26"/>
  <c r="AM3841" i="26"/>
  <c r="AM3840" i="26"/>
  <c r="AM3839" i="26"/>
  <c r="AM3838" i="26"/>
  <c r="AM3837" i="26"/>
  <c r="AM3836" i="26"/>
  <c r="AM3835" i="26"/>
  <c r="AM3834" i="26"/>
  <c r="AM3833" i="26"/>
  <c r="AM3832" i="26"/>
  <c r="AM3831" i="26"/>
  <c r="AM3830" i="26"/>
  <c r="AM3829" i="26"/>
  <c r="AM3828" i="26"/>
  <c r="AM3827" i="26"/>
  <c r="AM3826" i="26"/>
  <c r="AM3825" i="26"/>
  <c r="AM3824" i="26"/>
  <c r="AM3823" i="26"/>
  <c r="AM3822" i="26"/>
  <c r="AM3821" i="26"/>
  <c r="AM3820" i="26"/>
  <c r="AM3819" i="26"/>
  <c r="AM3818" i="26"/>
  <c r="AM3817" i="26"/>
  <c r="AM3816" i="26"/>
  <c r="AM3815" i="26"/>
  <c r="AM3814" i="26"/>
  <c r="AM3813" i="26"/>
  <c r="AM3812" i="26"/>
  <c r="AM3811" i="26"/>
  <c r="AM3810" i="26"/>
  <c r="AM3809" i="26"/>
  <c r="AM3808" i="26"/>
  <c r="AM3807" i="26"/>
  <c r="AM3806" i="26"/>
  <c r="AM3805" i="26"/>
  <c r="AM3804" i="26"/>
  <c r="AM3803" i="26"/>
  <c r="AM3802" i="26"/>
  <c r="AM3801" i="26"/>
  <c r="AM3800" i="26"/>
  <c r="AM3799" i="26"/>
  <c r="AM3798" i="26"/>
  <c r="AM3797" i="26"/>
  <c r="AM3796" i="26"/>
  <c r="AM3795" i="26"/>
  <c r="AM3794" i="26"/>
  <c r="AM3793" i="26"/>
  <c r="AM3792" i="26"/>
  <c r="AM3791" i="26"/>
  <c r="AM3790" i="26"/>
  <c r="AM3789" i="26"/>
  <c r="AM3788" i="26"/>
  <c r="AM3787" i="26"/>
  <c r="AM3786" i="26"/>
  <c r="AM3785" i="26"/>
  <c r="AM3784" i="26"/>
  <c r="AM3783" i="26"/>
  <c r="AM3782" i="26"/>
  <c r="AM3781" i="26"/>
  <c r="AM3780" i="26"/>
  <c r="AM3779" i="26"/>
  <c r="AM3778" i="26"/>
  <c r="AM3777" i="26"/>
  <c r="AM3776" i="26"/>
  <c r="AM3775" i="26"/>
  <c r="AM3774" i="26"/>
  <c r="AM3773" i="26"/>
  <c r="AM3772" i="26"/>
  <c r="AM3771" i="26"/>
  <c r="AM3770" i="26"/>
  <c r="AM3769" i="26"/>
  <c r="AM3768" i="26"/>
  <c r="AM3767" i="26"/>
  <c r="AM3766" i="26"/>
  <c r="AM3765" i="26"/>
  <c r="AM3764" i="26"/>
  <c r="AM3763" i="26"/>
  <c r="AM3762" i="26"/>
  <c r="AM3761" i="26"/>
  <c r="AM3760" i="26"/>
  <c r="AM3759" i="26"/>
  <c r="AM3758" i="26"/>
  <c r="AM3757" i="26"/>
  <c r="AM3756" i="26"/>
  <c r="AM3755" i="26"/>
  <c r="AM3754" i="26"/>
  <c r="AM3753" i="26"/>
  <c r="AM3752" i="26"/>
  <c r="AM3751" i="26"/>
  <c r="AM3750" i="26"/>
  <c r="AM3749" i="26"/>
  <c r="AM3748" i="26"/>
  <c r="AM3747" i="26"/>
  <c r="AM3746" i="26"/>
  <c r="AM3745" i="26"/>
  <c r="AM3744" i="26"/>
  <c r="AM3743" i="26"/>
  <c r="AM3742" i="26"/>
  <c r="AM3741" i="26"/>
  <c r="AM3740" i="26"/>
  <c r="AM3739" i="26"/>
  <c r="AM3738" i="26"/>
  <c r="AM3737" i="26"/>
  <c r="AM3736" i="26"/>
  <c r="AM3735" i="26"/>
  <c r="AM3734" i="26"/>
  <c r="AM3733" i="26"/>
  <c r="AM3732" i="26"/>
  <c r="AM3731" i="26"/>
  <c r="AM3730" i="26"/>
  <c r="AM3729" i="26"/>
  <c r="AM3728" i="26"/>
  <c r="AM3727" i="26"/>
  <c r="AM3726" i="26"/>
  <c r="AM3725" i="26"/>
  <c r="AM3724" i="26"/>
  <c r="AM3723" i="26"/>
  <c r="AM3722" i="26"/>
  <c r="AM3721" i="26"/>
  <c r="AM3720" i="26"/>
  <c r="AM3719" i="26"/>
  <c r="AM3718" i="26"/>
  <c r="AM3717" i="26"/>
  <c r="AM3716" i="26"/>
  <c r="AM3715" i="26"/>
  <c r="AM3714" i="26"/>
  <c r="AM3713" i="26"/>
  <c r="AM3712" i="26"/>
  <c r="AM3711" i="26"/>
  <c r="AM3710" i="26"/>
  <c r="AM3709" i="26"/>
  <c r="AM3708" i="26"/>
  <c r="AM3707" i="26"/>
  <c r="AM3706" i="26"/>
  <c r="AM3705" i="26"/>
  <c r="AM3704" i="26"/>
  <c r="AM3703" i="26"/>
  <c r="AM3702" i="26"/>
  <c r="AM3701" i="26"/>
  <c r="AM3700" i="26"/>
  <c r="AM3699" i="26"/>
  <c r="AM3698" i="26"/>
  <c r="AM3697" i="26"/>
  <c r="AM3696" i="26"/>
  <c r="AM3695" i="26"/>
  <c r="AM3694" i="26"/>
  <c r="AM3693" i="26"/>
  <c r="AM3692" i="26"/>
  <c r="AM3691" i="26"/>
  <c r="AM3690" i="26"/>
  <c r="AM3689" i="26"/>
  <c r="AM3688" i="26"/>
  <c r="AM3687" i="26"/>
  <c r="AM3686" i="26"/>
  <c r="AM3685" i="26"/>
  <c r="AM3684" i="26"/>
  <c r="AM3683" i="26"/>
  <c r="AM3682" i="26"/>
  <c r="AM3681" i="26"/>
  <c r="AM3680" i="26"/>
  <c r="AM3679" i="26"/>
  <c r="AM3678" i="26"/>
  <c r="AM3677" i="26"/>
  <c r="AM3676" i="26"/>
  <c r="AM3675" i="26"/>
  <c r="AM3674" i="26"/>
  <c r="AM3673" i="26"/>
  <c r="AM3672" i="26"/>
  <c r="AM3671" i="26"/>
  <c r="AM3670" i="26"/>
  <c r="AM3669" i="26"/>
  <c r="AM3668" i="26"/>
  <c r="AM3667" i="26"/>
  <c r="AM3666" i="26"/>
  <c r="AM3665" i="26"/>
  <c r="AM3664" i="26"/>
  <c r="AM3663" i="26"/>
  <c r="AM3662" i="26"/>
  <c r="AM3661" i="26"/>
  <c r="AM3660" i="26"/>
  <c r="AM3659" i="26"/>
  <c r="AM3658" i="26"/>
  <c r="AM3657" i="26"/>
  <c r="AM3656" i="26"/>
  <c r="AM3655" i="26"/>
  <c r="AM3654" i="26"/>
  <c r="AM3653" i="26"/>
  <c r="AM3652" i="26"/>
  <c r="AM3651" i="26"/>
  <c r="AM3650" i="26"/>
  <c r="AM3649" i="26"/>
  <c r="AM3648" i="26"/>
  <c r="AM3647" i="26"/>
  <c r="AM3646" i="26"/>
  <c r="AM3645" i="26"/>
  <c r="AM3644" i="26"/>
  <c r="AM3643" i="26"/>
  <c r="AM3642" i="26"/>
  <c r="AM3641" i="26"/>
  <c r="AM3640" i="26"/>
  <c r="AM3639" i="26"/>
  <c r="AM3638" i="26"/>
  <c r="AM3637" i="26"/>
  <c r="AM3636" i="26"/>
  <c r="AM3635" i="26"/>
  <c r="AM3634" i="26"/>
  <c r="AM3633" i="26"/>
  <c r="AM3632" i="26"/>
  <c r="AM3631" i="26"/>
  <c r="AM3630" i="26"/>
  <c r="AM3629" i="26"/>
  <c r="AM3628" i="26"/>
  <c r="AM3627" i="26"/>
  <c r="AM3626" i="26"/>
  <c r="AM3625" i="26"/>
  <c r="AM3624" i="26"/>
  <c r="AM3623" i="26"/>
  <c r="AM3622" i="26"/>
  <c r="AM3621" i="26"/>
  <c r="AM3620" i="26"/>
  <c r="AM3619" i="26"/>
  <c r="AM3618" i="26"/>
  <c r="AM3617" i="26"/>
  <c r="AM3616" i="26"/>
  <c r="AM3615" i="26"/>
  <c r="AM3614" i="26"/>
  <c r="AM3613" i="26"/>
  <c r="AM3612" i="26"/>
  <c r="AM3611" i="26"/>
  <c r="AM3610" i="26"/>
  <c r="AM3609" i="26"/>
  <c r="AM3608" i="26"/>
  <c r="AM3607" i="26"/>
  <c r="AM3606" i="26"/>
  <c r="AM3605" i="26"/>
  <c r="AM3604" i="26"/>
  <c r="AM3603" i="26"/>
  <c r="AM3602" i="26"/>
  <c r="AM3601" i="26"/>
  <c r="AM3600" i="26"/>
  <c r="AM3599" i="26"/>
  <c r="AM3598" i="26"/>
  <c r="AM3597" i="26"/>
  <c r="AM3596" i="26"/>
  <c r="AM3595" i="26"/>
  <c r="AM3594" i="26"/>
  <c r="AM3593" i="26"/>
  <c r="AM3592" i="26"/>
  <c r="AM3591" i="26"/>
  <c r="AM3590" i="26"/>
  <c r="AM3589" i="26"/>
  <c r="AM3588" i="26"/>
  <c r="AM3587" i="26"/>
  <c r="AM3586" i="26"/>
  <c r="AM3585" i="26"/>
  <c r="AM3584" i="26"/>
  <c r="AM3583" i="26"/>
  <c r="AM3582" i="26"/>
  <c r="AM3581" i="26"/>
  <c r="AM3580" i="26"/>
  <c r="AM3579" i="26"/>
  <c r="AM3578" i="26"/>
  <c r="AM3577" i="26"/>
  <c r="AM3576" i="26"/>
  <c r="AM3575" i="26"/>
  <c r="AM3574" i="26"/>
  <c r="AM3573" i="26"/>
  <c r="AM3572" i="26"/>
  <c r="AM3571" i="26"/>
  <c r="AM3570" i="26"/>
  <c r="AM3569" i="26"/>
  <c r="AM3568" i="26"/>
  <c r="AM3567" i="26"/>
  <c r="AM3566" i="26"/>
  <c r="AM3565" i="26"/>
  <c r="AM3564" i="26"/>
  <c r="AM3563" i="26"/>
  <c r="AM3562" i="26"/>
  <c r="AM3561" i="26"/>
  <c r="AM3560" i="26"/>
  <c r="AM3559" i="26"/>
  <c r="AM3558" i="26"/>
  <c r="AM3557" i="26"/>
  <c r="AM3556" i="26"/>
  <c r="AM3555" i="26"/>
  <c r="AM3554" i="26"/>
  <c r="AM3553" i="26"/>
  <c r="AM3552" i="26"/>
  <c r="AM3551" i="26"/>
  <c r="AM3550" i="26"/>
  <c r="AM3549" i="26"/>
  <c r="AM3548" i="26"/>
  <c r="AM3547" i="26"/>
  <c r="AM3546" i="26"/>
  <c r="AM3545" i="26"/>
  <c r="AM3544" i="26"/>
  <c r="AM3543" i="26"/>
  <c r="AM3542" i="26"/>
  <c r="AM3541" i="26"/>
  <c r="AM3540" i="26"/>
  <c r="AM3539" i="26"/>
  <c r="AM3538" i="26"/>
  <c r="AM3537" i="26"/>
  <c r="AM3536" i="26"/>
  <c r="AM3535" i="26"/>
  <c r="AM3534" i="26"/>
  <c r="AM3533" i="26"/>
  <c r="AM3532" i="26"/>
  <c r="AM3531" i="26"/>
  <c r="AM3530" i="26"/>
  <c r="AM3529" i="26"/>
  <c r="AM3528" i="26"/>
  <c r="AM3527" i="26"/>
  <c r="AM3526" i="26"/>
  <c r="AM3525" i="26"/>
  <c r="AM3524" i="26"/>
  <c r="AM3523" i="26"/>
  <c r="AM3522" i="26"/>
  <c r="AM3521" i="26"/>
  <c r="AM3520" i="26"/>
  <c r="AM3519" i="26"/>
  <c r="AM3518" i="26"/>
  <c r="AM3517" i="26"/>
  <c r="AM3516" i="26"/>
  <c r="AM3515" i="26"/>
  <c r="AM3514" i="26"/>
  <c r="AM3513" i="26"/>
  <c r="AM3512" i="26"/>
  <c r="AM3511" i="26"/>
  <c r="AM3510" i="26"/>
  <c r="AM3509" i="26"/>
  <c r="AM3508" i="26"/>
  <c r="AM3507" i="26"/>
  <c r="AM3506" i="26"/>
  <c r="AM3505" i="26"/>
  <c r="AM3504" i="26"/>
  <c r="AM3503" i="26"/>
  <c r="AM3502" i="26"/>
  <c r="AM3501" i="26"/>
  <c r="AM3500" i="26"/>
  <c r="AM3499" i="26"/>
  <c r="AM3498" i="26"/>
  <c r="AM3497" i="26"/>
  <c r="AM3496" i="26"/>
  <c r="AM3495" i="26"/>
  <c r="AM3494" i="26"/>
  <c r="AM3493" i="26"/>
  <c r="AM3492" i="26"/>
  <c r="AM3491" i="26"/>
  <c r="AM3490" i="26"/>
  <c r="AM3489" i="26"/>
  <c r="AM3488" i="26"/>
  <c r="AM3487" i="26"/>
  <c r="AM3486" i="26"/>
  <c r="AM3485" i="26"/>
  <c r="AM3484" i="26"/>
  <c r="AM3483" i="26"/>
  <c r="AM3482" i="26"/>
  <c r="AM3481" i="26"/>
  <c r="AM3480" i="26"/>
  <c r="AM3479" i="26"/>
  <c r="AM3478" i="26"/>
  <c r="AM3477" i="26"/>
  <c r="AM3476" i="26"/>
  <c r="AM3475" i="26"/>
  <c r="AM3474" i="26"/>
  <c r="AM3473" i="26"/>
  <c r="AM3472" i="26"/>
  <c r="AM3471" i="26"/>
  <c r="AM3470" i="26"/>
  <c r="AM3469" i="26"/>
  <c r="AM3468" i="26"/>
  <c r="AM3467" i="26"/>
  <c r="AM3466" i="26"/>
  <c r="AM3465" i="26"/>
  <c r="AM3464" i="26"/>
  <c r="AM3463" i="26"/>
  <c r="AM3462" i="26"/>
  <c r="AM3461" i="26"/>
  <c r="AM3460" i="26"/>
  <c r="AM3459" i="26"/>
  <c r="AM3458" i="26"/>
  <c r="AM3457" i="26"/>
  <c r="AM3456" i="26"/>
  <c r="AM3455" i="26"/>
  <c r="AM3454" i="26"/>
  <c r="AM3453" i="26"/>
  <c r="AM3452" i="26"/>
  <c r="AM3451" i="26"/>
  <c r="AM3450" i="26"/>
  <c r="AM3449" i="26"/>
  <c r="AM3448" i="26"/>
  <c r="AM3447" i="26"/>
  <c r="AM3446" i="26"/>
  <c r="AM3445" i="26"/>
  <c r="AM3444" i="26"/>
  <c r="AM3443" i="26"/>
  <c r="AM3442" i="26"/>
  <c r="AM3441" i="26"/>
  <c r="AM3440" i="26"/>
  <c r="AM3439" i="26"/>
  <c r="AM3438" i="26"/>
  <c r="AM3437" i="26"/>
  <c r="AM3436" i="26"/>
  <c r="AM3435" i="26"/>
  <c r="AM3434" i="26"/>
  <c r="AM3433" i="26"/>
  <c r="AM3432" i="26"/>
  <c r="AM3431" i="26"/>
  <c r="AM3430" i="26"/>
  <c r="AM3429" i="26"/>
  <c r="AM3428" i="26"/>
  <c r="AM3427" i="26"/>
  <c r="AM3426" i="26"/>
  <c r="AM3425" i="26"/>
  <c r="AM3424" i="26"/>
  <c r="AM3423" i="26"/>
  <c r="AM3422" i="26"/>
  <c r="AM3421" i="26"/>
  <c r="AM3420" i="26"/>
  <c r="AM3419" i="26"/>
  <c r="AM3418" i="26"/>
  <c r="AM3417" i="26"/>
  <c r="AM3416" i="26"/>
  <c r="AM3415" i="26"/>
  <c r="AM3414" i="26"/>
  <c r="AM3413" i="26"/>
  <c r="AM3412" i="26"/>
  <c r="AM3411" i="26"/>
  <c r="AM3410" i="26"/>
  <c r="AM3409" i="26"/>
  <c r="AM3408" i="26"/>
  <c r="AM3407" i="26"/>
  <c r="AM3406" i="26"/>
  <c r="AM3405" i="26"/>
  <c r="AM3404" i="26"/>
  <c r="AM3403" i="26"/>
  <c r="AM3402" i="26"/>
  <c r="AM3401" i="26"/>
  <c r="AM3400" i="26"/>
  <c r="AM3399" i="26"/>
  <c r="AM3398" i="26"/>
  <c r="AM3397" i="26"/>
  <c r="AM3396" i="26"/>
  <c r="AM3395" i="26"/>
  <c r="AM3394" i="26"/>
  <c r="AM3393" i="26"/>
  <c r="AM3392" i="26"/>
  <c r="AM3391" i="26"/>
  <c r="AM3390" i="26"/>
  <c r="AM3389" i="26"/>
  <c r="AM3388" i="26"/>
  <c r="AM3387" i="26"/>
  <c r="AM3386" i="26"/>
  <c r="AM3385" i="26"/>
  <c r="AM3384" i="26"/>
  <c r="AM3383" i="26"/>
  <c r="AM3382" i="26"/>
  <c r="AM3381" i="26"/>
  <c r="AM3380" i="26"/>
  <c r="AM3379" i="26"/>
  <c r="AM3378" i="26"/>
  <c r="AM3377" i="26"/>
  <c r="AM3376" i="26"/>
  <c r="AM3375" i="26"/>
  <c r="AM3374" i="26"/>
  <c r="AM3373" i="26"/>
  <c r="AM3372" i="26"/>
  <c r="AM3371" i="26"/>
  <c r="AM3370" i="26"/>
  <c r="AM3369" i="26"/>
  <c r="AM3368" i="26"/>
  <c r="AM3367" i="26"/>
  <c r="AM3366" i="26"/>
  <c r="AM3365" i="26"/>
  <c r="AM3364" i="26"/>
  <c r="AM3363" i="26"/>
  <c r="AM3362" i="26"/>
  <c r="AM3361" i="26"/>
  <c r="AM3360" i="26"/>
  <c r="AM3359" i="26"/>
  <c r="AM3358" i="26"/>
  <c r="AM3357" i="26"/>
  <c r="AM3356" i="26"/>
  <c r="AM3355" i="26"/>
  <c r="AM3354" i="26"/>
  <c r="AM3353" i="26"/>
  <c r="AM3352" i="26"/>
  <c r="AM3351" i="26"/>
  <c r="AM3350" i="26"/>
  <c r="AM3349" i="26"/>
  <c r="AM3348" i="26"/>
  <c r="AM3347" i="26"/>
  <c r="AM3346" i="26"/>
  <c r="AM3345" i="26"/>
  <c r="AM3344" i="26"/>
  <c r="AM3343" i="26"/>
  <c r="AM3342" i="26"/>
  <c r="AM3341" i="26"/>
  <c r="AM3340" i="26"/>
  <c r="AM3339" i="26"/>
  <c r="AM3338" i="26"/>
  <c r="AM3337" i="26"/>
  <c r="AM3336" i="26"/>
  <c r="AM3335" i="26"/>
  <c r="AM3334" i="26"/>
  <c r="AM3333" i="26"/>
  <c r="AM3332" i="26"/>
  <c r="AM3331" i="26"/>
  <c r="AM3330" i="26"/>
  <c r="AM3329" i="26"/>
  <c r="AM3328" i="26"/>
  <c r="AM3327" i="26"/>
  <c r="AM3326" i="26"/>
  <c r="AM3325" i="26"/>
  <c r="AM3324" i="26"/>
  <c r="AM3323" i="26"/>
  <c r="AM3322" i="26"/>
  <c r="AM3321" i="26"/>
  <c r="AM3320" i="26"/>
  <c r="AM3319" i="26"/>
  <c r="AM3318" i="26"/>
  <c r="AM3317" i="26"/>
  <c r="AM3316" i="26"/>
  <c r="AM3315" i="26"/>
  <c r="AM3314" i="26"/>
  <c r="AM3313" i="26"/>
  <c r="AM3312" i="26"/>
  <c r="AM3311" i="26"/>
  <c r="AM3310" i="26"/>
  <c r="AM3309" i="26"/>
  <c r="AM3308" i="26"/>
  <c r="AM3307" i="26"/>
  <c r="AM3306" i="26"/>
  <c r="AM3305" i="26"/>
  <c r="AM3304" i="26"/>
  <c r="AM3303" i="26"/>
  <c r="AM3302" i="26"/>
  <c r="AM3301" i="26"/>
  <c r="AM3300" i="26"/>
  <c r="AM3299" i="26"/>
  <c r="AM3298" i="26"/>
  <c r="AM3297" i="26"/>
  <c r="AM3296" i="26"/>
  <c r="AM3295" i="26"/>
  <c r="AM3294" i="26"/>
  <c r="AM3293" i="26"/>
  <c r="AM3292" i="26"/>
  <c r="AM3291" i="26"/>
  <c r="AM3290" i="26"/>
  <c r="AM3289" i="26"/>
  <c r="AM3288" i="26"/>
  <c r="AM3287" i="26"/>
  <c r="AM3286" i="26"/>
  <c r="AM3285" i="26"/>
  <c r="AM3284" i="26"/>
  <c r="AM3283" i="26"/>
  <c r="AM3282" i="26"/>
  <c r="AM3281" i="26"/>
  <c r="AM3280" i="26"/>
  <c r="AM3279" i="26"/>
  <c r="AM3278" i="26"/>
  <c r="AM3277" i="26"/>
  <c r="AM3276" i="26"/>
  <c r="AM3275" i="26"/>
  <c r="AM3274" i="26"/>
  <c r="AM3273" i="26"/>
  <c r="AM3272" i="26"/>
  <c r="AM3271" i="26"/>
  <c r="AM3270" i="26"/>
  <c r="AM3269" i="26"/>
  <c r="AM3268" i="26"/>
  <c r="AM3267" i="26"/>
  <c r="AM3266" i="26"/>
  <c r="AM3265" i="26"/>
  <c r="AM3264" i="26"/>
  <c r="AM3263" i="26"/>
  <c r="AM3262" i="26"/>
  <c r="AM3261" i="26"/>
  <c r="AM3260" i="26"/>
  <c r="AM3259" i="26"/>
  <c r="AM3258" i="26"/>
  <c r="AM3257" i="26"/>
  <c r="AM3256" i="26"/>
  <c r="AM3255" i="26"/>
  <c r="AM3254" i="26"/>
  <c r="AM3253" i="26"/>
  <c r="AM3252" i="26"/>
  <c r="AM3251" i="26"/>
  <c r="AM3250" i="26"/>
  <c r="AM3249" i="26"/>
  <c r="AM3248" i="26"/>
  <c r="AM3247" i="26"/>
  <c r="AM3246" i="26"/>
  <c r="AM3245" i="26"/>
  <c r="AM3244" i="26"/>
  <c r="AM3243" i="26"/>
  <c r="AM3242" i="26"/>
  <c r="AM3241" i="26"/>
  <c r="AM3240" i="26"/>
  <c r="AM3239" i="26"/>
  <c r="AM3238" i="26"/>
  <c r="AM3237" i="26"/>
  <c r="AM3236" i="26"/>
  <c r="AM3235" i="26"/>
  <c r="AM3234" i="26"/>
  <c r="AM3233" i="26"/>
  <c r="AM3232" i="26"/>
  <c r="AM3231" i="26"/>
  <c r="AM3230" i="26"/>
  <c r="AM3229" i="26"/>
  <c r="AM3228" i="26"/>
  <c r="AM3227" i="26"/>
  <c r="AM3226" i="26"/>
  <c r="AM3225" i="26"/>
  <c r="AM3224" i="26"/>
  <c r="AM3223" i="26"/>
  <c r="AM3222" i="26"/>
  <c r="AM3221" i="26"/>
  <c r="AM3220" i="26"/>
  <c r="AM3219" i="26"/>
  <c r="AM3218" i="26"/>
  <c r="AM3217" i="26"/>
  <c r="AM3216" i="26"/>
  <c r="AM3215" i="26"/>
  <c r="AM3214" i="26"/>
  <c r="AM3213" i="26"/>
  <c r="AM3212" i="26"/>
  <c r="AM3211" i="26"/>
  <c r="AM3210" i="26"/>
  <c r="AM3209" i="26"/>
  <c r="AM3208" i="26"/>
  <c r="AM3207" i="26"/>
  <c r="AM3206" i="26"/>
  <c r="AM3205" i="26"/>
  <c r="AM3204" i="26"/>
  <c r="AM3203" i="26"/>
  <c r="AM3202" i="26"/>
  <c r="AM3201" i="26"/>
  <c r="AM3200" i="26"/>
  <c r="AM3199" i="26"/>
  <c r="AM3198" i="26"/>
  <c r="AM3197" i="26"/>
  <c r="AM3196" i="26"/>
  <c r="AM3195" i="26"/>
  <c r="AM3194" i="26"/>
  <c r="AM3193" i="26"/>
  <c r="AM3192" i="26"/>
  <c r="AM3191" i="26"/>
  <c r="AM3190" i="26"/>
  <c r="AM3189" i="26"/>
  <c r="AM3188" i="26"/>
  <c r="AM3187" i="26"/>
  <c r="AM3186" i="26"/>
  <c r="AM3185" i="26"/>
  <c r="AM3184" i="26"/>
  <c r="AM3183" i="26"/>
  <c r="AM3182" i="26"/>
  <c r="AM3181" i="26"/>
  <c r="AM3180" i="26"/>
  <c r="AM3179" i="26"/>
  <c r="AM3178" i="26"/>
  <c r="AM3177" i="26"/>
  <c r="AM3176" i="26"/>
  <c r="AM3175" i="26"/>
  <c r="AM3174" i="26"/>
  <c r="AM3173" i="26"/>
  <c r="AM3172" i="26"/>
  <c r="AM3171" i="26"/>
  <c r="AM3170" i="26"/>
  <c r="AM3169" i="26"/>
  <c r="AM3168" i="26"/>
  <c r="AM3167" i="26"/>
  <c r="AM3166" i="26"/>
  <c r="AM3165" i="26"/>
  <c r="AM3164" i="26"/>
  <c r="AM3163" i="26"/>
  <c r="AM3162" i="26"/>
  <c r="AM3161" i="26"/>
  <c r="AM3160" i="26"/>
  <c r="AM3159" i="26"/>
  <c r="AM3158" i="26"/>
  <c r="AM3157" i="26"/>
  <c r="AM3156" i="26"/>
  <c r="AM3155" i="26"/>
  <c r="AM3154" i="26"/>
  <c r="AM3153" i="26"/>
  <c r="AM3152" i="26"/>
  <c r="AM3151" i="26"/>
  <c r="AM3150" i="26"/>
  <c r="AM3149" i="26"/>
  <c r="AM3148" i="26"/>
  <c r="AM3147" i="26"/>
  <c r="AM3146" i="26"/>
  <c r="AM3145" i="26"/>
  <c r="AM3144" i="26"/>
  <c r="AM3143" i="26"/>
  <c r="AM3142" i="26"/>
  <c r="AM3141" i="26"/>
  <c r="AM3140" i="26"/>
  <c r="AM3139" i="26"/>
  <c r="AM3138" i="26"/>
  <c r="AM3137" i="26"/>
  <c r="AM3136" i="26"/>
  <c r="AM3135" i="26"/>
  <c r="AM3134" i="26"/>
  <c r="AM3133" i="26"/>
  <c r="AM3132" i="26"/>
  <c r="AM3131" i="26"/>
  <c r="AM3130" i="26"/>
  <c r="AM3129" i="26"/>
  <c r="AM3128" i="26"/>
  <c r="AM3127" i="26"/>
  <c r="AM3126" i="26"/>
  <c r="AM3125" i="26"/>
  <c r="AM3124" i="26"/>
  <c r="AM3123" i="26"/>
  <c r="AM3122" i="26"/>
  <c r="AM3121" i="26"/>
  <c r="AM3120" i="26"/>
  <c r="AM3119" i="26"/>
  <c r="AM3118" i="26"/>
  <c r="AM3117" i="26"/>
  <c r="AM3116" i="26"/>
  <c r="AM3115" i="26"/>
  <c r="AM3114" i="26"/>
  <c r="AM3113" i="26"/>
  <c r="AM3112" i="26"/>
  <c r="AM3111" i="26"/>
  <c r="AM3110" i="26"/>
  <c r="AM3109" i="26"/>
  <c r="AM3108" i="26"/>
  <c r="AM3107" i="26"/>
  <c r="AM3106" i="26"/>
  <c r="AM3105" i="26"/>
  <c r="AM3104" i="26"/>
  <c r="AM3103" i="26"/>
  <c r="AM3102" i="26"/>
  <c r="AM3101" i="26"/>
  <c r="AM3100" i="26"/>
  <c r="AM3099" i="26"/>
  <c r="AM3098" i="26"/>
  <c r="AM3097" i="26"/>
  <c r="AM3096" i="26"/>
  <c r="AM3095" i="26"/>
  <c r="AM3094" i="26"/>
  <c r="AM3093" i="26"/>
  <c r="AM3092" i="26"/>
  <c r="AM3091" i="26"/>
  <c r="AM3090" i="26"/>
  <c r="AM3089" i="26"/>
  <c r="AM3088" i="26"/>
  <c r="AM3087" i="26"/>
  <c r="AM3086" i="26"/>
  <c r="AM3085" i="26"/>
  <c r="AM3084" i="26"/>
  <c r="AM3083" i="26"/>
  <c r="AM3082" i="26"/>
  <c r="AM3081" i="26"/>
  <c r="AM3080" i="26"/>
  <c r="AM3079" i="26"/>
  <c r="AM3078" i="26"/>
  <c r="AM3077" i="26"/>
  <c r="AM3076" i="26"/>
  <c r="AM3075" i="26"/>
  <c r="AM3074" i="26"/>
  <c r="AM3073" i="26"/>
  <c r="AM3072" i="26"/>
  <c r="AM3071" i="26"/>
  <c r="AM3070" i="26"/>
  <c r="AM3069" i="26"/>
  <c r="AM3068" i="26"/>
  <c r="AM3067" i="26"/>
  <c r="AM3066" i="26"/>
  <c r="AM3065" i="26"/>
  <c r="AM3064" i="26"/>
  <c r="AM3063" i="26"/>
  <c r="AM3062" i="26"/>
  <c r="AM3061" i="26"/>
  <c r="AM3060" i="26"/>
  <c r="AM3059" i="26"/>
  <c r="AM3058" i="26"/>
  <c r="AM3057" i="26"/>
  <c r="AM3056" i="26"/>
  <c r="AM3055" i="26"/>
  <c r="AM3054" i="26"/>
  <c r="AM3053" i="26"/>
  <c r="AM3052" i="26"/>
  <c r="AM3051" i="26"/>
  <c r="AM3050" i="26"/>
  <c r="AM3049" i="26"/>
  <c r="AM3048" i="26"/>
  <c r="AM3047" i="26"/>
  <c r="AM3046" i="26"/>
  <c r="AM3045" i="26"/>
  <c r="AM3044" i="26"/>
  <c r="AM3043" i="26"/>
  <c r="AM3042" i="26"/>
  <c r="AM3041" i="26"/>
  <c r="AM3040" i="26"/>
  <c r="AM3039" i="26"/>
  <c r="AM3038" i="26"/>
  <c r="AM3037" i="26"/>
  <c r="AM3036" i="26"/>
  <c r="AM3035" i="26"/>
  <c r="AM3034" i="26"/>
  <c r="AM3033" i="26"/>
  <c r="AM3032" i="26"/>
  <c r="AM3031" i="26"/>
  <c r="AM3030" i="26"/>
  <c r="AM3029" i="26"/>
  <c r="AM3028" i="26"/>
  <c r="AM3027" i="26"/>
  <c r="AM3026" i="26"/>
  <c r="AM3025" i="26"/>
  <c r="AM3024" i="26"/>
  <c r="AM3023" i="26"/>
  <c r="AM3022" i="26"/>
  <c r="AM3021" i="26"/>
  <c r="AM3020" i="26"/>
  <c r="AM3019" i="26"/>
  <c r="AM3018" i="26"/>
  <c r="AM3017" i="26"/>
  <c r="AM3016" i="26"/>
  <c r="AM3015" i="26"/>
  <c r="AM3014" i="26"/>
  <c r="AM3013" i="26"/>
  <c r="AM3012" i="26"/>
  <c r="AM3011" i="26"/>
  <c r="AM3010" i="26"/>
  <c r="AM3009" i="26"/>
  <c r="AM3008" i="26"/>
  <c r="AM3007" i="26"/>
  <c r="AM3006" i="26"/>
  <c r="AM3005" i="26"/>
  <c r="AM3004" i="26"/>
  <c r="AM3003" i="26"/>
  <c r="AM3002" i="26"/>
  <c r="AM3001" i="26"/>
  <c r="AM3000" i="26"/>
  <c r="AM2999" i="26"/>
  <c r="AM2998" i="26"/>
  <c r="AM2997" i="26"/>
  <c r="AM2996" i="26"/>
  <c r="AM2995" i="26"/>
  <c r="AM2994" i="26"/>
  <c r="AM2993" i="26"/>
  <c r="AM2992" i="26"/>
  <c r="AM2991" i="26"/>
  <c r="AM2990" i="26"/>
  <c r="AM2989" i="26"/>
  <c r="AM2988" i="26"/>
  <c r="AM2987" i="26"/>
  <c r="AM2986" i="26"/>
  <c r="AM2985" i="26"/>
  <c r="AM2984" i="26"/>
  <c r="AM2983" i="26"/>
  <c r="AM2982" i="26"/>
  <c r="AM2981" i="26"/>
  <c r="AM2980" i="26"/>
  <c r="AM2979" i="26"/>
  <c r="AM2978" i="26"/>
  <c r="AM2977" i="26"/>
  <c r="AM2976" i="26"/>
  <c r="AM2975" i="26"/>
  <c r="AM2974" i="26"/>
  <c r="AM2973" i="26"/>
  <c r="AM2972" i="26"/>
  <c r="AM2971" i="26"/>
  <c r="AM2970" i="26"/>
  <c r="AM2969" i="26"/>
  <c r="AM2968" i="26"/>
  <c r="AM2967" i="26"/>
  <c r="AM2966" i="26"/>
  <c r="AM2965" i="26"/>
  <c r="AM2964" i="26"/>
  <c r="AM2963" i="26"/>
  <c r="AM2962" i="26"/>
  <c r="AM2961" i="26"/>
  <c r="AM2960" i="26"/>
  <c r="AM2959" i="26"/>
  <c r="AM2958" i="26"/>
  <c r="AM2957" i="26"/>
  <c r="AM2956" i="26"/>
  <c r="AM2955" i="26"/>
  <c r="AM2954" i="26"/>
  <c r="AM2953" i="26"/>
  <c r="AM2952" i="26"/>
  <c r="AM2951" i="26"/>
  <c r="AM2950" i="26"/>
  <c r="AM2949" i="26"/>
  <c r="AM2948" i="26"/>
  <c r="AM2947" i="26"/>
  <c r="AM2946" i="26"/>
  <c r="AM2945" i="26"/>
  <c r="AM2944" i="26"/>
  <c r="AM2943" i="26"/>
  <c r="AM2942" i="26"/>
  <c r="AM2941" i="26"/>
  <c r="AM2940" i="26"/>
  <c r="AM2939" i="26"/>
  <c r="AM2938" i="26"/>
  <c r="AM2937" i="26"/>
  <c r="AM2936" i="26"/>
  <c r="AM2935" i="26"/>
  <c r="AM2934" i="26"/>
  <c r="AM2933" i="26"/>
  <c r="AM2932" i="26"/>
  <c r="AM2931" i="26"/>
  <c r="AM2930" i="26"/>
  <c r="AM2929" i="26"/>
  <c r="AM2928" i="26"/>
  <c r="AM2927" i="26"/>
  <c r="AM2926" i="26"/>
  <c r="AM2925" i="26"/>
  <c r="AM2924" i="26"/>
  <c r="AM2923" i="26"/>
  <c r="AM2922" i="26"/>
  <c r="AM2921" i="26"/>
  <c r="AM2920" i="26"/>
  <c r="AM2919" i="26"/>
  <c r="AM2918" i="26"/>
  <c r="AM2917" i="26"/>
  <c r="AM2916" i="26"/>
  <c r="AM2915" i="26"/>
  <c r="AM2914" i="26"/>
  <c r="AM2913" i="26"/>
  <c r="AM2912" i="26"/>
  <c r="AM2911" i="26"/>
  <c r="AM2910" i="26"/>
  <c r="AM2909" i="26"/>
  <c r="AM2908" i="26"/>
  <c r="AM2907" i="26"/>
  <c r="AM2906" i="26"/>
  <c r="AM2905" i="26"/>
  <c r="AM2904" i="26"/>
  <c r="AM2903" i="26"/>
  <c r="AM2902" i="26"/>
  <c r="AM2901" i="26"/>
  <c r="AM2900" i="26"/>
  <c r="AM2899" i="26"/>
  <c r="AM2898" i="26"/>
  <c r="AM2897" i="26"/>
  <c r="AM2896" i="26"/>
  <c r="AM2895" i="26"/>
  <c r="AM2894" i="26"/>
  <c r="AM2893" i="26"/>
  <c r="AM2892" i="26"/>
  <c r="AM2891" i="26"/>
  <c r="AM2890" i="26"/>
  <c r="AM2889" i="26"/>
  <c r="AM2888" i="26"/>
  <c r="AM2887" i="26"/>
  <c r="AM2886" i="26"/>
  <c r="AM2885" i="26"/>
  <c r="AM2884" i="26"/>
  <c r="AM2883" i="26"/>
  <c r="AM2882" i="26"/>
  <c r="AM2881" i="26"/>
  <c r="AM2880" i="26"/>
  <c r="AM2879" i="26"/>
  <c r="AM2878" i="26"/>
  <c r="AM2877" i="26"/>
  <c r="AM2876" i="26"/>
  <c r="AM2875" i="26"/>
  <c r="AM2874" i="26"/>
  <c r="AM2873" i="26"/>
  <c r="AM2872" i="26"/>
  <c r="AM2871" i="26"/>
  <c r="AM2870" i="26"/>
  <c r="AM2869" i="26"/>
  <c r="AM2868" i="26"/>
  <c r="AM2867" i="26"/>
  <c r="AM2866" i="26"/>
  <c r="AM2865" i="26"/>
  <c r="AM2864" i="26"/>
  <c r="AM2863" i="26"/>
  <c r="AM2862" i="26"/>
  <c r="AM2861" i="26"/>
  <c r="AM2860" i="26"/>
  <c r="AM2859" i="26"/>
  <c r="AM2858" i="26"/>
  <c r="AM2857" i="26"/>
  <c r="AM2856" i="26"/>
  <c r="AM2855" i="26"/>
  <c r="AM2854" i="26"/>
  <c r="AM2853" i="26"/>
  <c r="AM2852" i="26"/>
  <c r="AM2851" i="26"/>
  <c r="AM2850" i="26"/>
  <c r="AM2849" i="26"/>
  <c r="AM2848" i="26"/>
  <c r="AM2847" i="26"/>
  <c r="AM2846" i="26"/>
  <c r="AM2845" i="26"/>
  <c r="AM2844" i="26"/>
  <c r="AM2843" i="26"/>
  <c r="AM2842" i="26"/>
  <c r="AM2841" i="26"/>
  <c r="AM2840" i="26"/>
  <c r="AM2839" i="26"/>
  <c r="AM2838" i="26"/>
  <c r="AM2837" i="26"/>
  <c r="AM2836" i="26"/>
  <c r="AM2835" i="26"/>
  <c r="AM2834" i="26"/>
  <c r="AM2833" i="26"/>
  <c r="AM2832" i="26"/>
  <c r="AM2831" i="26"/>
  <c r="AM2830" i="26"/>
  <c r="AM2829" i="26"/>
  <c r="AM2828" i="26"/>
  <c r="AM2827" i="26"/>
  <c r="AM2826" i="26"/>
  <c r="AM2825" i="26"/>
  <c r="AM2824" i="26"/>
  <c r="AM2823" i="26"/>
  <c r="AM2822" i="26"/>
  <c r="AM2821" i="26"/>
  <c r="AM2820" i="26"/>
  <c r="AM2819" i="26"/>
  <c r="AM2818" i="26"/>
  <c r="AM2817" i="26"/>
  <c r="AM2816" i="26"/>
  <c r="AM2815" i="26"/>
  <c r="AM2814" i="26"/>
  <c r="AM2813" i="26"/>
  <c r="AM2812" i="26"/>
  <c r="AM2811" i="26"/>
  <c r="AM2810" i="26"/>
  <c r="AM2809" i="26"/>
  <c r="AM2808" i="26"/>
  <c r="AM2807" i="26"/>
  <c r="AM2806" i="26"/>
  <c r="AM2805" i="26"/>
  <c r="AM2804" i="26"/>
  <c r="AM2803" i="26"/>
  <c r="AM2802" i="26"/>
  <c r="AM2801" i="26"/>
  <c r="AM2800" i="26"/>
  <c r="AM2799" i="26"/>
  <c r="AM2798" i="26"/>
  <c r="AM2797" i="26"/>
  <c r="AM2796" i="26"/>
  <c r="AM2795" i="26"/>
  <c r="AM2794" i="26"/>
  <c r="AM2793" i="26"/>
  <c r="AM2792" i="26"/>
  <c r="AM2791" i="26"/>
  <c r="AM2790" i="26"/>
  <c r="AM2789" i="26"/>
  <c r="AM2788" i="26"/>
  <c r="AM2787" i="26"/>
  <c r="AM2786" i="26"/>
  <c r="AM2785" i="26"/>
  <c r="AM2784" i="26"/>
  <c r="AM2783" i="26"/>
  <c r="AM2782" i="26"/>
  <c r="AM2781" i="26"/>
  <c r="AM2780" i="26"/>
  <c r="AM2779" i="26"/>
  <c r="AM2778" i="26"/>
  <c r="AM2777" i="26"/>
  <c r="AM2776" i="26"/>
  <c r="AM2775" i="26"/>
  <c r="AM2774" i="26"/>
  <c r="AM2773" i="26"/>
  <c r="AM2772" i="26"/>
  <c r="AM2771" i="26"/>
  <c r="AM2770" i="26"/>
  <c r="AM2769" i="26"/>
  <c r="AM2768" i="26"/>
  <c r="AM2767" i="26"/>
  <c r="AM2766" i="26"/>
  <c r="AM2765" i="26"/>
  <c r="AM2764" i="26"/>
  <c r="AM2763" i="26"/>
  <c r="AM2762" i="26"/>
  <c r="AM2761" i="26"/>
  <c r="AM2760" i="26"/>
  <c r="AM2759" i="26"/>
  <c r="AM2758" i="26"/>
  <c r="AM2757" i="26"/>
  <c r="AM2756" i="26"/>
  <c r="AM2755" i="26"/>
  <c r="AM2754" i="26"/>
  <c r="AM2753" i="26"/>
  <c r="AM2752" i="26"/>
  <c r="AM2751" i="26"/>
  <c r="AM2750" i="26"/>
  <c r="AM2749" i="26"/>
  <c r="AM2748" i="26"/>
  <c r="AM2747" i="26"/>
  <c r="AM2746" i="26"/>
  <c r="AM2745" i="26"/>
  <c r="AM2744" i="26"/>
  <c r="AM2743" i="26"/>
  <c r="AM2742" i="26"/>
  <c r="AM2741" i="26"/>
  <c r="AM2740" i="26"/>
  <c r="AM2739" i="26"/>
  <c r="AM2738" i="26"/>
  <c r="AM2737" i="26"/>
  <c r="AM2736" i="26"/>
  <c r="AM2735" i="26"/>
  <c r="AM2734" i="26"/>
  <c r="AM2733" i="26"/>
  <c r="AM2732" i="26"/>
  <c r="AM2731" i="26"/>
  <c r="AM2730" i="26"/>
  <c r="AM2729" i="26"/>
  <c r="AM2728" i="26"/>
  <c r="AM2727" i="26"/>
  <c r="AM2726" i="26"/>
  <c r="AM2725" i="26"/>
  <c r="AM2724" i="26"/>
  <c r="AM2723" i="26"/>
  <c r="AM2722" i="26"/>
  <c r="AM2721" i="26"/>
  <c r="AM2720" i="26"/>
  <c r="AM2719" i="26"/>
  <c r="AM2718" i="26"/>
  <c r="AM2717" i="26"/>
  <c r="AM2716" i="26"/>
  <c r="AM2715" i="26"/>
  <c r="AM2714" i="26"/>
  <c r="AM2713" i="26"/>
  <c r="AM2712" i="26"/>
  <c r="AM2711" i="26"/>
  <c r="AM2710" i="26"/>
  <c r="AM2709" i="26"/>
  <c r="AM2708" i="26"/>
  <c r="AM2707" i="26"/>
  <c r="AM2706" i="26"/>
  <c r="AM2705" i="26"/>
  <c r="AM2704" i="26"/>
  <c r="AM2703" i="26"/>
  <c r="AM2702" i="26"/>
  <c r="AM2701" i="26"/>
  <c r="AM2700" i="26"/>
  <c r="AM2699" i="26"/>
  <c r="AM2698" i="26"/>
  <c r="AM2697" i="26"/>
  <c r="AM2696" i="26"/>
  <c r="AM2695" i="26"/>
  <c r="AM2694" i="26"/>
  <c r="AM2693" i="26"/>
  <c r="AM2692" i="26"/>
  <c r="AM2691" i="26"/>
  <c r="AM2690" i="26"/>
  <c r="AM2689" i="26"/>
  <c r="AM2688" i="26"/>
  <c r="AM2687" i="26"/>
  <c r="AM2686" i="26"/>
  <c r="AM2685" i="26"/>
  <c r="AM2684" i="26"/>
  <c r="AM2683" i="26"/>
  <c r="AM2682" i="26"/>
  <c r="AM2681" i="26"/>
  <c r="AM2680" i="26"/>
  <c r="AM2679" i="26"/>
  <c r="AM2678" i="26"/>
  <c r="AM2677" i="26"/>
  <c r="AM2676" i="26"/>
  <c r="AM2675" i="26"/>
  <c r="AM2674" i="26"/>
  <c r="AM2673" i="26"/>
  <c r="AM2672" i="26"/>
  <c r="AM2671" i="26"/>
  <c r="AM2670" i="26"/>
  <c r="AM2669" i="26"/>
  <c r="AM2668" i="26"/>
  <c r="AM2667" i="26"/>
  <c r="AM2666" i="26"/>
  <c r="AM2665" i="26"/>
  <c r="AM2664" i="26"/>
  <c r="AM2663" i="26"/>
  <c r="AM2662" i="26"/>
  <c r="AM2661" i="26"/>
  <c r="AM2660" i="26"/>
  <c r="AM2659" i="26"/>
  <c r="AM2658" i="26"/>
  <c r="AM2657" i="26"/>
  <c r="AM2656" i="26"/>
  <c r="AM2655" i="26"/>
  <c r="AM2654" i="26"/>
  <c r="AM2653" i="26"/>
  <c r="AM2652" i="26"/>
  <c r="AM2651" i="26"/>
  <c r="AM2650" i="26"/>
  <c r="AM2649" i="26"/>
  <c r="AM2648" i="26"/>
  <c r="AM2647" i="26"/>
  <c r="AM2646" i="26"/>
  <c r="AM2645" i="26"/>
  <c r="AM2644" i="26"/>
  <c r="AM2643" i="26"/>
  <c r="AM2642" i="26"/>
  <c r="AM2641" i="26"/>
  <c r="AM2640" i="26"/>
  <c r="AM2639" i="26"/>
  <c r="AM2638" i="26"/>
  <c r="AM2637" i="26"/>
  <c r="AM2636" i="26"/>
  <c r="AM2635" i="26"/>
  <c r="AM2634" i="26"/>
  <c r="AM2633" i="26"/>
  <c r="AM2632" i="26"/>
  <c r="AM2631" i="26"/>
  <c r="AM2630" i="26"/>
  <c r="AM2629" i="26"/>
  <c r="AM2628" i="26"/>
  <c r="AM2627" i="26"/>
  <c r="AM2626" i="26"/>
  <c r="AM2625" i="26"/>
  <c r="AM2624" i="26"/>
  <c r="AM2623" i="26"/>
  <c r="AM2622" i="26"/>
  <c r="AM2621" i="26"/>
  <c r="AM2620" i="26"/>
  <c r="AM2619" i="26"/>
  <c r="AM2618" i="26"/>
  <c r="AM2617" i="26"/>
  <c r="AM2616" i="26"/>
  <c r="AM2615" i="26"/>
  <c r="AM2614" i="26"/>
  <c r="AM2613" i="26"/>
  <c r="AM2612" i="26"/>
  <c r="AM2611" i="26"/>
  <c r="AM2610" i="26"/>
  <c r="AM2609" i="26"/>
  <c r="AM2608" i="26"/>
  <c r="AM2607" i="26"/>
  <c r="AM2606" i="26"/>
  <c r="AM2605" i="26"/>
  <c r="AM2604" i="26"/>
  <c r="AM2603" i="26"/>
  <c r="AM2602" i="26"/>
  <c r="AM2601" i="26"/>
  <c r="AM2600" i="26"/>
  <c r="AM2599" i="26"/>
  <c r="AM2598" i="26"/>
  <c r="AM2597" i="26"/>
  <c r="AM2596" i="26"/>
  <c r="AM2595" i="26"/>
  <c r="AM2594" i="26"/>
  <c r="AM2593" i="26"/>
  <c r="AM2592" i="26"/>
  <c r="AM2591" i="26"/>
  <c r="AM2590" i="26"/>
  <c r="AM2589" i="26"/>
  <c r="AM2588" i="26"/>
  <c r="AM2587" i="26"/>
  <c r="AM2586" i="26"/>
  <c r="AM2585" i="26"/>
  <c r="AM2584" i="26"/>
  <c r="AM2583" i="26"/>
  <c r="AM2582" i="26"/>
  <c r="AM2581" i="26"/>
  <c r="AM2580" i="26"/>
  <c r="AM2579" i="26"/>
  <c r="AM2578" i="26"/>
  <c r="AM2577" i="26"/>
  <c r="AM2576" i="26"/>
  <c r="AM2575" i="26"/>
  <c r="AM2574" i="26"/>
  <c r="AM2573" i="26"/>
  <c r="AM2572" i="26"/>
  <c r="AM2571" i="26"/>
  <c r="AM2570" i="26"/>
  <c r="AM2569" i="26"/>
  <c r="AM2568" i="26"/>
  <c r="AM2567" i="26"/>
  <c r="AM2566" i="26"/>
  <c r="AM2565" i="26"/>
  <c r="AM2564" i="26"/>
  <c r="AM2563" i="26"/>
  <c r="AM2562" i="26"/>
  <c r="AM2561" i="26"/>
  <c r="AM2560" i="26"/>
  <c r="AM2559" i="26"/>
  <c r="AM2558" i="26"/>
  <c r="AM2557" i="26"/>
  <c r="AM2556" i="26"/>
  <c r="AM2555" i="26"/>
  <c r="AM2554" i="26"/>
  <c r="AM2553" i="26"/>
  <c r="AM2552" i="26"/>
  <c r="AM2551" i="26"/>
  <c r="AM2550" i="26"/>
  <c r="AM2549" i="26"/>
  <c r="AM2548" i="26"/>
  <c r="AM2547" i="26"/>
  <c r="AM2546" i="26"/>
  <c r="AM2545" i="26"/>
  <c r="AM2544" i="26"/>
  <c r="AM2543" i="26"/>
  <c r="AM2542" i="26"/>
  <c r="AM2541" i="26"/>
  <c r="AM2540" i="26"/>
  <c r="AM2539" i="26"/>
  <c r="AM2538" i="26"/>
  <c r="AM2537" i="26"/>
  <c r="AM2536" i="26"/>
  <c r="AM2535" i="26"/>
  <c r="AM2534" i="26"/>
  <c r="AM2533" i="26"/>
  <c r="AM2532" i="26"/>
  <c r="AM2531" i="26"/>
  <c r="AM2530" i="26"/>
  <c r="AM2529" i="26"/>
  <c r="AM2528" i="26"/>
  <c r="AM2527" i="26"/>
  <c r="AM2526" i="26"/>
  <c r="AM2525" i="26"/>
  <c r="AM2524" i="26"/>
  <c r="AM2523" i="26"/>
  <c r="AM2522" i="26"/>
  <c r="AM2521" i="26"/>
  <c r="AM2520" i="26"/>
  <c r="AM2519" i="26"/>
  <c r="AM2518" i="26"/>
  <c r="AM2517" i="26"/>
  <c r="AM2516" i="26"/>
  <c r="AM2515" i="26"/>
  <c r="AM2514" i="26"/>
  <c r="AM2513" i="26"/>
  <c r="AM2512" i="26"/>
  <c r="AM2511" i="26"/>
  <c r="AM2510" i="26"/>
  <c r="AM2509" i="26"/>
  <c r="AM2508" i="26"/>
  <c r="AM2507" i="26"/>
  <c r="AM2506" i="26"/>
  <c r="AM2505" i="26"/>
  <c r="AM2504" i="26"/>
  <c r="AM2503" i="26"/>
  <c r="AM2502" i="26"/>
  <c r="AM2501" i="26"/>
  <c r="AM2500" i="26"/>
  <c r="AM2499" i="26"/>
  <c r="AM2498" i="26"/>
  <c r="AM2497" i="26"/>
  <c r="AM2496" i="26"/>
  <c r="AM2495" i="26"/>
  <c r="AM2494" i="26"/>
  <c r="AM2493" i="26"/>
  <c r="AM2492" i="26"/>
  <c r="AM2491" i="26"/>
  <c r="AM2490" i="26"/>
  <c r="AM2489" i="26"/>
  <c r="AM2488" i="26"/>
  <c r="AM2487" i="26"/>
  <c r="AM2486" i="26"/>
  <c r="AM2485" i="26"/>
  <c r="AM2484" i="26"/>
  <c r="AM2483" i="26"/>
  <c r="AM2482" i="26"/>
  <c r="AM2481" i="26"/>
  <c r="AM2480" i="26"/>
  <c r="AM2479" i="26"/>
  <c r="AM2478" i="26"/>
  <c r="AM2477" i="26"/>
  <c r="AM2476" i="26"/>
  <c r="AM2475" i="26"/>
  <c r="AM2474" i="26"/>
  <c r="AM2473" i="26"/>
  <c r="AM2472" i="26"/>
  <c r="AM2471" i="26"/>
  <c r="AM2470" i="26"/>
  <c r="AM2469" i="26"/>
  <c r="AM2468" i="26"/>
  <c r="AM2467" i="26"/>
  <c r="AM2466" i="26"/>
  <c r="AM2465" i="26"/>
  <c r="AM2464" i="26"/>
  <c r="AM2463" i="26"/>
  <c r="AM2462" i="26"/>
  <c r="AM2461" i="26"/>
  <c r="AM2460" i="26"/>
  <c r="AM2459" i="26"/>
  <c r="AM2458" i="26"/>
  <c r="AM2457" i="26"/>
  <c r="AM2456" i="26"/>
  <c r="AM2455" i="26"/>
  <c r="AM2454" i="26"/>
  <c r="AM2453" i="26"/>
  <c r="AM2452" i="26"/>
  <c r="AM2451" i="26"/>
  <c r="AM2450" i="26"/>
  <c r="AM2449" i="26"/>
  <c r="AM2448" i="26"/>
  <c r="AM2447" i="26"/>
  <c r="AM2446" i="26"/>
  <c r="AM2445" i="26"/>
  <c r="AM2444" i="26"/>
  <c r="AM2443" i="26"/>
  <c r="AM2442" i="26"/>
  <c r="AM2441" i="26"/>
  <c r="AM2440" i="26"/>
  <c r="AM2439" i="26"/>
  <c r="AM2438" i="26"/>
  <c r="AM2437" i="26"/>
  <c r="AM2436" i="26"/>
  <c r="AM2435" i="26"/>
  <c r="AM2434" i="26"/>
  <c r="AM2433" i="26"/>
  <c r="AM2432" i="26"/>
  <c r="AM2431" i="26"/>
  <c r="AM2430" i="26"/>
  <c r="AM2429" i="26"/>
  <c r="AM2428" i="26"/>
  <c r="AM2427" i="26"/>
  <c r="AM2426" i="26"/>
  <c r="AM2425" i="26"/>
  <c r="AM2424" i="26"/>
  <c r="AM2423" i="26"/>
  <c r="AM2422" i="26"/>
  <c r="AM2421" i="26"/>
  <c r="AM2420" i="26"/>
  <c r="AM2419" i="26"/>
  <c r="AM2418" i="26"/>
  <c r="AM2417" i="26"/>
  <c r="AM2416" i="26"/>
  <c r="AM2415" i="26"/>
  <c r="AM2414" i="26"/>
  <c r="AM2413" i="26"/>
  <c r="AM2412" i="26"/>
  <c r="AM2411" i="26"/>
  <c r="AM2410" i="26"/>
  <c r="AM2409" i="26"/>
  <c r="AM2408" i="26"/>
  <c r="AM2407" i="26"/>
  <c r="AM2406" i="26"/>
  <c r="AM2405" i="26"/>
  <c r="AM2404" i="26"/>
  <c r="AM2403" i="26"/>
  <c r="AM2402" i="26"/>
  <c r="AM2401" i="26"/>
  <c r="AM2400" i="26"/>
  <c r="AM2399" i="26"/>
  <c r="AM2398" i="26"/>
  <c r="AM2397" i="26"/>
  <c r="AM2396" i="26"/>
  <c r="AM2395" i="26"/>
  <c r="AM2394" i="26"/>
  <c r="AM2393" i="26"/>
  <c r="AM2392" i="26"/>
  <c r="AM2391" i="26"/>
  <c r="AM2390" i="26"/>
  <c r="AM2389" i="26"/>
  <c r="AM2388" i="26"/>
  <c r="AM2387" i="26"/>
  <c r="AM2386" i="26"/>
  <c r="AM2385" i="26"/>
  <c r="AM2384" i="26"/>
  <c r="AM2383" i="26"/>
  <c r="AM2382" i="26"/>
  <c r="AM2381" i="26"/>
  <c r="AM2380" i="26"/>
  <c r="AM2379" i="26"/>
  <c r="AM2378" i="26"/>
  <c r="AM2377" i="26"/>
  <c r="AM2376" i="26"/>
  <c r="AM2375" i="26"/>
  <c r="AM2374" i="26"/>
  <c r="AM2373" i="26"/>
  <c r="AM2372" i="26"/>
  <c r="AM2371" i="26"/>
  <c r="AM2370" i="26"/>
  <c r="AM2369" i="26"/>
  <c r="AM2368" i="26"/>
  <c r="AM2367" i="26"/>
  <c r="AM2366" i="26"/>
  <c r="AM2365" i="26"/>
  <c r="AM2364" i="26"/>
  <c r="AM2363" i="26"/>
  <c r="AM2362" i="26"/>
  <c r="AM2361" i="26"/>
  <c r="AM2360" i="26"/>
  <c r="AM2359" i="26"/>
  <c r="AM2358" i="26"/>
  <c r="AM2357" i="26"/>
  <c r="AM2356" i="26"/>
  <c r="AM2355" i="26"/>
  <c r="AM2354" i="26"/>
  <c r="AM2353" i="26"/>
  <c r="AM2352" i="26"/>
  <c r="AM2351" i="26"/>
  <c r="AM2350" i="26"/>
  <c r="AM2349" i="26"/>
  <c r="AM2348" i="26"/>
  <c r="AM2347" i="26"/>
  <c r="AM2346" i="26"/>
  <c r="AM2345" i="26"/>
  <c r="AM2344" i="26"/>
  <c r="AM2343" i="26"/>
  <c r="AM2342" i="26"/>
  <c r="AM2341" i="26"/>
  <c r="AM2340" i="26"/>
  <c r="AM2339" i="26"/>
  <c r="AM2338" i="26"/>
  <c r="AM2337" i="26"/>
  <c r="AM2336" i="26"/>
  <c r="AM2335" i="26"/>
  <c r="AM2334" i="26"/>
  <c r="AM2333" i="26"/>
  <c r="AM2332" i="26"/>
  <c r="AM2331" i="26"/>
  <c r="AM2330" i="26"/>
  <c r="AM2329" i="26"/>
  <c r="AM2328" i="26"/>
  <c r="AM2327" i="26"/>
  <c r="AM2326" i="26"/>
  <c r="AM2325" i="26"/>
  <c r="AM2324" i="26"/>
  <c r="AM2323" i="26"/>
  <c r="AM2322" i="26"/>
  <c r="AM2321" i="26"/>
  <c r="AM2320" i="26"/>
  <c r="AM2319" i="26"/>
  <c r="AM2318" i="26"/>
  <c r="AM2317" i="26"/>
  <c r="AM2316" i="26"/>
  <c r="AM2315" i="26"/>
  <c r="AM2314" i="26"/>
  <c r="AM2313" i="26"/>
  <c r="AM2312" i="26"/>
  <c r="AM2311" i="26"/>
  <c r="AM2310" i="26"/>
  <c r="AM2309" i="26"/>
  <c r="AM2308" i="26"/>
  <c r="AM2307" i="26"/>
  <c r="AM2306" i="26"/>
  <c r="AM2305" i="26"/>
  <c r="AM2304" i="26"/>
  <c r="AM2303" i="26"/>
  <c r="AM2302" i="26"/>
  <c r="AM2301" i="26"/>
  <c r="AM2300" i="26"/>
  <c r="AM2299" i="26"/>
  <c r="AM2298" i="26"/>
  <c r="AM2297" i="26"/>
  <c r="AM2296" i="26"/>
  <c r="AM2295" i="26"/>
  <c r="AM2294" i="26"/>
  <c r="AM2293" i="26"/>
  <c r="AM2292" i="26"/>
  <c r="AM2291" i="26"/>
  <c r="AM2290" i="26"/>
  <c r="AM2289" i="26"/>
  <c r="AM2288" i="26"/>
  <c r="AM2287" i="26"/>
  <c r="AM2286" i="26"/>
  <c r="AM2285" i="26"/>
  <c r="AM2284" i="26"/>
  <c r="AM2283" i="26"/>
  <c r="AM2282" i="26"/>
  <c r="AM2281" i="26"/>
  <c r="AM2280" i="26"/>
  <c r="AM2279" i="26"/>
  <c r="AM2278" i="26"/>
  <c r="AM2277" i="26"/>
  <c r="AM2276" i="26"/>
  <c r="AM2275" i="26"/>
  <c r="AM2274" i="26"/>
  <c r="AM2273" i="26"/>
  <c r="AM2272" i="26"/>
  <c r="AM2271" i="26"/>
  <c r="AM2270" i="26"/>
  <c r="AM2269" i="26"/>
  <c r="AM2268" i="26"/>
  <c r="AM2267" i="26"/>
  <c r="AM2266" i="26"/>
  <c r="AM2265" i="26"/>
  <c r="AM2264" i="26"/>
  <c r="AM2263" i="26"/>
  <c r="AM2262" i="26"/>
  <c r="AM2261" i="26"/>
  <c r="AM2260" i="26"/>
  <c r="AM2259" i="26"/>
  <c r="AM2258" i="26"/>
  <c r="AM2257" i="26"/>
  <c r="AM2256" i="26"/>
  <c r="AM2255" i="26"/>
  <c r="AM2254" i="26"/>
  <c r="AM2253" i="26"/>
  <c r="AM2252" i="26"/>
  <c r="AM2251" i="26"/>
  <c r="AM2250" i="26"/>
  <c r="AM2249" i="26"/>
  <c r="AM2248" i="26"/>
  <c r="AM2247" i="26"/>
  <c r="AM2246" i="26"/>
  <c r="AM2245" i="26"/>
  <c r="AM2244" i="26"/>
  <c r="AM2243" i="26"/>
  <c r="AM2242" i="26"/>
  <c r="AM2241" i="26"/>
  <c r="AM2240" i="26"/>
  <c r="AM2239" i="26"/>
  <c r="AM2238" i="26"/>
  <c r="AM2237" i="26"/>
  <c r="AM2236" i="26"/>
  <c r="AM2235" i="26"/>
  <c r="AM2234" i="26"/>
  <c r="AM2233" i="26"/>
  <c r="AM2232" i="26"/>
  <c r="AM2231" i="26"/>
  <c r="AM2230" i="26"/>
  <c r="AM2229" i="26"/>
  <c r="AM2228" i="26"/>
  <c r="AM2227" i="26"/>
  <c r="AM2226" i="26"/>
  <c r="AM2225" i="26"/>
  <c r="AM2224" i="26"/>
  <c r="AM2223" i="26"/>
  <c r="AM2222" i="26"/>
  <c r="AM2221" i="26"/>
  <c r="AM2220" i="26"/>
  <c r="AM2219" i="26"/>
  <c r="AM2218" i="26"/>
  <c r="AM2217" i="26"/>
  <c r="AM2216" i="26"/>
  <c r="AM2215" i="26"/>
  <c r="AM2214" i="26"/>
  <c r="AM2213" i="26"/>
  <c r="AM2212" i="26"/>
  <c r="AM2211" i="26"/>
  <c r="AM2210" i="26"/>
  <c r="AM2209" i="26"/>
  <c r="AM2208" i="26"/>
  <c r="AM2207" i="26"/>
  <c r="AM2206" i="26"/>
  <c r="AM2205" i="26"/>
  <c r="AM2204" i="26"/>
  <c r="AM2203" i="26"/>
  <c r="AM2202" i="26"/>
  <c r="AM2201" i="26"/>
  <c r="AM2200" i="26"/>
  <c r="AM2199" i="26"/>
  <c r="AM2198" i="26"/>
  <c r="AM2197" i="26"/>
  <c r="AM2196" i="26"/>
  <c r="AM2195" i="26"/>
  <c r="AM2194" i="26"/>
  <c r="AM2193" i="26"/>
  <c r="AM2192" i="26"/>
  <c r="AM2191" i="26"/>
  <c r="AM2190" i="26"/>
  <c r="AM2189" i="26"/>
  <c r="AM2188" i="26"/>
  <c r="AM2187" i="26"/>
  <c r="AM2186" i="26"/>
  <c r="AM2185" i="26"/>
  <c r="AM2184" i="26"/>
  <c r="AM2183" i="26"/>
  <c r="AM2182" i="26"/>
  <c r="AM2181" i="26"/>
  <c r="AM2180" i="26"/>
  <c r="AM2179" i="26"/>
  <c r="AM2178" i="26"/>
  <c r="AM2177" i="26"/>
  <c r="AM2176" i="26"/>
  <c r="AM2175" i="26"/>
  <c r="AM2174" i="26"/>
  <c r="AM2173" i="26"/>
  <c r="AM2172" i="26"/>
  <c r="AM2171" i="26"/>
  <c r="AM2170" i="26"/>
  <c r="AM2169" i="26"/>
  <c r="AM2168" i="26"/>
  <c r="AM2167" i="26"/>
  <c r="AM2166" i="26"/>
  <c r="AM2165" i="26"/>
  <c r="AM2164" i="26"/>
  <c r="AM2163" i="26"/>
  <c r="AM2162" i="26"/>
  <c r="AM2161" i="26"/>
  <c r="AM2160" i="26"/>
  <c r="AM2159" i="26"/>
  <c r="AM2158" i="26"/>
  <c r="AM2157" i="26"/>
  <c r="AM2156" i="26"/>
  <c r="AM2155" i="26"/>
  <c r="AM2154" i="26"/>
  <c r="AM2153" i="26"/>
  <c r="AM2152" i="26"/>
  <c r="AM2151" i="26"/>
  <c r="AM2150" i="26"/>
  <c r="AM2149" i="26"/>
  <c r="AM2148" i="26"/>
  <c r="AM2147" i="26"/>
  <c r="AM2146" i="26"/>
  <c r="AM2145" i="26"/>
  <c r="AM2144" i="26"/>
  <c r="AM2143" i="26"/>
  <c r="AM2142" i="26"/>
  <c r="AM2141" i="26"/>
  <c r="AM2140" i="26"/>
  <c r="AM2139" i="26"/>
  <c r="AM2138" i="26"/>
  <c r="AM2137" i="26"/>
  <c r="AM2136" i="26"/>
  <c r="AM2135" i="26"/>
  <c r="AM2134" i="26"/>
  <c r="AM2133" i="26"/>
  <c r="AM2132" i="26"/>
  <c r="AM2131" i="26"/>
  <c r="AM2130" i="26"/>
  <c r="AM2129" i="26"/>
  <c r="AM2128" i="26"/>
  <c r="AM2127" i="26"/>
  <c r="AM2126" i="26"/>
  <c r="AM2125" i="26"/>
  <c r="AM2124" i="26"/>
  <c r="AM2123" i="26"/>
  <c r="AM2122" i="26"/>
  <c r="AM2121" i="26"/>
  <c r="AM2120" i="26"/>
  <c r="AM2119" i="26"/>
  <c r="AM2118" i="26"/>
  <c r="AM2117" i="26"/>
  <c r="AM2116" i="26"/>
  <c r="AM2115" i="26"/>
  <c r="AM2114" i="26"/>
  <c r="AM2113" i="26"/>
  <c r="AM2112" i="26"/>
  <c r="AM2111" i="26"/>
  <c r="AM2110" i="26"/>
  <c r="AM2109" i="26"/>
  <c r="AM2108" i="26"/>
  <c r="AM2107" i="26"/>
  <c r="AM2106" i="26"/>
  <c r="AM2105" i="26"/>
  <c r="AM2104" i="26"/>
  <c r="AM2103" i="26"/>
  <c r="AM2102" i="26"/>
  <c r="AM2101" i="26"/>
  <c r="AM2100" i="26"/>
  <c r="AM2099" i="26"/>
  <c r="AM2098" i="26"/>
  <c r="AM2097" i="26"/>
  <c r="AM2096" i="26"/>
  <c r="AM2095" i="26"/>
  <c r="AM2094" i="26"/>
  <c r="AM2093" i="26"/>
  <c r="AM2092" i="26"/>
  <c r="AM2091" i="26"/>
  <c r="AM2090" i="26"/>
  <c r="AM2089" i="26"/>
  <c r="AM2088" i="26"/>
  <c r="AM2087" i="26"/>
  <c r="AM2086" i="26"/>
  <c r="AM2085" i="26"/>
  <c r="AM2084" i="26"/>
  <c r="AM2083" i="26"/>
  <c r="AM2082" i="26"/>
  <c r="AM2081" i="26"/>
  <c r="AM2080" i="26"/>
  <c r="AM2079" i="26"/>
  <c r="AM2078" i="26"/>
  <c r="AM2077" i="26"/>
  <c r="AM2076" i="26"/>
  <c r="AM2075" i="26"/>
  <c r="AM2074" i="26"/>
  <c r="AM2073" i="26"/>
  <c r="AM2072" i="26"/>
  <c r="AM2071" i="26"/>
  <c r="AM2070" i="26"/>
  <c r="AM2069" i="26"/>
  <c r="AM2068" i="26"/>
  <c r="AM2067" i="26"/>
  <c r="AM2066" i="26"/>
  <c r="AM2065" i="26"/>
  <c r="AM2064" i="26"/>
  <c r="AM2063" i="26"/>
  <c r="AM2062" i="26"/>
  <c r="AM2061" i="26"/>
  <c r="AM2060" i="26"/>
  <c r="AM2059" i="26"/>
  <c r="AM2058" i="26"/>
  <c r="AM2057" i="26"/>
  <c r="AM2056" i="26"/>
  <c r="AM2055" i="26"/>
  <c r="AM2054" i="26"/>
  <c r="AM2053" i="26"/>
  <c r="AM2052" i="26"/>
  <c r="AM2051" i="26"/>
  <c r="AM2050" i="26"/>
  <c r="AM2049" i="26"/>
  <c r="AM2048" i="26"/>
  <c r="AM2047" i="26"/>
  <c r="AM2046" i="26"/>
  <c r="AM2045" i="26"/>
  <c r="AM2044" i="26"/>
  <c r="AM2043" i="26"/>
  <c r="AM2042" i="26"/>
  <c r="AM2041" i="26"/>
  <c r="AM2040" i="26"/>
  <c r="AM2039" i="26"/>
  <c r="AM2038" i="26"/>
  <c r="AM2037" i="26"/>
  <c r="AM2036" i="26"/>
  <c r="AM2035" i="26"/>
  <c r="AM2034" i="26"/>
  <c r="AM2033" i="26"/>
  <c r="AM2032" i="26"/>
  <c r="AM2031" i="26"/>
  <c r="AM2030" i="26"/>
  <c r="AM2029" i="26"/>
  <c r="AM2028" i="26"/>
  <c r="AM2027" i="26"/>
  <c r="AM2026" i="26"/>
  <c r="AM2025" i="26"/>
  <c r="AM2024" i="26"/>
  <c r="AM2023" i="26"/>
  <c r="AM2022" i="26"/>
  <c r="AM2021" i="26"/>
  <c r="AM2020" i="26"/>
  <c r="AM2019" i="26"/>
  <c r="AM2018" i="26"/>
  <c r="AM2017" i="26"/>
  <c r="AM2016" i="26"/>
  <c r="AM2015" i="26"/>
  <c r="AM2014" i="26"/>
  <c r="AM2013" i="26"/>
  <c r="AM2012" i="26"/>
  <c r="AM2011" i="26"/>
  <c r="AM2010" i="26"/>
  <c r="AM2009" i="26"/>
  <c r="AM2008" i="26"/>
  <c r="AM2007" i="26"/>
  <c r="AM2006" i="26"/>
  <c r="AM2005" i="26"/>
  <c r="AM2004" i="26"/>
  <c r="AM2003" i="26"/>
  <c r="AM2002" i="26"/>
  <c r="AM2001" i="26"/>
  <c r="AM2000" i="26"/>
  <c r="AM1999" i="26"/>
  <c r="AM1998" i="26"/>
  <c r="AM1997" i="26"/>
  <c r="AM1996" i="26"/>
  <c r="AM1995" i="26"/>
  <c r="AM1994" i="26"/>
  <c r="AM1993" i="26"/>
  <c r="AM1992" i="26"/>
  <c r="AM1991" i="26"/>
  <c r="AM1990" i="26"/>
  <c r="AM1989" i="26"/>
  <c r="AM1988" i="26"/>
  <c r="AM1987" i="26"/>
  <c r="AM1986" i="26"/>
  <c r="AM1985" i="26"/>
  <c r="AM1984" i="26"/>
  <c r="AM1983" i="26"/>
  <c r="AM1982" i="26"/>
  <c r="AM1981" i="26"/>
  <c r="AM1980" i="26"/>
  <c r="AM1979" i="26"/>
  <c r="AM1978" i="26"/>
  <c r="AM1977" i="26"/>
  <c r="AM1976" i="26"/>
  <c r="AM1975" i="26"/>
  <c r="AM1974" i="26"/>
  <c r="AM1973" i="26"/>
  <c r="AM1972" i="26"/>
  <c r="AM1971" i="26"/>
  <c r="AM1970" i="26"/>
  <c r="AM1969" i="26"/>
  <c r="AM1968" i="26"/>
  <c r="AM1967" i="26"/>
  <c r="AM1966" i="26"/>
  <c r="AM1965" i="26"/>
  <c r="AM1964" i="26"/>
  <c r="AM1963" i="26"/>
  <c r="AM1962" i="26"/>
  <c r="AM1961" i="26"/>
  <c r="AM1960" i="26"/>
  <c r="AM1959" i="26"/>
  <c r="AM1958" i="26"/>
  <c r="AM1957" i="26"/>
  <c r="AM1956" i="26"/>
  <c r="AM1955" i="26"/>
  <c r="AM1954" i="26"/>
  <c r="AM1953" i="26"/>
  <c r="AM1952" i="26"/>
  <c r="AM1951" i="26"/>
  <c r="AM1950" i="26"/>
  <c r="AM1949" i="26"/>
  <c r="AM1948" i="26"/>
  <c r="AM1947" i="26"/>
  <c r="AM1946" i="26"/>
  <c r="AM1945" i="26"/>
  <c r="AM1944" i="26"/>
  <c r="AM1943" i="26"/>
  <c r="AM1942" i="26"/>
  <c r="AM1941" i="26"/>
  <c r="AM1940" i="26"/>
  <c r="AM1939" i="26"/>
  <c r="AM1938" i="26"/>
  <c r="AM1937" i="26"/>
  <c r="AM1936" i="26"/>
  <c r="AM1935" i="26"/>
  <c r="AM1934" i="26"/>
  <c r="AM1933" i="26"/>
  <c r="AM1932" i="26"/>
  <c r="AM1931" i="26"/>
  <c r="AM1930" i="26"/>
  <c r="AM1929" i="26"/>
  <c r="AM1928" i="26"/>
  <c r="AM1927" i="26"/>
  <c r="AM1926" i="26"/>
  <c r="AM1925" i="26"/>
  <c r="AM1924" i="26"/>
  <c r="AM1923" i="26"/>
  <c r="AM1922" i="26"/>
  <c r="AM1921" i="26"/>
  <c r="AM1920" i="26"/>
  <c r="AM1919" i="26"/>
  <c r="AM1918" i="26"/>
  <c r="AM1917" i="26"/>
  <c r="AM1916" i="26"/>
  <c r="AM1915" i="26"/>
  <c r="AM1914" i="26"/>
  <c r="AM1913" i="26"/>
  <c r="AM1912" i="26"/>
  <c r="AM1911" i="26"/>
  <c r="AM1910" i="26"/>
  <c r="AM1909" i="26"/>
  <c r="AM1908" i="26"/>
  <c r="AM1907" i="26"/>
  <c r="AM1906" i="26"/>
  <c r="AM1905" i="26"/>
  <c r="AM1904" i="26"/>
  <c r="AM1903" i="26"/>
  <c r="AM1902" i="26"/>
  <c r="AM1901" i="26"/>
  <c r="AM1900" i="26"/>
  <c r="AM1899" i="26"/>
  <c r="AM1898" i="26"/>
  <c r="AM1897" i="26"/>
  <c r="AM1896" i="26"/>
  <c r="AM1895" i="26"/>
  <c r="AM1894" i="26"/>
  <c r="AM1893" i="26"/>
  <c r="AM1892" i="26"/>
  <c r="AM1891" i="26"/>
  <c r="AM1890" i="26"/>
  <c r="AM1889" i="26"/>
  <c r="AM1888" i="26"/>
  <c r="AM1887" i="26"/>
  <c r="AM1886" i="26"/>
  <c r="AM1885" i="26"/>
  <c r="AM1884" i="26"/>
  <c r="AM1883" i="26"/>
  <c r="AM1882" i="26"/>
  <c r="AM1881" i="26"/>
  <c r="AM1880" i="26"/>
  <c r="AM1879" i="26"/>
  <c r="AM1878" i="26"/>
  <c r="AM1877" i="26"/>
  <c r="AM1876" i="26"/>
  <c r="AM1875" i="26"/>
  <c r="AM1874" i="26"/>
  <c r="AM1873" i="26"/>
  <c r="AM1872" i="26"/>
  <c r="AM1871" i="26"/>
  <c r="AM1870" i="26"/>
  <c r="AM1869" i="26"/>
  <c r="AM1868" i="26"/>
  <c r="AM1867" i="26"/>
  <c r="AM1866" i="26"/>
  <c r="AM1865" i="26"/>
  <c r="AM1864" i="26"/>
  <c r="AM1863" i="26"/>
  <c r="AM1862" i="26"/>
  <c r="AM1861" i="26"/>
  <c r="AM1860" i="26"/>
  <c r="AM1859" i="26"/>
  <c r="AM1858" i="26"/>
  <c r="AM1857" i="26"/>
  <c r="AM1856" i="26"/>
  <c r="AM1855" i="26"/>
  <c r="AM1854" i="26"/>
  <c r="AM1853" i="26"/>
  <c r="AM1852" i="26"/>
  <c r="AM1851" i="26"/>
  <c r="AM1850" i="26"/>
  <c r="AM1849" i="26"/>
  <c r="AM1848" i="26"/>
  <c r="AM1847" i="26"/>
  <c r="AM1846" i="26"/>
  <c r="AM1845" i="26"/>
  <c r="AM1844" i="26"/>
  <c r="AM1843" i="26"/>
  <c r="AM1842" i="26"/>
  <c r="AM1841" i="26"/>
  <c r="AM1840" i="26"/>
  <c r="AM1839" i="26"/>
  <c r="AM1838" i="26"/>
  <c r="AM1837" i="26"/>
  <c r="AM1836" i="26"/>
  <c r="AM1835" i="26"/>
  <c r="AM1834" i="26"/>
  <c r="AM1833" i="26"/>
  <c r="AM1832" i="26"/>
  <c r="AM1831" i="26"/>
  <c r="AM1830" i="26"/>
  <c r="AM1829" i="26"/>
  <c r="AM1828" i="26"/>
  <c r="AM1827" i="26"/>
  <c r="AM1826" i="26"/>
  <c r="AM1825" i="26"/>
  <c r="AM1824" i="26"/>
  <c r="AM1823" i="26"/>
  <c r="AM1822" i="26"/>
  <c r="AM1821" i="26"/>
  <c r="AM1820" i="26"/>
  <c r="AM1819" i="26"/>
  <c r="AM1818" i="26"/>
  <c r="AM1817" i="26"/>
  <c r="AM1816" i="26"/>
  <c r="AM1815" i="26"/>
  <c r="AM1814" i="26"/>
  <c r="AM1813" i="26"/>
  <c r="AM1812" i="26"/>
  <c r="AM1811" i="26"/>
  <c r="AM1810" i="26"/>
  <c r="AM1809" i="26"/>
  <c r="AM1808" i="26"/>
  <c r="AM1807" i="26"/>
  <c r="AM1806" i="26"/>
  <c r="AM1805" i="26"/>
  <c r="AM1804" i="26"/>
  <c r="AM1803" i="26"/>
  <c r="AM1802" i="26"/>
  <c r="AM1801" i="26"/>
  <c r="AM1800" i="26"/>
  <c r="AM1799" i="26"/>
  <c r="AM1798" i="26"/>
  <c r="AM1797" i="26"/>
  <c r="AM1796" i="26"/>
  <c r="AM1795" i="26"/>
  <c r="AM1794" i="26"/>
  <c r="AM1793" i="26"/>
  <c r="AM1792" i="26"/>
  <c r="AM1791" i="26"/>
  <c r="AM1790" i="26"/>
  <c r="AM1789" i="26"/>
  <c r="AM1788" i="26"/>
  <c r="AM1787" i="26"/>
  <c r="AM1786" i="26"/>
  <c r="AM1785" i="26"/>
  <c r="AM1784" i="26"/>
  <c r="AM1783" i="26"/>
  <c r="AM1782" i="26"/>
  <c r="AM1781" i="26"/>
  <c r="AM1780" i="26"/>
  <c r="AM1779" i="26"/>
  <c r="AM1778" i="26"/>
  <c r="AM1777" i="26"/>
  <c r="AM1776" i="26"/>
  <c r="AM1775" i="26"/>
  <c r="AM1774" i="26"/>
  <c r="AM1773" i="26"/>
  <c r="AM1772" i="26"/>
  <c r="AM1771" i="26"/>
  <c r="AM1770" i="26"/>
  <c r="AM1769" i="26"/>
  <c r="AM1768" i="26"/>
  <c r="AM1767" i="26"/>
  <c r="AM1766" i="26"/>
  <c r="AM1765" i="26"/>
  <c r="AM1764" i="26"/>
  <c r="AM1763" i="26"/>
  <c r="AM1762" i="26"/>
  <c r="AM1761" i="26"/>
  <c r="AM1760" i="26"/>
  <c r="AM1759" i="26"/>
  <c r="AM1758" i="26"/>
  <c r="AM1757" i="26"/>
  <c r="AM1756" i="26"/>
  <c r="AM1755" i="26"/>
  <c r="AM1754" i="26"/>
  <c r="AM1753" i="26"/>
  <c r="AM1752" i="26"/>
  <c r="AM1751" i="26"/>
  <c r="AM1750" i="26"/>
  <c r="AM1749" i="26"/>
  <c r="AM1748" i="26"/>
  <c r="AM1747" i="26"/>
  <c r="AM1746" i="26"/>
  <c r="AM1745" i="26"/>
  <c r="AM1744" i="26"/>
  <c r="AM1743" i="26"/>
  <c r="AM1742" i="26"/>
  <c r="AM1741" i="26"/>
  <c r="AM1740" i="26"/>
  <c r="AM1739" i="26"/>
  <c r="AM1738" i="26"/>
  <c r="AM1737" i="26"/>
  <c r="AM1736" i="26"/>
  <c r="AM1735" i="26"/>
  <c r="AM1734" i="26"/>
  <c r="AM1733" i="26"/>
  <c r="AM1732" i="26"/>
  <c r="AM1731" i="26"/>
  <c r="AM1730" i="26"/>
  <c r="AM1729" i="26"/>
  <c r="AM1728" i="26"/>
  <c r="AM1727" i="26"/>
  <c r="AM1726" i="26"/>
  <c r="AM1725" i="26"/>
  <c r="AM1724" i="26"/>
  <c r="AM1723" i="26"/>
  <c r="AM1722" i="26"/>
  <c r="AM1721" i="26"/>
  <c r="AM1720" i="26"/>
  <c r="AM1719" i="26"/>
  <c r="AM1718" i="26"/>
  <c r="AM1717" i="26"/>
  <c r="AM1716" i="26"/>
  <c r="AM1715" i="26"/>
  <c r="AM1714" i="26"/>
  <c r="AM1713" i="26"/>
  <c r="AM1712" i="26"/>
  <c r="AM1711" i="26"/>
  <c r="AM1710" i="26"/>
  <c r="AM1709" i="26"/>
  <c r="AM1708" i="26"/>
  <c r="AM1707" i="26"/>
  <c r="AM1706" i="26"/>
  <c r="AM1705" i="26"/>
  <c r="AM1704" i="26"/>
  <c r="AM1703" i="26"/>
  <c r="AM1702" i="26"/>
  <c r="AM1701" i="26"/>
  <c r="AM1700" i="26"/>
  <c r="AM1699" i="26"/>
  <c r="AM1698" i="26"/>
  <c r="AM1697" i="26"/>
  <c r="AM1696" i="26"/>
  <c r="AM1695" i="26"/>
  <c r="AM1694" i="26"/>
  <c r="AM1693" i="26"/>
  <c r="AM1692" i="26"/>
  <c r="AM1691" i="26"/>
  <c r="AM1690" i="26"/>
  <c r="AM1689" i="26"/>
  <c r="AM1688" i="26"/>
  <c r="AM1687" i="26"/>
  <c r="AM1686" i="26"/>
  <c r="AM1685" i="26"/>
  <c r="AM1684" i="26"/>
  <c r="AM1683" i="26"/>
  <c r="AM1682" i="26"/>
  <c r="AM1681" i="26"/>
  <c r="AM1680" i="26"/>
  <c r="AM1679" i="26"/>
  <c r="AM1678" i="26"/>
  <c r="AM1677" i="26"/>
  <c r="AM1676" i="26"/>
  <c r="AM1675" i="26"/>
  <c r="AM1674" i="26"/>
  <c r="AM1673" i="26"/>
  <c r="AM1672" i="26"/>
  <c r="AM1671" i="26"/>
  <c r="AM1670" i="26"/>
  <c r="AM1669" i="26"/>
  <c r="AM1668" i="26"/>
  <c r="AM1667" i="26"/>
  <c r="AM1666" i="26"/>
  <c r="AM1665" i="26"/>
  <c r="AM1664" i="26"/>
  <c r="AM1663" i="26"/>
  <c r="AM1662" i="26"/>
  <c r="AM1661" i="26"/>
  <c r="AM1660" i="26"/>
  <c r="AM1659" i="26"/>
  <c r="AM1658" i="26"/>
  <c r="AM1657" i="26"/>
  <c r="AM1656" i="26"/>
  <c r="AM1655" i="26"/>
  <c r="AM1654" i="26"/>
  <c r="AM1653" i="26"/>
  <c r="AM1652" i="26"/>
  <c r="AM1651" i="26"/>
  <c r="AM1650" i="26"/>
  <c r="AM1649" i="26"/>
  <c r="AM1648" i="26"/>
  <c r="AM1647" i="26"/>
  <c r="AM1646" i="26"/>
  <c r="AM1645" i="26"/>
  <c r="AM1644" i="26"/>
  <c r="AM1643" i="26"/>
  <c r="AM1642" i="26"/>
  <c r="AM1641" i="26"/>
  <c r="AM1640" i="26"/>
  <c r="AM1639" i="26"/>
  <c r="AM1638" i="26"/>
  <c r="AM1637" i="26"/>
  <c r="AM1636" i="26"/>
  <c r="AM1635" i="26"/>
  <c r="AM1634" i="26"/>
  <c r="AM1633" i="26"/>
  <c r="AM1632" i="26"/>
  <c r="AM1631" i="26"/>
  <c r="AM1630" i="26"/>
  <c r="AM1629" i="26"/>
  <c r="AM1628" i="26"/>
  <c r="AM1627" i="26"/>
  <c r="AM1626" i="26"/>
  <c r="AM1625" i="26"/>
  <c r="AM1624" i="26"/>
  <c r="AM1623" i="26"/>
  <c r="AM1622" i="26"/>
  <c r="AM1621" i="26"/>
  <c r="AM1620" i="26"/>
  <c r="AM1619" i="26"/>
  <c r="AM1618" i="26"/>
  <c r="AM1617" i="26"/>
  <c r="AM1616" i="26"/>
  <c r="AM1615" i="26"/>
  <c r="AM1614" i="26"/>
  <c r="AM1613" i="26"/>
  <c r="AM1612" i="26"/>
  <c r="AM1611" i="26"/>
  <c r="AM1610" i="26"/>
  <c r="AM1609" i="26"/>
  <c r="AM1608" i="26"/>
  <c r="AM1607" i="26"/>
  <c r="AM1606" i="26"/>
  <c r="AM1605" i="26"/>
  <c r="AM1604" i="26"/>
  <c r="AM1603" i="26"/>
  <c r="AM1602" i="26"/>
  <c r="AM1601" i="26"/>
  <c r="AM1600" i="26"/>
  <c r="AM1599" i="26"/>
  <c r="AM1598" i="26"/>
  <c r="AM1597" i="26"/>
  <c r="AM1596" i="26"/>
  <c r="AM1595" i="26"/>
  <c r="AM1594" i="26"/>
  <c r="AM1593" i="26"/>
  <c r="AM1592" i="26"/>
  <c r="AM1591" i="26"/>
  <c r="AM1590" i="26"/>
  <c r="AM1589" i="26"/>
  <c r="AM1588" i="26"/>
  <c r="AM1587" i="26"/>
  <c r="AM1586" i="26"/>
  <c r="AM1585" i="26"/>
  <c r="AM1584" i="26"/>
  <c r="AM1583" i="26"/>
  <c r="AM1582" i="26"/>
  <c r="AM1581" i="26"/>
  <c r="AM1580" i="26"/>
  <c r="AM1579" i="26"/>
  <c r="AM1578" i="26"/>
  <c r="AM1577" i="26"/>
  <c r="AM1576" i="26"/>
  <c r="AM1575" i="26"/>
  <c r="AM1574" i="26"/>
  <c r="AM1573" i="26"/>
  <c r="AM1572" i="26"/>
  <c r="AM1571" i="26"/>
  <c r="AM1570" i="26"/>
  <c r="AM1569" i="26"/>
  <c r="AM1568" i="26"/>
  <c r="AM1567" i="26"/>
  <c r="AM1566" i="26"/>
  <c r="AM1565" i="26"/>
  <c r="AM1564" i="26"/>
  <c r="AM1563" i="26"/>
  <c r="AM1562" i="26"/>
  <c r="AM1561" i="26"/>
  <c r="AM1560" i="26"/>
  <c r="AM1559" i="26"/>
  <c r="AM1558" i="26"/>
  <c r="AM1557" i="26"/>
  <c r="AM1556" i="26"/>
  <c r="AM1555" i="26"/>
  <c r="AM1554" i="26"/>
  <c r="AM1553" i="26"/>
  <c r="AM1552" i="26"/>
  <c r="AM1551" i="26"/>
  <c r="AM1550" i="26"/>
  <c r="AM1549" i="26"/>
  <c r="AM1548" i="26"/>
  <c r="AM1547" i="26"/>
  <c r="AM1546" i="26"/>
  <c r="AM1545" i="26"/>
  <c r="AM1544" i="26"/>
  <c r="AM1543" i="26"/>
  <c r="AM1542" i="26"/>
  <c r="AM1541" i="26"/>
  <c r="AM1540" i="26"/>
  <c r="AM1539" i="26"/>
  <c r="AM1538" i="26"/>
  <c r="AM1537" i="26"/>
  <c r="AM1536" i="26"/>
  <c r="AM1535" i="26"/>
  <c r="AM1534" i="26"/>
  <c r="AM1533" i="26"/>
  <c r="AM1532" i="26"/>
  <c r="AM1531" i="26"/>
  <c r="AM1530" i="26"/>
  <c r="AM1529" i="26"/>
  <c r="AM1528" i="26"/>
  <c r="AM1527" i="26"/>
  <c r="AM1526" i="26"/>
  <c r="AM1525" i="26"/>
  <c r="AM1524" i="26"/>
  <c r="AM1523" i="26"/>
  <c r="AM1522" i="26"/>
  <c r="AM1521" i="26"/>
  <c r="AM1520" i="26"/>
  <c r="AM1519" i="26"/>
  <c r="AM1518" i="26"/>
  <c r="AM1517" i="26"/>
  <c r="AM1516" i="26"/>
  <c r="AM1515" i="26"/>
  <c r="AM1514" i="26"/>
  <c r="AM1513" i="26"/>
  <c r="AM1512" i="26"/>
  <c r="AM1511" i="26"/>
  <c r="AM1510" i="26"/>
  <c r="AM1509" i="26"/>
  <c r="AM1508" i="26"/>
  <c r="AM1507" i="26"/>
  <c r="AM1506" i="26"/>
  <c r="AM1505" i="26"/>
  <c r="AM1504" i="26"/>
  <c r="AM1503" i="26"/>
  <c r="AM1502" i="26"/>
  <c r="AM1501" i="26"/>
  <c r="AM1500" i="26"/>
  <c r="AM1499" i="26"/>
  <c r="AM1498" i="26"/>
  <c r="AM1497" i="26"/>
  <c r="AM1496" i="26"/>
  <c r="AM1495" i="26"/>
  <c r="AM1494" i="26"/>
  <c r="AM1493" i="26"/>
  <c r="AM1492" i="26"/>
  <c r="AM1491" i="26"/>
  <c r="AM1490" i="26"/>
  <c r="AM1489" i="26"/>
  <c r="AM1488" i="26"/>
  <c r="AM1487" i="26"/>
  <c r="AM1486" i="26"/>
  <c r="AM1485" i="26"/>
  <c r="AM1484" i="26"/>
  <c r="AM1483" i="26"/>
  <c r="AM1482" i="26"/>
  <c r="AM1481" i="26"/>
  <c r="AM1480" i="26"/>
  <c r="AM1479" i="26"/>
  <c r="AM1478" i="26"/>
  <c r="AM1477" i="26"/>
  <c r="AM1476" i="26"/>
  <c r="AM1475" i="26"/>
  <c r="AM1474" i="26"/>
  <c r="AM1473" i="26"/>
  <c r="AM1472" i="26"/>
  <c r="AM1471" i="26"/>
  <c r="AM1470" i="26"/>
  <c r="AM1469" i="26"/>
  <c r="AM1468" i="26"/>
  <c r="AM1467" i="26"/>
  <c r="AM1466" i="26"/>
  <c r="AM1465" i="26"/>
  <c r="AM1464" i="26"/>
  <c r="AM1463" i="26"/>
  <c r="AM1462" i="26"/>
  <c r="AM1461" i="26"/>
  <c r="AM1460" i="26"/>
  <c r="AM1459" i="26"/>
  <c r="AM1458" i="26"/>
  <c r="AM1457" i="26"/>
  <c r="AM1456" i="26"/>
  <c r="AM1455" i="26"/>
  <c r="AM1454" i="26"/>
  <c r="AM1453" i="26"/>
  <c r="AM1452" i="26"/>
  <c r="AM1451" i="26"/>
  <c r="AM1450" i="26"/>
  <c r="AM1449" i="26"/>
  <c r="AM1448" i="26"/>
  <c r="AM1447" i="26"/>
  <c r="AM1446" i="26"/>
  <c r="AM1445" i="26"/>
  <c r="AM1444" i="26"/>
  <c r="AM1443" i="26"/>
  <c r="AM1442" i="26"/>
  <c r="AM1441" i="26"/>
  <c r="AM1440" i="26"/>
  <c r="AM1439" i="26"/>
  <c r="AM1438" i="26"/>
  <c r="AM1437" i="26"/>
  <c r="AM1436" i="26"/>
  <c r="AM1435" i="26"/>
  <c r="AM1434" i="26"/>
  <c r="AM1433" i="26"/>
  <c r="AM1432" i="26"/>
  <c r="AM1431" i="26"/>
  <c r="AM1430" i="26"/>
  <c r="AM1429" i="26"/>
  <c r="AM1428" i="26"/>
  <c r="AM1427" i="26"/>
  <c r="AM1426" i="26"/>
  <c r="AM1425" i="26"/>
  <c r="AM1424" i="26"/>
  <c r="AM1423" i="26"/>
  <c r="AM1422" i="26"/>
  <c r="AM1421" i="26"/>
  <c r="AM1420" i="26"/>
  <c r="AM1419" i="26"/>
  <c r="AM1418" i="26"/>
  <c r="AM1417" i="26"/>
  <c r="AM1416" i="26"/>
  <c r="AM1415" i="26"/>
  <c r="AM1414" i="26"/>
  <c r="AM1413" i="26"/>
  <c r="AM1412" i="26"/>
  <c r="AM1411" i="26"/>
  <c r="AM1410" i="26"/>
  <c r="AM1409" i="26"/>
  <c r="AM1408" i="26"/>
  <c r="AM1407" i="26"/>
  <c r="AM1406" i="26"/>
  <c r="AM1405" i="26"/>
  <c r="AM1404" i="26"/>
  <c r="AM1403" i="26"/>
  <c r="AM1402" i="26"/>
  <c r="AM1401" i="26"/>
  <c r="AM1400" i="26"/>
  <c r="AM1399" i="26"/>
  <c r="AM1398" i="26"/>
  <c r="AM1397" i="26"/>
  <c r="AM1396" i="26"/>
  <c r="AM1395" i="26"/>
  <c r="AM1394" i="26"/>
  <c r="AM1393" i="26"/>
  <c r="AM1392" i="26"/>
  <c r="AM1391" i="26"/>
  <c r="AM1390" i="26"/>
  <c r="AM1389" i="26"/>
  <c r="AM1388" i="26"/>
  <c r="AM1387" i="26"/>
  <c r="AM1386" i="26"/>
  <c r="AM1385" i="26"/>
  <c r="AM1384" i="26"/>
  <c r="AM1383" i="26"/>
  <c r="AM1382" i="26"/>
  <c r="AM1381" i="26"/>
  <c r="AM1380" i="26"/>
  <c r="AM1379" i="26"/>
  <c r="AM1378" i="26"/>
  <c r="AM1377" i="26"/>
  <c r="AM1376" i="26"/>
  <c r="AM1375" i="26"/>
  <c r="AM1374" i="26"/>
  <c r="AM1373" i="26"/>
  <c r="AM1372" i="26"/>
  <c r="AM1371" i="26"/>
  <c r="AM1370" i="26"/>
  <c r="AM1369" i="26"/>
  <c r="AM1368" i="26"/>
  <c r="AM1367" i="26"/>
  <c r="AM1366" i="26"/>
  <c r="AM1365" i="26"/>
  <c r="AM1364" i="26"/>
  <c r="AM1363" i="26"/>
  <c r="AM1362" i="26"/>
  <c r="AM1361" i="26"/>
  <c r="AM1360" i="26"/>
  <c r="AM1359" i="26"/>
  <c r="AM1358" i="26"/>
  <c r="AM1357" i="26"/>
  <c r="AM1356" i="26"/>
  <c r="AM1355" i="26"/>
  <c r="AM1354" i="26"/>
  <c r="AM1353" i="26"/>
  <c r="AM1352" i="26"/>
  <c r="AM1351" i="26"/>
  <c r="AM1350" i="26"/>
  <c r="AM1349" i="26"/>
  <c r="AM1348" i="26"/>
  <c r="AM1347" i="26"/>
  <c r="AM1346" i="26"/>
  <c r="AM1345" i="26"/>
  <c r="AM1344" i="26"/>
  <c r="AM1343" i="26"/>
  <c r="AM1342" i="26"/>
  <c r="AM1341" i="26"/>
  <c r="AM1340" i="26"/>
  <c r="AM1339" i="26"/>
  <c r="AM1338" i="26"/>
  <c r="AM1337" i="26"/>
  <c r="AM1336" i="26"/>
  <c r="AM1335" i="26"/>
  <c r="AM1334" i="26"/>
  <c r="AM1333" i="26"/>
  <c r="AM1332" i="26"/>
  <c r="AM1331" i="26"/>
  <c r="AM1330" i="26"/>
  <c r="AM1329" i="26"/>
  <c r="AM1328" i="26"/>
  <c r="AM1327" i="26"/>
  <c r="AM1326" i="26"/>
  <c r="AM1325" i="26"/>
  <c r="AM1324" i="26"/>
  <c r="AM1323" i="26"/>
  <c r="AM1322" i="26"/>
  <c r="AM1321" i="26"/>
  <c r="AM1320" i="26"/>
  <c r="AM1319" i="26"/>
  <c r="AM1318" i="26"/>
  <c r="AM1317" i="26"/>
  <c r="AM1316" i="26"/>
  <c r="AM1315" i="26"/>
  <c r="AM1314" i="26"/>
  <c r="AM1313" i="26"/>
  <c r="AM1312" i="26"/>
  <c r="AM1311" i="26"/>
  <c r="AM1310" i="26"/>
  <c r="AM1309" i="26"/>
  <c r="AM1308" i="26"/>
  <c r="AM1307" i="26"/>
  <c r="AM1306" i="26"/>
  <c r="AM1305" i="26"/>
  <c r="AM1304" i="26"/>
  <c r="AM1303" i="26"/>
  <c r="AM1302" i="26"/>
  <c r="AM1301" i="26"/>
  <c r="AM1300" i="26"/>
  <c r="AM1299" i="26"/>
  <c r="AM1298" i="26"/>
  <c r="AM1297" i="26"/>
  <c r="AM1296" i="26"/>
  <c r="AM1295" i="26"/>
  <c r="AM1294" i="26"/>
  <c r="AM1293" i="26"/>
  <c r="AM1292" i="26"/>
  <c r="AM1291" i="26"/>
  <c r="AM1290" i="26"/>
  <c r="AM1289" i="26"/>
  <c r="AM1288" i="26"/>
  <c r="AM1287" i="26"/>
  <c r="AM1286" i="26"/>
  <c r="AM1285" i="26"/>
  <c r="AM1284" i="26"/>
  <c r="AM1283" i="26"/>
  <c r="AM1282" i="26"/>
  <c r="AM1281" i="26"/>
  <c r="AM1280" i="26"/>
  <c r="AM1279" i="26"/>
  <c r="AM1278" i="26"/>
  <c r="AM1277" i="26"/>
  <c r="AM1276" i="26"/>
  <c r="AM1275" i="26"/>
  <c r="AM1274" i="26"/>
  <c r="AM1273" i="26"/>
  <c r="AM1272" i="26"/>
  <c r="AM1271" i="26"/>
  <c r="AM1270" i="26"/>
  <c r="AM1269" i="26"/>
  <c r="AM1268" i="26"/>
  <c r="AM1267" i="26"/>
  <c r="AM1266" i="26"/>
  <c r="AM1265" i="26"/>
  <c r="AM1264" i="26"/>
  <c r="AM1263" i="26"/>
  <c r="AM1262" i="26"/>
  <c r="AM1261" i="26"/>
  <c r="AM1260" i="26"/>
  <c r="AM1259" i="26"/>
  <c r="AM1258" i="26"/>
  <c r="AM1257" i="26"/>
  <c r="AM1256" i="26"/>
  <c r="AM1255" i="26"/>
  <c r="AM1254" i="26"/>
  <c r="AM1253" i="26"/>
  <c r="AM1252" i="26"/>
  <c r="AM1251" i="26"/>
  <c r="AM1250" i="26"/>
  <c r="AM1249" i="26"/>
  <c r="AM1248" i="26"/>
  <c r="AM1247" i="26"/>
  <c r="AM1246" i="26"/>
  <c r="AM1245" i="26"/>
  <c r="AM1244" i="26"/>
  <c r="AM1243" i="26"/>
  <c r="AM1242" i="26"/>
  <c r="AM1241" i="26"/>
  <c r="AM1240" i="26"/>
  <c r="AM1239" i="26"/>
  <c r="AM1238" i="26"/>
  <c r="AM1237" i="26"/>
  <c r="AM1236" i="26"/>
  <c r="AM1235" i="26"/>
  <c r="AM1234" i="26"/>
  <c r="AM1233" i="26"/>
  <c r="AM1232" i="26"/>
  <c r="AM1231" i="26"/>
  <c r="AM1230" i="26"/>
  <c r="AM1229" i="26"/>
  <c r="AM1228" i="26"/>
  <c r="AM1227" i="26"/>
  <c r="AM1226" i="26"/>
  <c r="AM1225" i="26"/>
  <c r="AM1224" i="26"/>
  <c r="AM1223" i="26"/>
  <c r="AM1222" i="26"/>
  <c r="AM1221" i="26"/>
  <c r="AM1220" i="26"/>
  <c r="AM1219" i="26"/>
  <c r="AM1218" i="26"/>
  <c r="AM1217" i="26"/>
  <c r="AM1216" i="26"/>
  <c r="AM1215" i="26"/>
  <c r="AM1214" i="26"/>
  <c r="AM1213" i="26"/>
  <c r="AM1212" i="26"/>
  <c r="AM1211" i="26"/>
  <c r="AM1210" i="26"/>
  <c r="AM1209" i="26"/>
  <c r="AM1208" i="26"/>
  <c r="AM1207" i="26"/>
  <c r="AM1206" i="26"/>
  <c r="AM1205" i="26"/>
  <c r="AM1204" i="26"/>
  <c r="AM1203" i="26"/>
  <c r="AM1202" i="26"/>
  <c r="AM1201" i="26"/>
  <c r="AM1200" i="26"/>
  <c r="AM1199" i="26"/>
  <c r="AM1198" i="26"/>
  <c r="AM1197" i="26"/>
  <c r="AM1196" i="26"/>
  <c r="AM1195" i="26"/>
  <c r="AM1194" i="26"/>
  <c r="AM1193" i="26"/>
  <c r="AM1192" i="26"/>
  <c r="AM1191" i="26"/>
  <c r="AM1190" i="26"/>
  <c r="AM1189" i="26"/>
  <c r="AM1188" i="26"/>
  <c r="AM1187" i="26"/>
  <c r="AM1186" i="26"/>
  <c r="AM1185" i="26"/>
  <c r="AM1184" i="26"/>
  <c r="AM1183" i="26"/>
  <c r="AM1182" i="26"/>
  <c r="AM1181" i="26"/>
  <c r="AM1180" i="26"/>
  <c r="AM1179" i="26"/>
  <c r="AM1178" i="26"/>
  <c r="AM1177" i="26"/>
  <c r="AM1176" i="26"/>
  <c r="AM1175" i="26"/>
  <c r="AM1174" i="26"/>
  <c r="AM1173" i="26"/>
  <c r="AM1172" i="26"/>
  <c r="AM1171" i="26"/>
  <c r="AM1170" i="26"/>
  <c r="AM1169" i="26"/>
  <c r="AM1168" i="26"/>
  <c r="AM1167" i="26"/>
  <c r="AM1166" i="26"/>
  <c r="AM1165" i="26"/>
  <c r="AM1164" i="26"/>
  <c r="AM1163" i="26"/>
  <c r="AM1162" i="26"/>
  <c r="AM1161" i="26"/>
  <c r="AM1160" i="26"/>
  <c r="AM1159" i="26"/>
  <c r="AM1158" i="26"/>
  <c r="AM1157" i="26"/>
  <c r="AM1156" i="26"/>
  <c r="AM1155" i="26"/>
  <c r="AM1154" i="26"/>
  <c r="AM1153" i="26"/>
  <c r="AM1152" i="26"/>
  <c r="AM1151" i="26"/>
  <c r="AM1150" i="26"/>
  <c r="AM1149" i="26"/>
  <c r="AM1148" i="26"/>
  <c r="AM1147" i="26"/>
  <c r="AM1146" i="26"/>
  <c r="AM1145" i="26"/>
  <c r="AM1144" i="26"/>
  <c r="AM1143" i="26"/>
  <c r="AM1142" i="26"/>
  <c r="AM1141" i="26"/>
  <c r="AM1140" i="26"/>
  <c r="AM1139" i="26"/>
  <c r="AM1138" i="26"/>
  <c r="AM1137" i="26"/>
  <c r="AM1136" i="26"/>
  <c r="AM1135" i="26"/>
  <c r="AM1134" i="26"/>
  <c r="AM1133" i="26"/>
  <c r="AM1132" i="26"/>
  <c r="AM1131" i="26"/>
  <c r="AM1130" i="26"/>
  <c r="AM1129" i="26"/>
  <c r="AM1128" i="26"/>
  <c r="AM1127" i="26"/>
  <c r="AM1126" i="26"/>
  <c r="AM1125" i="26"/>
  <c r="AM1124" i="26"/>
  <c r="AM1123" i="26"/>
  <c r="AM1122" i="26"/>
  <c r="AM1121" i="26"/>
  <c r="AM1120" i="26"/>
  <c r="AM1119" i="26"/>
  <c r="AM1118" i="26"/>
  <c r="AM1117" i="26"/>
  <c r="AM1116" i="26"/>
  <c r="AM1115" i="26"/>
  <c r="AM1114" i="26"/>
  <c r="AM1113" i="26"/>
  <c r="AM1112" i="26"/>
  <c r="AM1111" i="26"/>
  <c r="AM1110" i="26"/>
  <c r="AM1109" i="26"/>
  <c r="AM1108" i="26"/>
  <c r="AM1107" i="26"/>
  <c r="AM1106" i="26"/>
  <c r="AM1105" i="26"/>
  <c r="AM1104" i="26"/>
  <c r="AM1103" i="26"/>
  <c r="AM1102" i="26"/>
  <c r="AM1101" i="26"/>
  <c r="AM1100" i="26"/>
  <c r="AM1099" i="26"/>
  <c r="AM1098" i="26"/>
  <c r="AM1097" i="26"/>
  <c r="AM1096" i="26"/>
  <c r="AM1095" i="26"/>
  <c r="AM1094" i="26"/>
  <c r="AM1093" i="26"/>
  <c r="AM1092" i="26"/>
  <c r="AM1091" i="26"/>
  <c r="AM1090" i="26"/>
  <c r="AM1089" i="26"/>
  <c r="AM1088" i="26"/>
  <c r="AM1087" i="26"/>
  <c r="AM1086" i="26"/>
  <c r="AM1085" i="26"/>
  <c r="AM1084" i="26"/>
  <c r="AM1083" i="26"/>
  <c r="AM1082" i="26"/>
  <c r="AM1081" i="26"/>
  <c r="AM1080" i="26"/>
  <c r="AM1079" i="26"/>
  <c r="AM1078" i="26"/>
  <c r="AM1077" i="26"/>
  <c r="AM1076" i="26"/>
  <c r="AM1075" i="26"/>
  <c r="AM1074" i="26"/>
  <c r="AM1073" i="26"/>
  <c r="AM1072" i="26"/>
  <c r="AM1071" i="26"/>
  <c r="AM1070" i="26"/>
  <c r="AM1069" i="26"/>
  <c r="AM1068" i="26"/>
  <c r="AM1067" i="26"/>
  <c r="AM1066" i="26"/>
  <c r="AM1065" i="26"/>
  <c r="AM1064" i="26"/>
  <c r="AM1063" i="26"/>
  <c r="AM1062" i="26"/>
  <c r="AM1061" i="26"/>
  <c r="AM1060" i="26"/>
  <c r="AM1059" i="26"/>
  <c r="AM1058" i="26"/>
  <c r="AM1057" i="26"/>
  <c r="AM1056" i="26"/>
  <c r="AM1055" i="26"/>
  <c r="AM1054" i="26"/>
  <c r="AM1053" i="26"/>
  <c r="AM1052" i="26"/>
  <c r="AM1051" i="26"/>
  <c r="AM1050" i="26"/>
  <c r="AM1049" i="26"/>
  <c r="AM1048" i="26"/>
  <c r="AM1047" i="26"/>
  <c r="AM1046" i="26"/>
  <c r="AM1045" i="26"/>
  <c r="AM1044" i="26"/>
  <c r="AM1043" i="26"/>
  <c r="AM1042" i="26"/>
  <c r="AM1041" i="26"/>
  <c r="AM1040" i="26"/>
  <c r="AM1039" i="26"/>
  <c r="AM1038" i="26"/>
  <c r="AM1037" i="26"/>
  <c r="AM1036" i="26"/>
  <c r="AM1035" i="26"/>
  <c r="AM1034" i="26"/>
  <c r="AM1033" i="26"/>
  <c r="AM1032" i="26"/>
  <c r="AM1031" i="26"/>
  <c r="AM1030" i="26"/>
  <c r="AM1029" i="26"/>
  <c r="AM1028" i="26"/>
  <c r="AM1027" i="26"/>
  <c r="AM1026" i="26"/>
  <c r="AM1025" i="26"/>
  <c r="AM1024" i="26"/>
  <c r="AM1023" i="26"/>
  <c r="AM1022" i="26"/>
  <c r="AM1021" i="26"/>
  <c r="AM1020" i="26"/>
  <c r="AM1019" i="26"/>
  <c r="AM1018" i="26"/>
  <c r="AM1017" i="26"/>
  <c r="AM1016" i="26"/>
  <c r="AM1015" i="26"/>
  <c r="AM1014" i="26"/>
  <c r="AM1013" i="26"/>
  <c r="AM1012" i="26"/>
  <c r="AM1011" i="26"/>
  <c r="AM1010" i="26"/>
  <c r="AM1009" i="26"/>
  <c r="AM1008" i="26"/>
  <c r="AM1007" i="26"/>
  <c r="AM1006" i="26"/>
  <c r="AM1005" i="26"/>
  <c r="AM1004" i="26"/>
  <c r="AM1003" i="26"/>
  <c r="AM1002" i="26"/>
  <c r="AM1001" i="26"/>
  <c r="AM1000" i="26"/>
  <c r="AM999" i="26"/>
  <c r="AM998" i="26"/>
  <c r="AM997" i="26"/>
  <c r="AM996" i="26"/>
  <c r="AM995" i="26"/>
  <c r="AM994" i="26"/>
  <c r="AM993" i="26"/>
  <c r="AM992" i="26"/>
  <c r="AM991" i="26"/>
  <c r="AM990" i="26"/>
  <c r="AM989" i="26"/>
  <c r="AM988" i="26"/>
  <c r="AM987" i="26"/>
  <c r="AM986" i="26"/>
  <c r="AM985" i="26"/>
  <c r="AM984" i="26"/>
  <c r="AM983" i="26"/>
  <c r="AM982" i="26"/>
  <c r="AM981" i="26"/>
  <c r="AM980" i="26"/>
  <c r="AM979" i="26"/>
  <c r="AM978" i="26"/>
  <c r="AM977" i="26"/>
  <c r="AM976" i="26"/>
  <c r="AM975" i="26"/>
  <c r="AM974" i="26"/>
  <c r="AM973" i="26"/>
  <c r="AM972" i="26"/>
  <c r="AM971" i="26"/>
  <c r="AM970" i="26"/>
  <c r="AM969" i="26"/>
  <c r="AM968" i="26"/>
  <c r="AM967" i="26"/>
  <c r="AM966" i="26"/>
  <c r="AM965" i="26"/>
  <c r="AM964" i="26"/>
  <c r="AM963" i="26"/>
  <c r="AM962" i="26"/>
  <c r="AM961" i="26"/>
  <c r="AM960" i="26"/>
  <c r="AM959" i="26"/>
  <c r="AM958" i="26"/>
  <c r="AM957" i="26"/>
  <c r="AM956" i="26"/>
  <c r="AM955" i="26"/>
  <c r="AM954" i="26"/>
  <c r="AM953" i="26"/>
  <c r="AM952" i="26"/>
  <c r="AM951" i="26"/>
  <c r="AM950" i="26"/>
  <c r="AM949" i="26"/>
  <c r="AM948" i="26"/>
  <c r="AM947" i="26"/>
  <c r="AM946" i="26"/>
  <c r="AM945" i="26"/>
  <c r="AM944" i="26"/>
  <c r="AM943" i="26"/>
  <c r="AM942" i="26"/>
  <c r="AM941" i="26"/>
  <c r="AM940" i="26"/>
  <c r="AM939" i="26"/>
  <c r="AM938" i="26"/>
  <c r="AM937" i="26"/>
  <c r="AM936" i="26"/>
  <c r="AM935" i="26"/>
  <c r="AM934" i="26"/>
  <c r="AM933" i="26"/>
  <c r="AM932" i="26"/>
  <c r="AM931" i="26"/>
  <c r="AM930" i="26"/>
  <c r="AM929" i="26"/>
  <c r="AM928" i="26"/>
  <c r="AM927" i="26"/>
  <c r="AM926" i="26"/>
  <c r="AM925" i="26"/>
  <c r="AM924" i="26"/>
  <c r="AM923" i="26"/>
  <c r="AM922" i="26"/>
  <c r="AM921" i="26"/>
  <c r="AM920" i="26"/>
  <c r="AM919" i="26"/>
  <c r="AM918" i="26"/>
  <c r="AM917" i="26"/>
  <c r="AM916" i="26"/>
  <c r="AM915" i="26"/>
  <c r="AM914" i="26"/>
  <c r="AM913" i="26"/>
  <c r="AM912" i="26"/>
  <c r="AM911" i="26"/>
  <c r="AM910" i="26"/>
  <c r="AM909" i="26"/>
  <c r="AM908" i="26"/>
  <c r="AM907" i="26"/>
  <c r="AM906" i="26"/>
  <c r="AM905" i="26"/>
  <c r="AM904" i="26"/>
  <c r="AM903" i="26"/>
  <c r="AM902" i="26"/>
  <c r="AM901" i="26"/>
  <c r="AM900" i="26"/>
  <c r="AM899" i="26"/>
  <c r="AM898" i="26"/>
  <c r="AM897" i="26"/>
  <c r="AM896" i="26"/>
  <c r="AM895" i="26"/>
  <c r="AM894" i="26"/>
  <c r="AM893" i="26"/>
  <c r="AM892" i="26"/>
  <c r="AM891" i="26"/>
  <c r="AM890" i="26"/>
  <c r="AM889" i="26"/>
  <c r="AM888" i="26"/>
  <c r="AM887" i="26"/>
  <c r="AM886" i="26"/>
  <c r="AM885" i="26"/>
  <c r="AM884" i="26"/>
  <c r="AM883" i="26"/>
  <c r="AM882" i="26"/>
  <c r="AM881" i="26"/>
  <c r="AM880" i="26"/>
  <c r="AM879" i="26"/>
  <c r="AM878" i="26"/>
  <c r="AM877" i="26"/>
  <c r="AM876" i="26"/>
  <c r="AM875" i="26"/>
  <c r="AM874" i="26"/>
  <c r="AM873" i="26"/>
  <c r="AM872" i="26"/>
  <c r="AM871" i="26"/>
  <c r="AM870" i="26"/>
  <c r="AM869" i="26"/>
  <c r="AM868" i="26"/>
  <c r="AM867" i="26"/>
  <c r="AM866" i="26"/>
  <c r="AM865" i="26"/>
  <c r="AM864" i="26"/>
  <c r="AM863" i="26"/>
  <c r="AM862" i="26"/>
  <c r="AM861" i="26"/>
  <c r="AM860" i="26"/>
  <c r="AM859" i="26"/>
  <c r="AM858" i="26"/>
  <c r="AM857" i="26"/>
  <c r="AM856" i="26"/>
  <c r="AM855" i="26"/>
  <c r="AM854" i="26"/>
  <c r="AM853" i="26"/>
  <c r="AM852" i="26"/>
  <c r="AM851" i="26"/>
  <c r="AM850" i="26"/>
  <c r="AM849" i="26"/>
  <c r="AM848" i="26"/>
  <c r="AM847" i="26"/>
  <c r="AM846" i="26"/>
  <c r="AM845" i="26"/>
  <c r="AM844" i="26"/>
  <c r="AM843" i="26"/>
  <c r="AM842" i="26"/>
  <c r="AM841" i="26"/>
  <c r="AM840" i="26"/>
  <c r="AM839" i="26"/>
  <c r="AM838" i="26"/>
  <c r="AM837" i="26"/>
  <c r="AM836" i="26"/>
  <c r="AM835" i="26"/>
  <c r="AM834" i="26"/>
  <c r="AM833" i="26"/>
  <c r="AM832" i="26"/>
  <c r="AM831" i="26"/>
  <c r="AM830" i="26"/>
  <c r="AM829" i="26"/>
  <c r="AM828" i="26"/>
  <c r="AM827" i="26"/>
  <c r="AM826" i="26"/>
  <c r="AM825" i="26"/>
  <c r="AM824" i="26"/>
  <c r="AM823" i="26"/>
  <c r="AM822" i="26"/>
  <c r="AM821" i="26"/>
  <c r="AM820" i="26"/>
  <c r="AM819" i="26"/>
  <c r="AM818" i="26"/>
  <c r="AM817" i="26"/>
  <c r="AM816" i="26"/>
  <c r="AM815" i="26"/>
  <c r="AM814" i="26"/>
  <c r="AM813" i="26"/>
  <c r="AM812" i="26"/>
  <c r="AM811" i="26"/>
  <c r="AM810" i="26"/>
  <c r="AM809" i="26"/>
  <c r="AM808" i="26"/>
  <c r="AM807" i="26"/>
  <c r="AM806" i="26"/>
  <c r="AM805" i="26"/>
  <c r="AM804" i="26"/>
  <c r="AM803" i="26"/>
  <c r="AM802" i="26"/>
  <c r="AM801" i="26"/>
  <c r="AM800" i="26"/>
  <c r="AM799" i="26"/>
  <c r="AM798" i="26"/>
  <c r="AM797" i="26"/>
  <c r="AM796" i="26"/>
  <c r="AM795" i="26"/>
  <c r="AM794" i="26"/>
  <c r="AM793" i="26"/>
  <c r="AM792" i="26"/>
  <c r="AM791" i="26"/>
  <c r="AM790" i="26"/>
  <c r="AM789" i="26"/>
  <c r="AM788" i="26"/>
  <c r="AM787" i="26"/>
  <c r="AM786" i="26"/>
  <c r="AM785" i="26"/>
  <c r="AM784" i="26"/>
  <c r="AM783" i="26"/>
  <c r="AM782" i="26"/>
  <c r="AM781" i="26"/>
  <c r="AM780" i="26"/>
  <c r="AM779" i="26"/>
  <c r="AM778" i="26"/>
  <c r="AM777" i="26"/>
  <c r="AM776" i="26"/>
  <c r="AM775" i="26"/>
  <c r="AM774" i="26"/>
  <c r="AM773" i="26"/>
  <c r="AM772" i="26"/>
  <c r="AM771" i="26"/>
  <c r="AM770" i="26"/>
  <c r="AM769" i="26"/>
  <c r="AM768" i="26"/>
  <c r="AM767" i="26"/>
  <c r="AM766" i="26"/>
  <c r="AM765" i="26"/>
  <c r="AM764" i="26"/>
  <c r="AM763" i="26"/>
  <c r="AM762" i="26"/>
  <c r="AM761" i="26"/>
  <c r="AM760" i="26"/>
  <c r="AM759" i="26"/>
  <c r="AM758" i="26"/>
  <c r="AM757" i="26"/>
  <c r="AM756" i="26"/>
  <c r="AM755" i="26"/>
  <c r="AM754" i="26"/>
  <c r="AM753" i="26"/>
  <c r="AM752" i="26"/>
  <c r="AM751" i="26"/>
  <c r="AM750" i="26"/>
  <c r="AM749" i="26"/>
  <c r="AM748" i="26"/>
  <c r="AM747" i="26"/>
  <c r="AM746" i="26"/>
  <c r="AM745" i="26"/>
  <c r="AM744" i="26"/>
  <c r="AM743" i="26"/>
  <c r="AM742" i="26"/>
  <c r="AM741" i="26"/>
  <c r="AM740" i="26"/>
  <c r="AM739" i="26"/>
  <c r="AM738" i="26"/>
  <c r="AM737" i="26"/>
  <c r="AM736" i="26"/>
  <c r="AM735" i="26"/>
  <c r="AM734" i="26"/>
  <c r="AM733" i="26"/>
  <c r="AM732" i="26"/>
  <c r="AM731" i="26"/>
  <c r="AM730" i="26"/>
  <c r="AM729" i="26"/>
  <c r="AM728" i="26"/>
  <c r="AM727" i="26"/>
  <c r="AM726" i="26"/>
  <c r="AM725" i="26"/>
  <c r="AM724" i="26"/>
  <c r="AM723" i="26"/>
  <c r="AM722" i="26"/>
  <c r="AM721" i="26"/>
  <c r="AM720" i="26"/>
  <c r="AM719" i="26"/>
  <c r="AM718" i="26"/>
  <c r="AM717" i="26"/>
  <c r="AM716" i="26"/>
  <c r="AM715" i="26"/>
  <c r="AM714" i="26"/>
  <c r="AM713" i="26"/>
  <c r="AM712" i="26"/>
  <c r="AM711" i="26"/>
  <c r="AM710" i="26"/>
  <c r="AM709" i="26"/>
  <c r="AM708" i="26"/>
  <c r="AM707" i="26"/>
  <c r="AM706" i="26"/>
  <c r="AM705" i="26"/>
  <c r="AM704" i="26"/>
  <c r="AM703" i="26"/>
  <c r="AM702" i="26"/>
  <c r="AM701" i="26"/>
  <c r="AM700" i="26"/>
  <c r="AM699" i="26"/>
  <c r="AM698" i="26"/>
  <c r="AM697" i="26"/>
  <c r="AM696" i="26"/>
  <c r="AM695" i="26"/>
  <c r="AM694" i="26"/>
  <c r="AM693" i="26"/>
  <c r="AM692" i="26"/>
  <c r="AM691" i="26"/>
  <c r="AM690" i="26"/>
  <c r="AM689" i="26"/>
  <c r="AM688" i="26"/>
  <c r="AM687" i="26"/>
  <c r="AM686" i="26"/>
  <c r="AM685" i="26"/>
  <c r="AM684" i="26"/>
  <c r="AM683" i="26"/>
  <c r="AM682" i="26"/>
  <c r="AM681" i="26"/>
  <c r="AM680" i="26"/>
  <c r="AM679" i="26"/>
  <c r="AM678" i="26"/>
  <c r="AM677" i="26"/>
  <c r="AM676" i="26"/>
  <c r="AM675" i="26"/>
  <c r="AM674" i="26"/>
  <c r="AM673" i="26"/>
  <c r="AM672" i="26"/>
  <c r="AM671" i="26"/>
  <c r="AM670" i="26"/>
  <c r="AM669" i="26"/>
  <c r="AM668" i="26"/>
  <c r="AM667" i="26"/>
  <c r="AM666" i="26"/>
  <c r="AM665" i="26"/>
  <c r="AM664" i="26"/>
  <c r="AM663" i="26"/>
  <c r="AM662" i="26"/>
  <c r="AM661" i="26"/>
  <c r="AM660" i="26"/>
  <c r="AM659" i="26"/>
  <c r="AM658" i="26"/>
  <c r="AM657" i="26"/>
  <c r="AM656" i="26"/>
  <c r="AM655" i="26"/>
  <c r="AM654" i="26"/>
  <c r="AM653" i="26"/>
  <c r="AM652" i="26"/>
  <c r="AM651" i="26"/>
  <c r="AM650" i="26"/>
  <c r="AM649" i="26"/>
  <c r="AM648" i="26"/>
  <c r="AM647" i="26"/>
  <c r="AM646" i="26"/>
  <c r="AM645" i="26"/>
  <c r="AM644" i="26"/>
  <c r="AM643" i="26"/>
  <c r="AM642" i="26"/>
  <c r="AM641" i="26"/>
  <c r="AM640" i="26"/>
  <c r="AM639" i="26"/>
  <c r="AM638" i="26"/>
  <c r="AM637" i="26"/>
  <c r="AM636" i="26"/>
  <c r="AM635" i="26"/>
  <c r="AM634" i="26"/>
  <c r="AM633" i="26"/>
  <c r="AM632" i="26"/>
  <c r="AM631" i="26"/>
  <c r="AM630" i="26"/>
  <c r="AM629" i="26"/>
  <c r="AM628" i="26"/>
  <c r="AM627" i="26"/>
  <c r="AM626" i="26"/>
  <c r="AM625" i="26"/>
  <c r="AM624" i="26"/>
  <c r="AM623" i="26"/>
  <c r="AM622" i="26"/>
  <c r="AM621" i="26"/>
  <c r="AM620" i="26"/>
  <c r="AM619" i="26"/>
  <c r="AM618" i="26"/>
  <c r="AM617" i="26"/>
  <c r="AM616" i="26"/>
  <c r="AM615" i="26"/>
  <c r="AM614" i="26"/>
  <c r="AM613" i="26"/>
  <c r="AM612" i="26"/>
  <c r="AM611" i="26"/>
  <c r="AM610" i="26"/>
  <c r="AM609" i="26"/>
  <c r="AM608" i="26"/>
  <c r="AM607" i="26"/>
  <c r="AM606" i="26"/>
  <c r="AM605" i="26"/>
  <c r="AM604" i="26"/>
  <c r="AM603" i="26"/>
  <c r="AM602" i="26"/>
  <c r="AM601" i="26"/>
  <c r="AM600" i="26"/>
  <c r="AM599" i="26"/>
  <c r="AM598" i="26"/>
  <c r="AM597" i="26"/>
  <c r="AM596" i="26"/>
  <c r="AM595" i="26"/>
  <c r="AM594" i="26"/>
  <c r="AM593" i="26"/>
  <c r="AM592" i="26"/>
  <c r="AM591" i="26"/>
  <c r="AM590" i="26"/>
  <c r="AM589" i="26"/>
  <c r="AM588" i="26"/>
  <c r="AM587" i="26"/>
  <c r="AM586" i="26"/>
  <c r="AM585" i="26"/>
  <c r="AM584" i="26"/>
  <c r="AM583" i="26"/>
  <c r="AM582" i="26"/>
  <c r="AM581" i="26"/>
  <c r="AM580" i="26"/>
  <c r="AM579" i="26"/>
  <c r="AM578" i="26"/>
  <c r="AM577" i="26"/>
  <c r="AM576" i="26"/>
  <c r="AM575" i="26"/>
  <c r="AM574" i="26"/>
  <c r="AM573" i="26"/>
  <c r="AM572" i="26"/>
  <c r="AM571" i="26"/>
  <c r="AM570" i="26"/>
  <c r="AM569" i="26"/>
  <c r="AM568" i="26"/>
  <c r="AM567" i="26"/>
  <c r="AM566" i="26"/>
  <c r="AM565" i="26"/>
  <c r="AM564" i="26"/>
  <c r="AM563" i="26"/>
  <c r="AM562" i="26"/>
  <c r="AM561" i="26"/>
  <c r="AM560" i="26"/>
  <c r="AM559" i="26"/>
  <c r="AM558" i="26"/>
  <c r="AM557" i="26"/>
  <c r="AM556" i="26"/>
  <c r="AM555" i="26"/>
  <c r="AM554" i="26"/>
  <c r="AM553" i="26"/>
  <c r="AM552" i="26"/>
  <c r="AM551" i="26"/>
  <c r="AM550" i="26"/>
  <c r="AM549" i="26"/>
  <c r="AM548" i="26"/>
  <c r="AM547" i="26"/>
  <c r="AM546" i="26"/>
  <c r="AM545" i="26"/>
  <c r="AM544" i="26"/>
  <c r="AM543" i="26"/>
  <c r="AM542" i="26"/>
  <c r="AM541" i="26"/>
  <c r="AM540" i="26"/>
  <c r="AM539" i="26"/>
  <c r="AM538" i="26"/>
  <c r="AM537" i="26"/>
  <c r="AM536" i="26"/>
  <c r="AM535" i="26"/>
  <c r="AM534" i="26"/>
  <c r="AM533" i="26"/>
  <c r="AM532" i="26"/>
  <c r="AM531" i="26"/>
  <c r="AM530" i="26"/>
  <c r="AM529" i="26"/>
  <c r="AM528" i="26"/>
  <c r="AM527" i="26"/>
  <c r="AM526" i="26"/>
  <c r="AM525" i="26"/>
  <c r="AM524" i="26"/>
  <c r="AM523" i="26"/>
  <c r="AM522" i="26"/>
  <c r="AM521" i="26"/>
  <c r="AM520" i="26"/>
  <c r="AM519" i="26"/>
  <c r="AM518" i="26"/>
  <c r="AM517" i="26"/>
  <c r="AM516" i="26"/>
  <c r="AM515" i="26"/>
  <c r="AM514" i="26"/>
  <c r="AM513" i="26"/>
  <c r="AM512" i="26"/>
  <c r="AM511" i="26"/>
  <c r="AM510" i="26"/>
  <c r="AM509" i="26"/>
  <c r="AM508" i="26"/>
  <c r="AM507" i="26"/>
  <c r="AM506" i="26"/>
  <c r="AM505" i="26"/>
  <c r="AM504" i="26"/>
  <c r="AM503" i="26"/>
  <c r="AM502" i="26"/>
  <c r="AM501" i="26"/>
  <c r="AM500" i="26"/>
  <c r="AM499" i="26"/>
  <c r="AM498" i="26"/>
  <c r="AM497" i="26"/>
  <c r="AM496" i="26"/>
  <c r="AM495" i="26"/>
  <c r="AM494" i="26"/>
  <c r="AM493" i="26"/>
  <c r="AM492" i="26"/>
  <c r="AM491" i="26"/>
  <c r="AM490" i="26"/>
  <c r="AM489" i="26"/>
  <c r="AM488" i="26"/>
  <c r="AM487" i="26"/>
  <c r="AM486" i="26"/>
  <c r="AM485" i="26"/>
  <c r="AM484" i="26"/>
  <c r="AM483" i="26"/>
  <c r="AM482" i="26"/>
  <c r="AM481" i="26"/>
  <c r="AM480" i="26"/>
  <c r="AM479" i="26"/>
  <c r="AM478" i="26"/>
  <c r="AM477" i="26"/>
  <c r="AM476" i="26"/>
  <c r="AM475" i="26"/>
  <c r="AM474" i="26"/>
  <c r="AM473" i="26"/>
  <c r="AM472" i="26"/>
  <c r="AM471" i="26"/>
  <c r="AM470" i="26"/>
  <c r="AM469" i="26"/>
  <c r="AM468" i="26"/>
  <c r="AM467" i="26"/>
  <c r="AM466" i="26"/>
  <c r="AM465" i="26"/>
  <c r="AM464" i="26"/>
  <c r="AM463" i="26"/>
  <c r="AM462" i="26"/>
  <c r="AM461" i="26"/>
  <c r="AM460" i="26"/>
  <c r="AM459" i="26"/>
  <c r="AM458" i="26"/>
  <c r="AM457" i="26"/>
  <c r="AM456" i="26"/>
  <c r="AM455" i="26"/>
  <c r="AM454" i="26"/>
  <c r="AM453" i="26"/>
  <c r="AM452" i="26"/>
  <c r="AM451" i="26"/>
  <c r="AM450" i="26"/>
  <c r="AM449" i="26"/>
  <c r="AM448" i="26"/>
  <c r="AM447" i="26"/>
  <c r="AM446" i="26"/>
  <c r="AM445" i="26"/>
  <c r="AM444" i="26"/>
  <c r="AM443" i="26"/>
  <c r="AM442" i="26"/>
  <c r="AM441" i="26"/>
  <c r="AM440" i="26"/>
  <c r="AM439" i="26"/>
  <c r="AM438" i="26"/>
  <c r="AM437" i="26"/>
  <c r="AM436" i="26"/>
  <c r="AM435" i="26"/>
  <c r="AM434" i="26"/>
  <c r="AM433" i="26"/>
  <c r="AM432" i="26"/>
  <c r="AM431" i="26"/>
  <c r="AM430" i="26"/>
  <c r="AM429" i="26"/>
  <c r="AM428" i="26"/>
  <c r="AM427" i="26"/>
  <c r="AM426" i="26"/>
  <c r="AM425" i="26"/>
  <c r="AM424" i="26"/>
  <c r="AM423" i="26"/>
  <c r="AM422" i="26"/>
  <c r="AM421" i="26"/>
  <c r="AM420" i="26"/>
  <c r="AM419" i="26"/>
  <c r="AM418" i="26"/>
  <c r="AM417" i="26"/>
  <c r="AM416" i="26"/>
  <c r="AM415" i="26"/>
  <c r="AM414" i="26"/>
  <c r="AM413" i="26"/>
  <c r="AM412" i="26"/>
  <c r="AM411" i="26"/>
  <c r="AM410" i="26"/>
  <c r="AM409" i="26"/>
  <c r="AM408" i="26"/>
  <c r="AM407" i="26"/>
  <c r="AM406" i="26"/>
  <c r="AM405" i="26"/>
  <c r="AM404" i="26"/>
  <c r="AM403" i="26"/>
  <c r="AM402" i="26"/>
  <c r="AM401" i="26"/>
  <c r="AM400" i="26"/>
  <c r="AM399" i="26"/>
  <c r="AM398" i="26"/>
  <c r="AM397" i="26"/>
  <c r="AM396" i="26"/>
  <c r="AM395" i="26"/>
  <c r="AM394" i="26"/>
  <c r="AM393" i="26"/>
  <c r="AM392" i="26"/>
  <c r="AM391" i="26"/>
  <c r="AM390" i="26"/>
  <c r="AM389" i="26"/>
  <c r="AM388" i="26"/>
  <c r="AM387" i="26"/>
  <c r="AM386" i="26"/>
  <c r="AM385" i="26"/>
  <c r="AM384" i="26"/>
  <c r="AM383" i="26"/>
  <c r="AM382" i="26"/>
  <c r="AM381" i="26"/>
  <c r="AM380" i="26"/>
  <c r="AM379" i="26"/>
  <c r="AM378" i="26"/>
  <c r="AM377" i="26"/>
  <c r="AM376" i="26"/>
  <c r="AM375" i="26"/>
  <c r="AM374" i="26"/>
  <c r="AM373" i="26"/>
  <c r="AM372" i="26"/>
  <c r="AM371" i="26"/>
  <c r="AM370" i="26"/>
  <c r="AM369" i="26"/>
  <c r="AM368" i="26"/>
  <c r="AM367" i="26"/>
  <c r="AM366" i="26"/>
  <c r="AM365" i="26"/>
  <c r="AM364" i="26"/>
  <c r="AM363" i="26"/>
  <c r="AM362" i="26"/>
  <c r="AM361" i="26"/>
  <c r="AM360" i="26"/>
  <c r="AM359" i="26"/>
  <c r="AM358" i="26"/>
  <c r="AM357" i="26"/>
  <c r="AM356" i="26"/>
  <c r="AM355" i="26"/>
  <c r="AM354" i="26"/>
  <c r="AM353" i="26"/>
  <c r="AM352" i="26"/>
  <c r="AM351" i="26"/>
  <c r="AM350" i="26"/>
  <c r="AM349" i="26"/>
  <c r="AM348" i="26"/>
  <c r="AM347" i="26"/>
  <c r="AM346" i="26"/>
  <c r="AM345" i="26"/>
  <c r="AM344" i="26"/>
  <c r="AM343" i="26"/>
  <c r="AM342" i="26"/>
  <c r="AM341" i="26"/>
  <c r="AM340" i="26"/>
  <c r="AM339" i="26"/>
  <c r="AM338" i="26"/>
  <c r="AM337" i="26"/>
  <c r="AM336" i="26"/>
  <c r="AM335" i="26"/>
  <c r="AM334" i="26"/>
  <c r="AM333" i="26"/>
  <c r="AM332" i="26"/>
  <c r="AM331" i="26"/>
  <c r="AM330" i="26"/>
  <c r="AM329" i="26"/>
  <c r="AM328" i="26"/>
  <c r="AM327" i="26"/>
  <c r="AM326" i="26"/>
  <c r="AM325" i="26"/>
  <c r="AM324" i="26"/>
  <c r="AM323" i="26"/>
  <c r="AM322" i="26"/>
  <c r="AM321" i="26"/>
  <c r="AM320" i="26"/>
  <c r="AM319" i="26"/>
  <c r="AM318" i="26"/>
  <c r="AM317" i="26"/>
  <c r="AM316" i="26"/>
  <c r="AM315" i="26"/>
  <c r="AM314" i="26"/>
  <c r="AM313" i="26"/>
  <c r="AM312" i="26"/>
  <c r="AM311" i="26"/>
  <c r="AM310" i="26"/>
  <c r="AM309" i="26"/>
  <c r="AM308" i="26"/>
  <c r="AM307" i="26"/>
  <c r="AM306" i="26"/>
  <c r="AM305" i="26"/>
  <c r="AM304" i="26"/>
  <c r="AM303" i="26"/>
  <c r="AM302" i="26"/>
  <c r="AM301" i="26"/>
  <c r="AM300" i="26"/>
  <c r="AM299" i="26"/>
  <c r="AM298" i="26"/>
  <c r="AM297" i="26"/>
  <c r="AM296" i="26"/>
  <c r="AM295" i="26"/>
  <c r="AM294" i="26"/>
  <c r="AM293" i="26"/>
  <c r="AM292" i="26"/>
  <c r="AM291" i="26"/>
  <c r="AM290" i="26"/>
  <c r="AM289" i="26"/>
  <c r="AM288" i="26"/>
  <c r="AM287" i="26"/>
  <c r="AM286" i="26"/>
  <c r="AM285" i="26"/>
  <c r="AM284" i="26"/>
  <c r="AM283" i="26"/>
  <c r="AM282" i="26"/>
  <c r="AM281" i="26"/>
  <c r="AM280" i="26"/>
  <c r="AM279" i="26"/>
  <c r="AM278" i="26"/>
  <c r="AM277" i="26"/>
  <c r="AM276" i="26"/>
  <c r="AM275" i="26"/>
  <c r="AM274" i="26"/>
  <c r="AM273" i="26"/>
  <c r="AM272" i="26"/>
  <c r="AM271" i="26"/>
  <c r="AM270" i="26"/>
  <c r="AM269" i="26"/>
  <c r="AM268" i="26"/>
  <c r="AM267" i="26"/>
  <c r="AM266" i="26"/>
  <c r="AM265" i="26"/>
  <c r="AM264" i="26"/>
  <c r="AM263" i="26"/>
  <c r="AM262" i="26"/>
  <c r="AM261" i="26"/>
  <c r="AM260" i="26"/>
  <c r="AM259" i="26"/>
  <c r="AM258" i="26"/>
  <c r="AM257" i="26"/>
  <c r="AM256" i="26"/>
  <c r="AM255" i="26"/>
  <c r="AM254" i="26"/>
  <c r="AM253" i="26"/>
  <c r="AM252" i="26"/>
  <c r="AM251" i="26"/>
  <c r="AM250" i="26"/>
  <c r="AM249" i="26"/>
  <c r="AM248" i="26"/>
  <c r="AM247" i="26"/>
  <c r="AM246" i="26"/>
  <c r="AM245" i="26"/>
  <c r="AM244" i="26"/>
  <c r="AM243" i="26"/>
  <c r="AM242" i="26"/>
  <c r="AM241" i="26"/>
  <c r="AM240" i="26"/>
  <c r="AM239" i="26"/>
  <c r="AM238" i="26"/>
  <c r="AM237" i="26"/>
  <c r="AM236" i="26"/>
  <c r="AM235" i="26"/>
  <c r="AM234" i="26"/>
  <c r="AM233" i="26"/>
  <c r="AM232" i="26"/>
  <c r="AM231" i="26"/>
  <c r="AM230" i="26"/>
  <c r="AM229" i="26"/>
  <c r="AM228" i="26"/>
  <c r="AM227" i="26"/>
  <c r="AM226" i="26"/>
  <c r="AM225" i="26"/>
  <c r="AM224" i="26"/>
  <c r="AM223" i="26"/>
  <c r="AM222" i="26"/>
  <c r="AM221" i="26"/>
  <c r="AM220" i="26"/>
  <c r="AM219" i="26"/>
  <c r="AM218" i="26"/>
  <c r="AM217" i="26"/>
  <c r="AM216" i="26"/>
  <c r="AM215" i="26"/>
  <c r="AM214" i="26"/>
  <c r="AM213" i="26"/>
  <c r="AM212" i="26"/>
  <c r="AM211" i="26"/>
  <c r="AM210" i="26"/>
  <c r="AM209" i="26"/>
  <c r="AM208" i="26"/>
  <c r="AM207" i="26"/>
  <c r="AM206" i="26"/>
  <c r="AM205" i="26"/>
  <c r="AM204" i="26"/>
  <c r="AM203" i="26"/>
  <c r="AM202" i="26"/>
  <c r="AM201" i="26"/>
  <c r="AM200" i="26"/>
  <c r="AM199" i="26"/>
  <c r="AM198" i="26"/>
  <c r="AM197" i="26"/>
  <c r="AM196" i="26"/>
  <c r="AM195" i="26"/>
  <c r="AM194" i="26"/>
  <c r="AM193" i="26"/>
  <c r="AM192" i="26"/>
  <c r="AM191" i="26"/>
  <c r="AM190" i="26"/>
  <c r="AM189" i="26"/>
  <c r="AM188" i="26"/>
  <c r="AM187" i="26"/>
  <c r="AM186" i="26"/>
  <c r="AM185" i="26"/>
  <c r="AM184" i="26"/>
  <c r="AM183" i="26"/>
  <c r="AM182" i="26"/>
  <c r="AM181" i="26"/>
  <c r="AM180" i="26"/>
  <c r="AM179" i="26"/>
  <c r="AM178" i="26"/>
  <c r="AM177" i="26"/>
  <c r="AM176" i="26"/>
  <c r="AM175" i="26"/>
  <c r="AM174" i="26"/>
  <c r="AM173" i="26"/>
  <c r="AM172" i="26"/>
  <c r="AM171" i="26"/>
  <c r="AM170" i="26"/>
  <c r="AM169" i="26"/>
  <c r="AM168" i="26"/>
  <c r="AM167" i="26"/>
  <c r="AM166" i="26"/>
  <c r="AM165" i="26"/>
  <c r="AM164" i="26"/>
  <c r="AM163" i="26"/>
  <c r="AM162" i="26"/>
  <c r="AM161" i="26"/>
  <c r="AM160" i="26"/>
  <c r="AM159" i="26"/>
  <c r="AM158" i="26"/>
  <c r="AM157" i="26"/>
  <c r="AM156" i="26"/>
  <c r="AM155" i="26"/>
  <c r="AM154" i="26"/>
  <c r="AM153" i="26"/>
  <c r="AM152" i="26"/>
  <c r="AM151" i="26"/>
  <c r="AM150" i="26"/>
  <c r="AM149" i="26"/>
  <c r="AM148" i="26"/>
  <c r="AM147" i="26"/>
  <c r="AM146" i="26"/>
  <c r="AM145" i="26"/>
  <c r="AM144" i="26"/>
  <c r="AM143" i="26"/>
  <c r="AM142" i="26"/>
  <c r="AM141" i="26"/>
  <c r="AM140" i="26"/>
  <c r="AM139" i="26"/>
  <c r="AM138" i="26"/>
  <c r="AM137" i="26"/>
  <c r="AM136" i="26"/>
  <c r="AM135" i="26"/>
  <c r="AM134" i="26"/>
  <c r="AM133" i="26"/>
  <c r="AM132" i="26"/>
  <c r="AM131" i="26"/>
  <c r="AM130" i="26"/>
  <c r="AM129" i="26"/>
  <c r="AM128" i="26"/>
  <c r="AM127" i="26"/>
  <c r="AM126" i="26"/>
  <c r="AM125" i="26"/>
  <c r="AM124" i="26"/>
  <c r="AM123" i="26"/>
  <c r="AM122" i="26"/>
  <c r="AM121" i="26"/>
  <c r="AM120" i="26"/>
  <c r="AM119" i="26"/>
  <c r="AM118" i="26"/>
  <c r="AM117" i="26"/>
  <c r="AM116" i="26"/>
  <c r="AM115" i="26"/>
  <c r="AM114" i="26"/>
  <c r="AM113" i="26"/>
  <c r="AM112" i="26"/>
  <c r="AM111" i="26"/>
  <c r="AM110" i="26"/>
  <c r="AM109" i="26"/>
  <c r="AM108" i="26"/>
  <c r="AM107" i="26"/>
  <c r="AM106" i="26"/>
  <c r="AM105" i="26"/>
  <c r="AM104" i="26"/>
  <c r="AM103" i="26"/>
  <c r="AM102" i="26"/>
  <c r="AM101" i="26"/>
  <c r="AM100" i="26"/>
  <c r="AM99" i="26"/>
  <c r="AM98" i="26"/>
  <c r="AM97" i="26"/>
  <c r="AM96" i="26"/>
  <c r="AM95" i="26"/>
  <c r="AM94" i="26"/>
  <c r="AM93" i="26"/>
  <c r="AM92" i="26"/>
  <c r="AM91" i="26"/>
  <c r="AM90" i="26"/>
  <c r="AM89" i="26"/>
  <c r="AM88" i="26"/>
  <c r="AM87" i="26"/>
  <c r="AM86" i="26"/>
  <c r="AM85" i="26"/>
  <c r="AM84" i="26"/>
  <c r="AM83" i="26"/>
  <c r="AM82" i="26"/>
  <c r="AM81" i="26"/>
  <c r="AM80" i="26"/>
  <c r="AM79" i="26"/>
  <c r="AM78" i="26"/>
  <c r="AM77" i="26"/>
  <c r="AM76" i="26"/>
  <c r="AM75" i="26"/>
  <c r="AM74" i="26"/>
  <c r="AM73" i="26"/>
  <c r="AM72" i="26"/>
  <c r="AM71" i="26"/>
  <c r="AM70" i="26"/>
  <c r="AM69" i="26"/>
  <c r="AM68" i="26"/>
  <c r="AM67" i="26"/>
  <c r="AM66" i="26"/>
  <c r="AM65" i="26"/>
  <c r="AM64" i="26"/>
  <c r="AM63" i="26"/>
  <c r="AM62" i="26"/>
  <c r="AM61" i="26"/>
  <c r="AM60" i="26"/>
  <c r="AM59" i="26"/>
  <c r="AM58" i="26"/>
  <c r="AM57" i="26"/>
  <c r="AM56" i="26"/>
  <c r="AM55" i="26"/>
  <c r="AM54" i="26"/>
  <c r="AM53" i="26"/>
  <c r="AM52" i="26"/>
  <c r="AM51" i="26"/>
  <c r="AM50" i="26"/>
  <c r="AM49" i="26"/>
  <c r="AM48" i="26"/>
  <c r="AM47" i="26"/>
  <c r="AM46" i="26"/>
  <c r="AM45" i="26"/>
  <c r="AM44" i="26"/>
  <c r="AM43" i="26"/>
  <c r="AM42" i="26"/>
  <c r="AM41" i="26"/>
  <c r="AM40" i="26"/>
  <c r="AM39" i="26"/>
  <c r="AM38" i="26"/>
  <c r="AM37" i="26"/>
  <c r="AM36" i="26"/>
  <c r="AM35" i="26"/>
  <c r="AM34" i="26"/>
  <c r="AM33" i="26"/>
  <c r="AM32" i="26"/>
  <c r="AM31" i="26"/>
  <c r="AM30" i="26"/>
  <c r="AM29" i="26"/>
  <c r="AM28" i="26"/>
  <c r="AM27" i="26"/>
  <c r="AM26" i="26"/>
  <c r="AM25" i="26"/>
  <c r="AM24" i="26"/>
  <c r="AM23" i="26"/>
  <c r="AM22" i="26"/>
  <c r="AM21" i="26"/>
  <c r="AM20" i="26"/>
  <c r="AM19" i="26"/>
  <c r="AM18" i="26"/>
  <c r="AM17" i="26"/>
  <c r="AM16" i="26"/>
  <c r="AM15" i="26"/>
  <c r="AM14" i="26"/>
  <c r="AM13" i="26"/>
  <c r="AM12" i="26"/>
  <c r="AM11" i="26"/>
  <c r="AM10" i="26"/>
  <c r="AM9" i="26"/>
  <c r="AM8" i="26"/>
  <c r="AM7" i="26"/>
  <c r="AM6" i="26"/>
  <c r="AM5" i="26"/>
  <c r="AM4" i="26"/>
  <c r="AM3" i="26"/>
  <c r="AM2" i="26"/>
  <c r="G21" i="6"/>
  <c r="P24" i="39" s="1"/>
  <c r="E20" i="6"/>
  <c r="E19" i="6"/>
  <c r="E18" i="6"/>
  <c r="E17" i="6"/>
  <c r="E16" i="6"/>
  <c r="E15" i="6"/>
  <c r="E14" i="6"/>
  <c r="E13" i="6"/>
  <c r="E12" i="6"/>
  <c r="E11" i="6"/>
  <c r="E10" i="6"/>
  <c r="E9" i="6"/>
  <c r="E8" i="6"/>
  <c r="E7" i="6"/>
  <c r="E6" i="6"/>
  <c r="D2" i="39"/>
  <c r="P4" i="39" l="1"/>
  <c r="F2" i="6"/>
  <c r="I2" i="1"/>
  <c r="D20" i="5"/>
  <c r="P3" i="39" l="1"/>
  <c r="P2" i="39" s="1"/>
  <c r="C14" i="6"/>
  <c r="D19" i="5" l="1"/>
  <c r="E2" i="6"/>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<sst xmlns="http://schemas.openxmlformats.org/spreadsheetml/2006/main" count="44057" uniqueCount="37214">
  <si>
    <t>Package type</t>
  </si>
  <si>
    <t>Packing group</t>
  </si>
  <si>
    <t>SECURITY</t>
  </si>
  <si>
    <t>Port facility</t>
  </si>
  <si>
    <t>Bunkering</t>
  </si>
  <si>
    <t>Ship name</t>
  </si>
  <si>
    <t>MMSI number</t>
  </si>
  <si>
    <t>Voyage</t>
  </si>
  <si>
    <t>IMDG</t>
  </si>
  <si>
    <t>Loading</t>
  </si>
  <si>
    <t>Discharging</t>
  </si>
  <si>
    <t>Email</t>
  </si>
  <si>
    <t>Company name</t>
  </si>
  <si>
    <t>Longitude</t>
  </si>
  <si>
    <t>IGC</t>
  </si>
  <si>
    <t>IBC</t>
  </si>
  <si>
    <t>IMSBC</t>
  </si>
  <si>
    <t>Other</t>
  </si>
  <si>
    <t>Code</t>
  </si>
  <si>
    <t>Purposes</t>
  </si>
  <si>
    <t>Anchoring</t>
  </si>
  <si>
    <t>Arrested</t>
  </si>
  <si>
    <t>Crew change</t>
  </si>
  <si>
    <t>Cruising</t>
  </si>
  <si>
    <t>Diving</t>
  </si>
  <si>
    <t>For Orders</t>
  </si>
  <si>
    <t>Force Majeure</t>
  </si>
  <si>
    <t>Lay Up</t>
  </si>
  <si>
    <t>Lifting</t>
  </si>
  <si>
    <t>Medical Assistance</t>
  </si>
  <si>
    <t>Processing Fish</t>
  </si>
  <si>
    <t>Provisioning</t>
  </si>
  <si>
    <t>Repairs</t>
  </si>
  <si>
    <t>Research</t>
  </si>
  <si>
    <t>Seismic Activity</t>
  </si>
  <si>
    <t>Ship To Ship Operations</t>
  </si>
  <si>
    <t>Stand By</t>
  </si>
  <si>
    <t>Testing</t>
  </si>
  <si>
    <t>Towing</t>
  </si>
  <si>
    <t>Underwater Work</t>
  </si>
  <si>
    <t>Weather Restrictions</t>
  </si>
  <si>
    <t>Wrecked Ship</t>
  </si>
  <si>
    <t>DG Classification</t>
  </si>
  <si>
    <t>MARPOL_ANNEX_1</t>
  </si>
  <si>
    <t>Name</t>
  </si>
  <si>
    <t>Flag state</t>
  </si>
  <si>
    <t>ETD from last port</t>
  </si>
  <si>
    <t>Position in port of call</t>
  </si>
  <si>
    <t>ETA to next port</t>
  </si>
  <si>
    <t>ETA to port of call</t>
  </si>
  <si>
    <t>Brief cargo description</t>
  </si>
  <si>
    <t>Gross tonnage</t>
  </si>
  <si>
    <t>Ship type</t>
  </si>
  <si>
    <t>Issue date</t>
  </si>
  <si>
    <t>Certificate number</t>
  </si>
  <si>
    <t>ETD from port of call</t>
  </si>
  <si>
    <t>Anchorage</t>
  </si>
  <si>
    <t>Waste delivery status</t>
  </si>
  <si>
    <t>Last port delivered date</t>
  </si>
  <si>
    <t>Current security level</t>
  </si>
  <si>
    <t>Phone</t>
  </si>
  <si>
    <t>Fax</t>
  </si>
  <si>
    <t>Issuer type</t>
  </si>
  <si>
    <t>First name</t>
  </si>
  <si>
    <t>Last name</t>
  </si>
  <si>
    <t>Location name</t>
  </si>
  <si>
    <t>Flash point</t>
  </si>
  <si>
    <t>Marpol code</t>
  </si>
  <si>
    <t>Total packages</t>
  </si>
  <si>
    <t>Additional info</t>
  </si>
  <si>
    <t>EMS number</t>
  </si>
  <si>
    <t>INF ship class</t>
  </si>
  <si>
    <t>Waste</t>
  </si>
  <si>
    <t>Security</t>
  </si>
  <si>
    <t>On/Off</t>
  </si>
  <si>
    <t>On</t>
  </si>
  <si>
    <t>Off</t>
  </si>
  <si>
    <t>M3</t>
  </si>
  <si>
    <t>KG</t>
  </si>
  <si>
    <t>GVT</t>
  </si>
  <si>
    <t>RSO</t>
  </si>
  <si>
    <t>Security levels</t>
  </si>
  <si>
    <t>Yes/no</t>
  </si>
  <si>
    <t>Yes</t>
  </si>
  <si>
    <t>No</t>
  </si>
  <si>
    <t>INF Ship Classes</t>
  </si>
  <si>
    <t>Class 1</t>
  </si>
  <si>
    <t>Subclass 1.1</t>
  </si>
  <si>
    <t>Subclass 1.2</t>
  </si>
  <si>
    <t>Subclass 1.3</t>
  </si>
  <si>
    <t>Subclass 1.4</t>
  </si>
  <si>
    <t>Subclass 1.5</t>
  </si>
  <si>
    <t>Subclass 1.6</t>
  </si>
  <si>
    <t>Class 2</t>
  </si>
  <si>
    <t>Subclass 2.1</t>
  </si>
  <si>
    <t>Subclass 2.2</t>
  </si>
  <si>
    <t>Subclass 2.3</t>
  </si>
  <si>
    <t>Class 3</t>
  </si>
  <si>
    <t>Class 4</t>
  </si>
  <si>
    <t>Subclass 4.1</t>
  </si>
  <si>
    <t>Subclass 4.2</t>
  </si>
  <si>
    <t>Subclass 4.3</t>
  </si>
  <si>
    <t>Class 5</t>
  </si>
  <si>
    <t>Subclass 5.1</t>
  </si>
  <si>
    <t>Subclass 5.2</t>
  </si>
  <si>
    <t>Class 6</t>
  </si>
  <si>
    <t>Subclass 6.1</t>
  </si>
  <si>
    <t>Subclass 6.2</t>
  </si>
  <si>
    <t>Class 8</t>
  </si>
  <si>
    <t>Class 9</t>
  </si>
  <si>
    <t>IMO Hazard Class</t>
  </si>
  <si>
    <t>Packing Group</t>
  </si>
  <si>
    <t>I</t>
  </si>
  <si>
    <t>II</t>
  </si>
  <si>
    <t>III</t>
  </si>
  <si>
    <t>NONE</t>
  </si>
  <si>
    <t>Aerosol</t>
  </si>
  <si>
    <t>AE</t>
  </si>
  <si>
    <t>Ampoule, non-protected</t>
  </si>
  <si>
    <t>Ampoule, protected</t>
  </si>
  <si>
    <t>AP</t>
  </si>
  <si>
    <t>Atomizer</t>
  </si>
  <si>
    <t>AT</t>
  </si>
  <si>
    <t>Barrel</t>
  </si>
  <si>
    <t>BA</t>
  </si>
  <si>
    <t>Bobbin</t>
  </si>
  <si>
    <t>BB</t>
  </si>
  <si>
    <t>Bottlecrate, bottlerack</t>
  </si>
  <si>
    <t>BC</t>
  </si>
  <si>
    <t>Board</t>
  </si>
  <si>
    <t>BD</t>
  </si>
  <si>
    <t>Bundle</t>
  </si>
  <si>
    <t>BE</t>
  </si>
  <si>
    <t>Balloon, non-protected</t>
  </si>
  <si>
    <t>BF</t>
  </si>
  <si>
    <t>Bag</t>
  </si>
  <si>
    <t>BG</t>
  </si>
  <si>
    <t>Bunch</t>
  </si>
  <si>
    <t>BH</t>
  </si>
  <si>
    <t>Bin</t>
  </si>
  <si>
    <t>BI</t>
  </si>
  <si>
    <t>Bucket</t>
  </si>
  <si>
    <t>BJ</t>
  </si>
  <si>
    <t>Basket</t>
  </si>
  <si>
    <t>BK</t>
  </si>
  <si>
    <t>Bale, compressed</t>
  </si>
  <si>
    <t>BL</t>
  </si>
  <si>
    <t>Bale, non-compressed</t>
  </si>
  <si>
    <t>BN</t>
  </si>
  <si>
    <t>Bottle, non-protected, cylindrical</t>
  </si>
  <si>
    <t>BO</t>
  </si>
  <si>
    <t>Balloon, protected</t>
  </si>
  <si>
    <t>BP</t>
  </si>
  <si>
    <t>Bottle, protected cylindrical</t>
  </si>
  <si>
    <t>BQ</t>
  </si>
  <si>
    <t>Bar</t>
  </si>
  <si>
    <t>BR</t>
  </si>
  <si>
    <t>Bottle, non-protected, bulbous</t>
  </si>
  <si>
    <t>BS</t>
  </si>
  <si>
    <t>Bolt</t>
  </si>
  <si>
    <t>BT</t>
  </si>
  <si>
    <t>Butt</t>
  </si>
  <si>
    <t>BU</t>
  </si>
  <si>
    <t>Bottle, protected bulbous</t>
  </si>
  <si>
    <t>BV</t>
  </si>
  <si>
    <t>Box</t>
  </si>
  <si>
    <t>BX</t>
  </si>
  <si>
    <t>Board, in bundle/bunch/truss</t>
  </si>
  <si>
    <t>BY</t>
  </si>
  <si>
    <t>Bars, in bundle/bunch/truss</t>
  </si>
  <si>
    <t>BZ</t>
  </si>
  <si>
    <t>Can, rectangular</t>
  </si>
  <si>
    <t>CA</t>
  </si>
  <si>
    <t>Beer crate</t>
  </si>
  <si>
    <t>CB</t>
  </si>
  <si>
    <t>Churn</t>
  </si>
  <si>
    <t>CC</t>
  </si>
  <si>
    <t>Creel</t>
  </si>
  <si>
    <t>CE</t>
  </si>
  <si>
    <t>Coffer</t>
  </si>
  <si>
    <t>CF</t>
  </si>
  <si>
    <t>Cage</t>
  </si>
  <si>
    <t>CG</t>
  </si>
  <si>
    <t>Chest</t>
  </si>
  <si>
    <t>CH</t>
  </si>
  <si>
    <t>Canister</t>
  </si>
  <si>
    <t>CI</t>
  </si>
  <si>
    <t>Coffin</t>
  </si>
  <si>
    <t>CJ</t>
  </si>
  <si>
    <t>Cask</t>
  </si>
  <si>
    <t>CK</t>
  </si>
  <si>
    <t>Coil</t>
  </si>
  <si>
    <t>CL</t>
  </si>
  <si>
    <t>Carboy, non-protected</t>
  </si>
  <si>
    <t>CO</t>
  </si>
  <si>
    <t>Carboy, protected</t>
  </si>
  <si>
    <t>CP</t>
  </si>
  <si>
    <t>Crate</t>
  </si>
  <si>
    <t>CR</t>
  </si>
  <si>
    <t>Case</t>
  </si>
  <si>
    <t>CS</t>
  </si>
  <si>
    <t>Carton</t>
  </si>
  <si>
    <t>CT</t>
  </si>
  <si>
    <t>Cup</t>
  </si>
  <si>
    <t>CU</t>
  </si>
  <si>
    <t>Cover</t>
  </si>
  <si>
    <t>CV</t>
  </si>
  <si>
    <t>Can, cylindrical</t>
  </si>
  <si>
    <t>CX</t>
  </si>
  <si>
    <t>Cylinder</t>
  </si>
  <si>
    <t>CY</t>
  </si>
  <si>
    <t>Canvas</t>
  </si>
  <si>
    <t>CZ</t>
  </si>
  <si>
    <t>Demijohn, non-protected</t>
  </si>
  <si>
    <t>DJ</t>
  </si>
  <si>
    <t>Demijohn, protected</t>
  </si>
  <si>
    <t>DP</t>
  </si>
  <si>
    <t>Drum</t>
  </si>
  <si>
    <t>DR</t>
  </si>
  <si>
    <t>Envelope</t>
  </si>
  <si>
    <t>EN</t>
  </si>
  <si>
    <t>Fruit crate</t>
  </si>
  <si>
    <t>FC</t>
  </si>
  <si>
    <t>Framed crate</t>
  </si>
  <si>
    <t>FD</t>
  </si>
  <si>
    <t>Firkin</t>
  </si>
  <si>
    <t>FI</t>
  </si>
  <si>
    <t>Flask</t>
  </si>
  <si>
    <t>FL</t>
  </si>
  <si>
    <t>Footlocker</t>
  </si>
  <si>
    <t>FO</t>
  </si>
  <si>
    <t>Filmpack</t>
  </si>
  <si>
    <t>FP</t>
  </si>
  <si>
    <t>Frame</t>
  </si>
  <si>
    <t>FR</t>
  </si>
  <si>
    <t>Gas bottle</t>
  </si>
  <si>
    <t>GB</t>
  </si>
  <si>
    <t>Girder</t>
  </si>
  <si>
    <t>GI</t>
  </si>
  <si>
    <t>Girders, in bundle/bunch/truss</t>
  </si>
  <si>
    <t>GZ</t>
  </si>
  <si>
    <t>Hogshead</t>
  </si>
  <si>
    <t>HG</t>
  </si>
  <si>
    <t>Hamper</t>
  </si>
  <si>
    <t>HR</t>
  </si>
  <si>
    <t>Ingot</t>
  </si>
  <si>
    <t>IN</t>
  </si>
  <si>
    <t>Ingots, in bundle/bunch/truss</t>
  </si>
  <si>
    <t>IZ</t>
  </si>
  <si>
    <t>Jerrican, rectangular</t>
  </si>
  <si>
    <t>JC</t>
  </si>
  <si>
    <t>Jug</t>
  </si>
  <si>
    <t>JG</t>
  </si>
  <si>
    <t>Jar</t>
  </si>
  <si>
    <t>JR</t>
  </si>
  <si>
    <t>Jutebag</t>
  </si>
  <si>
    <t>JT</t>
  </si>
  <si>
    <t>Jerrican, cylindrical</t>
  </si>
  <si>
    <t>JY</t>
  </si>
  <si>
    <t>Keg</t>
  </si>
  <si>
    <t>Log</t>
  </si>
  <si>
    <t>LG</t>
  </si>
  <si>
    <t>Logs, in bundle/bunch/truss</t>
  </si>
  <si>
    <t>LZ</t>
  </si>
  <si>
    <t>Multiply bag</t>
  </si>
  <si>
    <t>MB</t>
  </si>
  <si>
    <t>Milk crate</t>
  </si>
  <si>
    <t>MC</t>
  </si>
  <si>
    <t>Multiwall sack</t>
  </si>
  <si>
    <t>MS</t>
  </si>
  <si>
    <t>Mat</t>
  </si>
  <si>
    <t>MT</t>
  </si>
  <si>
    <t>Match box</t>
  </si>
  <si>
    <t>MX</t>
  </si>
  <si>
    <t>Unpacked or unpackaged</t>
  </si>
  <si>
    <t>NE</t>
  </si>
  <si>
    <t>Nest</t>
  </si>
  <si>
    <t>NS</t>
  </si>
  <si>
    <t>Net</t>
  </si>
  <si>
    <t>NT</t>
  </si>
  <si>
    <t>Packet</t>
  </si>
  <si>
    <t>PA</t>
  </si>
  <si>
    <t>Parcel</t>
  </si>
  <si>
    <t>PC</t>
  </si>
  <si>
    <t>Plate</t>
  </si>
  <si>
    <t>PG</t>
  </si>
  <si>
    <t>Pitcher</t>
  </si>
  <si>
    <t>PH</t>
  </si>
  <si>
    <t>Pipe</t>
  </si>
  <si>
    <t>PI</t>
  </si>
  <si>
    <t>Package</t>
  </si>
  <si>
    <t>PK</t>
  </si>
  <si>
    <t>Pail</t>
  </si>
  <si>
    <t>PL</t>
  </si>
  <si>
    <t>Plank</t>
  </si>
  <si>
    <t>PN</t>
  </si>
  <si>
    <t>Pouch</t>
  </si>
  <si>
    <t>PO</t>
  </si>
  <si>
    <t>Pot</t>
  </si>
  <si>
    <t>PT</t>
  </si>
  <si>
    <t>Tray pack</t>
  </si>
  <si>
    <t>PU</t>
  </si>
  <si>
    <t>Tray</t>
  </si>
  <si>
    <t>Plates, in bundle/bunch/truss</t>
  </si>
  <si>
    <t>PY</t>
  </si>
  <si>
    <t>Planks, in bundle/bunch/truss</t>
  </si>
  <si>
    <t>PZ</t>
  </si>
  <si>
    <t>Pipes, in bundle/bunch/truss</t>
  </si>
  <si>
    <t>Rod</t>
  </si>
  <si>
    <t>RD</t>
  </si>
  <si>
    <t>Ring</t>
  </si>
  <si>
    <t>RG</t>
  </si>
  <si>
    <t>Reel</t>
  </si>
  <si>
    <t>RL</t>
  </si>
  <si>
    <t>Roll</t>
  </si>
  <si>
    <t>RO</t>
  </si>
  <si>
    <t>Rednet</t>
  </si>
  <si>
    <t>RT</t>
  </si>
  <si>
    <t>Rods, in bundle/bunch/truss</t>
  </si>
  <si>
    <t>RZ</t>
  </si>
  <si>
    <t>Sack</t>
  </si>
  <si>
    <t>SA</t>
  </si>
  <si>
    <t>Shallow crate</t>
  </si>
  <si>
    <t>SC</t>
  </si>
  <si>
    <t>Spindle</t>
  </si>
  <si>
    <t>SD</t>
  </si>
  <si>
    <t>Sea-chest</t>
  </si>
  <si>
    <t>SE</t>
  </si>
  <si>
    <t>Sachet</t>
  </si>
  <si>
    <t>SH</t>
  </si>
  <si>
    <t>Skeleton case</t>
  </si>
  <si>
    <t>SK</t>
  </si>
  <si>
    <t>Slipsheet</t>
  </si>
  <si>
    <t>SL</t>
  </si>
  <si>
    <t>Sheetmetal</t>
  </si>
  <si>
    <t>SM</t>
  </si>
  <si>
    <t>Sheet</t>
  </si>
  <si>
    <t>ST</t>
  </si>
  <si>
    <t>Suitcase</t>
  </si>
  <si>
    <t>SU</t>
  </si>
  <si>
    <t>Shrinkwrapped</t>
  </si>
  <si>
    <t>SW</t>
  </si>
  <si>
    <t>Sheets, in bundle/bunch/truss</t>
  </si>
  <si>
    <t>SZ</t>
  </si>
  <si>
    <t>Tub</t>
  </si>
  <si>
    <t>TB</t>
  </si>
  <si>
    <t>Tea-chest</t>
  </si>
  <si>
    <t>TC</t>
  </si>
  <si>
    <t>Tube, collapsible</t>
  </si>
  <si>
    <t>TD</t>
  </si>
  <si>
    <t>Collapsible tube</t>
  </si>
  <si>
    <t>Tank, rectangular</t>
  </si>
  <si>
    <t>TK</t>
  </si>
  <si>
    <t>Tin</t>
  </si>
  <si>
    <t>TN</t>
  </si>
  <si>
    <t>Tun</t>
  </si>
  <si>
    <t>TO</t>
  </si>
  <si>
    <t>Trunk</t>
  </si>
  <si>
    <t>TR</t>
  </si>
  <si>
    <t>Truss</t>
  </si>
  <si>
    <t>TS</t>
  </si>
  <si>
    <t>Tube</t>
  </si>
  <si>
    <t>TU</t>
  </si>
  <si>
    <t>Tank, cylindrical</t>
  </si>
  <si>
    <t>TY</t>
  </si>
  <si>
    <t>Tubes, in bundle/bunch/truss</t>
  </si>
  <si>
    <t>TZ</t>
  </si>
  <si>
    <t>Vat</t>
  </si>
  <si>
    <t>VA</t>
  </si>
  <si>
    <t>Bulk, gas (at 1031 mbar and 15°C)</t>
  </si>
  <si>
    <t>VG</t>
  </si>
  <si>
    <t>Vial</t>
  </si>
  <si>
    <t>VI</t>
  </si>
  <si>
    <t>Bulk, liquid</t>
  </si>
  <si>
    <t>VL</t>
  </si>
  <si>
    <t>Bulk, solid, large particles (“nodules”)</t>
  </si>
  <si>
    <t>VO</t>
  </si>
  <si>
    <t>Vacuum-packed</t>
  </si>
  <si>
    <t>VP</t>
  </si>
  <si>
    <t>Bulk, liquefied gas (at abnormal temperature/pressure)</t>
  </si>
  <si>
    <t>VQ</t>
  </si>
  <si>
    <t>Bulk, solid, granular particles (“grains”)</t>
  </si>
  <si>
    <t>VR</t>
  </si>
  <si>
    <t>Bulk, solid, fine particles (“powders”)</t>
  </si>
  <si>
    <t>VY</t>
  </si>
  <si>
    <t>Wickerbottle</t>
  </si>
  <si>
    <t>WB</t>
  </si>
  <si>
    <t>Package type name</t>
  </si>
  <si>
    <t>Package type code</t>
  </si>
  <si>
    <t>Package code</t>
  </si>
  <si>
    <t>X</t>
  </si>
  <si>
    <t>Y</t>
  </si>
  <si>
    <t>Z</t>
  </si>
  <si>
    <t>OS</t>
  </si>
  <si>
    <t>UNKNOWN</t>
  </si>
  <si>
    <t>MARPOL Codes</t>
  </si>
  <si>
    <t>SHT</t>
  </si>
  <si>
    <t>SHT-SBT</t>
  </si>
  <si>
    <t>DHT</t>
  </si>
  <si>
    <t>Ship Configurations</t>
  </si>
  <si>
    <t>General cargo vessel</t>
  </si>
  <si>
    <t>Vessel designed to carry general cargo.</t>
  </si>
  <si>
    <t>Grain vessel</t>
  </si>
  <si>
    <t>Vessel designed to carry grain.</t>
  </si>
  <si>
    <t>Vessel designed to carry logs and timber.</t>
  </si>
  <si>
    <t>Wood chips vessel</t>
  </si>
  <si>
    <t>Vessel designed to carry wood chips.</t>
  </si>
  <si>
    <t>Steel products vessel</t>
  </si>
  <si>
    <t>Vessel designed to carry steel products.</t>
  </si>
  <si>
    <t>Carrier, general cargo/container</t>
  </si>
  <si>
    <t>Vessel designed to carry general cargo and containers.</t>
  </si>
  <si>
    <t>Temperature controlled cargo vessels</t>
  </si>
  <si>
    <t>Vessel designed to carry temperature-controlled cargo.</t>
  </si>
  <si>
    <t>Unit carrier</t>
  </si>
  <si>
    <t>Vessel designed to carry unit loads</t>
  </si>
  <si>
    <t>Full container ship/cellular vessel</t>
  </si>
  <si>
    <t>Vessel designed to carry containers only.</t>
  </si>
  <si>
    <t>RoRo vessel</t>
  </si>
  <si>
    <t>Vessel with ramp designed to carry roll-on/roll-off cargo.</t>
  </si>
  <si>
    <t>Car carrier</t>
  </si>
  <si>
    <t>Vessel designed to carry automotive vehicles or their knock-down parts.</t>
  </si>
  <si>
    <t>Livestock carrier</t>
  </si>
  <si>
    <t>Vessel designed to carry livestock.</t>
  </si>
  <si>
    <t>Barge carrier – Lash ship</t>
  </si>
  <si>
    <t>Vessel designed to carry barges. Lash means lighters aboard ship.</t>
  </si>
  <si>
    <t>Chemical carrier</t>
  </si>
  <si>
    <t>Vessel designed to carry chemicals in bulk or drums not in tanks.</t>
  </si>
  <si>
    <t>Irradiated fuel carrier</t>
  </si>
  <si>
    <t>Vessel designed to carry irradiated fuel.</t>
  </si>
  <si>
    <t>Heavy cargo vessel</t>
  </si>
  <si>
    <t>Ship designed to carry heavy cargo.</t>
  </si>
  <si>
    <t>RoRo/Container vessel</t>
  </si>
  <si>
    <t>Vessel designed to carry both containers and roll-on/roll-off cargo.</t>
  </si>
  <si>
    <t>Bulk carrier</t>
  </si>
  <si>
    <t>Vessel designed to carry bulk cargo.</t>
  </si>
  <si>
    <t>Dry bulk carrier</t>
  </si>
  <si>
    <t>Vessel designed to carry dry bulk (expellers)</t>
  </si>
  <si>
    <t>Ore carrier</t>
  </si>
  <si>
    <t>Vessel designed to carry ore.</t>
  </si>
  <si>
    <t>Cement carrier</t>
  </si>
  <si>
    <t>Vessel designed to carry cement.</t>
  </si>
  <si>
    <t>Gravel carrier</t>
  </si>
  <si>
    <t>Vessel designed to carry gravel.</t>
  </si>
  <si>
    <t>Coal carrier</t>
  </si>
  <si>
    <t>Vessel designed to carry coal.</t>
  </si>
  <si>
    <t>Tanker</t>
  </si>
  <si>
    <t>Vessel solely equipped with tanks to carry cargo.</t>
  </si>
  <si>
    <t>Crude oil tanker</t>
  </si>
  <si>
    <t>Tanker designed to carry crude oil.</t>
  </si>
  <si>
    <t>Chemical tanker, coaster</t>
  </si>
  <si>
    <t>Tanker designed to carry chemicals in coastal traffic.</t>
  </si>
  <si>
    <t>Chemical tanker, deep sea</t>
  </si>
  <si>
    <t>Tanker designed to carry chemicals in deep sea.</t>
  </si>
  <si>
    <t>Oil and other derivatives tanker</t>
  </si>
  <si>
    <t>Tanker designed to carry oil and other derivatives.</t>
  </si>
  <si>
    <t>Liquefied gas tanker</t>
  </si>
  <si>
    <t>Tanker designed to carry liquefied gas.</t>
  </si>
  <si>
    <t>LPG tanker</t>
  </si>
  <si>
    <t>Vessel designed to carry Liquefied Petroleum Gas (LPG).</t>
  </si>
  <si>
    <t>LNG tanker</t>
  </si>
  <si>
    <t>Tanker designed to carry Liquefied Natural Gas (LNG).</t>
  </si>
  <si>
    <t>LNG/LPG tanker</t>
  </si>
  <si>
    <t>Other special tanker</t>
  </si>
  <si>
    <t>Tanker designed to carry other special liquids.</t>
  </si>
  <si>
    <t>Asphalt/bitumen tanker</t>
  </si>
  <si>
    <t>Tanker designed asphalt and bitumen.</t>
  </si>
  <si>
    <t>Molasses tanker</t>
  </si>
  <si>
    <t>Tanker designed to carry molasses.</t>
  </si>
  <si>
    <t>Vegetable oil tanker</t>
  </si>
  <si>
    <t>Tanker designed to carry vegetable oil.</t>
  </si>
  <si>
    <t>Cargo and passenger vessel</t>
  </si>
  <si>
    <t>Vessel designed to carry cargo and passengers.</t>
  </si>
  <si>
    <t>Passenger ship</t>
  </si>
  <si>
    <t>Vessel designed to carry more than 12 passengers.</t>
  </si>
  <si>
    <t>Cruise ship</t>
  </si>
  <si>
    <t>Passenger ship designed to carry tourists on specified routes.</t>
  </si>
  <si>
    <t>Ferry</t>
  </si>
  <si>
    <t>Vessel designed to ply regularly between two or more ports.</t>
  </si>
  <si>
    <t>Other passenger ship</t>
  </si>
  <si>
    <t>Vessel designed to carry passengers, not otherwise specified.</t>
  </si>
  <si>
    <t>Passenger ship, sailing</t>
  </si>
  <si>
    <t>Vessel designed to carry passengers and mainly propelled by sails.</t>
  </si>
  <si>
    <t>Assistance vessel</t>
  </si>
  <si>
    <t>Vessel designed to give assistance.</t>
  </si>
  <si>
    <t>Tug, without tow</t>
  </si>
  <si>
    <t>Vessel designed to tow objects but sailing alone.</t>
  </si>
  <si>
    <t>Tug, with tow</t>
  </si>
  <si>
    <t>Vessel designed to tow, and towing an object.</t>
  </si>
  <si>
    <t>Salvage vessel</t>
  </si>
  <si>
    <t>Vessel designed to salvage.</t>
  </si>
  <si>
    <t>Rescue vessel</t>
  </si>
  <si>
    <t>Vessel designed to effect rescue operations.</t>
  </si>
  <si>
    <t>Oil combat vessel</t>
  </si>
  <si>
    <t>Vessel designed to combat oil spills.</t>
  </si>
  <si>
    <t>Oil rig</t>
  </si>
  <si>
    <t>Object designed for drilling oil at sea.</t>
  </si>
  <si>
    <t>Hospital vessel</t>
  </si>
  <si>
    <t>Vessel designed to serve as a hospital at sea.</t>
  </si>
  <si>
    <t>Other sea-going vessel</t>
  </si>
  <si>
    <t>Sea-going vessel, not otherwise specified.</t>
  </si>
  <si>
    <t>Pilot boat</t>
  </si>
  <si>
    <t>Vessel designed to convey pilots to/from ships.</t>
  </si>
  <si>
    <t>Patrol/measure ship</t>
  </si>
  <si>
    <t>Vessel designed to guard, patrol or measure.</t>
  </si>
  <si>
    <t>Work ship</t>
  </si>
  <si>
    <t>Vessel designed to assist in work.</t>
  </si>
  <si>
    <t>Supply vessel</t>
  </si>
  <si>
    <t>Vessel designed to provide supplies.</t>
  </si>
  <si>
    <t>Offshore support vessel</t>
  </si>
  <si>
    <t>Vessel designed to provide offshore support.</t>
  </si>
  <si>
    <t>Pontoon</t>
  </si>
  <si>
    <t>Flat-bottomed vessel with a flat deck.</t>
  </si>
  <si>
    <t>Stone dumping vessel</t>
  </si>
  <si>
    <t>Vessel designed to dump stones.</t>
  </si>
  <si>
    <t>Cable layer</t>
  </si>
  <si>
    <t>Vessel designed to lay cable.</t>
  </si>
  <si>
    <t>Buoyage vessel</t>
  </si>
  <si>
    <t>Vessel designed to handle buoys.</t>
  </si>
  <si>
    <t>Icebreaker</t>
  </si>
  <si>
    <t>Vessel designed to break ice.</t>
  </si>
  <si>
    <t>Pipelaying vessel</t>
  </si>
  <si>
    <t>Vessel designed to lay pipe.</t>
  </si>
  <si>
    <t>Push boat</t>
  </si>
  <si>
    <t>Vessel designed to push other vessels.</t>
  </si>
  <si>
    <t>Dredger</t>
  </si>
  <si>
    <t>Vessel designed to scoop or suck mud or sand.</t>
  </si>
  <si>
    <t>Fishing boat</t>
  </si>
  <si>
    <t>Vessel designed for fishing.</t>
  </si>
  <si>
    <t>Trawler</t>
  </si>
  <si>
    <t>Vessel designed to drag a bag-like net.</t>
  </si>
  <si>
    <t>Cutter</t>
  </si>
  <si>
    <t>Small vessel that sometimes can be carried on a larger ship.</t>
  </si>
  <si>
    <t>Factory ship</t>
  </si>
  <si>
    <t>Vessel designed as a fish factory.</t>
  </si>
  <si>
    <t>Research and education ship</t>
  </si>
  <si>
    <t>Vessel designed for research and education.</t>
  </si>
  <si>
    <t>Fishery research vessel</t>
  </si>
  <si>
    <t>Vessel designed for fishery research.</t>
  </si>
  <si>
    <t>Climate registration vessel</t>
  </si>
  <si>
    <t>Vessel designed for climate registration.</t>
  </si>
  <si>
    <t>Ship for environmental measurement</t>
  </si>
  <si>
    <t>Vessel designed for environmental monitoring and measurement.</t>
  </si>
  <si>
    <t>Scientific vessel</t>
  </si>
  <si>
    <t>Vessel designed for scientific purposes.</t>
  </si>
  <si>
    <t>Sailing school ship</t>
  </si>
  <si>
    <t>Vessel designed for training, powered by sail.</t>
  </si>
  <si>
    <t>Training vessel</t>
  </si>
  <si>
    <t>Vessel designed for training.</t>
  </si>
  <si>
    <t>Navy vessel</t>
  </si>
  <si>
    <t>Vessel operated by a Navy.</t>
  </si>
  <si>
    <t>Structure, floating</t>
  </si>
  <si>
    <t>Any floating structure.</t>
  </si>
  <si>
    <t>Crane, floating</t>
  </si>
  <si>
    <t>A crane mounted on a barge or pontoon.</t>
  </si>
  <si>
    <t>Dock, floating</t>
  </si>
  <si>
    <t>A submersible floating structure used as a dock.</t>
  </si>
  <si>
    <t>Pleasure boat</t>
  </si>
  <si>
    <t>Vessel designed for recreation.</t>
  </si>
  <si>
    <t>Speedboat</t>
  </si>
  <si>
    <t>Vessel designed for speed, often used for recreation.</t>
  </si>
  <si>
    <t>Sailing boat with auxiliary motor</t>
  </si>
  <si>
    <t>Vessel designed primarily for sailing outfitted with an auxiliary motor.</t>
  </si>
  <si>
    <t>Sailing yacht</t>
  </si>
  <si>
    <t>A specific type of vessel mostly used for pleasure and designed for sailing.</t>
  </si>
  <si>
    <t>Boat for sport fishing</t>
  </si>
  <si>
    <t>Vessel designed for sport fishing.</t>
  </si>
  <si>
    <t>Craft, pleasure, longer than 20 metres</t>
  </si>
  <si>
    <t>Vessel longer than 20 metres, designed for recreation.</t>
  </si>
  <si>
    <t>Craft, other, recreational</t>
  </si>
  <si>
    <t>Vessel designed for recreation, not otherwise specified.</t>
  </si>
  <si>
    <t>Fast ship</t>
  </si>
  <si>
    <t>Fast, all-purpose vessel.</t>
  </si>
  <si>
    <t>Hydrofoil</t>
  </si>
  <si>
    <t>Vessel with wing-like structure for skimming at high speed.</t>
  </si>
  <si>
    <t>Catamaran, fast</t>
  </si>
  <si>
    <t>Fast vessel designed with two parallel hulls</t>
  </si>
  <si>
    <t>Timber/log carrier</t>
  </si>
  <si>
    <t>Tanker designed to carry Liquefied Natural Gas (LNG) and Liquefied Petroleum Gas (LPG).</t>
  </si>
  <si>
    <t>Description</t>
  </si>
  <si>
    <t>To Port of Call</t>
  </si>
  <si>
    <t>From Port of Call</t>
  </si>
  <si>
    <t>Hazmat types</t>
  </si>
  <si>
    <t>ISSC type</t>
  </si>
  <si>
    <t>ALL</t>
  </si>
  <si>
    <t>SOME</t>
  </si>
  <si>
    <t>Units</t>
  </si>
  <si>
    <t>TNE</t>
  </si>
  <si>
    <t>Minimum date</t>
  </si>
  <si>
    <t>Maximum date</t>
  </si>
  <si>
    <t>Waste oils</t>
  </si>
  <si>
    <t>Garbage</t>
  </si>
  <si>
    <t>Sewage</t>
  </si>
  <si>
    <t>Cargo Residues</t>
  </si>
  <si>
    <t>Food waste</t>
  </si>
  <si>
    <t>Plastic (except: cargo residues)</t>
  </si>
  <si>
    <t>Dunnage, lining or packing material</t>
  </si>
  <si>
    <t>Oily tank washings</t>
  </si>
  <si>
    <t>Used engine oil</t>
  </si>
  <si>
    <t>International catering waste</t>
  </si>
  <si>
    <t>Oily (dirty) ballast water</t>
  </si>
  <si>
    <t>Paper products</t>
  </si>
  <si>
    <t>Scale and sludge from tank cleaning</t>
  </si>
  <si>
    <t>Rags</t>
  </si>
  <si>
    <t>Glass</t>
  </si>
  <si>
    <t>Washing waters containing noxious cargo residues: specify in free text field using MARPOL Annex II category X, Y, Z, OS:</t>
  </si>
  <si>
    <t>Metal</t>
  </si>
  <si>
    <t>Ballast water containing noxious cargo residues: specify in free text field using MARPOL Annex II category X, Y, Z, OS:</t>
  </si>
  <si>
    <t>Bottles</t>
  </si>
  <si>
    <t>Crockery</t>
  </si>
  <si>
    <t>Cargo hold washing water containing residues and or cleaning agents or additives harmful to the marine environment: specify in free text field</t>
  </si>
  <si>
    <t>Incinerator ashes and clinkers</t>
  </si>
  <si>
    <t>Cargo hold washing water containing residues and or cleaning agents or additives NOT harmful to the marine environment: specify in free text field</t>
  </si>
  <si>
    <t>Animal carcasses</t>
  </si>
  <si>
    <t>Dry cargo residues harmful to the marine environment: specify in free text field</t>
  </si>
  <si>
    <t>Dry cargo residues NOT harmful to the marine environment: specify in free text field</t>
  </si>
  <si>
    <t>Cooking oil</t>
  </si>
  <si>
    <t>Deck and external surfaces wash water containing cleaning agents or additives harmful to the marine environment</t>
  </si>
  <si>
    <t>Full (ISSC)</t>
  </si>
  <si>
    <t>Interim (IISSC)</t>
  </si>
  <si>
    <t>Doctype</t>
  </si>
  <si>
    <t>UN Number</t>
  </si>
  <si>
    <t>Transport document ID</t>
  </si>
  <si>
    <t>Waste categories</t>
  </si>
  <si>
    <t>Waste_oils</t>
  </si>
  <si>
    <t>Cargo_associated_waste</t>
  </si>
  <si>
    <t>Cargo_residues</t>
  </si>
  <si>
    <t>Waste type</t>
  </si>
  <si>
    <t>Waste code</t>
  </si>
  <si>
    <t>Total (maximum 9)</t>
  </si>
  <si>
    <t>Inmarsat Call numbers</t>
  </si>
  <si>
    <t>Document version</t>
  </si>
  <si>
    <t>Inmarsat Call number 1</t>
  </si>
  <si>
    <t>Inmarsat Call number 2</t>
  </si>
  <si>
    <t>Inmarsat Call number 3</t>
  </si>
  <si>
    <t>Inmarsat Call number 4</t>
  </si>
  <si>
    <t>Inmarsat Call number 5</t>
  </si>
  <si>
    <t>Cargo Associated Waste</t>
  </si>
  <si>
    <t>Package count</t>
  </si>
  <si>
    <t>Ship type code</t>
  </si>
  <si>
    <t>Cargo operations</t>
  </si>
  <si>
    <t>Discharging and/or loading of cargo.</t>
  </si>
  <si>
    <t>Passenger movement</t>
  </si>
  <si>
    <t>Embarking and/or disembarking of passengers.</t>
  </si>
  <si>
    <t>Taking bunkers</t>
  </si>
  <si>
    <t>Taking bunker (refuelling).</t>
  </si>
  <si>
    <t>Changing crew</t>
  </si>
  <si>
    <t>Changing crew member(s).</t>
  </si>
  <si>
    <t>Goodwill visit</t>
  </si>
  <si>
    <t>Friendly visit.</t>
  </si>
  <si>
    <t>Taking supplies</t>
  </si>
  <si>
    <t>Taking supplies.</t>
  </si>
  <si>
    <t>Repair</t>
  </si>
  <si>
    <t>To effect repair.</t>
  </si>
  <si>
    <t>Laid-up</t>
  </si>
  <si>
    <t>Inactive service.</t>
  </si>
  <si>
    <t>Awaiting orders</t>
  </si>
  <si>
    <t>Awaiting job order.</t>
  </si>
  <si>
    <t>Miscellaneous</t>
  </si>
  <si>
    <t>Miscellaneous purpose of call.</t>
  </si>
  <si>
    <t>Crew movement</t>
  </si>
  <si>
    <t>Embarking and/or disembarking of crews.</t>
  </si>
  <si>
    <t>Cruise, leisure and recreation</t>
  </si>
  <si>
    <t>To visit a port for cruise, leisure and recreation.</t>
  </si>
  <si>
    <t>Under government order</t>
  </si>
  <si>
    <t>This is a visit to a port which has been ordered by government.</t>
  </si>
  <si>
    <t>Quarantine inspection</t>
  </si>
  <si>
    <t>To have a quarantine inspection.</t>
  </si>
  <si>
    <t>Refuge</t>
  </si>
  <si>
    <t>To seek protection against something unpleasant and/or threatening such as bad weather or danger.</t>
  </si>
  <si>
    <t>Activity</t>
  </si>
  <si>
    <t>ISSC number</t>
  </si>
  <si>
    <t>http://mca-wordpress.ibboost.com</t>
  </si>
  <si>
    <t>Project resources and news updates</t>
  </si>
  <si>
    <t>MCA website</t>
  </si>
  <si>
    <t>https://www.gov.uk/government/organisations/maritime-and-coastguard-agency</t>
  </si>
  <si>
    <t>IB Boost website</t>
  </si>
  <si>
    <t>Is the crew list uploaded (FAL 5)</t>
  </si>
  <si>
    <t>Is the passenger list uploaded (FAL 6)</t>
  </si>
  <si>
    <t>Call sign</t>
  </si>
  <si>
    <t>https://www.ibboost.com</t>
  </si>
  <si>
    <t>USAGE</t>
  </si>
  <si>
    <t>LOCODE</t>
  </si>
  <si>
    <t>BOOLEAN</t>
  </si>
  <si>
    <t>ISSC is valid?</t>
  </si>
  <si>
    <t>Include sections</t>
  </si>
  <si>
    <t>Last updated</t>
  </si>
  <si>
    <t>Source</t>
  </si>
  <si>
    <t>Ship-to-ship No</t>
  </si>
  <si>
    <t>Port call No</t>
  </si>
  <si>
    <t>Recommended: In addition to IMO number, a minimum of either Ship name, Call sign or MMSI Number should be provided.</t>
  </si>
  <si>
    <t>Approved security plan?</t>
  </si>
  <si>
    <t>Note: Did the ship take any special or additional security measures, beyond those in the approved SSP? If yes, indicate the special or additional security measures taken by the ship in this column.</t>
  </si>
  <si>
    <t>Note: List the ship-to-ship activities, in chronological order (most recent first), which have been carried out during the period of the last ten calls at port facilities listed in the table above.</t>
  </si>
  <si>
    <t>Note: Have the ship security procedures specified in the approved SSP been maintained during each of these ship-to-ship activities? If NO, please provide details of the security measures applied in lieu in this column.</t>
  </si>
  <si>
    <t>CERS 3: PortPlus Offline Excel Voyage Form</t>
  </si>
  <si>
    <t>cers@mcga.gov.uk</t>
  </si>
  <si>
    <t>Document Template Information</t>
  </si>
  <si>
    <t>Version date</t>
  </si>
  <si>
    <t>Template last edited by</t>
  </si>
  <si>
    <t>IB Boost Ltd</t>
  </si>
  <si>
    <t>NOTES</t>
  </si>
  <si>
    <t>AEABU</t>
  </si>
  <si>
    <t>Abu al Bukhoosh</t>
  </si>
  <si>
    <t>AEAUH</t>
  </si>
  <si>
    <t>Abu Dhabi</t>
  </si>
  <si>
    <t>AEAMU</t>
  </si>
  <si>
    <t>Abu Musa</t>
  </si>
  <si>
    <t>AEARP</t>
  </si>
  <si>
    <t>Ahmed Bin Rashid Port</t>
  </si>
  <si>
    <t>AEAJM</t>
  </si>
  <si>
    <t>Ajman</t>
  </si>
  <si>
    <t>AEFJR</t>
  </si>
  <si>
    <t>Al Fujayrah</t>
  </si>
  <si>
    <t>AEJAZ</t>
  </si>
  <si>
    <t>Al Jazeera Port</t>
  </si>
  <si>
    <t>AEAJP</t>
  </si>
  <si>
    <t>Al Jeer Port</t>
  </si>
  <si>
    <t>AERUW</t>
  </si>
  <si>
    <t>Ar Ruways</t>
  </si>
  <si>
    <t>AEDAS</t>
  </si>
  <si>
    <t>Das Island</t>
  </si>
  <si>
    <t>AEDBP</t>
  </si>
  <si>
    <t>Dibba</t>
  </si>
  <si>
    <t>AEDXB</t>
  </si>
  <si>
    <t>Dubai</t>
  </si>
  <si>
    <t>AEEND</t>
  </si>
  <si>
    <t>Esnnad</t>
  </si>
  <si>
    <t>AEFAT</t>
  </si>
  <si>
    <t>Fateh Terminal</t>
  </si>
  <si>
    <t>AEFRP</t>
  </si>
  <si>
    <t>Free Port</t>
  </si>
  <si>
    <t>AEHZP</t>
  </si>
  <si>
    <t>Hamriya Free Zone Port</t>
  </si>
  <si>
    <t>AEHTL</t>
  </si>
  <si>
    <t>Hulaylah Terminal</t>
  </si>
  <si>
    <t>AEJEA</t>
  </si>
  <si>
    <t>Jebel Ali</t>
  </si>
  <si>
    <t>AEQWE</t>
  </si>
  <si>
    <t>Jebel Ali Free Zone</t>
  </si>
  <si>
    <t>AEJED</t>
  </si>
  <si>
    <t>Jebel Dhanna</t>
  </si>
  <si>
    <t>AEKLB</t>
  </si>
  <si>
    <t>Kalba</t>
  </si>
  <si>
    <t>AEKLF</t>
  </si>
  <si>
    <t>Khor al Fakkan</t>
  </si>
  <si>
    <t>AEMKH</t>
  </si>
  <si>
    <t>Mina Khalid</t>
  </si>
  <si>
    <t>AEKHL</t>
  </si>
  <si>
    <t>Mina Khalifa/Abu Dhabi</t>
  </si>
  <si>
    <t>AEMRP</t>
  </si>
  <si>
    <t>Mina Rashid Port</t>
  </si>
  <si>
    <t>AEMSA</t>
  </si>
  <si>
    <t>Mina Saqr</t>
  </si>
  <si>
    <t>AEMZD</t>
  </si>
  <si>
    <t>Mina Zayed/Abu Dhabi</t>
  </si>
  <si>
    <t>AERFA</t>
  </si>
  <si>
    <t>Mirfa</t>
  </si>
  <si>
    <t>AEMUB</t>
  </si>
  <si>
    <t>Mubarek Terminal</t>
  </si>
  <si>
    <t>AEMBS</t>
  </si>
  <si>
    <t>Mubarras Island</t>
  </si>
  <si>
    <t>AEAMF</t>
  </si>
  <si>
    <t>Mussafah</t>
  </si>
  <si>
    <t>AEOFJ</t>
  </si>
  <si>
    <t>AEPRA</t>
  </si>
  <si>
    <t>Port Rashid</t>
  </si>
  <si>
    <t>AERKP</t>
  </si>
  <si>
    <t>Rak Khor Port</t>
  </si>
  <si>
    <t>AERMC</t>
  </si>
  <si>
    <t>Rak Maritime City</t>
  </si>
  <si>
    <t>AERKT</t>
  </si>
  <si>
    <t>Ras al Khaimah</t>
  </si>
  <si>
    <t>AERWP</t>
  </si>
  <si>
    <t>Ruwais Port</t>
  </si>
  <si>
    <t>AESID</t>
  </si>
  <si>
    <t>Sadiyat Island</t>
  </si>
  <si>
    <t>AESHJ</t>
  </si>
  <si>
    <t>Sharjah</t>
  </si>
  <si>
    <t>AEDUJ</t>
  </si>
  <si>
    <t>The Palm Jumeirah</t>
  </si>
  <si>
    <t>AEULR</t>
  </si>
  <si>
    <t>Umm Al Nar</t>
  </si>
  <si>
    <t>AEQIW</t>
  </si>
  <si>
    <t>Umm al Qaiwain</t>
  </si>
  <si>
    <t>AEYAS</t>
  </si>
  <si>
    <t>Yas Island</t>
  </si>
  <si>
    <t>AEZUR</t>
  </si>
  <si>
    <t>Zirku Island</t>
  </si>
  <si>
    <t>AFDHD</t>
  </si>
  <si>
    <t>Dehdadi</t>
  </si>
  <si>
    <t>AFQLT</t>
  </si>
  <si>
    <t>Qalat</t>
  </si>
  <si>
    <t>AFRKH</t>
  </si>
  <si>
    <t>Torkham</t>
  </si>
  <si>
    <t>AGANU</t>
  </si>
  <si>
    <t>Antigua</t>
  </si>
  <si>
    <t>AGBBQ</t>
  </si>
  <si>
    <t>Barbuda</t>
  </si>
  <si>
    <t>AGFAM</t>
  </si>
  <si>
    <t>Falmouth</t>
  </si>
  <si>
    <t>AGPHM</t>
  </si>
  <si>
    <t>Parham</t>
  </si>
  <si>
    <t>AGSJO</t>
  </si>
  <si>
    <t>Saint John's</t>
  </si>
  <si>
    <t>AIBLP</t>
  </si>
  <si>
    <t>Blowing Point</t>
  </si>
  <si>
    <t>AIMBB</t>
  </si>
  <si>
    <t>Meads Bay Beach</t>
  </si>
  <si>
    <t>AISOM</t>
  </si>
  <si>
    <t>Sombrero</t>
  </si>
  <si>
    <t>AIFOR</t>
  </si>
  <si>
    <t>The Forest</t>
  </si>
  <si>
    <t>AIROA</t>
  </si>
  <si>
    <t>The Road</t>
  </si>
  <si>
    <t>AIWLL</t>
  </si>
  <si>
    <t>Wall Blake</t>
  </si>
  <si>
    <t>ALBUT</t>
  </si>
  <si>
    <t>Butrint</t>
  </si>
  <si>
    <t>ALDRZ</t>
  </si>
  <si>
    <t>ALHMR</t>
  </si>
  <si>
    <t>Himare</t>
  </si>
  <si>
    <t>ALSAR</t>
  </si>
  <si>
    <t>ALSHG</t>
  </si>
  <si>
    <t>ALVOA</t>
  </si>
  <si>
    <t>AMJER</t>
  </si>
  <si>
    <t>Jermuk</t>
  </si>
  <si>
    <t>AOAZZ</t>
  </si>
  <si>
    <t>Ambriz</t>
  </si>
  <si>
    <t>AOBAB</t>
  </si>
  <si>
    <t>Baba</t>
  </si>
  <si>
    <t>AOBDT</t>
  </si>
  <si>
    <t>AOBDD</t>
  </si>
  <si>
    <t>Barra do Dande</t>
  </si>
  <si>
    <t>AOBUG</t>
  </si>
  <si>
    <t>Benguela</t>
  </si>
  <si>
    <t>AOCAB</t>
  </si>
  <si>
    <t>Cabinda</t>
  </si>
  <si>
    <t>AOCPO</t>
  </si>
  <si>
    <t>Capulo</t>
  </si>
  <si>
    <t>AOCLV</t>
  </si>
  <si>
    <t>CLOV FPSO</t>
  </si>
  <si>
    <t>AOCUI</t>
  </si>
  <si>
    <t>Cuio</t>
  </si>
  <si>
    <t>AODAL</t>
  </si>
  <si>
    <t>Dalia</t>
  </si>
  <si>
    <t>AODGR</t>
  </si>
  <si>
    <t>Dombe Grande</t>
  </si>
  <si>
    <t>AOETN</t>
  </si>
  <si>
    <t>Essungo Terminal</t>
  </si>
  <si>
    <t>AOFBY</t>
  </si>
  <si>
    <t>Farta Bay</t>
  </si>
  <si>
    <t>AOFLT</t>
  </si>
  <si>
    <t>Futila Terminal</t>
  </si>
  <si>
    <t>AOGIM</t>
  </si>
  <si>
    <t>Gimboa</t>
  </si>
  <si>
    <t>AOGIR</t>
  </si>
  <si>
    <t>Girassol Terminal</t>
  </si>
  <si>
    <t>AOGPO</t>
  </si>
  <si>
    <t>Greater Plutonio</t>
  </si>
  <si>
    <t>AOKTI</t>
  </si>
  <si>
    <t>Kiame Terminal</t>
  </si>
  <si>
    <t>AOKOT</t>
  </si>
  <si>
    <t>Kuito Terminal</t>
  </si>
  <si>
    <t>AOLAA</t>
  </si>
  <si>
    <t>Landana (Cacongo)</t>
  </si>
  <si>
    <t>AOLIE</t>
  </si>
  <si>
    <t>Lieura</t>
  </si>
  <si>
    <t>AOLOB</t>
  </si>
  <si>
    <t>Lobito</t>
  </si>
  <si>
    <t>AOLBT</t>
  </si>
  <si>
    <t>Lombo Terminal</t>
  </si>
  <si>
    <t>AOLAD</t>
  </si>
  <si>
    <t>Luanda</t>
  </si>
  <si>
    <t>AOLUC</t>
  </si>
  <si>
    <t>Lucira</t>
  </si>
  <si>
    <t>AOMSZ</t>
  </si>
  <si>
    <t>Namibe</t>
  </si>
  <si>
    <t>AONQI</t>
  </si>
  <si>
    <t>AONTO</t>
  </si>
  <si>
    <t>N'Zeto (Ambrizete)</t>
  </si>
  <si>
    <t>AOPAT</t>
  </si>
  <si>
    <t>Palanca Terminal</t>
  </si>
  <si>
    <t>AOPAZ</t>
  </si>
  <si>
    <t>Pazflor FPSO</t>
  </si>
  <si>
    <t>AOPLE</t>
  </si>
  <si>
    <t>Porto Alexandre (Tombua)</t>
  </si>
  <si>
    <t>AOPBN</t>
  </si>
  <si>
    <t>Porto Amboim</t>
  </si>
  <si>
    <t>AOPSA</t>
  </si>
  <si>
    <t>Porto Saco (Portosalazar)</t>
  </si>
  <si>
    <t>AORSN</t>
  </si>
  <si>
    <t>River Sao Nicolau</t>
  </si>
  <si>
    <t>AOSBT</t>
  </si>
  <si>
    <t>Saxi Batuque FPSO</t>
  </si>
  <si>
    <t>AOSTL</t>
  </si>
  <si>
    <t>Sazaire Terminal</t>
  </si>
  <si>
    <t>AOSZA</t>
  </si>
  <si>
    <t>Soyo</t>
  </si>
  <si>
    <t>AOSOQ</t>
  </si>
  <si>
    <t>Soyo-Quinfuquena Terminal</t>
  </si>
  <si>
    <t>AONDD</t>
  </si>
  <si>
    <t>Sumbe</t>
  </si>
  <si>
    <t>AOTAK</t>
  </si>
  <si>
    <t>Takula Terminal</t>
  </si>
  <si>
    <t>AQABA</t>
  </si>
  <si>
    <t>Aboa</t>
  </si>
  <si>
    <t>AQARC</t>
  </si>
  <si>
    <t>Arctowski</t>
  </si>
  <si>
    <t>AQART</t>
  </si>
  <si>
    <t>Artigas</t>
  </si>
  <si>
    <t>AQAPT</t>
  </si>
  <si>
    <t>Arturo Prat</t>
  </si>
  <si>
    <t>AQBHN</t>
  </si>
  <si>
    <t>Bellingshausen</t>
  </si>
  <si>
    <t>AQCAS</t>
  </si>
  <si>
    <t>Casey Station</t>
  </si>
  <si>
    <t>AQCFZ</t>
  </si>
  <si>
    <t>Comandante Ferraz</t>
  </si>
  <si>
    <t>AQDAV</t>
  </si>
  <si>
    <t>Davis Station</t>
  </si>
  <si>
    <t>AQDDU</t>
  </si>
  <si>
    <t>Dumont d'Urville Station</t>
  </si>
  <si>
    <t>AQESC</t>
  </si>
  <si>
    <t>Escudero</t>
  </si>
  <si>
    <t>AQESP</t>
  </si>
  <si>
    <t>Esperanza</t>
  </si>
  <si>
    <t>AQOHG</t>
  </si>
  <si>
    <t>General Bernardo O'higgins</t>
  </si>
  <si>
    <t>AQGWL</t>
  </si>
  <si>
    <t>Great Wall</t>
  </si>
  <si>
    <t>AQHLY</t>
  </si>
  <si>
    <t>Halley</t>
  </si>
  <si>
    <t>AQJBS</t>
  </si>
  <si>
    <t>Jang Bogo Station</t>
  </si>
  <si>
    <t>AQJCP</t>
  </si>
  <si>
    <t>Juan Carlos Primero</t>
  </si>
  <si>
    <t>AQJUB</t>
  </si>
  <si>
    <t>Jubany</t>
  </si>
  <si>
    <t>AQKSG</t>
  </si>
  <si>
    <t>King Sejong</t>
  </si>
  <si>
    <t>AQKHN</t>
  </si>
  <si>
    <t>Kohnen</t>
  </si>
  <si>
    <t>AQLAW</t>
  </si>
  <si>
    <t>Law Base</t>
  </si>
  <si>
    <t>AQMRB</t>
  </si>
  <si>
    <t>Marambio</t>
  </si>
  <si>
    <t>AQMZU</t>
  </si>
  <si>
    <t>Mario Zucchelli</t>
  </si>
  <si>
    <t>AQMAW</t>
  </si>
  <si>
    <t>Mawson Station</t>
  </si>
  <si>
    <t>AQMCM</t>
  </si>
  <si>
    <t>McMurdo</t>
  </si>
  <si>
    <t>AQMIR</t>
  </si>
  <si>
    <t>Mirny</t>
  </si>
  <si>
    <t>AQORC</t>
  </si>
  <si>
    <t>Orcadas</t>
  </si>
  <si>
    <t>AQPLM</t>
  </si>
  <si>
    <t>Palmer</t>
  </si>
  <si>
    <t>AQPFS</t>
  </si>
  <si>
    <t>Port Foster</t>
  </si>
  <si>
    <t>AQPRO</t>
  </si>
  <si>
    <t>Progress</t>
  </si>
  <si>
    <t>AQROT</t>
  </si>
  <si>
    <t>Rothera</t>
  </si>
  <si>
    <t>AQSMT</t>
  </si>
  <si>
    <t>AQSGN</t>
  </si>
  <si>
    <t>Signy</t>
  </si>
  <si>
    <t>AQSYW</t>
  </si>
  <si>
    <t>Syowa</t>
  </si>
  <si>
    <t>AQVKY</t>
  </si>
  <si>
    <t>Vernadsky</t>
  </si>
  <si>
    <t>AQWSA</t>
  </si>
  <si>
    <t>Wasa</t>
  </si>
  <si>
    <t>AQZGN</t>
  </si>
  <si>
    <t>Zhongshan</t>
  </si>
  <si>
    <t>ARGEO</t>
  </si>
  <si>
    <t>Agrelo</t>
  </si>
  <si>
    <t>ARACF</t>
  </si>
  <si>
    <t>Arrecifes</t>
  </si>
  <si>
    <t>ARASO</t>
  </si>
  <si>
    <t>Arroyo Seco</t>
  </si>
  <si>
    <t>ARBHI</t>
  </si>
  <si>
    <t>ARBQS</t>
  </si>
  <si>
    <t>Barranqueras</t>
  </si>
  <si>
    <t>ARBVC</t>
  </si>
  <si>
    <t>Bella Vista</t>
  </si>
  <si>
    <t>ARBUE</t>
  </si>
  <si>
    <t>Buenos Aires</t>
  </si>
  <si>
    <t>ARCSA</t>
  </si>
  <si>
    <t>Cabo San Antonio</t>
  </si>
  <si>
    <t>ARCLC</t>
  </si>
  <si>
    <t>ARCVI</t>
  </si>
  <si>
    <t>Caleta Olivia</t>
  </si>
  <si>
    <t>ARCMP</t>
  </si>
  <si>
    <t>Campana</t>
  </si>
  <si>
    <t>ARCDL</t>
  </si>
  <si>
    <t>Candelaria</t>
  </si>
  <si>
    <t>ARCHO</t>
  </si>
  <si>
    <t>Chilecito</t>
  </si>
  <si>
    <t>ARCBS</t>
  </si>
  <si>
    <t>Chimbas</t>
  </si>
  <si>
    <t>ARCHL</t>
  </si>
  <si>
    <t>Choele Choel</t>
  </si>
  <si>
    <t>ARCOL</t>
  </si>
  <si>
    <t>ARCRY</t>
  </si>
  <si>
    <t>Colonia Caroya</t>
  </si>
  <si>
    <t>ARCRD</t>
  </si>
  <si>
    <t>Comodoro Rivadavia</t>
  </si>
  <si>
    <t>ARCOU</t>
  </si>
  <si>
    <t>ARIQO</t>
  </si>
  <si>
    <t>Coquimbito</t>
  </si>
  <si>
    <t>ARCNQ</t>
  </si>
  <si>
    <t>Corrientes</t>
  </si>
  <si>
    <t>ARCUA</t>
  </si>
  <si>
    <t>Cuatreros/Bahia Blanca</t>
  </si>
  <si>
    <t>ARDGU</t>
  </si>
  <si>
    <t>Del Guazu</t>
  </si>
  <si>
    <t>ARDME</t>
  </si>
  <si>
    <t>Diamante</t>
  </si>
  <si>
    <t>ARDSU</t>
  </si>
  <si>
    <t>Dock Sur</t>
  </si>
  <si>
    <t>ARFMA</t>
  </si>
  <si>
    <t>Formosa</t>
  </si>
  <si>
    <t>AROYA</t>
  </si>
  <si>
    <t>Goya</t>
  </si>
  <si>
    <t>ARGHU</t>
  </si>
  <si>
    <t>ARIBY</t>
  </si>
  <si>
    <t>Ibicuy</t>
  </si>
  <si>
    <t>ARINW</t>
  </si>
  <si>
    <t>Ingeniero White/Bahia Blanca</t>
  </si>
  <si>
    <t>ARJLS</t>
  </si>
  <si>
    <t>Jose Leon Suarez</t>
  </si>
  <si>
    <t>ARLPM</t>
  </si>
  <si>
    <t>La Paz</t>
  </si>
  <si>
    <t>ARLPG</t>
  </si>
  <si>
    <t>La Plata</t>
  </si>
  <si>
    <t>ARLPS</t>
  </si>
  <si>
    <t>Las Palmas</t>
  </si>
  <si>
    <t>ARLAV</t>
  </si>
  <si>
    <t>Lavalle</t>
  </si>
  <si>
    <t>ARLUJ</t>
  </si>
  <si>
    <t>ARLCU</t>
  </si>
  <si>
    <t>Lujan de Cuyo</t>
  </si>
  <si>
    <t>ARLZG</t>
  </si>
  <si>
    <t>Luzuriaga</t>
  </si>
  <si>
    <t>ARMDQ</t>
  </si>
  <si>
    <t>Mar del Plata</t>
  </si>
  <si>
    <t>ARNOS</t>
  </si>
  <si>
    <t>Molinos</t>
  </si>
  <si>
    <t>ARNEC</t>
  </si>
  <si>
    <t>Necochea</t>
  </si>
  <si>
    <t>AROVI</t>
  </si>
  <si>
    <t>ARPP9</t>
  </si>
  <si>
    <t>ARPRA</t>
  </si>
  <si>
    <t>ARPCY</t>
  </si>
  <si>
    <t>Pilcomayo</t>
  </si>
  <si>
    <t>ARPSS</t>
  </si>
  <si>
    <t>Posadas</t>
  </si>
  <si>
    <t>ARPAL</t>
  </si>
  <si>
    <t>Puerto Alumbrera</t>
  </si>
  <si>
    <t>ARPBG</t>
  </si>
  <si>
    <t>Puerto Belgrano/Bahia Blanca</t>
  </si>
  <si>
    <t>ARPUB</t>
  </si>
  <si>
    <t>Puerto Borghi</t>
  </si>
  <si>
    <t>ARPUD</t>
  </si>
  <si>
    <t>Puerto Deseado</t>
  </si>
  <si>
    <t>ARPEL</t>
  </si>
  <si>
    <t>Puerto Eldorado</t>
  </si>
  <si>
    <t>ARPGV</t>
  </si>
  <si>
    <t>Puerto Galvan/Bahia Blanca</t>
  </si>
  <si>
    <t>ARROC</t>
  </si>
  <si>
    <t>Puerto Ingeniero M. Rocca</t>
  </si>
  <si>
    <t>ARPLA</t>
  </si>
  <si>
    <t>Puerto Lavalle</t>
  </si>
  <si>
    <t>ARPMY</t>
  </si>
  <si>
    <t>Puerto Madryn</t>
  </si>
  <si>
    <t>ARPNL</t>
  </si>
  <si>
    <t>Puerto Nacional/Bahia Blanca</t>
  </si>
  <si>
    <t>ARPRS</t>
  </si>
  <si>
    <t>Puerto Rosales/Bahia Blanca</t>
  </si>
  <si>
    <t>ARPWA</t>
  </si>
  <si>
    <t>Puerto Wanda</t>
  </si>
  <si>
    <t>ARPCO</t>
  </si>
  <si>
    <t>Punta Colorada</t>
  </si>
  <si>
    <t>ARPLO</t>
  </si>
  <si>
    <t>Punta Loyola</t>
  </si>
  <si>
    <t>ARPME</t>
  </si>
  <si>
    <t>Punta Medanos</t>
  </si>
  <si>
    <t>ARPQU</t>
  </si>
  <si>
    <t>Punta Quilla</t>
  </si>
  <si>
    <t>ARQBR</t>
  </si>
  <si>
    <t>Quebracho/San Lorenzo</t>
  </si>
  <si>
    <t>ARQQN</t>
  </si>
  <si>
    <t>ARRAM</t>
  </si>
  <si>
    <t>Ramallo</t>
  </si>
  <si>
    <t>ARRWO</t>
  </si>
  <si>
    <t>Rawson</t>
  </si>
  <si>
    <t>ARRSF</t>
  </si>
  <si>
    <t>Resinfor</t>
  </si>
  <si>
    <t>ARRIC</t>
  </si>
  <si>
    <t>Rio Cullen</t>
  </si>
  <si>
    <t>ARRGL</t>
  </si>
  <si>
    <t>ARRGA</t>
  </si>
  <si>
    <t>ARRIV</t>
  </si>
  <si>
    <t>Rivadavia</t>
  </si>
  <si>
    <t>ARROS</t>
  </si>
  <si>
    <t>Rosario</t>
  </si>
  <si>
    <t>ARRFO</t>
  </si>
  <si>
    <t>Rosario de la Frontera</t>
  </si>
  <si>
    <t>ARSAL</t>
  </si>
  <si>
    <t>Salto</t>
  </si>
  <si>
    <t>ARSAE</t>
  </si>
  <si>
    <t>San Antonio Este</t>
  </si>
  <si>
    <t>ARSCA</t>
  </si>
  <si>
    <t>San Carlos</t>
  </si>
  <si>
    <t>ARSFE</t>
  </si>
  <si>
    <t>San Fernando</t>
  </si>
  <si>
    <t>ARSIG</t>
  </si>
  <si>
    <t>San Ignacio</t>
  </si>
  <si>
    <t>ARULA</t>
  </si>
  <si>
    <t>San Julian</t>
  </si>
  <si>
    <t>ARSLO</t>
  </si>
  <si>
    <t>San Lorenzo</t>
  </si>
  <si>
    <t>ARSMR</t>
  </si>
  <si>
    <t>San Martin</t>
  </si>
  <si>
    <t>ARSMA</t>
  </si>
  <si>
    <t>ARSNS</t>
  </si>
  <si>
    <t>ARSPD</t>
  </si>
  <si>
    <t>San Pedro</t>
  </si>
  <si>
    <t>ARXPD</t>
  </si>
  <si>
    <t>ARSSJ</t>
  </si>
  <si>
    <t>San Salvador de Jujuy</t>
  </si>
  <si>
    <t>ARSSN</t>
  </si>
  <si>
    <t>ARSAN</t>
  </si>
  <si>
    <t>Santa Ana</t>
  </si>
  <si>
    <t>ARRZA</t>
  </si>
  <si>
    <t>Santa Cruz</t>
  </si>
  <si>
    <t>ARSFN</t>
  </si>
  <si>
    <t>Santa Fe</t>
  </si>
  <si>
    <t>ARSTA</t>
  </si>
  <si>
    <t>Santa Rosa</t>
  </si>
  <si>
    <t>AROYO</t>
  </si>
  <si>
    <t>Tres Arroyos</t>
  </si>
  <si>
    <t>ARTUC</t>
  </si>
  <si>
    <t>ARTUN</t>
  </si>
  <si>
    <t>Tunuyan</t>
  </si>
  <si>
    <t>ARURD</t>
  </si>
  <si>
    <t>Urdurrain</t>
  </si>
  <si>
    <t>ARUSH</t>
  </si>
  <si>
    <t>Ushuaia</t>
  </si>
  <si>
    <t>ARVLO</t>
  </si>
  <si>
    <t>ARVCN</t>
  </si>
  <si>
    <t>ARVTT</t>
  </si>
  <si>
    <t>Villa del Totoral</t>
  </si>
  <si>
    <t>ARVHE</t>
  </si>
  <si>
    <t>Villa Hernandarias</t>
  </si>
  <si>
    <t>ARVMD</t>
  </si>
  <si>
    <t>Villa Mercedes</t>
  </si>
  <si>
    <t>ARZAE</t>
  </si>
  <si>
    <t>ASPPG</t>
  </si>
  <si>
    <t>Pago Pago</t>
  </si>
  <si>
    <t>ATFG7</t>
  </si>
  <si>
    <t>Achau</t>
  </si>
  <si>
    <t>ATAWH</t>
  </si>
  <si>
    <t>ATATN</t>
  </si>
  <si>
    <t>Asten</t>
  </si>
  <si>
    <t>ATSXA</t>
  </si>
  <si>
    <t>Bernhardsthal</t>
  </si>
  <si>
    <t>ATBFS</t>
  </si>
  <si>
    <t>Bischofshofen</t>
  </si>
  <si>
    <t>ATBOE</t>
  </si>
  <si>
    <t>ATBRZ</t>
  </si>
  <si>
    <t>Bregenz</t>
  </si>
  <si>
    <t>ATDWA</t>
  </si>
  <si>
    <t>Deutsch Wagram</t>
  </si>
  <si>
    <t>ATDKZ</t>
  </si>
  <si>
    <t>Deutschkreutz</t>
  </si>
  <si>
    <t>ATERR</t>
  </si>
  <si>
    <t>Dobermannsdorf</t>
  </si>
  <si>
    <t>ATNNN</t>
  </si>
  <si>
    <t>Donnerskirchen</t>
  </si>
  <si>
    <t>ATDRA</t>
  </si>
  <si>
    <t>Drasenhofen</t>
  </si>
  <si>
    <t>ATDRO</t>
  </si>
  <si>
    <t>Dross</t>
  </si>
  <si>
    <t>ATDUE</t>
  </si>
  <si>
    <t>ATEBR</t>
  </si>
  <si>
    <t>Ebreichsdorf</t>
  </si>
  <si>
    <t>ATEWD</t>
  </si>
  <si>
    <t>Eibiswald</t>
  </si>
  <si>
    <t>ATBRI</t>
  </si>
  <si>
    <t>Engabrunn</t>
  </si>
  <si>
    <t>ATERO</t>
  </si>
  <si>
    <t>Engelmannsbrunn</t>
  </si>
  <si>
    <t>ATDFC</t>
  </si>
  <si>
    <t>Engerwitzdorf</t>
  </si>
  <si>
    <t>ATERL</t>
  </si>
  <si>
    <t>Erl</t>
  </si>
  <si>
    <t>ATEPD</t>
  </si>
  <si>
    <t>Erpersdorf</t>
  </si>
  <si>
    <t>ATFSU</t>
  </si>
  <si>
    <t>Faistenau</t>
  </si>
  <si>
    <t>ATLKN</t>
  </si>
  <si>
    <t>Falkenstein</t>
  </si>
  <si>
    <t>ATFHR</t>
  </si>
  <si>
    <t>Fehring</t>
  </si>
  <si>
    <t>ATFNA</t>
  </si>
  <si>
    <t>Freudenau</t>
  </si>
  <si>
    <t>ATFPS</t>
  </si>
  <si>
    <t>Fulpmes</t>
  </si>
  <si>
    <t>ATRTV</t>
  </si>
  <si>
    <t>Gallbrunn</t>
  </si>
  <si>
    <t>ATGA6</t>
  </si>
  <si>
    <t>Gamlitz</t>
  </si>
  <si>
    <t>ATGDN</t>
  </si>
  <si>
    <t>Gmunden</t>
  </si>
  <si>
    <t>ATGFS</t>
  </si>
  <si>
    <t>Greifenstein</t>
  </si>
  <si>
    <t>ATGRN</t>
  </si>
  <si>
    <t>Grein</t>
  </si>
  <si>
    <t>ATSWH</t>
  </si>
  <si>
    <t>Gross-Schweinbarth</t>
  </si>
  <si>
    <t>ATGSN</t>
  </si>
  <si>
    <t>Gutenstein</t>
  </si>
  <si>
    <t>ATDOF</t>
  </si>
  <si>
    <t>Hadersdorf</t>
  </si>
  <si>
    <t>ATHKM</t>
  </si>
  <si>
    <t>Hadersdorf-Kammern</t>
  </si>
  <si>
    <t>ATLTX</t>
  </si>
  <si>
    <t>Hainfeld</t>
  </si>
  <si>
    <t>ATGHH</t>
  </si>
  <si>
    <t>Haugsdorf</t>
  </si>
  <si>
    <t>ATITN</t>
  </si>
  <si>
    <t>Hausleiten</t>
  </si>
  <si>
    <t>ATTEN</t>
  </si>
  <si>
    <t>Hausmannstatten</t>
  </si>
  <si>
    <t>ATBNN</t>
  </si>
  <si>
    <t>Hobersbrunn</t>
  </si>
  <si>
    <t>ATEIN</t>
  </si>
  <si>
    <t>Hoflein</t>
  </si>
  <si>
    <t>ATZIN</t>
  </si>
  <si>
    <t>Inzersdorf an der Traisen</t>
  </si>
  <si>
    <t>ATJPS</t>
  </si>
  <si>
    <t>Japons</t>
  </si>
  <si>
    <t>ATZLF</t>
  </si>
  <si>
    <t>Jetzelsdorf</t>
  </si>
  <si>
    <t>ATJDD</t>
  </si>
  <si>
    <t>Judendorf</t>
  </si>
  <si>
    <t>ATKAM</t>
  </si>
  <si>
    <t>Kammern im Liesingtal</t>
  </si>
  <si>
    <t>ATKTT</t>
  </si>
  <si>
    <t>Kematen in Tirol</t>
  </si>
  <si>
    <t>ATZRF</t>
  </si>
  <si>
    <t>Ketzelsdorf</t>
  </si>
  <si>
    <t>ATKFD</t>
  </si>
  <si>
    <t>Knittelfeld</t>
  </si>
  <si>
    <t>ATKMB</t>
  </si>
  <si>
    <t>Krummnussbaum</t>
  </si>
  <si>
    <t>ATGHJ</t>
  </si>
  <si>
    <t>Krustetten</t>
  </si>
  <si>
    <t>ATLZD</t>
  </si>
  <si>
    <t>Langenzersdorf</t>
  </si>
  <si>
    <t>ATLUA</t>
  </si>
  <si>
    <t>Lembach</t>
  </si>
  <si>
    <t>ATLTS</t>
  </si>
  <si>
    <t>Leutschach</t>
  </si>
  <si>
    <t>ATIEG</t>
  </si>
  <si>
    <t>Limberg</t>
  </si>
  <si>
    <t>ATMAN</t>
  </si>
  <si>
    <t>Manning</t>
  </si>
  <si>
    <t>ATMAB</t>
  </si>
  <si>
    <t>Marbach an der Donau</t>
  </si>
  <si>
    <t>ATMKA</t>
  </si>
  <si>
    <t>Markt Allhau</t>
  </si>
  <si>
    <t>ATMKC</t>
  </si>
  <si>
    <t>Mitterkirchen</t>
  </si>
  <si>
    <t>ATMBS</t>
  </si>
  <si>
    <t>Morbisch am See</t>
  </si>
  <si>
    <t>ATNT9</t>
  </si>
  <si>
    <t>Muthmannsdorf</t>
  </si>
  <si>
    <t>ATNGG</t>
  </si>
  <si>
    <t>Neudegg</t>
  </si>
  <si>
    <t>ATNFN</t>
  </si>
  <si>
    <t>Neufelden</t>
  </si>
  <si>
    <t>ATNAD</t>
  </si>
  <si>
    <t>Neuhofen an der Ybbs</t>
  </si>
  <si>
    <t>ATND2</t>
  </si>
  <si>
    <t>Nickelsdorf</t>
  </si>
  <si>
    <t>ATNUZ</t>
  </si>
  <si>
    <t>ATOBU</t>
  </si>
  <si>
    <t>Oberneukirchen</t>
  </si>
  <si>
    <t>ATXAE</t>
  </si>
  <si>
    <t>Oehling</t>
  </si>
  <si>
    <t>ATGGU</t>
  </si>
  <si>
    <t>Oggau</t>
  </si>
  <si>
    <t>ATOSH</t>
  </si>
  <si>
    <t>Ottensheim</t>
  </si>
  <si>
    <t>ATATK</t>
  </si>
  <si>
    <t>Paternion</t>
  </si>
  <si>
    <t>ATPBU</t>
  </si>
  <si>
    <t>Persenbeug</t>
  </si>
  <si>
    <t>ATPET</t>
  </si>
  <si>
    <t>Petzenkirchen</t>
  </si>
  <si>
    <t>ATPAS</t>
  </si>
  <si>
    <t>Podersdorf am See</t>
  </si>
  <si>
    <t>AT7PZ</t>
  </si>
  <si>
    <t>Prinzersdorf</t>
  </si>
  <si>
    <t>ATRAD</t>
  </si>
  <si>
    <t>Radstadt</t>
  </si>
  <si>
    <t>ATRHN</t>
  </si>
  <si>
    <t>Ranshofen</t>
  </si>
  <si>
    <t>ATREG</t>
  </si>
  <si>
    <t>Regau</t>
  </si>
  <si>
    <t>ATETZ</t>
  </si>
  <si>
    <t>Rietz</t>
  </si>
  <si>
    <t>ATXXX</t>
  </si>
  <si>
    <t>RIS Inland waterways</t>
  </si>
  <si>
    <t>ATRHR</t>
  </si>
  <si>
    <t>Rohrau</t>
  </si>
  <si>
    <t>ATRRF</t>
  </si>
  <si>
    <t>Ruhrsdorf</t>
  </si>
  <si>
    <t>ATSAK</t>
  </si>
  <si>
    <t>Sankt Aegidi</t>
  </si>
  <si>
    <t>ATSGS</t>
  </si>
  <si>
    <t>Sankt Georgen bei Salzburg</t>
  </si>
  <si>
    <t>ATSMR</t>
  </si>
  <si>
    <t>Sankt Margarethen an der Raab</t>
  </si>
  <si>
    <t>ATSK3</t>
  </si>
  <si>
    <t>Sankt Margrethen</t>
  </si>
  <si>
    <t>ATFBZ</t>
  </si>
  <si>
    <t>Sankt Stefan ob Stainz</t>
  </si>
  <si>
    <t>ATSUH</t>
  </si>
  <si>
    <t>Sankt Ulrich</t>
  </si>
  <si>
    <t>ATSVM</t>
  </si>
  <si>
    <t>ATSMK</t>
  </si>
  <si>
    <t>ATTTL</t>
  </si>
  <si>
    <t>Schrattenthal</t>
  </si>
  <si>
    <t>ATSAG</t>
  </si>
  <si>
    <t>Schutzen am Gebirge</t>
  </si>
  <si>
    <t>ATSFT</t>
  </si>
  <si>
    <t>Senftenberg</t>
  </si>
  <si>
    <t>ATSPG</t>
  </si>
  <si>
    <t>Spannberg</t>
  </si>
  <si>
    <t>ATSPZ</t>
  </si>
  <si>
    <t>Spitz</t>
  </si>
  <si>
    <t>ATSTD</t>
  </si>
  <si>
    <t>Steeg</t>
  </si>
  <si>
    <t>ATSSS</t>
  </si>
  <si>
    <t>Steinberg</t>
  </si>
  <si>
    <t>ATSUS</t>
  </si>
  <si>
    <t>Steinhaus</t>
  </si>
  <si>
    <t>ATST6</t>
  </si>
  <si>
    <t>Straden</t>
  </si>
  <si>
    <t>ATTAM</t>
  </si>
  <si>
    <t>Tamsweg</t>
  </si>
  <si>
    <t>ATTKP</t>
  </si>
  <si>
    <t>Taufkirchen an der Pram</t>
  </si>
  <si>
    <t>ATTFS</t>
  </si>
  <si>
    <t>Terfens</t>
  </si>
  <si>
    <t>ATTHS</t>
  </si>
  <si>
    <t>Theiss</t>
  </si>
  <si>
    <t>ATTMR</t>
  </si>
  <si>
    <t>Traismauer</t>
  </si>
  <si>
    <t>ATVEL</t>
  </si>
  <si>
    <t>Velden</t>
  </si>
  <si>
    <t>ATERM</t>
  </si>
  <si>
    <t>Vordernberg</t>
  </si>
  <si>
    <t>ATWSE</t>
  </si>
  <si>
    <t>Wallsee</t>
  </si>
  <si>
    <t>ATWEU</t>
  </si>
  <si>
    <t>Weinburg</t>
  </si>
  <si>
    <t>ATWDF</t>
  </si>
  <si>
    <t>Weitendorf</t>
  </si>
  <si>
    <t>ATWUL</t>
  </si>
  <si>
    <t>Wulkaprodersdorf</t>
  </si>
  <si>
    <t>ATZNG</t>
  </si>
  <si>
    <t>Zobing</t>
  </si>
  <si>
    <t>AUABP</t>
  </si>
  <si>
    <t>Abbot Point</t>
  </si>
  <si>
    <t>AUALP</t>
  </si>
  <si>
    <t>Abell Point</t>
  </si>
  <si>
    <t>AUADL</t>
  </si>
  <si>
    <t>Adelaide</t>
  </si>
  <si>
    <t>AUAIR</t>
  </si>
  <si>
    <t>Airlie Terminal</t>
  </si>
  <si>
    <t>AUALH</t>
  </si>
  <si>
    <t>Albany</t>
  </si>
  <si>
    <t>AUALD</t>
  </si>
  <si>
    <t>Aldgate</t>
  </si>
  <si>
    <t>AUANN</t>
  </si>
  <si>
    <t>Annandale</t>
  </si>
  <si>
    <t>AUAPP</t>
  </si>
  <si>
    <t>Applecross</t>
  </si>
  <si>
    <t>AUARD</t>
  </si>
  <si>
    <t>Ardrossan</t>
  </si>
  <si>
    <t>AUAUA</t>
  </si>
  <si>
    <t>Armadale</t>
  </si>
  <si>
    <t>AUDLP</t>
  </si>
  <si>
    <t>Arndell Park</t>
  </si>
  <si>
    <t>AUASH</t>
  </si>
  <si>
    <t>Ashton</t>
  </si>
  <si>
    <t>AUATT</t>
  </si>
  <si>
    <t>Attadale</t>
  </si>
  <si>
    <t>AUAGS</t>
  </si>
  <si>
    <t>Augusta</t>
  </si>
  <si>
    <t>AUALI</t>
  </si>
  <si>
    <t>Australind</t>
  </si>
  <si>
    <t>AUBAE</t>
  </si>
  <si>
    <t>Baerami</t>
  </si>
  <si>
    <t>AUBAA</t>
  </si>
  <si>
    <t>Balhannah</t>
  </si>
  <si>
    <t>AUBAH</t>
  </si>
  <si>
    <t>Ballast Head</t>
  </si>
  <si>
    <t>AUBNK</t>
  </si>
  <si>
    <t>Ballina</t>
  </si>
  <si>
    <t>AUBAL</t>
  </si>
  <si>
    <t>Balnarring</t>
  </si>
  <si>
    <t>AULME</t>
  </si>
  <si>
    <t>Bangholme</t>
  </si>
  <si>
    <t>AUBNN</t>
  </si>
  <si>
    <t>Bannockburn</t>
  </si>
  <si>
    <t>AUBWB</t>
  </si>
  <si>
    <t>Barrow Island</t>
  </si>
  <si>
    <t>AUBAR</t>
  </si>
  <si>
    <t>Barry Beach</t>
  </si>
  <si>
    <t>AUBRT</t>
  </si>
  <si>
    <t>Bathurst Island</t>
  </si>
  <si>
    <t>AUBCH</t>
  </si>
  <si>
    <t>Beachport</t>
  </si>
  <si>
    <t>AUBYP</t>
  </si>
  <si>
    <t>Beauty Point</t>
  </si>
  <si>
    <t>AUBBL</t>
  </si>
  <si>
    <t>Beelbangera</t>
  </si>
  <si>
    <t>AUBEL</t>
  </si>
  <si>
    <t>Bell Bay</t>
  </si>
  <si>
    <t>AUBE9</t>
  </si>
  <si>
    <t>Belrose</t>
  </si>
  <si>
    <t>AUBVD</t>
  </si>
  <si>
    <t>Belvidere</t>
  </si>
  <si>
    <t>AUBFD</t>
  </si>
  <si>
    <t>Beresfield</t>
  </si>
  <si>
    <t>AUBKE</t>
  </si>
  <si>
    <t>Berkeley Vale</t>
  </si>
  <si>
    <t>AUBRR</t>
  </si>
  <si>
    <t>Berrys Creek</t>
  </si>
  <si>
    <t>AUBIC</t>
  </si>
  <si>
    <t>Bicheno</t>
  </si>
  <si>
    <t>AUBBG</t>
  </si>
  <si>
    <t>Bing Bong</t>
  </si>
  <si>
    <t>AUBLP</t>
  </si>
  <si>
    <t>Black Point</t>
  </si>
  <si>
    <t>AUTTS</t>
  </si>
  <si>
    <t>Blackmans Bay</t>
  </si>
  <si>
    <t>AUBOV</t>
  </si>
  <si>
    <t>Blacktip Terminal</t>
  </si>
  <si>
    <t>AUBNY</t>
  </si>
  <si>
    <t>Blayney</t>
  </si>
  <si>
    <t>AUBOB</t>
  </si>
  <si>
    <t>Bobin</t>
  </si>
  <si>
    <t>AUBDY</t>
  </si>
  <si>
    <t>Bomaderry</t>
  </si>
  <si>
    <t>AUBOO</t>
  </si>
  <si>
    <t>Booby Island</t>
  </si>
  <si>
    <t>AUBOD</t>
  </si>
  <si>
    <t>Boondall</t>
  </si>
  <si>
    <t>AUBOT</t>
  </si>
  <si>
    <t>Boort</t>
  </si>
  <si>
    <t>AUVIB</t>
  </si>
  <si>
    <t>Boronia</t>
  </si>
  <si>
    <t>AUBTB</t>
  </si>
  <si>
    <t>Botany Bay</t>
  </si>
  <si>
    <t>AUBOU</t>
  </si>
  <si>
    <t>Boundary Bend</t>
  </si>
  <si>
    <t>AUZBO</t>
  </si>
  <si>
    <t>Bowen</t>
  </si>
  <si>
    <t>AUBOY</t>
  </si>
  <si>
    <t>Boyer</t>
  </si>
  <si>
    <t>AUBBY</t>
  </si>
  <si>
    <t>Bremer Bay</t>
  </si>
  <si>
    <t>AUBOL</t>
  </si>
  <si>
    <t>Bridgewater-on-Loddon</t>
  </si>
  <si>
    <t>AUBSA</t>
  </si>
  <si>
    <t>Brighton-Le-Sands</t>
  </si>
  <si>
    <t>AUBNE</t>
  </si>
  <si>
    <t>Brisbane</t>
  </si>
  <si>
    <t>AUBMW</t>
  </si>
  <si>
    <t>Broadmeadows</t>
  </si>
  <si>
    <t>AUNSB</t>
  </si>
  <si>
    <t>Broke</t>
  </si>
  <si>
    <t>AUBME</t>
  </si>
  <si>
    <t>Broome</t>
  </si>
  <si>
    <t>AUBUV</t>
  </si>
  <si>
    <t>Buffalo Venture</t>
  </si>
  <si>
    <t>AUBUL</t>
  </si>
  <si>
    <t>Bulli</t>
  </si>
  <si>
    <t>AUBLL</t>
  </si>
  <si>
    <t>Bullsbrook</t>
  </si>
  <si>
    <t>AUBWI</t>
  </si>
  <si>
    <t>Bulwer</t>
  </si>
  <si>
    <t>AUBUY</t>
  </si>
  <si>
    <t>Bunbury</t>
  </si>
  <si>
    <t>AUBDB</t>
  </si>
  <si>
    <t>Bundaberg</t>
  </si>
  <si>
    <t>AUBUC</t>
  </si>
  <si>
    <t>Burketown</t>
  </si>
  <si>
    <t>AUBWT</t>
  </si>
  <si>
    <t>Burnie</t>
  </si>
  <si>
    <t>AUBYY</t>
  </si>
  <si>
    <t>Bushy Park</t>
  </si>
  <si>
    <t>AUBUS</t>
  </si>
  <si>
    <t>Busselton</t>
  </si>
  <si>
    <t>AUCNS</t>
  </si>
  <si>
    <t>Cairns</t>
  </si>
  <si>
    <t>AUCAL</t>
  </si>
  <si>
    <t>Caloundra Head</t>
  </si>
  <si>
    <t>AUCMB</t>
  </si>
  <si>
    <t>Cambridge</t>
  </si>
  <si>
    <t>AUCMP</t>
  </si>
  <si>
    <t>Camperdown</t>
  </si>
  <si>
    <t>AUCBR</t>
  </si>
  <si>
    <t>Canberra</t>
  </si>
  <si>
    <t>AUCAP</t>
  </si>
  <si>
    <t>Capalaba</t>
  </si>
  <si>
    <t>AUCCU</t>
  </si>
  <si>
    <t>Cape Cuvier</t>
  </si>
  <si>
    <t>AUDON</t>
  </si>
  <si>
    <t>Cape Don</t>
  </si>
  <si>
    <t>AUCQP</t>
  </si>
  <si>
    <t>Cape Flattery</t>
  </si>
  <si>
    <t>AUCLT</t>
  </si>
  <si>
    <t>Cape Lambert</t>
  </si>
  <si>
    <t>AUCLN</t>
  </si>
  <si>
    <t>Cape Leeuwin</t>
  </si>
  <si>
    <t>AUCPN</t>
  </si>
  <si>
    <t>Cape Preston</t>
  </si>
  <si>
    <t>AUCBO</t>
  </si>
  <si>
    <t>Carboor</t>
  </si>
  <si>
    <t>AUCAR</t>
  </si>
  <si>
    <t>Carina Heights</t>
  </si>
  <si>
    <t>AUCLF</t>
  </si>
  <si>
    <t>Carlingford</t>
  </si>
  <si>
    <t>AUCVQ</t>
  </si>
  <si>
    <t>Carnarvon</t>
  </si>
  <si>
    <t>AUCHB</t>
  </si>
  <si>
    <t>Catherine Hill Bay</t>
  </si>
  <si>
    <t>AUCUN</t>
  </si>
  <si>
    <t>Caufield North</t>
  </si>
  <si>
    <t>AUCVS</t>
  </si>
  <si>
    <t>Caversham</t>
  </si>
  <si>
    <t>AUCHV</t>
  </si>
  <si>
    <t>Challis Venture (oil terminal)</t>
  </si>
  <si>
    <t>AUCHA</t>
  </si>
  <si>
    <t>Chatswood</t>
  </si>
  <si>
    <t>AUCHE</t>
  </si>
  <si>
    <t>Chermside</t>
  </si>
  <si>
    <t>AUCN6</t>
  </si>
  <si>
    <t>Chinderah</t>
  </si>
  <si>
    <t>AUCHT</t>
  </si>
  <si>
    <t>Chittering</t>
  </si>
  <si>
    <t>AUSCL</t>
  </si>
  <si>
    <t>Clare</t>
  </si>
  <si>
    <t>AUCLM</t>
  </si>
  <si>
    <t>Claremont</t>
  </si>
  <si>
    <t>AUCLR</t>
  </si>
  <si>
    <t>Clarence River</t>
  </si>
  <si>
    <t>AUCDN</t>
  </si>
  <si>
    <t>Clarendon</t>
  </si>
  <si>
    <t>AUCVN</t>
  </si>
  <si>
    <t>Cleveland</t>
  </si>
  <si>
    <t>AUCVL</t>
  </si>
  <si>
    <t>Clovelly</t>
  </si>
  <si>
    <t>AUCTI</t>
  </si>
  <si>
    <t>Cockatoo Island</t>
  </si>
  <si>
    <t>AUCFS</t>
  </si>
  <si>
    <t>Coffs Harbour</t>
  </si>
  <si>
    <t>AUCST</t>
  </si>
  <si>
    <t>Coldstream</t>
  </si>
  <si>
    <t>AUCLL</t>
  </si>
  <si>
    <t>Collan Islands</t>
  </si>
  <si>
    <t>AUCMO</t>
  </si>
  <si>
    <t>Como</t>
  </si>
  <si>
    <t>AUCDE</t>
  </si>
  <si>
    <t>Condamine</t>
  </si>
  <si>
    <t>AUCTN</t>
  </si>
  <si>
    <t>Cooktown</t>
  </si>
  <si>
    <t>AUCOU</t>
  </si>
  <si>
    <t>Coolum</t>
  </si>
  <si>
    <t>AUCOO</t>
  </si>
  <si>
    <t>Coomera</t>
  </si>
  <si>
    <t>AUCNW</t>
  </si>
  <si>
    <t>Coonawarra</t>
  </si>
  <si>
    <t>AUCPR</t>
  </si>
  <si>
    <t>Coorparoo</t>
  </si>
  <si>
    <t>AUCRL</t>
  </si>
  <si>
    <t>Coral Bay</t>
  </si>
  <si>
    <t>AUCRS</t>
  </si>
  <si>
    <t>Coral Sea</t>
  </si>
  <si>
    <t>AUCBA</t>
  </si>
  <si>
    <t>Corio Bay</t>
  </si>
  <si>
    <t>AUCRV</t>
  </si>
  <si>
    <t>Coromandel Valley</t>
  </si>
  <si>
    <t>AUCOP</t>
  </si>
  <si>
    <t>Cossack Pioneer (oil terminal)</t>
  </si>
  <si>
    <t>AUCTE</t>
  </si>
  <si>
    <t>Cottesloe</t>
  </si>
  <si>
    <t>AUCTT</t>
  </si>
  <si>
    <t>Cottles Bridge</t>
  </si>
  <si>
    <t>AUDIL</t>
  </si>
  <si>
    <t>Cowandilla</t>
  </si>
  <si>
    <t>AUCOW</t>
  </si>
  <si>
    <t>Cowaramup</t>
  </si>
  <si>
    <t>AUCRF</t>
  </si>
  <si>
    <t>Crafers</t>
  </si>
  <si>
    <t>AUCRE</t>
  </si>
  <si>
    <t>Crestmead</t>
  </si>
  <si>
    <t>AUC8R</t>
  </si>
  <si>
    <t>Cromer</t>
  </si>
  <si>
    <t>AUCRU</t>
  </si>
  <si>
    <t>Cronulla</t>
  </si>
  <si>
    <t>AUDIT</t>
  </si>
  <si>
    <t>Dalrymple Islet</t>
  </si>
  <si>
    <t>AUDAL</t>
  </si>
  <si>
    <t>Dalton</t>
  </si>
  <si>
    <t>AUDAM</t>
  </si>
  <si>
    <t>Dampier</t>
  </si>
  <si>
    <t>AUDAR</t>
  </si>
  <si>
    <t>Dardanup</t>
  </si>
  <si>
    <t>AUDAA</t>
  </si>
  <si>
    <t>Darra</t>
  </si>
  <si>
    <t>AUDRW</t>
  </si>
  <si>
    <t>Darwin</t>
  </si>
  <si>
    <t>AUDRB</t>
  </si>
  <si>
    <t>Derby</t>
  </si>
  <si>
    <t>AUDPO</t>
  </si>
  <si>
    <t>Devonport</t>
  </si>
  <si>
    <t>AUDHI</t>
  </si>
  <si>
    <t>Dhipirrinjura</t>
  </si>
  <si>
    <t>AUDIA</t>
  </si>
  <si>
    <t>Diamond Creek</t>
  </si>
  <si>
    <t>AUDRY</t>
  </si>
  <si>
    <t>Drysdale</t>
  </si>
  <si>
    <t>AUQDN</t>
  </si>
  <si>
    <t>Eden</t>
  </si>
  <si>
    <t>AUEDE</t>
  </si>
  <si>
    <t>Eden Valley</t>
  </si>
  <si>
    <t>AUEDB</t>
  </si>
  <si>
    <t>Edithburgh</t>
  </si>
  <si>
    <t>AUELE</t>
  </si>
  <si>
    <t>Electrona</t>
  </si>
  <si>
    <t>AUELB</t>
  </si>
  <si>
    <t>Elizabeth Bay</t>
  </si>
  <si>
    <t>AUELT</t>
  </si>
  <si>
    <t>Eltham</t>
  </si>
  <si>
    <t>AUEPR</t>
  </si>
  <si>
    <t>Esperance</t>
  </si>
  <si>
    <t>AUEVL</t>
  </si>
  <si>
    <t>Evans Landing</t>
  </si>
  <si>
    <t>AUPEX</t>
  </si>
  <si>
    <t>Exmouth</t>
  </si>
  <si>
    <t>AUEXM</t>
  </si>
  <si>
    <t>Exmouth Gulf</t>
  </si>
  <si>
    <t>AUFIN</t>
  </si>
  <si>
    <t>Findon</t>
  </si>
  <si>
    <t>AUFIS</t>
  </si>
  <si>
    <t>Fisherman Islands</t>
  </si>
  <si>
    <t>AUFLN</t>
  </si>
  <si>
    <t>Flynn</t>
  </si>
  <si>
    <t>AUFVN</t>
  </si>
  <si>
    <t>Four Vanguard</t>
  </si>
  <si>
    <t>AUFLD</t>
  </si>
  <si>
    <t>Frankland</t>
  </si>
  <si>
    <t>AUFRE</t>
  </si>
  <si>
    <t>Fremantle</t>
  </si>
  <si>
    <t>AUFWT</t>
  </si>
  <si>
    <t>Freshwater</t>
  </si>
  <si>
    <t>AUPUF</t>
  </si>
  <si>
    <t>Front Puffin FPSO</t>
  </si>
  <si>
    <t>AUGBT</t>
  </si>
  <si>
    <t>Garbutt</t>
  </si>
  <si>
    <t>AUGEX</t>
  </si>
  <si>
    <t>Geelong</t>
  </si>
  <si>
    <t>AUGEM</t>
  </si>
  <si>
    <t>Gembrook</t>
  </si>
  <si>
    <t>AUGEE</t>
  </si>
  <si>
    <t>George Town</t>
  </si>
  <si>
    <t>AUGET</t>
  </si>
  <si>
    <t>Geraldton</t>
  </si>
  <si>
    <t>AUGLT</t>
  </si>
  <si>
    <t>Gladstone</t>
  </si>
  <si>
    <t>AUGLL</t>
  </si>
  <si>
    <t>Glebe Island</t>
  </si>
  <si>
    <t>AUGOI</t>
  </si>
  <si>
    <t>Goods Is</t>
  </si>
  <si>
    <t>AUGOA</t>
  </si>
  <si>
    <t>Goolwa</t>
  </si>
  <si>
    <t>AUGOR</t>
  </si>
  <si>
    <t>Gordon</t>
  </si>
  <si>
    <t>AUGOV</t>
  </si>
  <si>
    <t>Gove</t>
  </si>
  <si>
    <t>AUGOH</t>
  </si>
  <si>
    <t>Gove Harbour</t>
  </si>
  <si>
    <t>AUGTH</t>
  </si>
  <si>
    <t>Grantham</t>
  </si>
  <si>
    <t>AUGRB</t>
  </si>
  <si>
    <t>Gravelly Beach</t>
  </si>
  <si>
    <t>AUGTW</t>
  </si>
  <si>
    <t>Great Western</t>
  </si>
  <si>
    <t>AUGRH</t>
  </si>
  <si>
    <t>Greenhead</t>
  </si>
  <si>
    <t>AUGRK</t>
  </si>
  <si>
    <t>Greenock</t>
  </si>
  <si>
    <t>AUGRV</t>
  </si>
  <si>
    <t>Griffin Venture (oil terminal)</t>
  </si>
  <si>
    <t>AUGTE</t>
  </si>
  <si>
    <t>Groote Eylandt</t>
  </si>
  <si>
    <t>AUGRU</t>
  </si>
  <si>
    <t>Gruyere</t>
  </si>
  <si>
    <t>AUGUM</t>
  </si>
  <si>
    <t>Gumeracha</t>
  </si>
  <si>
    <t>AUHAH</t>
  </si>
  <si>
    <t>Hahndorf</t>
  </si>
  <si>
    <t>AUHTT</t>
  </si>
  <si>
    <t>Halletts Cove</t>
  </si>
  <si>
    <t>AUHAM</t>
  </si>
  <si>
    <t>Hampton</t>
  </si>
  <si>
    <t>AUHWD</t>
  </si>
  <si>
    <t>Hanwood</t>
  </si>
  <si>
    <t>AUHPP</t>
  </si>
  <si>
    <t>Happy Valley</t>
  </si>
  <si>
    <t>AUHYI</t>
  </si>
  <si>
    <t>Hardy Island</t>
  </si>
  <si>
    <t>AUHAS</t>
  </si>
  <si>
    <t>Hastings</t>
  </si>
  <si>
    <t>AUHPT</t>
  </si>
  <si>
    <t>Hay Point</t>
  </si>
  <si>
    <t>AUHTH</t>
  </si>
  <si>
    <t>Heathcote</t>
  </si>
  <si>
    <t>AUHBE</t>
  </si>
  <si>
    <t>Heatherbrae</t>
  </si>
  <si>
    <t>AUHFR</t>
  </si>
  <si>
    <t>Henderson</t>
  </si>
  <si>
    <t>AUHNK</t>
  </si>
  <si>
    <t>Hinchinbrook Island</t>
  </si>
  <si>
    <t>AUHBA</t>
  </si>
  <si>
    <t>Hobart</t>
  </si>
  <si>
    <t>AUHDD</t>
  </si>
  <si>
    <t>Hoddles Creek</t>
  </si>
  <si>
    <t>AUHOT</t>
  </si>
  <si>
    <t>Hope Tun</t>
  </si>
  <si>
    <t>AUIGF</t>
  </si>
  <si>
    <t>Ingle Farm</t>
  </si>
  <si>
    <t>AUIPS</t>
  </si>
  <si>
    <t>Ipswich</t>
  </si>
  <si>
    <t>AUIRY</t>
  </si>
  <si>
    <t>Irymple</t>
  </si>
  <si>
    <t>AUJOV</t>
  </si>
  <si>
    <t>Jabiru Venture (oil terminal)</t>
  </si>
  <si>
    <t>AUJAR</t>
  </si>
  <si>
    <t>Jarrahdale</t>
  </si>
  <si>
    <t>AUKAN</t>
  </si>
  <si>
    <t>Kangarilla</t>
  </si>
  <si>
    <t>AUKRB</t>
  </si>
  <si>
    <t>Karumba</t>
  </si>
  <si>
    <t>AUKTR</t>
  </si>
  <si>
    <t>Katherine</t>
  </si>
  <si>
    <t>AUKAY</t>
  </si>
  <si>
    <t>Kayena</t>
  </si>
  <si>
    <t>AUKEI</t>
  </si>
  <si>
    <t>Keith</t>
  </si>
  <si>
    <t>AUKEY</t>
  </si>
  <si>
    <t>Keyneton</t>
  </si>
  <si>
    <t>AUKIB</t>
  </si>
  <si>
    <t>King Bay</t>
  </si>
  <si>
    <t>AUKGC</t>
  </si>
  <si>
    <t>Kingscote</t>
  </si>
  <si>
    <t>AUGTY</t>
  </si>
  <si>
    <t>Kingsford</t>
  </si>
  <si>
    <t>AUKIT</t>
  </si>
  <si>
    <t>Kingston</t>
  </si>
  <si>
    <t>AUKTN</t>
  </si>
  <si>
    <t>Kitan FPSO</t>
  </si>
  <si>
    <t>AUKLP</t>
  </si>
  <si>
    <t>Klein Point</t>
  </si>
  <si>
    <t>AUKOI</t>
  </si>
  <si>
    <t>Koolan Island</t>
  </si>
  <si>
    <t>AUKUR</t>
  </si>
  <si>
    <t>Kurnell</t>
  </si>
  <si>
    <t>AUKWI</t>
  </si>
  <si>
    <t>Kwinana</t>
  </si>
  <si>
    <t>AULAB</t>
  </si>
  <si>
    <t>Lady Barron</t>
  </si>
  <si>
    <t>AULMQ</t>
  </si>
  <si>
    <t>Lake Macquarie</t>
  </si>
  <si>
    <t>AULEN</t>
  </si>
  <si>
    <t>Lakes Entrance</t>
  </si>
  <si>
    <t>AULAN</t>
  </si>
  <si>
    <t>Langarra</t>
  </si>
  <si>
    <t>AULST</t>
  </si>
  <si>
    <t>Launceston</t>
  </si>
  <si>
    <t>AUJML</t>
  </si>
  <si>
    <t>Laurieton</t>
  </si>
  <si>
    <t>AULGT</t>
  </si>
  <si>
    <t>Legendre Terminal</t>
  </si>
  <si>
    <t>AULYD</t>
  </si>
  <si>
    <t>Lilydale</t>
  </si>
  <si>
    <t>AULOW</t>
  </si>
  <si>
    <t>Lisarow</t>
  </si>
  <si>
    <t>AUDFE</t>
  </si>
  <si>
    <t>Longwood</t>
  </si>
  <si>
    <t>AULDH</t>
  </si>
  <si>
    <t>Lord Howe Is</t>
  </si>
  <si>
    <t>AULUC</t>
  </si>
  <si>
    <t>Lucinda</t>
  </si>
  <si>
    <t>AUMKY</t>
  </si>
  <si>
    <t>Mackay</t>
  </si>
  <si>
    <t>AUMQI</t>
  </si>
  <si>
    <t>Macquarie Island</t>
  </si>
  <si>
    <t>AUMRK</t>
  </si>
  <si>
    <t>Macquarie Park</t>
  </si>
  <si>
    <t>AUMBY</t>
  </si>
  <si>
    <t>Maribyrnong</t>
  </si>
  <si>
    <t>AUMAR</t>
  </si>
  <si>
    <t>Marrickville</t>
  </si>
  <si>
    <t>AUMBH</t>
  </si>
  <si>
    <t>Maryborough</t>
  </si>
  <si>
    <t>AUSAD</t>
  </si>
  <si>
    <t>AUKLL</t>
  </si>
  <si>
    <t>Maryknoll</t>
  </si>
  <si>
    <t>AUMEL</t>
  </si>
  <si>
    <t>Melbourne</t>
  </si>
  <si>
    <t>AUMRS</t>
  </si>
  <si>
    <t>Melrose</t>
  </si>
  <si>
    <t>AUMLI</t>
  </si>
  <si>
    <t>Melville Island</t>
  </si>
  <si>
    <t>AUMID</t>
  </si>
  <si>
    <t>Midland</t>
  </si>
  <si>
    <t>AUMIB</t>
  </si>
  <si>
    <t>Milner Bay</t>
  </si>
  <si>
    <t>AUMIL</t>
  </si>
  <si>
    <t>Milperra</t>
  </si>
  <si>
    <t>AUMOD</t>
  </si>
  <si>
    <t>Modec Venture 11</t>
  </si>
  <si>
    <t>AUMON</t>
  </si>
  <si>
    <t>Montara Field</t>
  </si>
  <si>
    <t>AUMLL</t>
  </si>
  <si>
    <t>Mooloolaba</t>
  </si>
  <si>
    <t>AUMOK</t>
  </si>
  <si>
    <t>Moorook</t>
  </si>
  <si>
    <t>AUMDC</t>
  </si>
  <si>
    <t>Mordialloc</t>
  </si>
  <si>
    <t>AUMGE</t>
  </si>
  <si>
    <t>Mount Gravatt</t>
  </si>
  <si>
    <t>AUMHW</t>
  </si>
  <si>
    <t>Mount Hawthorn</t>
  </si>
  <si>
    <t>AUMOU</t>
  </si>
  <si>
    <t>Mourilyan</t>
  </si>
  <si>
    <t>AUMOW</t>
  </si>
  <si>
    <t>Mowbray Heights</t>
  </si>
  <si>
    <t>AUMWA</t>
  </si>
  <si>
    <t>Mulwala</t>
  </si>
  <si>
    <t>AUMUT</t>
  </si>
  <si>
    <t>Mutineer</t>
  </si>
  <si>
    <t>AUNEQ</t>
  </si>
  <si>
    <t>Nericon</t>
  </si>
  <si>
    <t>AUNLK</t>
  </si>
  <si>
    <t>New Norfolk</t>
  </si>
  <si>
    <t>AUNTL</t>
  </si>
  <si>
    <t>Newcastle</t>
  </si>
  <si>
    <t>AUVIC</t>
  </si>
  <si>
    <t>Newtown</t>
  </si>
  <si>
    <t>AUNGH</t>
  </si>
  <si>
    <t>Nganhurra</t>
  </si>
  <si>
    <t>AUNHU</t>
  </si>
  <si>
    <t>Nhulunbuy</t>
  </si>
  <si>
    <t>AUNIV</t>
  </si>
  <si>
    <t>Ningaloo Vision</t>
  </si>
  <si>
    <t>AUNB2</t>
  </si>
  <si>
    <t>North Bridge</t>
  </si>
  <si>
    <t>AUNTE</t>
  </si>
  <si>
    <t>Northern Endeavour</t>
  </si>
  <si>
    <t>AUOKF</t>
  </si>
  <si>
    <t>Oak Flats</t>
  </si>
  <si>
    <t>AUOKH</t>
  </si>
  <si>
    <t>Okha FPSO</t>
  </si>
  <si>
    <t>AUONS</t>
  </si>
  <si>
    <t>Onslow</t>
  </si>
  <si>
    <t>AUOSB</t>
  </si>
  <si>
    <t>Osborne Island</t>
  </si>
  <si>
    <t>AUPAG</t>
  </si>
  <si>
    <t>Paddington</t>
  </si>
  <si>
    <t>AUDSW</t>
  </si>
  <si>
    <t>Padstow</t>
  </si>
  <si>
    <t>AUPMK</t>
  </si>
  <si>
    <t>Palm Island</t>
  </si>
  <si>
    <t>AUPAL</t>
  </si>
  <si>
    <t>Palmerston</t>
  </si>
  <si>
    <t>AUPEL</t>
  </si>
  <si>
    <t>Pelican Point</t>
  </si>
  <si>
    <t>AUPEN</t>
  </si>
  <si>
    <t>Pendle Hills</t>
  </si>
  <si>
    <t>AUPER</t>
  </si>
  <si>
    <t>Perth</t>
  </si>
  <si>
    <t>AUPIS</t>
  </si>
  <si>
    <t>Phillip Island</t>
  </si>
  <si>
    <t>AUPIC</t>
  </si>
  <si>
    <t>Picton</t>
  </si>
  <si>
    <t>AUPHP</t>
  </si>
  <si>
    <t>Point Henry Pier/Melbourne</t>
  </si>
  <si>
    <t>AUPSM</t>
  </si>
  <si>
    <t>Point Samson</t>
  </si>
  <si>
    <t>AUPWI</t>
  </si>
  <si>
    <t>Point Wilson</t>
  </si>
  <si>
    <t>AUPAE</t>
  </si>
  <si>
    <t>Port Adelaide</t>
  </si>
  <si>
    <t>AUPTL</t>
  </si>
  <si>
    <t>Port Alma</t>
  </si>
  <si>
    <t>AUPAU</t>
  </si>
  <si>
    <t>Port Arthur</t>
  </si>
  <si>
    <t>AUPUG</t>
  </si>
  <si>
    <t>Port Augusta</t>
  </si>
  <si>
    <t>AUPBY</t>
  </si>
  <si>
    <t>Port Bonython</t>
  </si>
  <si>
    <t>AUPBT</t>
  </si>
  <si>
    <t>Port Botany</t>
  </si>
  <si>
    <t>AUPCT</t>
  </si>
  <si>
    <t>Port Curtis</t>
  </si>
  <si>
    <t>AUPTD</t>
  </si>
  <si>
    <t>Port Dalrymple</t>
  </si>
  <si>
    <t>AUPDI</t>
  </si>
  <si>
    <t>Port Denison</t>
  </si>
  <si>
    <t>AUPTI</t>
  </si>
  <si>
    <t>Port Douglas</t>
  </si>
  <si>
    <t>AUPGI</t>
  </si>
  <si>
    <t>Port Giles</t>
  </si>
  <si>
    <t>AUPHE</t>
  </si>
  <si>
    <t>Port Hedland</t>
  </si>
  <si>
    <t>AUPHU</t>
  </si>
  <si>
    <t>Port Huon</t>
  </si>
  <si>
    <t>AUPJK</t>
  </si>
  <si>
    <t>Port Jackson</t>
  </si>
  <si>
    <t>AUPKL</t>
  </si>
  <si>
    <t>Port Kembla</t>
  </si>
  <si>
    <t>AUPKY</t>
  </si>
  <si>
    <t>Port Kenny</t>
  </si>
  <si>
    <t>AUPLA</t>
  </si>
  <si>
    <t>Port Latta</t>
  </si>
  <si>
    <t>AUPLO</t>
  </si>
  <si>
    <t>Port Lincoln</t>
  </si>
  <si>
    <t>AUPQQ</t>
  </si>
  <si>
    <t>Port Macquarie</t>
  </si>
  <si>
    <t>AUPOR</t>
  </si>
  <si>
    <t>Port Melbourne</t>
  </si>
  <si>
    <t>AUPBN</t>
  </si>
  <si>
    <t>Port of Brisbane</t>
  </si>
  <si>
    <t>AUPPI</t>
  </si>
  <si>
    <t>Port Pirie</t>
  </si>
  <si>
    <t>AUPSY</t>
  </si>
  <si>
    <t>Port Stanley</t>
  </si>
  <si>
    <t>AUPST</t>
  </si>
  <si>
    <t>Port Stanvac</t>
  </si>
  <si>
    <t>AUPWL</t>
  </si>
  <si>
    <t>Port Walcott</t>
  </si>
  <si>
    <t>AUPWR</t>
  </si>
  <si>
    <t>Port Warrender</t>
  </si>
  <si>
    <t>AUPTW</t>
  </si>
  <si>
    <t>Port Willunga</t>
  </si>
  <si>
    <t>AUPTJ</t>
  </si>
  <si>
    <t>Portland</t>
  </si>
  <si>
    <t>AUPHR</t>
  </si>
  <si>
    <t>Prahran</t>
  </si>
  <si>
    <t>AUPRC</t>
  </si>
  <si>
    <t>Price</t>
  </si>
  <si>
    <t>AUPRB</t>
  </si>
  <si>
    <t>Proper Bay</t>
  </si>
  <si>
    <t>AUPYE</t>
  </si>
  <si>
    <t>Pyrenees</t>
  </si>
  <si>
    <t>AUPYR</t>
  </si>
  <si>
    <t>Pyrmont</t>
  </si>
  <si>
    <t>AURAF</t>
  </si>
  <si>
    <t>Raffles Bay</t>
  </si>
  <si>
    <t>AURAB</t>
  </si>
  <si>
    <t>Rapid Bay</t>
  </si>
  <si>
    <t>AUREV</t>
  </si>
  <si>
    <t>Revesby</t>
  </si>
  <si>
    <t>AURLL</t>
  </si>
  <si>
    <t>Reynella</t>
  </si>
  <si>
    <t>AURDS</t>
  </si>
  <si>
    <t>Rhodes</t>
  </si>
  <si>
    <t>AURCM</t>
  </si>
  <si>
    <t>Richmond</t>
  </si>
  <si>
    <t>AURDN</t>
  </si>
  <si>
    <t>Risdon</t>
  </si>
  <si>
    <t>AUROB</t>
  </si>
  <si>
    <t>Robe</t>
  </si>
  <si>
    <t>AUROK</t>
  </si>
  <si>
    <t>Rockhampton</t>
  </si>
  <si>
    <t>AURYP</t>
  </si>
  <si>
    <t>Rocky Point</t>
  </si>
  <si>
    <t>AURBU</t>
  </si>
  <si>
    <t>Roebourne</t>
  </si>
  <si>
    <t>AURNB</t>
  </si>
  <si>
    <t>Rosslyn Bay</t>
  </si>
  <si>
    <t>AURTS</t>
  </si>
  <si>
    <t>Rottnest Island</t>
  </si>
  <si>
    <t>AUROZ</t>
  </si>
  <si>
    <t>Rozelle</t>
  </si>
  <si>
    <t>AUSMT</t>
  </si>
  <si>
    <t>Saladin Marine Terminal</t>
  </si>
  <si>
    <t>AUSGT</t>
  </si>
  <si>
    <t>Sandgate</t>
  </si>
  <si>
    <t>AUSCY</t>
  </si>
  <si>
    <t>Scoresby</t>
  </si>
  <si>
    <t>AUSSH</t>
  </si>
  <si>
    <t>Sellicks Hill</t>
  </si>
  <si>
    <t>AUSMR</t>
  </si>
  <si>
    <t>Seventeen Mile Rocks/Brisbane</t>
  </si>
  <si>
    <t>AUSHB</t>
  </si>
  <si>
    <t>Shark Bay</t>
  </si>
  <si>
    <t>AUSOL</t>
  </si>
  <si>
    <t>Shea Oak Log</t>
  </si>
  <si>
    <t>AUSKA</t>
  </si>
  <si>
    <t>Skardon River</t>
  </si>
  <si>
    <t>AUSKV</t>
  </si>
  <si>
    <t>Skua Venture (oil terminal)</t>
  </si>
  <si>
    <t>AUSKY</t>
  </si>
  <si>
    <t>Skye</t>
  </si>
  <si>
    <t>AUSBN</t>
  </si>
  <si>
    <t>South Brisbane</t>
  </si>
  <si>
    <t>AUSTR</t>
  </si>
  <si>
    <t>South Trees</t>
  </si>
  <si>
    <t>AUSWR</t>
  </si>
  <si>
    <t>South West Rocks</t>
  </si>
  <si>
    <t>AUSPO</t>
  </si>
  <si>
    <t>Spreyton</t>
  </si>
  <si>
    <t>AUSPB</t>
  </si>
  <si>
    <t>Spring Bay</t>
  </si>
  <si>
    <t>AUSTG</t>
  </si>
  <si>
    <t>Stag Platform</t>
  </si>
  <si>
    <t>AUSTA</t>
  </si>
  <si>
    <t>Stanley</t>
  </si>
  <si>
    <t>AUSRN</t>
  </si>
  <si>
    <t>Strahan</t>
  </si>
  <si>
    <t>AUSTY</t>
  </si>
  <si>
    <t>Stybarrow Venture MV17</t>
  </si>
  <si>
    <t>AUSUH</t>
  </si>
  <si>
    <t>Surry Hills</t>
  </si>
  <si>
    <t>AUSYD</t>
  </si>
  <si>
    <t>Sydney</t>
  </si>
  <si>
    <t>AUDGA</t>
  </si>
  <si>
    <t>Tea Gardens</t>
  </si>
  <si>
    <t>AUGUR</t>
  </si>
  <si>
    <t>The Gurdies</t>
  </si>
  <si>
    <t>AUTHE</t>
  </si>
  <si>
    <t>Thevenard</t>
  </si>
  <si>
    <t>AUCTH</t>
  </si>
  <si>
    <t>Thevenard Island</t>
  </si>
  <si>
    <t>AUTIS</t>
  </si>
  <si>
    <t>Thursday Island</t>
  </si>
  <si>
    <t>AUTOL</t>
  </si>
  <si>
    <t>Toombul</t>
  </si>
  <si>
    <t>AUTRD</t>
  </si>
  <si>
    <t>Tooradin</t>
  </si>
  <si>
    <t>AUTOR</t>
  </si>
  <si>
    <t>Toronto</t>
  </si>
  <si>
    <t>AULKU</t>
  </si>
  <si>
    <t>Torrensville</t>
  </si>
  <si>
    <t>AUTOB</t>
  </si>
  <si>
    <t>Towford Bay</t>
  </si>
  <si>
    <t>AUTSV</t>
  </si>
  <si>
    <t>Townsville</t>
  </si>
  <si>
    <t>AUTRB</t>
  </si>
  <si>
    <t>Trial Bay</t>
  </si>
  <si>
    <t>AUTRI</t>
  </si>
  <si>
    <t>Troughton Island</t>
  </si>
  <si>
    <t>AUTHS</t>
  </si>
  <si>
    <t>Tweed Heads South</t>
  </si>
  <si>
    <t>AUDA5</t>
  </si>
  <si>
    <t>Twowells</t>
  </si>
  <si>
    <t>AUULA</t>
  </si>
  <si>
    <t>Ulladulla</t>
  </si>
  <si>
    <t>AUULT</t>
  </si>
  <si>
    <t>Ultimo</t>
  </si>
  <si>
    <t>AUUMB</t>
  </si>
  <si>
    <t>Umbakumba</t>
  </si>
  <si>
    <t>AUURN</t>
  </si>
  <si>
    <t>Urangan</t>
  </si>
  <si>
    <t>AUUSL</t>
  </si>
  <si>
    <t>Useless Loop</t>
  </si>
  <si>
    <t>AUVGH</t>
  </si>
  <si>
    <t>Van Gogh Terminal</t>
  </si>
  <si>
    <t>AUVAR</t>
  </si>
  <si>
    <t>Varanus Island</t>
  </si>
  <si>
    <t>AUWAL</t>
  </si>
  <si>
    <t>Wallaroo</t>
  </si>
  <si>
    <t>AUWNT</t>
  </si>
  <si>
    <t>Wandoo Terminal</t>
  </si>
  <si>
    <t>AUWSN</t>
  </si>
  <si>
    <t>Warners Bay</t>
  </si>
  <si>
    <t>AUWMB</t>
  </si>
  <si>
    <t>Warrnambool</t>
  </si>
  <si>
    <t>AUWAZ</t>
  </si>
  <si>
    <t>Warwick</t>
  </si>
  <si>
    <t>AUWTN</t>
  </si>
  <si>
    <t>Webberton</t>
  </si>
  <si>
    <t>AUWEI</t>
  </si>
  <si>
    <t>Weipa</t>
  </si>
  <si>
    <t>AUKJH</t>
  </si>
  <si>
    <t>Welland</t>
  </si>
  <si>
    <t>AUWHL</t>
  </si>
  <si>
    <t>Welshpool</t>
  </si>
  <si>
    <t>AUWWP</t>
  </si>
  <si>
    <t>Wentworth Point</t>
  </si>
  <si>
    <t>AUWRB</t>
  </si>
  <si>
    <t>Werribee</t>
  </si>
  <si>
    <t>AUWEP</t>
  </si>
  <si>
    <t>Westernport</t>
  </si>
  <si>
    <t>AUWSI</t>
  </si>
  <si>
    <t>Whitsunday Island</t>
  </si>
  <si>
    <t>AUWYA</t>
  </si>
  <si>
    <t>Whyalla</t>
  </si>
  <si>
    <t>AUWIH</t>
  </si>
  <si>
    <t>Wingham</t>
  </si>
  <si>
    <t>AUVIT</t>
  </si>
  <si>
    <t>Wishart</t>
  </si>
  <si>
    <t>AUWNB</t>
  </si>
  <si>
    <t>Withnell Bay</t>
  </si>
  <si>
    <t>AUWOT</t>
  </si>
  <si>
    <t>Wonthaggi</t>
  </si>
  <si>
    <t>AUWOO</t>
  </si>
  <si>
    <t>Woolloomooloo</t>
  </si>
  <si>
    <t>AUWBT</t>
  </si>
  <si>
    <t>Woollybutt (Oil facility)</t>
  </si>
  <si>
    <t>AUWYN</t>
  </si>
  <si>
    <t>Wyndham</t>
  </si>
  <si>
    <t>AUYBA</t>
  </si>
  <si>
    <t>Yamba</t>
  </si>
  <si>
    <t>AUYAM</t>
  </si>
  <si>
    <t>Yampi</t>
  </si>
  <si>
    <t>AUYRR</t>
  </si>
  <si>
    <t>Yarra Junction</t>
  </si>
  <si>
    <t>AWAUA</t>
  </si>
  <si>
    <t>Aruba</t>
  </si>
  <si>
    <t>AWBAR</t>
  </si>
  <si>
    <t>Barcadera</t>
  </si>
  <si>
    <t>AWBUS</t>
  </si>
  <si>
    <t>Bushiribana</t>
  </si>
  <si>
    <t>AWDEU</t>
  </si>
  <si>
    <t>Druif</t>
  </si>
  <si>
    <t>AWORJ</t>
  </si>
  <si>
    <t>Oranjestad</t>
  </si>
  <si>
    <t>AWSNL</t>
  </si>
  <si>
    <t>Sint Nicolaas</t>
  </si>
  <si>
    <t>AXMHQ</t>
  </si>
  <si>
    <t>Maarianhamina (Mariehamn)</t>
  </si>
  <si>
    <t>AZBAK</t>
  </si>
  <si>
    <t>Baku</t>
  </si>
  <si>
    <t>AZKMZ</t>
  </si>
  <si>
    <t>Khachmaz</t>
  </si>
  <si>
    <t>AZQDG</t>
  </si>
  <si>
    <t>Qaradag</t>
  </si>
  <si>
    <t>AZSHI</t>
  </si>
  <si>
    <t>Shirvan</t>
  </si>
  <si>
    <t>AZSUQ</t>
  </si>
  <si>
    <t>Sumqayit</t>
  </si>
  <si>
    <t>BABIR</t>
  </si>
  <si>
    <t>Biracevac</t>
  </si>
  <si>
    <t>BA4CA</t>
  </si>
  <si>
    <t>Cazin</t>
  </si>
  <si>
    <t>BADOJ</t>
  </si>
  <si>
    <t>Domaljevac</t>
  </si>
  <si>
    <t>BAFOJ</t>
  </si>
  <si>
    <t>Fojnica</t>
  </si>
  <si>
    <t>BAJBA</t>
  </si>
  <si>
    <t>Jablanica</t>
  </si>
  <si>
    <t>BAMAG</t>
  </si>
  <si>
    <t>Maglaj</t>
  </si>
  <si>
    <t>BANEM</t>
  </si>
  <si>
    <t>Neum</t>
  </si>
  <si>
    <t>BASMT</t>
  </si>
  <si>
    <t>Sanski Most</t>
  </si>
  <si>
    <t>BAVGS</t>
  </si>
  <si>
    <t>Vogosca</t>
  </si>
  <si>
    <t>BAZNK</t>
  </si>
  <si>
    <t>Zvornik</t>
  </si>
  <si>
    <t>BBBGI</t>
  </si>
  <si>
    <t>Bridgetown</t>
  </si>
  <si>
    <t>BBSTM</t>
  </si>
  <si>
    <t>Saint Michael</t>
  </si>
  <si>
    <t>BDASJ</t>
  </si>
  <si>
    <t>Ashuganj</t>
  </si>
  <si>
    <t>BDBZL</t>
  </si>
  <si>
    <t>Barisal</t>
  </si>
  <si>
    <t>BDBNP</t>
  </si>
  <si>
    <t>Benapole</t>
  </si>
  <si>
    <t>BDCHL</t>
  </si>
  <si>
    <t>Chalna</t>
  </si>
  <si>
    <t>BDCGP</t>
  </si>
  <si>
    <t>Chittagong</t>
  </si>
  <si>
    <t>BDKHL</t>
  </si>
  <si>
    <t>Khulna</t>
  </si>
  <si>
    <t>BDMGL</t>
  </si>
  <si>
    <t>Mongla</t>
  </si>
  <si>
    <t>BDNAR</t>
  </si>
  <si>
    <t>Narayanganj</t>
  </si>
  <si>
    <t>BDPGN</t>
  </si>
  <si>
    <t>Pangaon</t>
  </si>
  <si>
    <t>BDPAY</t>
  </si>
  <si>
    <t>Payra Port</t>
  </si>
  <si>
    <t>BEAAB</t>
  </si>
  <si>
    <t>Aalst</t>
  </si>
  <si>
    <t>BEAAL</t>
  </si>
  <si>
    <t>Aalter</t>
  </si>
  <si>
    <t>BEADK</t>
  </si>
  <si>
    <t>Adinkerke</t>
  </si>
  <si>
    <t>BEAFN</t>
  </si>
  <si>
    <t>Afsnee</t>
  </si>
  <si>
    <t>BEABK</t>
  </si>
  <si>
    <t>Albertkanaal ports</t>
  </si>
  <si>
    <t>BEAMY</t>
  </si>
  <si>
    <t>Amay</t>
  </si>
  <si>
    <t>BEAPS</t>
  </si>
  <si>
    <t>Ampsin</t>
  </si>
  <si>
    <t>BEAND</t>
  </si>
  <si>
    <t>Andenne</t>
  </si>
  <si>
    <t>BEANB</t>
  </si>
  <si>
    <t>Angleur</t>
  </si>
  <si>
    <t>BEANH</t>
  </si>
  <si>
    <t>BEAVE</t>
  </si>
  <si>
    <t>Annevoie</t>
  </si>
  <si>
    <t>BEASR</t>
  </si>
  <si>
    <t>Anseremme</t>
  </si>
  <si>
    <t>BEAHE</t>
  </si>
  <si>
    <t>Antheit</t>
  </si>
  <si>
    <t>BEATO</t>
  </si>
  <si>
    <t>Antoing</t>
  </si>
  <si>
    <t>BEANR</t>
  </si>
  <si>
    <t>Antwerpen</t>
  </si>
  <si>
    <t>BEAVG</t>
  </si>
  <si>
    <t>Anvaing</t>
  </si>
  <si>
    <t>BEAPL</t>
  </si>
  <si>
    <t>Appels</t>
  </si>
  <si>
    <t>BEAPT</t>
  </si>
  <si>
    <t>Appelterre-Eichem</t>
  </si>
  <si>
    <t>BEAEJ</t>
  </si>
  <si>
    <t>Arendonk</t>
  </si>
  <si>
    <t>BEAGT</t>
  </si>
  <si>
    <t>Argenteau</t>
  </si>
  <si>
    <t>BEASP</t>
  </si>
  <si>
    <t>Asper</t>
  </si>
  <si>
    <t>BEAST</t>
  </si>
  <si>
    <t>Astene</t>
  </si>
  <si>
    <t>BEATH</t>
  </si>
  <si>
    <t>Ath</t>
  </si>
  <si>
    <t>BE7PD</t>
  </si>
  <si>
    <t>Athis</t>
  </si>
  <si>
    <t>BEODE</t>
  </si>
  <si>
    <t>Auderghem (Oudergem)/Brussel (Bruxelles)</t>
  </si>
  <si>
    <t>BEAVS</t>
  </si>
  <si>
    <t>Auvelais</t>
  </si>
  <si>
    <t>BEAVL</t>
  </si>
  <si>
    <t>Avelgem</t>
  </si>
  <si>
    <t>BEW5R</t>
  </si>
  <si>
    <t>Awirs</t>
  </si>
  <si>
    <t>BEBSR</t>
  </si>
  <si>
    <t>Baasrode</t>
  </si>
  <si>
    <t>BEBAI</t>
  </si>
  <si>
    <t>Baillonville</t>
  </si>
  <si>
    <t>BEBLE</t>
  </si>
  <si>
    <t>Balen</t>
  </si>
  <si>
    <t>BEBGK</t>
  </si>
  <si>
    <t>Balgerhoek</t>
  </si>
  <si>
    <t>BEBOA</t>
  </si>
  <si>
    <t>Bas-Oha</t>
  </si>
  <si>
    <t>BEBAT</t>
  </si>
  <si>
    <t>Battel</t>
  </si>
  <si>
    <t>BEBDU</t>
  </si>
  <si>
    <t>Baudour</t>
  </si>
  <si>
    <t>BEBAZ</t>
  </si>
  <si>
    <t>Bazel</t>
  </si>
  <si>
    <t>BEBRM</t>
  </si>
  <si>
    <t>Beernem</t>
  </si>
  <si>
    <t>BEBER</t>
  </si>
  <si>
    <t>Beerse</t>
  </si>
  <si>
    <t>BEBCR</t>
  </si>
  <si>
    <t>Bellecourt</t>
  </si>
  <si>
    <t>BEBLO</t>
  </si>
  <si>
    <t>Beloeil</t>
  </si>
  <si>
    <t>BEBAN</t>
  </si>
  <si>
    <t>Ben-Ahin</t>
  </si>
  <si>
    <t>BEBCM</t>
  </si>
  <si>
    <t>Berchem</t>
  </si>
  <si>
    <t>BEBRT</t>
  </si>
  <si>
    <t>Berendrecht</t>
  </si>
  <si>
    <t>BERIN</t>
  </si>
  <si>
    <t>Beringen</t>
  </si>
  <si>
    <t>BEBNU</t>
  </si>
  <si>
    <t>Berneau</t>
  </si>
  <si>
    <t>BEBTX</t>
  </si>
  <si>
    <t>Bertrix</t>
  </si>
  <si>
    <t>BEBVE</t>
  </si>
  <si>
    <t>Bever</t>
  </si>
  <si>
    <t>BEBVO</t>
  </si>
  <si>
    <t>Beverlo</t>
  </si>
  <si>
    <t>BEBSE</t>
  </si>
  <si>
    <t>Bissegem</t>
  </si>
  <si>
    <t>BEBBG</t>
  </si>
  <si>
    <t>Blankenberge</t>
  </si>
  <si>
    <t>BEWHT</t>
  </si>
  <si>
    <t>Blaregnies</t>
  </si>
  <si>
    <t>BEBLT</t>
  </si>
  <si>
    <t>Blaton</t>
  </si>
  <si>
    <t>BEBHR</t>
  </si>
  <si>
    <t>BEBOC</t>
  </si>
  <si>
    <t>Bocholt</t>
  </si>
  <si>
    <t>BEBHE</t>
  </si>
  <si>
    <t>Boekhoute</t>
  </si>
  <si>
    <t>BEBOM</t>
  </si>
  <si>
    <t>Boom</t>
  </si>
  <si>
    <t>BEBOO</t>
  </si>
  <si>
    <t>Boorsem</t>
  </si>
  <si>
    <t>BEBMB</t>
  </si>
  <si>
    <t>Boortmeerbeek</t>
  </si>
  <si>
    <t>BEBON</t>
  </si>
  <si>
    <t>Bornem</t>
  </si>
  <si>
    <t>BEBSU</t>
  </si>
  <si>
    <t>Bossuit</t>
  </si>
  <si>
    <t>BEBO2</t>
  </si>
  <si>
    <t>Bougnies</t>
  </si>
  <si>
    <t>BEBVM</t>
  </si>
  <si>
    <t>Bouvignes-sur-Meuse</t>
  </si>
  <si>
    <t>BEBRE</t>
  </si>
  <si>
    <t>Bree</t>
  </si>
  <si>
    <t>BEBGN</t>
  </si>
  <si>
    <t>Briegden</t>
  </si>
  <si>
    <t>BEBGS</t>
  </si>
  <si>
    <t>Brugge (Bruges)</t>
  </si>
  <si>
    <t>BEBRU</t>
  </si>
  <si>
    <t>Brussel (Bruxelles)</t>
  </si>
  <si>
    <t>BEBRY</t>
  </si>
  <si>
    <t>Bruyelle</t>
  </si>
  <si>
    <t>BEBHU</t>
  </si>
  <si>
    <t>Buggenhout</t>
  </si>
  <si>
    <t>BEBUD</t>
  </si>
  <si>
    <t>Burcht</t>
  </si>
  <si>
    <t>BECLN</t>
  </si>
  <si>
    <t>Calonne</t>
  </si>
  <si>
    <t>BEKAN</t>
  </si>
  <si>
    <t>Canne (Kanne)</t>
  </si>
  <si>
    <t>BECRL</t>
  </si>
  <si>
    <t>Charleroi</t>
  </si>
  <si>
    <t>BECTL</t>
  </si>
  <si>
    <t>BECRA</t>
  </si>
  <si>
    <t>Cheratte</t>
  </si>
  <si>
    <t>BECRQ</t>
  </si>
  <si>
    <t>Chercq</t>
  </si>
  <si>
    <t>BECTA</t>
  </si>
  <si>
    <t>Chertal</t>
  </si>
  <si>
    <t>BECBQ</t>
  </si>
  <si>
    <t>Clabecq</t>
  </si>
  <si>
    <t>BECOM</t>
  </si>
  <si>
    <t>Comines</t>
  </si>
  <si>
    <t>BECOU</t>
  </si>
  <si>
    <t>Couillet</t>
  </si>
  <si>
    <t>BECCS</t>
  </si>
  <si>
    <t>Courcelles</t>
  </si>
  <si>
    <t>BEDKN</t>
  </si>
  <si>
    <t>Daknam</t>
  </si>
  <si>
    <t>BEDPY</t>
  </si>
  <si>
    <t>Dampremy</t>
  </si>
  <si>
    <t>BEDPE</t>
  </si>
  <si>
    <t>De Pinte</t>
  </si>
  <si>
    <t>BEDEZ</t>
  </si>
  <si>
    <t>Deinze</t>
  </si>
  <si>
    <t>BEDNB</t>
  </si>
  <si>
    <t>Denderbelle</t>
  </si>
  <si>
    <t>BEIAI</t>
  </si>
  <si>
    <t>Denderhoutem</t>
  </si>
  <si>
    <t>BEDRW</t>
  </si>
  <si>
    <t>Denderleeuw</t>
  </si>
  <si>
    <t>BEDDR</t>
  </si>
  <si>
    <t>Dendermonde</t>
  </si>
  <si>
    <t>BEDSE</t>
  </si>
  <si>
    <t>Dessel</t>
  </si>
  <si>
    <t>BEDSL</t>
  </si>
  <si>
    <t>Desselgem</t>
  </si>
  <si>
    <t>BEDEG</t>
  </si>
  <si>
    <t>Deurne</t>
  </si>
  <si>
    <t>BEDXN</t>
  </si>
  <si>
    <t>Deux-Acren</t>
  </si>
  <si>
    <t>BEDPK</t>
  </si>
  <si>
    <t>Diepenbeek</t>
  </si>
  <si>
    <t>BEDIK</t>
  </si>
  <si>
    <t>Diksmuide</t>
  </si>
  <si>
    <t>BEDLS</t>
  </si>
  <si>
    <t>Dilsen</t>
  </si>
  <si>
    <t>BEDIA</t>
  </si>
  <si>
    <t>Dinant</t>
  </si>
  <si>
    <t>BEDEL</t>
  </si>
  <si>
    <t>Doel</t>
  </si>
  <si>
    <t>BETRN</t>
  </si>
  <si>
    <t>Doornik (Tournai)</t>
  </si>
  <si>
    <t>BEDGN</t>
  </si>
  <si>
    <t>Drongen</t>
  </si>
  <si>
    <t>BEDUF</t>
  </si>
  <si>
    <t>Duffel</t>
  </si>
  <si>
    <t>BE9IR</t>
  </si>
  <si>
    <t>Eben-Emael</t>
  </si>
  <si>
    <t>BEEEK</t>
  </si>
  <si>
    <t>Eeklo</t>
  </si>
  <si>
    <t>BEEBZ</t>
  </si>
  <si>
    <t>Eigenbilzen</t>
  </si>
  <si>
    <t>BEEHT</t>
  </si>
  <si>
    <t>Eindhout</t>
  </si>
  <si>
    <t>BEEIN</t>
  </si>
  <si>
    <t>Eine</t>
  </si>
  <si>
    <t>BEESD</t>
  </si>
  <si>
    <t>Eisden</t>
  </si>
  <si>
    <t>BEEQE</t>
  </si>
  <si>
    <t>Eke</t>
  </si>
  <si>
    <t>BEEKE</t>
  </si>
  <si>
    <t>Ekeren</t>
  </si>
  <si>
    <t>BEEKS</t>
  </si>
  <si>
    <t>Eksaarde</t>
  </si>
  <si>
    <t>BEEBM</t>
  </si>
  <si>
    <t>Emblem</t>
  </si>
  <si>
    <t>BEEAM</t>
  </si>
  <si>
    <t>Ename</t>
  </si>
  <si>
    <t>BEENG</t>
  </si>
  <si>
    <t>Engis</t>
  </si>
  <si>
    <t>BEREQ</t>
  </si>
  <si>
    <t>Erquelinnes</t>
  </si>
  <si>
    <t>BEERE</t>
  </si>
  <si>
    <t>Ertvelde</t>
  </si>
  <si>
    <t>BEEFS</t>
  </si>
  <si>
    <t>Escanaffles</t>
  </si>
  <si>
    <t>BESPI</t>
  </si>
  <si>
    <t>Espierres (Spiere)</t>
  </si>
  <si>
    <t>BEEQM</t>
  </si>
  <si>
    <t>Esquelmes</t>
  </si>
  <si>
    <t>BEEMP</t>
  </si>
  <si>
    <t>Estaimpuis</t>
  </si>
  <si>
    <t>BEEET</t>
  </si>
  <si>
    <t>BEEVM</t>
  </si>
  <si>
    <t>Evergem</t>
  </si>
  <si>
    <t>BEFCS</t>
  </si>
  <si>
    <t>Farciennes</t>
  </si>
  <si>
    <t>BEFEY</t>
  </si>
  <si>
    <t>Feluy</t>
  </si>
  <si>
    <t>BEFWI</t>
  </si>
  <si>
    <t>Flawinne</t>
  </si>
  <si>
    <t>BEFMA</t>
  </si>
  <si>
    <t>BEFLN</t>
  </si>
  <si>
    <t>BEFLO</t>
  </si>
  <si>
    <t>Floreffe</t>
  </si>
  <si>
    <t>BEFFX</t>
  </si>
  <si>
    <t>Floriffoux</t>
  </si>
  <si>
    <t>BEFVT</t>
  </si>
  <si>
    <t>Fontaine-Valmont</t>
  </si>
  <si>
    <t>BEFRM</t>
  </si>
  <si>
    <t>Fortem</t>
  </si>
  <si>
    <t>BEFNR</t>
  </si>
  <si>
    <t>BEGVR</t>
  </si>
  <si>
    <t>Gavere</t>
  </si>
  <si>
    <t>BEGEL</t>
  </si>
  <si>
    <t>Geel</t>
  </si>
  <si>
    <t>BEGLK</t>
  </si>
  <si>
    <t>Gellik</t>
  </si>
  <si>
    <t>BEGBH</t>
  </si>
  <si>
    <t>Genenbos</t>
  </si>
  <si>
    <t>BEGNK</t>
  </si>
  <si>
    <t>Genk</t>
  </si>
  <si>
    <t>BEGNE</t>
  </si>
  <si>
    <t>Gent (Ghent)</t>
  </si>
  <si>
    <t>BEGBU</t>
  </si>
  <si>
    <t>Gentbrugge</t>
  </si>
  <si>
    <t>BEGEA</t>
  </si>
  <si>
    <t>Geraardsbergen</t>
  </si>
  <si>
    <t>BEGHL</t>
  </si>
  <si>
    <t>Ghlin</t>
  </si>
  <si>
    <t>BEGDN</t>
  </si>
  <si>
    <t>Godinne</t>
  </si>
  <si>
    <t>BEGDE</t>
  </si>
  <si>
    <t>Godsheide</t>
  </si>
  <si>
    <t>BEGOS</t>
  </si>
  <si>
    <t>Gosselies</t>
  </si>
  <si>
    <t>BEGGM</t>
  </si>
  <si>
    <t>Grembergen</t>
  </si>
  <si>
    <t>BEGRB</t>
  </si>
  <si>
    <t>Grimbergen</t>
  </si>
  <si>
    <t>BEGBB</t>
  </si>
  <si>
    <t>Grobbendonk</t>
  </si>
  <si>
    <t>BEGRO</t>
  </si>
  <si>
    <t>Groot Bijgaarden</t>
  </si>
  <si>
    <t>BEHCT</t>
  </si>
  <si>
    <t>Haccourt</t>
  </si>
  <si>
    <t>BEHFB</t>
  </si>
  <si>
    <t>Halle</t>
  </si>
  <si>
    <t>BEHLU</t>
  </si>
  <si>
    <t>Halluin</t>
  </si>
  <si>
    <t>BEHMM</t>
  </si>
  <si>
    <t>Hamme</t>
  </si>
  <si>
    <t>BEHAM</t>
  </si>
  <si>
    <t>Hamsehoeven</t>
  </si>
  <si>
    <t>BEHMB</t>
  </si>
  <si>
    <t>Ham-sur-Sambre</t>
  </si>
  <si>
    <t>BEHNA</t>
  </si>
  <si>
    <t>Handzame</t>
  </si>
  <si>
    <t>BEHBE</t>
  </si>
  <si>
    <t>Hansbeke</t>
  </si>
  <si>
    <t>BEHCS</t>
  </si>
  <si>
    <t>Harchies</t>
  </si>
  <si>
    <t>BEHEJ</t>
  </si>
  <si>
    <t>Harelbeke</t>
  </si>
  <si>
    <t>BEHAR</t>
  </si>
  <si>
    <t>Haren</t>
  </si>
  <si>
    <t>BEHSS</t>
  </si>
  <si>
    <t>Hasselt</t>
  </si>
  <si>
    <t>BEHPD</t>
  </si>
  <si>
    <t>BEHTJ</t>
  </si>
  <si>
    <t>Hautrage</t>
  </si>
  <si>
    <t>BEHRE</t>
  </si>
  <si>
    <t>BEHEE</t>
  </si>
  <si>
    <t>Heer</t>
  </si>
  <si>
    <t>BEHDK</t>
  </si>
  <si>
    <t>Heindonk</t>
  </si>
  <si>
    <t>BEHKN</t>
  </si>
  <si>
    <t>Helkijn</t>
  </si>
  <si>
    <t>BEHEX</t>
  </si>
  <si>
    <t>Hemiksem</t>
  </si>
  <si>
    <t>BEHNS</t>
  </si>
  <si>
    <t>Hensies</t>
  </si>
  <si>
    <t>BEHYB</t>
  </si>
  <si>
    <t>Herdersem</t>
  </si>
  <si>
    <t>BEHET</t>
  </si>
  <si>
    <t>Herent</t>
  </si>
  <si>
    <t>BEHER</t>
  </si>
  <si>
    <t>Herentals</t>
  </si>
  <si>
    <t>BEHMH</t>
  </si>
  <si>
    <t>Hermalle-sous-Huy</t>
  </si>
  <si>
    <t>BEHTM</t>
  </si>
  <si>
    <t>Hermeton-sur-Meuse</t>
  </si>
  <si>
    <t>BEHRS</t>
  </si>
  <si>
    <t>Herstal</t>
  </si>
  <si>
    <t>BETTJ</t>
  </si>
  <si>
    <t>Heultje</t>
  </si>
  <si>
    <t>BEHVE</t>
  </si>
  <si>
    <t>Hever</t>
  </si>
  <si>
    <t>BEHBN</t>
  </si>
  <si>
    <t>Hoboken</t>
  </si>
  <si>
    <t>BEHSD</t>
  </si>
  <si>
    <t>Hofstade</t>
  </si>
  <si>
    <t>BEHOL</t>
  </si>
  <si>
    <t>Hollain</t>
  </si>
  <si>
    <t>BEHGA</t>
  </si>
  <si>
    <t>Houdeng-Aimeries</t>
  </si>
  <si>
    <t>BEHGG</t>
  </si>
  <si>
    <t>Houdeng-Goegnies</t>
  </si>
  <si>
    <t>BEHRP</t>
  </si>
  <si>
    <t>Hourpes</t>
  </si>
  <si>
    <t>BEHUX</t>
  </si>
  <si>
    <t>Houx</t>
  </si>
  <si>
    <t>BEWAH</t>
  </si>
  <si>
    <t>Hoves</t>
  </si>
  <si>
    <t>BEHUM</t>
  </si>
  <si>
    <t>Humbeek</t>
  </si>
  <si>
    <t>BEHUY</t>
  </si>
  <si>
    <t>Huy</t>
  </si>
  <si>
    <t>BEIGE</t>
  </si>
  <si>
    <t>Ingelmunster</t>
  </si>
  <si>
    <t>BEISR</t>
  </si>
  <si>
    <t>BEITR</t>
  </si>
  <si>
    <t>Itter (Ittre)</t>
  </si>
  <si>
    <t>BEYRT</t>
  </si>
  <si>
    <t>Ivoz-Ramet</t>
  </si>
  <si>
    <t>BEIZG</t>
  </si>
  <si>
    <t>Izegem</t>
  </si>
  <si>
    <t>BEJAM</t>
  </si>
  <si>
    <t>Jambes</t>
  </si>
  <si>
    <t>BEJAV</t>
  </si>
  <si>
    <t>Java</t>
  </si>
  <si>
    <t>BEJPS</t>
  </si>
  <si>
    <t>Jemeppe-sur-Sambre</t>
  </si>
  <si>
    <t>BEJAK</t>
  </si>
  <si>
    <t>Jupille-sur-Meuse</t>
  </si>
  <si>
    <t>BEKCT</t>
  </si>
  <si>
    <t>Kachtem</t>
  </si>
  <si>
    <t>BEKAI</t>
  </si>
  <si>
    <t>Kain</t>
  </si>
  <si>
    <t>BEKOU</t>
  </si>
  <si>
    <t>Kallo</t>
  </si>
  <si>
    <t>BEKMH</t>
  </si>
  <si>
    <t>Kampenhout</t>
  </si>
  <si>
    <t>BEKPB</t>
  </si>
  <si>
    <t>Kapelle-op-den-Bos</t>
  </si>
  <si>
    <t>BEKLE</t>
  </si>
  <si>
    <t>Kaulille</t>
  </si>
  <si>
    <t>BEKHN</t>
  </si>
  <si>
    <t>Kerkhove</t>
  </si>
  <si>
    <t>BEKSN</t>
  </si>
  <si>
    <t>Kessenich</t>
  </si>
  <si>
    <t>BEKDE</t>
  </si>
  <si>
    <t>Kieldrecht</t>
  </si>
  <si>
    <t>BEKRO</t>
  </si>
  <si>
    <t>Kinrooi</t>
  </si>
  <si>
    <t>BEKVE</t>
  </si>
  <si>
    <t>Klein Veerle</t>
  </si>
  <si>
    <t>BEKSR</t>
  </si>
  <si>
    <t>Kluisbergen</t>
  </si>
  <si>
    <t>BEKNS</t>
  </si>
  <si>
    <t>Knesselaere</t>
  </si>
  <si>
    <t>BEKJK</t>
  </si>
  <si>
    <t>Kortrijk</t>
  </si>
  <si>
    <t>BEKEK</t>
  </si>
  <si>
    <t>Kruibeke</t>
  </si>
  <si>
    <t>BEKRN</t>
  </si>
  <si>
    <t>Kuringen</t>
  </si>
  <si>
    <t>BEKUU</t>
  </si>
  <si>
    <t>Kuurne</t>
  </si>
  <si>
    <t>BEKWA</t>
  </si>
  <si>
    <t>Kwaadmechelen</t>
  </si>
  <si>
    <t>BERAR</t>
  </si>
  <si>
    <t>La Roche-en-Ardenne</t>
  </si>
  <si>
    <t>BEBSI</t>
  </si>
  <si>
    <t>BELUZ</t>
  </si>
  <si>
    <t>Ladeuze</t>
  </si>
  <si>
    <t>BELAN</t>
  </si>
  <si>
    <t>Lanaken</t>
  </si>
  <si>
    <t>BELNY</t>
  </si>
  <si>
    <t>Lanaye (Ternaaien)</t>
  </si>
  <si>
    <t>BELGM</t>
  </si>
  <si>
    <t>Landegem</t>
  </si>
  <si>
    <t>BELDS</t>
  </si>
  <si>
    <t>Landelies</t>
  </si>
  <si>
    <t>BELGB</t>
  </si>
  <si>
    <t>Langerbrugge</t>
  </si>
  <si>
    <t>BELGO</t>
  </si>
  <si>
    <t>Langerlo</t>
  </si>
  <si>
    <t>BELNK</t>
  </si>
  <si>
    <t>Lanklaar</t>
  </si>
  <si>
    <t>BELQA</t>
  </si>
  <si>
    <t>Lanquesaint</t>
  </si>
  <si>
    <t>BELPI</t>
  </si>
  <si>
    <t>Laplaigne</t>
  </si>
  <si>
    <t>BELAW</t>
  </si>
  <si>
    <t>Lauwe</t>
  </si>
  <si>
    <t>BEROU</t>
  </si>
  <si>
    <t>Le Roeulx</t>
  </si>
  <si>
    <t>BELRG</t>
  </si>
  <si>
    <t>Ledeberg</t>
  </si>
  <si>
    <t>BELFE</t>
  </si>
  <si>
    <t>Leffinge</t>
  </si>
  <si>
    <t>BELBE</t>
  </si>
  <si>
    <t>Lembeek</t>
  </si>
  <si>
    <t>BELPG</t>
  </si>
  <si>
    <t>Leopoldsburg</t>
  </si>
  <si>
    <t>BELES</t>
  </si>
  <si>
    <t>Lessines</t>
  </si>
  <si>
    <t>BELEU</t>
  </si>
  <si>
    <t>Leuven</t>
  </si>
  <si>
    <t>BELHK</t>
  </si>
  <si>
    <t>Liefkenshoek</t>
  </si>
  <si>
    <t>BELGG</t>
  </si>
  <si>
    <t>BELIE</t>
  </si>
  <si>
    <t>Lier</t>
  </si>
  <si>
    <t>BELIL</t>
  </si>
  <si>
    <t>Lillo</t>
  </si>
  <si>
    <t>BELSG</t>
  </si>
  <si>
    <t>Lissewege</t>
  </si>
  <si>
    <t>BELIX</t>
  </si>
  <si>
    <t>Lixhe</t>
  </si>
  <si>
    <t>BELBS</t>
  </si>
  <si>
    <t>Lobbes</t>
  </si>
  <si>
    <t>BELOK</t>
  </si>
  <si>
    <t>Lokeren</t>
  </si>
  <si>
    <t>BELML</t>
  </si>
  <si>
    <t>Lommel</t>
  </si>
  <si>
    <t>BELOT</t>
  </si>
  <si>
    <t>Lot</t>
  </si>
  <si>
    <t>BELOZ</t>
  </si>
  <si>
    <t>Lozen</t>
  </si>
  <si>
    <t>BELUM</t>
  </si>
  <si>
    <t>Lummen</t>
  </si>
  <si>
    <t>BELUI</t>
  </si>
  <si>
    <t>Lustin</t>
  </si>
  <si>
    <t>BEMSK</t>
  </si>
  <si>
    <t>Maaseik</t>
  </si>
  <si>
    <t>BEMMN</t>
  </si>
  <si>
    <t>Maasmechelen</t>
  </si>
  <si>
    <t>BEMFF</t>
  </si>
  <si>
    <t>Maffle</t>
  </si>
  <si>
    <t>BEMSR</t>
  </si>
  <si>
    <t>BEMAN</t>
  </si>
  <si>
    <t>Manage</t>
  </si>
  <si>
    <t>BEWBR</t>
  </si>
  <si>
    <t>Maransart</t>
  </si>
  <si>
    <t>BEMLD</t>
  </si>
  <si>
    <t>Marche-les-Dames</t>
  </si>
  <si>
    <t>BEMAP</t>
  </si>
  <si>
    <t>Marchienne-au-Pont</t>
  </si>
  <si>
    <t>BEMLY</t>
  </si>
  <si>
    <t>Marly</t>
  </si>
  <si>
    <t>BEMHN</t>
  </si>
  <si>
    <t>Massenhoven</t>
  </si>
  <si>
    <t>BEMBY</t>
  </si>
  <si>
    <t>Maubray</t>
  </si>
  <si>
    <t>BEMRG</t>
  </si>
  <si>
    <t>Maurage</t>
  </si>
  <si>
    <t>BEECH</t>
  </si>
  <si>
    <t>Mechelen</t>
  </si>
  <si>
    <t>BEMEE</t>
  </si>
  <si>
    <t>Meer</t>
  </si>
  <si>
    <t>BEMEH</t>
  </si>
  <si>
    <t>Meerhout</t>
  </si>
  <si>
    <t>BEMGM</t>
  </si>
  <si>
    <t>Meigem</t>
  </si>
  <si>
    <t>BEMEG</t>
  </si>
  <si>
    <t>Meilegem</t>
  </si>
  <si>
    <t>BEMEL</t>
  </si>
  <si>
    <t>Melle</t>
  </si>
  <si>
    <t>BEELS</t>
  </si>
  <si>
    <t>Melsen</t>
  </si>
  <si>
    <t>BEMEN</t>
  </si>
  <si>
    <t>Menen</t>
  </si>
  <si>
    <t>BEMRL</t>
  </si>
  <si>
    <t>Merelbeke</t>
  </si>
  <si>
    <t>BEMRD</t>
  </si>
  <si>
    <t>Merendree</t>
  </si>
  <si>
    <t>BEMRM</t>
  </si>
  <si>
    <t>Merkem</t>
  </si>
  <si>
    <t>BEMRK</t>
  </si>
  <si>
    <t>Merksem</t>
  </si>
  <si>
    <t>BEMSP</t>
  </si>
  <si>
    <t>Mespelare</t>
  </si>
  <si>
    <t>BEMNO</t>
  </si>
  <si>
    <t>Moen</t>
  </si>
  <si>
    <t>BEMEW</t>
  </si>
  <si>
    <t>Moerbeke-Waas</t>
  </si>
  <si>
    <t>BEMRB</t>
  </si>
  <si>
    <t>Moerbrugge</t>
  </si>
  <si>
    <t>BEMZK</t>
  </si>
  <si>
    <t>Moerzeke</t>
  </si>
  <si>
    <t>BEMGN</t>
  </si>
  <si>
    <t>BEMLO</t>
  </si>
  <si>
    <t>Mol</t>
  </si>
  <si>
    <t>BEMSJ</t>
  </si>
  <si>
    <t>Molenbeek-Saint-Jean (Sint-Jans-Molenbeek)/Brussel (Bruxelles)</t>
  </si>
  <si>
    <t>BEMSS</t>
  </si>
  <si>
    <t>Monceau-sur-Sambre</t>
  </si>
  <si>
    <t>BEMQS</t>
  </si>
  <si>
    <t>Mons</t>
  </si>
  <si>
    <t>BEMSI</t>
  </si>
  <si>
    <t>Monsin</t>
  </si>
  <si>
    <t>BEMGS</t>
  </si>
  <si>
    <t>Montignies-sur-Sambre</t>
  </si>
  <si>
    <t>BEMRO</t>
  </si>
  <si>
    <t>Mornimont</t>
  </si>
  <si>
    <t>BEMUI</t>
  </si>
  <si>
    <t>Muizen</t>
  </si>
  <si>
    <t>BENMC</t>
  </si>
  <si>
    <t>BENAM</t>
  </si>
  <si>
    <t>Namur</t>
  </si>
  <si>
    <t>BENVH</t>
  </si>
  <si>
    <t>Neder-Over-Heembeek</t>
  </si>
  <si>
    <t>BENHA</t>
  </si>
  <si>
    <t>Neerharen</t>
  </si>
  <si>
    <t>BENRT</t>
  </si>
  <si>
    <t>Neeroeteren</t>
  </si>
  <si>
    <t>BENRP</t>
  </si>
  <si>
    <t>Neerpelt</t>
  </si>
  <si>
    <t>BENFE</t>
  </si>
  <si>
    <t>Neffe</t>
  </si>
  <si>
    <t>BENHY</t>
  </si>
  <si>
    <t>Neuville-sous-Huy</t>
  </si>
  <si>
    <t>BENVL</t>
  </si>
  <si>
    <t>Nevele</t>
  </si>
  <si>
    <t>BENIL</t>
  </si>
  <si>
    <t>Niel</t>
  </si>
  <si>
    <t>BENIE</t>
  </si>
  <si>
    <t>Nieuwpoort</t>
  </si>
  <si>
    <t>BENYL</t>
  </si>
  <si>
    <t>Nijlen</t>
  </si>
  <si>
    <t>BENBA</t>
  </si>
  <si>
    <t>Nimy</t>
  </si>
  <si>
    <t>BENNV</t>
  </si>
  <si>
    <t>Ninove</t>
  </si>
  <si>
    <t>BENVN</t>
  </si>
  <si>
    <t>Noeveren</t>
  </si>
  <si>
    <t>BEOBR</t>
  </si>
  <si>
    <t>Obourg</t>
  </si>
  <si>
    <t>BEOEL</t>
  </si>
  <si>
    <t>Oelegem</t>
  </si>
  <si>
    <t>BEOSG</t>
  </si>
  <si>
    <t>Oeselgem</t>
  </si>
  <si>
    <t>BEOEV</t>
  </si>
  <si>
    <t>Oevel</t>
  </si>
  <si>
    <t>BEOQC</t>
  </si>
  <si>
    <t>Oisquercq</t>
  </si>
  <si>
    <t>BEOKG</t>
  </si>
  <si>
    <t>Okegem</t>
  </si>
  <si>
    <t>BEOLN</t>
  </si>
  <si>
    <t>Olen</t>
  </si>
  <si>
    <t>BEOGS</t>
  </si>
  <si>
    <t>Ollignies</t>
  </si>
  <si>
    <t>BEOBT</t>
  </si>
  <si>
    <t>Ombret-Rawsa</t>
  </si>
  <si>
    <t>BEOZL</t>
  </si>
  <si>
    <t>Onkerzele</t>
  </si>
  <si>
    <t>BEOOG</t>
  </si>
  <si>
    <t>Ooigem</t>
  </si>
  <si>
    <t>BEOST</t>
  </si>
  <si>
    <t>Oostende (Ostend)</t>
  </si>
  <si>
    <t>BEOTL</t>
  </si>
  <si>
    <t>Oosterlo</t>
  </si>
  <si>
    <t>BEOKP</t>
  </si>
  <si>
    <t>Oostkamp</t>
  </si>
  <si>
    <t>BEOTK</t>
  </si>
  <si>
    <t>Oostkerke</t>
  </si>
  <si>
    <t>BEOHN</t>
  </si>
  <si>
    <t>Ophoven</t>
  </si>
  <si>
    <t>BEOPI</t>
  </si>
  <si>
    <t>Opitter</t>
  </si>
  <si>
    <t>BEORR</t>
  </si>
  <si>
    <t>Orroir</t>
  </si>
  <si>
    <t>BEOUD</t>
  </si>
  <si>
    <t>Oudenaarde</t>
  </si>
  <si>
    <t>BEOBG</t>
  </si>
  <si>
    <t>Oudenburg</t>
  </si>
  <si>
    <t>BEOTH</t>
  </si>
  <si>
    <t>Oud-Turnhout</t>
  </si>
  <si>
    <t>BEOUG</t>
  </si>
  <si>
    <t>BEOPY</t>
  </si>
  <si>
    <t>Oupeye</t>
  </si>
  <si>
    <t>BEOLE</t>
  </si>
  <si>
    <t>Overboelare</t>
  </si>
  <si>
    <t>BEOVE</t>
  </si>
  <si>
    <t>Overpelt</t>
  </si>
  <si>
    <t>BEPAL</t>
  </si>
  <si>
    <t>Paal</t>
  </si>
  <si>
    <t>BEPML</t>
  </si>
  <si>
    <t>Pamel</t>
  </si>
  <si>
    <t>BEPCQ</t>
  </si>
  <si>
    <t>Pecq</t>
  </si>
  <si>
    <t>BEPES</t>
  </si>
  <si>
    <t>BEPLB</t>
  </si>
  <si>
    <t>BEPLY</t>
  </si>
  <si>
    <t>Petit-Lanaye</t>
  </si>
  <si>
    <t>BEPTP</t>
  </si>
  <si>
    <t>Pijp Tabak</t>
  </si>
  <si>
    <t>BEPKH</t>
  </si>
  <si>
    <t>Pollinkhove</t>
  </si>
  <si>
    <t>BEPME</t>
  </si>
  <si>
    <t>Pommeroeul</t>
  </si>
  <si>
    <t>BEPCL</t>
  </si>
  <si>
    <t>BEPLO</t>
  </si>
  <si>
    <t>Pont-de-Loup</t>
  </si>
  <si>
    <t>BEPTS</t>
  </si>
  <si>
    <t>Pottes</t>
  </si>
  <si>
    <t>BEPFE</t>
  </si>
  <si>
    <t>Profondeville</t>
  </si>
  <si>
    <t>BEPUU</t>
  </si>
  <si>
    <t>Puurs</t>
  </si>
  <si>
    <t>BERCI</t>
  </si>
  <si>
    <t>Ramegnies-Chin</t>
  </si>
  <si>
    <t>BERVS</t>
  </si>
  <si>
    <t>Ravels</t>
  </si>
  <si>
    <t>BERBX</t>
  </si>
  <si>
    <t>Rebaix</t>
  </si>
  <si>
    <t>BEREK</t>
  </si>
  <si>
    <t>Rekkem</t>
  </si>
  <si>
    <t>BERGE</t>
  </si>
  <si>
    <t>Reninge</t>
  </si>
  <si>
    <t>BENRY</t>
  </si>
  <si>
    <t>Renory</t>
  </si>
  <si>
    <t>BERTI</t>
  </si>
  <si>
    <t>Retie</t>
  </si>
  <si>
    <t>BERCL</t>
  </si>
  <si>
    <t>Richelle</t>
  </si>
  <si>
    <t>BERIE</t>
  </si>
  <si>
    <t>Rieme</t>
  </si>
  <si>
    <t>BERIJ</t>
  </si>
  <si>
    <t>Rijkevorsel</t>
  </si>
  <si>
    <t>BEXXX</t>
  </si>
  <si>
    <t>BERVE</t>
  </si>
  <si>
    <t>BERJT</t>
  </si>
  <si>
    <t>Rocourt</t>
  </si>
  <si>
    <t>BERBE</t>
  </si>
  <si>
    <t>Roesbrugge</t>
  </si>
  <si>
    <t>BERHA</t>
  </si>
  <si>
    <t>Roesbrugge-Haringe</t>
  </si>
  <si>
    <t>BEROE</t>
  </si>
  <si>
    <t>Roeselare</t>
  </si>
  <si>
    <t>BERQS</t>
  </si>
  <si>
    <t>BEROS</t>
  </si>
  <si>
    <t>Roselies</t>
  </si>
  <si>
    <t>BERCT</t>
  </si>
  <si>
    <t>Roucourt</t>
  </si>
  <si>
    <t>BEROX</t>
  </si>
  <si>
    <t>Roux</t>
  </si>
  <si>
    <t>BERUE</t>
  </si>
  <si>
    <t>Ruien</t>
  </si>
  <si>
    <t>BESVG</t>
  </si>
  <si>
    <t>Ruisbroek</t>
  </si>
  <si>
    <t>BERUI</t>
  </si>
  <si>
    <t>BERUS</t>
  </si>
  <si>
    <t>Rumst</t>
  </si>
  <si>
    <t>BERPM</t>
  </si>
  <si>
    <t>Rupelmonde</t>
  </si>
  <si>
    <t>BEGHI</t>
  </si>
  <si>
    <t>Saint-Ghislain</t>
  </si>
  <si>
    <t>BESLS</t>
  </si>
  <si>
    <t>Salles</t>
  </si>
  <si>
    <t>BESSO</t>
  </si>
  <si>
    <t>Samson</t>
  </si>
  <si>
    <t>BEVIT</t>
  </si>
  <si>
    <t>Sankt Vith</t>
  </si>
  <si>
    <t>BESLJ</t>
  </si>
  <si>
    <t>Sas-Slijkens</t>
  </si>
  <si>
    <t>BESPE</t>
  </si>
  <si>
    <t>Scheepsdale</t>
  </si>
  <si>
    <t>BESHR</t>
  </si>
  <si>
    <t>Schelderode</t>
  </si>
  <si>
    <t>BESHL</t>
  </si>
  <si>
    <t>Schelle</t>
  </si>
  <si>
    <t>BESHB</t>
  </si>
  <si>
    <t>Schellebelle</t>
  </si>
  <si>
    <t>BESCE</t>
  </si>
  <si>
    <t>Schilde</t>
  </si>
  <si>
    <t>BESNE</t>
  </si>
  <si>
    <t>Schoonaarde</t>
  </si>
  <si>
    <t>BESCT</t>
  </si>
  <si>
    <t>Schoten</t>
  </si>
  <si>
    <t>BESGX</t>
  </si>
  <si>
    <t>Sclaigneaux</t>
  </si>
  <si>
    <t>BESLY</t>
  </si>
  <si>
    <t>Sclayn</t>
  </si>
  <si>
    <t>BESSN</t>
  </si>
  <si>
    <t>Sclessin</t>
  </si>
  <si>
    <t>BESES</t>
  </si>
  <si>
    <t>Seilles</t>
  </si>
  <si>
    <t>BESEN</t>
  </si>
  <si>
    <t>Seneffe</t>
  </si>
  <si>
    <t>BEZER</t>
  </si>
  <si>
    <t>Seraing</t>
  </si>
  <si>
    <t>BESKA</t>
  </si>
  <si>
    <t>Sint Katelijne Waver</t>
  </si>
  <si>
    <t>BESAS</t>
  </si>
  <si>
    <t>Sint-Amands</t>
  </si>
  <si>
    <t>BESAN</t>
  </si>
  <si>
    <t>Sint-Andries</t>
  </si>
  <si>
    <t>BEHSL</t>
  </si>
  <si>
    <t>Sint-Huibrechts-Lille</t>
  </si>
  <si>
    <t>BEJKP</t>
  </si>
  <si>
    <t>Sint-Jacobs-Kapelle</t>
  </si>
  <si>
    <t>BESJG</t>
  </si>
  <si>
    <t>Sint-Job-in-'t-Goor</t>
  </si>
  <si>
    <t>BESJR</t>
  </si>
  <si>
    <t>Sint-Joris</t>
  </si>
  <si>
    <t>BESJO</t>
  </si>
  <si>
    <t>Sint-Jozef-Olen</t>
  </si>
  <si>
    <t>BESLN</t>
  </si>
  <si>
    <t>Sint-Lenaarts</t>
  </si>
  <si>
    <t>BESML</t>
  </si>
  <si>
    <t>Sint-Martens-Latem</t>
  </si>
  <si>
    <t>BESSK</t>
  </si>
  <si>
    <t>Snaaskerke</t>
  </si>
  <si>
    <t>BESSB</t>
  </si>
  <si>
    <t>Solre-sur-Sambre</t>
  </si>
  <si>
    <t>BESDT</t>
  </si>
  <si>
    <t>Soudromont</t>
  </si>
  <si>
    <t>BESBG</t>
  </si>
  <si>
    <t>Stambruges</t>
  </si>
  <si>
    <t>BESGM</t>
  </si>
  <si>
    <t>Stasegem</t>
  </si>
  <si>
    <t>BESTT</t>
  </si>
  <si>
    <t>Statte</t>
  </si>
  <si>
    <t>BESBE</t>
  </si>
  <si>
    <t>Steenbrugge</t>
  </si>
  <si>
    <t>BESDP</t>
  </si>
  <si>
    <t>Steendorp</t>
  </si>
  <si>
    <t>BESVN</t>
  </si>
  <si>
    <t>Stevensvennen</t>
  </si>
  <si>
    <t>BESKR</t>
  </si>
  <si>
    <t>Stokrooie</t>
  </si>
  <si>
    <t>BETMS</t>
  </si>
  <si>
    <t>Tamines</t>
  </si>
  <si>
    <t>BETSE</t>
  </si>
  <si>
    <t>Temse</t>
  </si>
  <si>
    <t>BETFN</t>
  </si>
  <si>
    <t>Teralfene</t>
  </si>
  <si>
    <t>BETDK</t>
  </si>
  <si>
    <t>Terdonk</t>
  </si>
  <si>
    <t>BETGE</t>
  </si>
  <si>
    <t>BETGN</t>
  </si>
  <si>
    <t>Terhagen</t>
  </si>
  <si>
    <t>BETER</t>
  </si>
  <si>
    <t>Ternat</t>
  </si>
  <si>
    <t>BETET</t>
  </si>
  <si>
    <t>Tertre</t>
  </si>
  <si>
    <t>BETES</t>
  </si>
  <si>
    <t>Tessenderlo</t>
  </si>
  <si>
    <t>BETHE</t>
  </si>
  <si>
    <t>Thieu</t>
  </si>
  <si>
    <t>BETRG</t>
  </si>
  <si>
    <t>Thorembais-les-Beguines</t>
  </si>
  <si>
    <t>BETOB</t>
  </si>
  <si>
    <t>Thorntonbank</t>
  </si>
  <si>
    <t>BETHU</t>
  </si>
  <si>
    <t>Thuin</t>
  </si>
  <si>
    <t>BETIL</t>
  </si>
  <si>
    <t>Tielrode</t>
  </si>
  <si>
    <t>BETHG</t>
  </si>
  <si>
    <t>Tihange</t>
  </si>
  <si>
    <t>BETLK</t>
  </si>
  <si>
    <t>Tildonk</t>
  </si>
  <si>
    <t>BETLR</t>
  </si>
  <si>
    <t>Tilleur</t>
  </si>
  <si>
    <t>BETIS</t>
  </si>
  <si>
    <t>Tisselt</t>
  </si>
  <si>
    <t>BETGL</t>
  </si>
  <si>
    <t>Tongerlo</t>
  </si>
  <si>
    <t>BETSL</t>
  </si>
  <si>
    <t>Tourinnes-St-Lambert</t>
  </si>
  <si>
    <t>BETBE</t>
  </si>
  <si>
    <t>Tournebride</t>
  </si>
  <si>
    <t>BETUR</t>
  </si>
  <si>
    <t>Turnhout</t>
  </si>
  <si>
    <t>BEUIT</t>
  </si>
  <si>
    <t>Uitbergen</t>
  </si>
  <si>
    <t>BEVSB</t>
  </si>
  <si>
    <t>Val Saint-Lambert</t>
  </si>
  <si>
    <t>BEVLX</t>
  </si>
  <si>
    <t>Vaulx</t>
  </si>
  <si>
    <t>BEVWZ</t>
  </si>
  <si>
    <t>Veldwezelt</t>
  </si>
  <si>
    <t>BEVBG</t>
  </si>
  <si>
    <t>Verbrande Brug</t>
  </si>
  <si>
    <t>BEVEU</t>
  </si>
  <si>
    <t>Veurne</t>
  </si>
  <si>
    <t>BEVZI</t>
  </si>
  <si>
    <t>Vezin</t>
  </si>
  <si>
    <t>BEVSL</t>
  </si>
  <si>
    <t>Viersel</t>
  </si>
  <si>
    <t>BEVVI</t>
  </si>
  <si>
    <t>Viesville</t>
  </si>
  <si>
    <t>BEVSH</t>
  </si>
  <si>
    <t>Ville-sur-Haine</t>
  </si>
  <si>
    <t>BEVIL</t>
  </si>
  <si>
    <t>Vilvoorde</t>
  </si>
  <si>
    <t>BEVGL</t>
  </si>
  <si>
    <t>Virginal-Samme</t>
  </si>
  <si>
    <t>BEVHN</t>
  </si>
  <si>
    <t>Vroenhoven</t>
  </si>
  <si>
    <t>BEWDM</t>
  </si>
  <si>
    <t>Waardamme</t>
  </si>
  <si>
    <t>BEWAA</t>
  </si>
  <si>
    <t>Waasmunster</t>
  </si>
  <si>
    <t>BEWLM</t>
  </si>
  <si>
    <t>Walem</t>
  </si>
  <si>
    <t>BEWND</t>
  </si>
  <si>
    <t>Wandre</t>
  </si>
  <si>
    <t>BEWAN</t>
  </si>
  <si>
    <t>Wanze</t>
  </si>
  <si>
    <t>BEWCG</t>
  </si>
  <si>
    <t>Warcoing</t>
  </si>
  <si>
    <t>BEWAR</t>
  </si>
  <si>
    <t>Waregem</t>
  </si>
  <si>
    <t>BEBWN</t>
  </si>
  <si>
    <t>Warneton</t>
  </si>
  <si>
    <t>BEWLT</t>
  </si>
  <si>
    <t>Waulsort</t>
  </si>
  <si>
    <t>BEWEL</t>
  </si>
  <si>
    <t>Wellen</t>
  </si>
  <si>
    <t>BEWIP</t>
  </si>
  <si>
    <t>BEWER</t>
  </si>
  <si>
    <t>Wervik</t>
  </si>
  <si>
    <t>BEWET</t>
  </si>
  <si>
    <t>Wetteren</t>
  </si>
  <si>
    <t>BEWEV</t>
  </si>
  <si>
    <t>Wevelgem</t>
  </si>
  <si>
    <t>BEWIH</t>
  </si>
  <si>
    <t>Wichelen</t>
  </si>
  <si>
    <t>BEWIR</t>
  </si>
  <si>
    <t>Wiers</t>
  </si>
  <si>
    <t>BEWGL</t>
  </si>
  <si>
    <t>Wijgmaal</t>
  </si>
  <si>
    <t>BEWJG</t>
  </si>
  <si>
    <t>Wijnegem</t>
  </si>
  <si>
    <t>BEWLB</t>
  </si>
  <si>
    <t>Willebroek</t>
  </si>
  <si>
    <t>BEWEE</t>
  </si>
  <si>
    <t>Wingene</t>
  </si>
  <si>
    <t>BEWTH</t>
  </si>
  <si>
    <t>Wintham</t>
  </si>
  <si>
    <t>BEWDG</t>
  </si>
  <si>
    <t>Wondelgem</t>
  </si>
  <si>
    <t>BEWLP</t>
  </si>
  <si>
    <t>Wulpen</t>
  </si>
  <si>
    <t>BEYVO</t>
  </si>
  <si>
    <t>Yvoir</t>
  </si>
  <si>
    <t>BEZBR</t>
  </si>
  <si>
    <t>Zandbergen</t>
  </si>
  <si>
    <t>BEZVT</t>
  </si>
  <si>
    <t>Zandvliet</t>
  </si>
  <si>
    <t>BEZVD</t>
  </si>
  <si>
    <t>Zandvoorde</t>
  </si>
  <si>
    <t>BEZEE</t>
  </si>
  <si>
    <t>Zeebrugge</t>
  </si>
  <si>
    <t>BEZLE</t>
  </si>
  <si>
    <t>Zele</t>
  </si>
  <si>
    <t>BEZEL</t>
  </si>
  <si>
    <t>Zelzate</t>
  </si>
  <si>
    <t>BEZET</t>
  </si>
  <si>
    <t>Zemst</t>
  </si>
  <si>
    <t>BEZGM</t>
  </si>
  <si>
    <t>Zingem</t>
  </si>
  <si>
    <t>BEZOD</t>
  </si>
  <si>
    <t>Zolder</t>
  </si>
  <si>
    <t>BEZRM</t>
  </si>
  <si>
    <t>Zomergem</t>
  </si>
  <si>
    <t>BEZUN</t>
  </si>
  <si>
    <t>Zuen (Zuun)</t>
  </si>
  <si>
    <t>BEZUL</t>
  </si>
  <si>
    <t>Zulte</t>
  </si>
  <si>
    <t>BEZTL</t>
  </si>
  <si>
    <t>Zutendaal</t>
  </si>
  <si>
    <t>BEZWE</t>
  </si>
  <si>
    <t>Zwevegem</t>
  </si>
  <si>
    <t>BEZWN</t>
  </si>
  <si>
    <t>Zwijnaarde</t>
  </si>
  <si>
    <t>BEZWL</t>
  </si>
  <si>
    <t>Zwijndrecht</t>
  </si>
  <si>
    <t>BFOB2</t>
  </si>
  <si>
    <t>BGAKH</t>
  </si>
  <si>
    <t>Akhtopol</t>
  </si>
  <si>
    <t>BGBAL</t>
  </si>
  <si>
    <t>Balchik</t>
  </si>
  <si>
    <t>BGBOJ</t>
  </si>
  <si>
    <t>Burgas</t>
  </si>
  <si>
    <t>BGVT4</t>
  </si>
  <si>
    <t>Byala Cherkva</t>
  </si>
  <si>
    <t>BGBSL</t>
  </si>
  <si>
    <t>Byala Slatina</t>
  </si>
  <si>
    <t>BGGUR</t>
  </si>
  <si>
    <t>Gurkovo</t>
  </si>
  <si>
    <t>BG4IG</t>
  </si>
  <si>
    <t>Ignatievo</t>
  </si>
  <si>
    <t>BGKUK</t>
  </si>
  <si>
    <t>Kuklen</t>
  </si>
  <si>
    <t>BGMAB</t>
  </si>
  <si>
    <t>Marchevo</t>
  </si>
  <si>
    <t>BGNES</t>
  </si>
  <si>
    <t>Nessebar</t>
  </si>
  <si>
    <t>BGNPO</t>
  </si>
  <si>
    <t>Nikopol</t>
  </si>
  <si>
    <t>BGOKH</t>
  </si>
  <si>
    <t>Oryakhovo</t>
  </si>
  <si>
    <t>BGPOD</t>
  </si>
  <si>
    <t>Podayva</t>
  </si>
  <si>
    <t>BGXXX</t>
  </si>
  <si>
    <t>BGRDU</t>
  </si>
  <si>
    <t>Ruse</t>
  </si>
  <si>
    <t>BGSLS</t>
  </si>
  <si>
    <t>Silistra</t>
  </si>
  <si>
    <t>BGSOM</t>
  </si>
  <si>
    <t>Somovit</t>
  </si>
  <si>
    <t>BGSOZ</t>
  </si>
  <si>
    <t>Sozopol</t>
  </si>
  <si>
    <t>BGS3W</t>
  </si>
  <si>
    <t>Straldzha</t>
  </si>
  <si>
    <t>BGSVI</t>
  </si>
  <si>
    <t>Svistov</t>
  </si>
  <si>
    <t>BGVAR</t>
  </si>
  <si>
    <t>Varna</t>
  </si>
  <si>
    <t>BGVAZ</t>
  </si>
  <si>
    <t>Varna-Zapad</t>
  </si>
  <si>
    <t>BGVID</t>
  </si>
  <si>
    <t>Vidin</t>
  </si>
  <si>
    <t>BHAHD</t>
  </si>
  <si>
    <t>Al Hidd</t>
  </si>
  <si>
    <t>BHGBQ</t>
  </si>
  <si>
    <t>Al Muharraq</t>
  </si>
  <si>
    <t>BHKBS</t>
  </si>
  <si>
    <t>Khalifa Bin Salman Port</t>
  </si>
  <si>
    <t>BHMIN</t>
  </si>
  <si>
    <t>Mina Sulman Port</t>
  </si>
  <si>
    <t>BHSIT</t>
  </si>
  <si>
    <t>Sitrah</t>
  </si>
  <si>
    <t>BICBK</t>
  </si>
  <si>
    <t>Cibitoke</t>
  </si>
  <si>
    <t>BJCOO</t>
  </si>
  <si>
    <t>Cotonou</t>
  </si>
  <si>
    <t>BJPTN</t>
  </si>
  <si>
    <t>Porto-Novo</t>
  </si>
  <si>
    <t>BJSEM</t>
  </si>
  <si>
    <t>Seme Terminal</t>
  </si>
  <si>
    <t>BLSBH</t>
  </si>
  <si>
    <t>BMSEV</t>
  </si>
  <si>
    <t>Devonshire</t>
  </si>
  <si>
    <t>BMFPT</t>
  </si>
  <si>
    <t>Freeport</t>
  </si>
  <si>
    <t>BMBDA</t>
  </si>
  <si>
    <t>Hamilton</t>
  </si>
  <si>
    <t>BMHBI</t>
  </si>
  <si>
    <t>Harbour Island</t>
  </si>
  <si>
    <t>BMKWF</t>
  </si>
  <si>
    <t>Kings Wharf</t>
  </si>
  <si>
    <t>BMSGE</t>
  </si>
  <si>
    <t>Saint George</t>
  </si>
  <si>
    <t>BMSOU</t>
  </si>
  <si>
    <t>Southampton</t>
  </si>
  <si>
    <t>BNBWN</t>
  </si>
  <si>
    <t>Bandar Seri Begawan</t>
  </si>
  <si>
    <t>BNKUB</t>
  </si>
  <si>
    <t>Kuala Belait</t>
  </si>
  <si>
    <t>BNLUM</t>
  </si>
  <si>
    <t>Lumut</t>
  </si>
  <si>
    <t>BNMUA</t>
  </si>
  <si>
    <t>Muara</t>
  </si>
  <si>
    <t>BNSER</t>
  </si>
  <si>
    <t>Seria</t>
  </si>
  <si>
    <t>BNTAS</t>
  </si>
  <si>
    <t>Tanjong Salirong</t>
  </si>
  <si>
    <t>BOGUQ</t>
  </si>
  <si>
    <t>Guaqui</t>
  </si>
  <si>
    <t>BOPBU</t>
  </si>
  <si>
    <t>Puerto Busch</t>
  </si>
  <si>
    <t>BOQJR</t>
  </si>
  <si>
    <t>Puerto Quijarro</t>
  </si>
  <si>
    <t>BOPUR</t>
  </si>
  <si>
    <t>Puerto Rico</t>
  </si>
  <si>
    <t>BOPSZ</t>
  </si>
  <si>
    <t>BORIB</t>
  </si>
  <si>
    <t>Riberalta</t>
  </si>
  <si>
    <t>BORBQ</t>
  </si>
  <si>
    <t>Rurrenabaque</t>
  </si>
  <si>
    <t>BOTDD</t>
  </si>
  <si>
    <t>Trinidad</t>
  </si>
  <si>
    <t>BQBON</t>
  </si>
  <si>
    <t>Bonaire</t>
  </si>
  <si>
    <t>BQRIN</t>
  </si>
  <si>
    <t>BQGOT</t>
  </si>
  <si>
    <t>Goto</t>
  </si>
  <si>
    <t>BQKRA</t>
  </si>
  <si>
    <t>Kralendijk</t>
  </si>
  <si>
    <t>BQSAB</t>
  </si>
  <si>
    <t>Saba</t>
  </si>
  <si>
    <t>BQEUX</t>
  </si>
  <si>
    <t>Sint Eustatius</t>
  </si>
  <si>
    <t>BRABT</t>
  </si>
  <si>
    <t>BRATB</t>
  </si>
  <si>
    <t>Abaetetuba</t>
  </si>
  <si>
    <t>BRADL</t>
  </si>
  <si>
    <t>Abelardo Luz</t>
  </si>
  <si>
    <t>BRAGS</t>
  </si>
  <si>
    <t>Alagoinhas</t>
  </si>
  <si>
    <t>BRALH</t>
  </si>
  <si>
    <t>Alhandra</t>
  </si>
  <si>
    <t>BRALP</t>
  </si>
  <si>
    <t>BRALU</t>
  </si>
  <si>
    <t>Alumar</t>
  </si>
  <si>
    <t>BRADR</t>
  </si>
  <si>
    <t>Angra dos Reis</t>
  </si>
  <si>
    <t>BRANT</t>
  </si>
  <si>
    <t>Antonina</t>
  </si>
  <si>
    <t>BRAJU</t>
  </si>
  <si>
    <t>Aracaju</t>
  </si>
  <si>
    <t>BRARB</t>
  </si>
  <si>
    <t>Aratu</t>
  </si>
  <si>
    <t>BRBUN</t>
  </si>
  <si>
    <t>Barauna</t>
  </si>
  <si>
    <t>BRRCH</t>
  </si>
  <si>
    <t>Barra do Riacho Pt / Aracruz</t>
  </si>
  <si>
    <t>BRBAR</t>
  </si>
  <si>
    <t>Barra dos Coqueiros</t>
  </si>
  <si>
    <t>BRBEL</t>
  </si>
  <si>
    <t>Belem</t>
  </si>
  <si>
    <t>BRBNU</t>
  </si>
  <si>
    <t>Blumenau</t>
  </si>
  <si>
    <t>BRBVS</t>
  </si>
  <si>
    <t>Breves</t>
  </si>
  <si>
    <t>BRCDO</t>
  </si>
  <si>
    <t>Cabedelo</t>
  </si>
  <si>
    <t>BRCDM</t>
  </si>
  <si>
    <t>Cachoeiras de Macacu</t>
  </si>
  <si>
    <t>BRCBU</t>
  </si>
  <si>
    <t>BRCMC</t>
  </si>
  <si>
    <t>Camocim</t>
  </si>
  <si>
    <t>BRCPI</t>
  </si>
  <si>
    <t>Capivari</t>
  </si>
  <si>
    <t>BRCAV</t>
  </si>
  <si>
    <t>Casa Nova</t>
  </si>
  <si>
    <t>BRCEA</t>
  </si>
  <si>
    <t>Ceara Mirim</t>
  </si>
  <si>
    <t>BRANF</t>
  </si>
  <si>
    <t>Cidade de Angra dos Reis FPSO</t>
  </si>
  <si>
    <t>BRCDA</t>
  </si>
  <si>
    <t>BRCMG</t>
  </si>
  <si>
    <t>Corumba</t>
  </si>
  <si>
    <t>BRCUA</t>
  </si>
  <si>
    <t>BRDIA</t>
  </si>
  <si>
    <t>BRESF</t>
  </si>
  <si>
    <t>Espirito Santo FPSO</t>
  </si>
  <si>
    <t>BRESA</t>
  </si>
  <si>
    <t>Estrema</t>
  </si>
  <si>
    <t>BRFEN</t>
  </si>
  <si>
    <t>Fernando de Noronha</t>
  </si>
  <si>
    <t>BRFLN</t>
  </si>
  <si>
    <t>BRFLU</t>
  </si>
  <si>
    <t>Fluminense</t>
  </si>
  <si>
    <t>BRFOR</t>
  </si>
  <si>
    <t>Fortaleza</t>
  </si>
  <si>
    <t>BRGUA</t>
  </si>
  <si>
    <t>BRGTB</t>
  </si>
  <si>
    <t>Guaratuba</t>
  </si>
  <si>
    <t>BRIOS</t>
  </si>
  <si>
    <t>Ilheus</t>
  </si>
  <si>
    <t>BRIBB</t>
  </si>
  <si>
    <t>Imbituba</t>
  </si>
  <si>
    <t>BRIPO</t>
  </si>
  <si>
    <t>Ipojuca</t>
  </si>
  <si>
    <t>BRIRO</t>
  </si>
  <si>
    <t>Itabirito</t>
  </si>
  <si>
    <t>BRITJ</t>
  </si>
  <si>
    <t>Itajai</t>
  </si>
  <si>
    <t>BRITZ</t>
  </si>
  <si>
    <t>Itapemirim</t>
  </si>
  <si>
    <t>BRIOA</t>
  </si>
  <si>
    <t>BRIQI</t>
  </si>
  <si>
    <t>Itaqui</t>
  </si>
  <si>
    <t>BRITQ</t>
  </si>
  <si>
    <t>BRJRV</t>
  </si>
  <si>
    <t>BRJPA</t>
  </si>
  <si>
    <t>Joao Pessoa</t>
  </si>
  <si>
    <t>BRLDF</t>
  </si>
  <si>
    <t>Lauro de Freitas</t>
  </si>
  <si>
    <t>BRMAI</t>
  </si>
  <si>
    <t>Macaiba</t>
  </si>
  <si>
    <t>BRMCP</t>
  </si>
  <si>
    <t>Macapa</t>
  </si>
  <si>
    <t>BRMCU</t>
  </si>
  <si>
    <t>Macau</t>
  </si>
  <si>
    <t>BRMCZ</t>
  </si>
  <si>
    <t>BRMAO</t>
  </si>
  <si>
    <t>Manaus</t>
  </si>
  <si>
    <t>BRMGU</t>
  </si>
  <si>
    <t>Munguba</t>
  </si>
  <si>
    <t>BRNAT</t>
  </si>
  <si>
    <t>Natal</t>
  </si>
  <si>
    <t>BRNVT</t>
  </si>
  <si>
    <t>Navegantes</t>
  </si>
  <si>
    <t>BRNTR</t>
  </si>
  <si>
    <t>Niteroi</t>
  </si>
  <si>
    <t>BRHAR</t>
  </si>
  <si>
    <t>Nova Hartz</t>
  </si>
  <si>
    <t>BRNVU</t>
  </si>
  <si>
    <t>BROUT</t>
  </si>
  <si>
    <t>Outeiro</t>
  </si>
  <si>
    <t>BRPRJ</t>
  </si>
  <si>
    <t>BRPNN</t>
  </si>
  <si>
    <t>BRPNG</t>
  </si>
  <si>
    <t>BRPHB</t>
  </si>
  <si>
    <t>BRPEC</t>
  </si>
  <si>
    <t>BRPEN</t>
  </si>
  <si>
    <t>Pedras Negras</t>
  </si>
  <si>
    <t>BRPET</t>
  </si>
  <si>
    <t>Pelotas</t>
  </si>
  <si>
    <t>BRPOM</t>
  </si>
  <si>
    <t>Pomerode</t>
  </si>
  <si>
    <t>BRPMA</t>
  </si>
  <si>
    <t>Ponta da Madeira</t>
  </si>
  <si>
    <t>BRPOU</t>
  </si>
  <si>
    <t>Ponta Ubu</t>
  </si>
  <si>
    <t>BRPOA</t>
  </si>
  <si>
    <t>BRSPB</t>
  </si>
  <si>
    <t>BRBPS</t>
  </si>
  <si>
    <t>Porto Seguro</t>
  </si>
  <si>
    <t>BRPVH</t>
  </si>
  <si>
    <t>BRPOI</t>
  </si>
  <si>
    <t>Potim</t>
  </si>
  <si>
    <t>BRREC</t>
  </si>
  <si>
    <t>Recife</t>
  </si>
  <si>
    <t>BRQRZ</t>
  </si>
  <si>
    <t>Resende</t>
  </si>
  <si>
    <t>BRRIO</t>
  </si>
  <si>
    <t>Rio de Janeiro</t>
  </si>
  <si>
    <t>BRRIG</t>
  </si>
  <si>
    <t>Rio Grande</t>
  </si>
  <si>
    <t>BRSAL</t>
  </si>
  <si>
    <t>Salto Grande</t>
  </si>
  <si>
    <t>BRSSA</t>
  </si>
  <si>
    <t>Salvador</t>
  </si>
  <si>
    <t>BRSLV</t>
  </si>
  <si>
    <t>Salvaterra</t>
  </si>
  <si>
    <t>BRSTA</t>
  </si>
  <si>
    <t>BRSSZ</t>
  </si>
  <si>
    <t>Santos</t>
  </si>
  <si>
    <t>BRSFS</t>
  </si>
  <si>
    <t>BRSLZ</t>
  </si>
  <si>
    <t>BRSSO</t>
  </si>
  <si>
    <t>BRSOM</t>
  </si>
  <si>
    <t>BRSVT</t>
  </si>
  <si>
    <t>BRSTS</t>
  </si>
  <si>
    <t>BRSUA</t>
  </si>
  <si>
    <t>Suape</t>
  </si>
  <si>
    <t>BRTPR</t>
  </si>
  <si>
    <t>BRTMO</t>
  </si>
  <si>
    <t>BRTRM</t>
  </si>
  <si>
    <t>BRROA</t>
  </si>
  <si>
    <t>BRTUB</t>
  </si>
  <si>
    <t>BRTUT</t>
  </si>
  <si>
    <t>BRVZC</t>
  </si>
  <si>
    <t>Vera Cruz</t>
  </si>
  <si>
    <t>Vila do Conde</t>
  </si>
  <si>
    <t>BRVIX</t>
  </si>
  <si>
    <t>Vitoria</t>
  </si>
  <si>
    <t>BSASD</t>
  </si>
  <si>
    <t>Andros Town, Andros Island</t>
  </si>
  <si>
    <t>BSBKC</t>
  </si>
  <si>
    <t>Bock Cay</t>
  </si>
  <si>
    <t>BSCEL</t>
  </si>
  <si>
    <t>Cape Eleuthera</t>
  </si>
  <si>
    <t>BSCCZ</t>
  </si>
  <si>
    <t>Chub Cay, Berry Islands</t>
  </si>
  <si>
    <t>BSCLP</t>
  </si>
  <si>
    <t>Clifton Point</t>
  </si>
  <si>
    <t>BSCBT</t>
  </si>
  <si>
    <t>Cockburn Town</t>
  </si>
  <si>
    <t>BSCOX</t>
  </si>
  <si>
    <t>Congo Town</t>
  </si>
  <si>
    <t>BSCRI</t>
  </si>
  <si>
    <t>Crooked Island</t>
  </si>
  <si>
    <t>BSELE</t>
  </si>
  <si>
    <t>Eleuthera Island</t>
  </si>
  <si>
    <t>BSFPO</t>
  </si>
  <si>
    <t>Freeport, Grand Bahama</t>
  </si>
  <si>
    <t>BSGGT</t>
  </si>
  <si>
    <t>George Town, Great Exuma Island</t>
  </si>
  <si>
    <t>BSGOC</t>
  </si>
  <si>
    <t>Gorda Cay</t>
  </si>
  <si>
    <t>BSGHB</t>
  </si>
  <si>
    <t>Governors Harbour, Eleuthera</t>
  </si>
  <si>
    <t>BSEXU</t>
  </si>
  <si>
    <t>Great Exuma Island</t>
  </si>
  <si>
    <t>BSGHC</t>
  </si>
  <si>
    <t>Great Harbour Cay</t>
  </si>
  <si>
    <t>BSGSC</t>
  </si>
  <si>
    <t>Great Stirrup Cay</t>
  </si>
  <si>
    <t>BSGTC</t>
  </si>
  <si>
    <t>Green Turtle Cay</t>
  </si>
  <si>
    <t>BSHBI</t>
  </si>
  <si>
    <t>BSIGA</t>
  </si>
  <si>
    <t>Inagua</t>
  </si>
  <si>
    <t>BSHMC</t>
  </si>
  <si>
    <t>Little San Salvador</t>
  </si>
  <si>
    <t>BSCOC</t>
  </si>
  <si>
    <t>Little Stirrup Cay</t>
  </si>
  <si>
    <t>BSLUC</t>
  </si>
  <si>
    <t>Lucaya</t>
  </si>
  <si>
    <t>BSMHH</t>
  </si>
  <si>
    <t>Marsh Harbour</t>
  </si>
  <si>
    <t>BSMAT</t>
  </si>
  <si>
    <t>Matthew Town</t>
  </si>
  <si>
    <t>BSMYG</t>
  </si>
  <si>
    <t>Mayaguana Island</t>
  </si>
  <si>
    <t>BSNAS</t>
  </si>
  <si>
    <t>Nassau</t>
  </si>
  <si>
    <t>BSOCE</t>
  </si>
  <si>
    <t>Ocean Cay</t>
  </si>
  <si>
    <t>BSRSD</t>
  </si>
  <si>
    <t>Rock Sound</t>
  </si>
  <si>
    <t>BSSAQ</t>
  </si>
  <si>
    <t>San Andros</t>
  </si>
  <si>
    <t>BSZSA</t>
  </si>
  <si>
    <t>San Salvador Island</t>
  </si>
  <si>
    <t>BSSRP</t>
  </si>
  <si>
    <t>South Riding Point</t>
  </si>
  <si>
    <t>BSSML</t>
  </si>
  <si>
    <t>Stella Maris</t>
  </si>
  <si>
    <t>BSTBI</t>
  </si>
  <si>
    <t>The Bight</t>
  </si>
  <si>
    <t>BSTCB</t>
  </si>
  <si>
    <t>Treasure Cay, Great Abaco Island</t>
  </si>
  <si>
    <t>BSWKR</t>
  </si>
  <si>
    <t>Walker's Cay</t>
  </si>
  <si>
    <t>BSWTD</t>
  </si>
  <si>
    <t>West End</t>
  </si>
  <si>
    <t>BWDUK</t>
  </si>
  <si>
    <t>Dukwi</t>
  </si>
  <si>
    <t>BWMAH</t>
  </si>
  <si>
    <t>Mahalapye</t>
  </si>
  <si>
    <t>BYKLK</t>
  </si>
  <si>
    <t>Kletsk</t>
  </si>
  <si>
    <t>BYKYC</t>
  </si>
  <si>
    <t>Kostyukovichi</t>
  </si>
  <si>
    <t>BYPIK</t>
  </si>
  <si>
    <t>Pinsk</t>
  </si>
  <si>
    <t>BYRYA</t>
  </si>
  <si>
    <t>Rechytsa</t>
  </si>
  <si>
    <t>BYSNM</t>
  </si>
  <si>
    <t>Slonim</t>
  </si>
  <si>
    <t>BYVAW</t>
  </si>
  <si>
    <t>Vawkavysk</t>
  </si>
  <si>
    <t>BZBAR</t>
  </si>
  <si>
    <t>Barranco</t>
  </si>
  <si>
    <t>BZBZE</t>
  </si>
  <si>
    <t>Belize City</t>
  </si>
  <si>
    <t>BZBGK</t>
  </si>
  <si>
    <t>Big Creek</t>
  </si>
  <si>
    <t>BZCOL</t>
  </si>
  <si>
    <t>Colinto</t>
  </si>
  <si>
    <t>BZDGA</t>
  </si>
  <si>
    <t>Dangriga</t>
  </si>
  <si>
    <t>CAALK</t>
  </si>
  <si>
    <t>Adlavik</t>
  </si>
  <si>
    <t>CAAGU</t>
  </si>
  <si>
    <t>Aguathuna</t>
  </si>
  <si>
    <t>CAAAL</t>
  </si>
  <si>
    <t>Alert Bay</t>
  </si>
  <si>
    <t>CAABL</t>
  </si>
  <si>
    <t>Amberly</t>
  </si>
  <si>
    <t>CAAMH</t>
  </si>
  <si>
    <t>Amherstburg</t>
  </si>
  <si>
    <t>CAANB</t>
  </si>
  <si>
    <t>Andys Bay</t>
  </si>
  <si>
    <t>CAANZ</t>
  </si>
  <si>
    <t>Anzac</t>
  </si>
  <si>
    <t>CAAHL</t>
  </si>
  <si>
    <t>Apple Hill</t>
  </si>
  <si>
    <t>CAARB</t>
  </si>
  <si>
    <t>Arctic Bay</t>
  </si>
  <si>
    <t>CANWP</t>
  </si>
  <si>
    <t>Argentia</t>
  </si>
  <si>
    <t>CAARI</t>
  </si>
  <si>
    <t>Arichat</t>
  </si>
  <si>
    <t>CAARC</t>
  </si>
  <si>
    <t>Arnold's Cove</t>
  </si>
  <si>
    <t>CAYEK</t>
  </si>
  <si>
    <t>Arviat</t>
  </si>
  <si>
    <t>CAASQ</t>
  </si>
  <si>
    <t>Asquith</t>
  </si>
  <si>
    <t>CAALV</t>
  </si>
  <si>
    <t>Atholville</t>
  </si>
  <si>
    <t>CAAVO</t>
  </si>
  <si>
    <t>Avondale</t>
  </si>
  <si>
    <t>CAAVP</t>
  </si>
  <si>
    <t>Avonport</t>
  </si>
  <si>
    <t>CABAD</t>
  </si>
  <si>
    <t>Baddeck</t>
  </si>
  <si>
    <t>CABGT</t>
  </si>
  <si>
    <t>Bagotville</t>
  </si>
  <si>
    <t>CABCO</t>
  </si>
  <si>
    <t>Baie Comeau</t>
  </si>
  <si>
    <t>CABVE</t>
  </si>
  <si>
    <t>Baie Verte</t>
  </si>
  <si>
    <t>CABJO</t>
  </si>
  <si>
    <t>Baie-Johan-Beetz</t>
  </si>
  <si>
    <t>CABLK</t>
  </si>
  <si>
    <t>Baker Lake</t>
  </si>
  <si>
    <t>CABAA</t>
  </si>
  <si>
    <t>Bala</t>
  </si>
  <si>
    <t>CABDR</t>
  </si>
  <si>
    <t>Bald Rock</t>
  </si>
  <si>
    <t>CABAM</t>
  </si>
  <si>
    <t>Bamberton</t>
  </si>
  <si>
    <t>CABCT</t>
  </si>
  <si>
    <t>Bancroft</t>
  </si>
  <si>
    <t>CANTR</t>
  </si>
  <si>
    <t>Bantry</t>
  </si>
  <si>
    <t>CABAN</t>
  </si>
  <si>
    <t>Barrington</t>
  </si>
  <si>
    <t>CABTH</t>
  </si>
  <si>
    <t>Bath</t>
  </si>
  <si>
    <t>CABAT</t>
  </si>
  <si>
    <t>Bathurst</t>
  </si>
  <si>
    <t>CABBU</t>
  </si>
  <si>
    <t>Bay Bulls</t>
  </si>
  <si>
    <t>CABYR</t>
  </si>
  <si>
    <t>Bay Roberts</t>
  </si>
  <si>
    <t>CABAY</t>
  </si>
  <si>
    <t>Bayside (St Roberts)</t>
  </si>
  <si>
    <t>CABST</t>
  </si>
  <si>
    <t>Bayside, Charlotte</t>
  </si>
  <si>
    <t>CABPO</t>
  </si>
  <si>
    <t>Beach Point</t>
  </si>
  <si>
    <t>CABCV</t>
  </si>
  <si>
    <t>Beale Cove</t>
  </si>
  <si>
    <t>CABEA</t>
  </si>
  <si>
    <t>Beaver Cove</t>
  </si>
  <si>
    <t>CABEH</t>
  </si>
  <si>
    <t>Beaver Harbour</t>
  </si>
  <si>
    <t>CABEC</t>
  </si>
  <si>
    <t>CABDF</t>
  </si>
  <si>
    <t>Bedford</t>
  </si>
  <si>
    <t>CABLC</t>
  </si>
  <si>
    <t>Bella Coola</t>
  </si>
  <si>
    <t>CABEL</t>
  </si>
  <si>
    <t>Belledune</t>
  </si>
  <si>
    <t>CAEEK</t>
  </si>
  <si>
    <t>Belleisle Creek</t>
  </si>
  <si>
    <t>CABLV</t>
  </si>
  <si>
    <t>Belleville</t>
  </si>
  <si>
    <t>CABLL</t>
  </si>
  <si>
    <t>CABLD</t>
  </si>
  <si>
    <t>Belwood</t>
  </si>
  <si>
    <t>CABFR</t>
  </si>
  <si>
    <t>Beresford</t>
  </si>
  <si>
    <t>CABLH</t>
  </si>
  <si>
    <t>Blacks Harbour</t>
  </si>
  <si>
    <t>CABSK</t>
  </si>
  <si>
    <t>Blackstock</t>
  </si>
  <si>
    <t>CABBY</t>
  </si>
  <si>
    <t>Blind Bay</t>
  </si>
  <si>
    <t>CABLR</t>
  </si>
  <si>
    <t>Blind River</t>
  </si>
  <si>
    <t>CABBB</t>
  </si>
  <si>
    <t>Blubber Bay</t>
  </si>
  <si>
    <t>CABOB</t>
  </si>
  <si>
    <t>Bobcaygeon</t>
  </si>
  <si>
    <t>CABOR</t>
  </si>
  <si>
    <t>Borden</t>
  </si>
  <si>
    <t>CABWD</t>
  </si>
  <si>
    <t>Botwood</t>
  </si>
  <si>
    <t>CABUE</t>
  </si>
  <si>
    <t>Bouctouche</t>
  </si>
  <si>
    <t>CABC2</t>
  </si>
  <si>
    <t>Bow City</t>
  </si>
  <si>
    <t>CABNI</t>
  </si>
  <si>
    <t>Bowen Island</t>
  </si>
  <si>
    <t>CABWV</t>
  </si>
  <si>
    <t>Bowmanville</t>
  </si>
  <si>
    <t>CABRD</t>
  </si>
  <si>
    <t>Brentwood Bay</t>
  </si>
  <si>
    <t>CABRW</t>
  </si>
  <si>
    <t>Bridgewater</t>
  </si>
  <si>
    <t>CABRI</t>
  </si>
  <si>
    <t>Britannia Beach</t>
  </si>
  <si>
    <t>CABTT</t>
  </si>
  <si>
    <t>Britt</t>
  </si>
  <si>
    <t>CABKA</t>
  </si>
  <si>
    <t>Brocket</t>
  </si>
  <si>
    <t>CABCK</t>
  </si>
  <si>
    <t>Brockville</t>
  </si>
  <si>
    <t>CABKN</t>
  </si>
  <si>
    <t>Brooklyn</t>
  </si>
  <si>
    <t>CABRT</t>
  </si>
  <si>
    <t>Broughton Is</t>
  </si>
  <si>
    <t>CABUA</t>
  </si>
  <si>
    <t>Bull Arm</t>
  </si>
  <si>
    <t>CABUO</t>
  </si>
  <si>
    <t>Burgeo</t>
  </si>
  <si>
    <t>CABUI</t>
  </si>
  <si>
    <t>Burin</t>
  </si>
  <si>
    <t>CABUK</t>
  </si>
  <si>
    <t>Burks Falls</t>
  </si>
  <si>
    <t>CABRL</t>
  </si>
  <si>
    <t>Burlington</t>
  </si>
  <si>
    <t>CABUS</t>
  </si>
  <si>
    <t>Burnside</t>
  </si>
  <si>
    <t>CABIN</t>
  </si>
  <si>
    <t>Burrard Inlet</t>
  </si>
  <si>
    <t>CABTF</t>
  </si>
  <si>
    <t>Butterfly Bay</t>
  </si>
  <si>
    <t>CAYCB</t>
  </si>
  <si>
    <t>Cambridge Bay</t>
  </si>
  <si>
    <t>CACAM</t>
  </si>
  <si>
    <t>Campbell River</t>
  </si>
  <si>
    <t>CACBF</t>
  </si>
  <si>
    <t>Campbellford</t>
  </si>
  <si>
    <t>CACOM</t>
  </si>
  <si>
    <t>Campbellton</t>
  </si>
  <si>
    <t>CACPB</t>
  </si>
  <si>
    <t>Campobello</t>
  </si>
  <si>
    <t>CACPT</t>
  </si>
  <si>
    <t>Canaport</t>
  </si>
  <si>
    <t>CACAH</t>
  </si>
  <si>
    <t>Canso</t>
  </si>
  <si>
    <t>CACDO</t>
  </si>
  <si>
    <t>Cape Dorset</t>
  </si>
  <si>
    <t>CACPY</t>
  </si>
  <si>
    <t>Cape Ray</t>
  </si>
  <si>
    <t>CACSI</t>
  </si>
  <si>
    <t>Cap-St-Ignace</t>
  </si>
  <si>
    <t>CACAQ</t>
  </si>
  <si>
    <t>Caraquet</t>
  </si>
  <si>
    <t>CACBY</t>
  </si>
  <si>
    <t>Carberry</t>
  </si>
  <si>
    <t>CACRB</t>
  </si>
  <si>
    <t>Carbonear</t>
  </si>
  <si>
    <t>CACDN</t>
  </si>
  <si>
    <t>Cardinal</t>
  </si>
  <si>
    <t>CACLT</t>
  </si>
  <si>
    <t>Carleton</t>
  </si>
  <si>
    <t>CACMV</t>
  </si>
  <si>
    <t>Carmanville</t>
  </si>
  <si>
    <t>CACAT</t>
  </si>
  <si>
    <t>Catalina</t>
  </si>
  <si>
    <t>CACHR</t>
  </si>
  <si>
    <t>Chandler</t>
  </si>
  <si>
    <t>CACIL</t>
  </si>
  <si>
    <t>Change Islands</t>
  </si>
  <si>
    <t>CAPBQ</t>
  </si>
  <si>
    <t>Channel-Port aux Basques</t>
  </si>
  <si>
    <t>CASKI</t>
  </si>
  <si>
    <t>Charlotte (Skidegate)</t>
  </si>
  <si>
    <t>CACHA</t>
  </si>
  <si>
    <t>Charlottetown</t>
  </si>
  <si>
    <t>CARRE</t>
  </si>
  <si>
    <t>CACHN</t>
  </si>
  <si>
    <t>Chatham</t>
  </si>
  <si>
    <t>CACHM</t>
  </si>
  <si>
    <t>Chemainus</t>
  </si>
  <si>
    <t>CACST</t>
  </si>
  <si>
    <t>Chester</t>
  </si>
  <si>
    <t>CAYCS</t>
  </si>
  <si>
    <t>Chesterfield Inlet</t>
  </si>
  <si>
    <t>CACTR</t>
  </si>
  <si>
    <t>Chestermere</t>
  </si>
  <si>
    <t>CACHT</t>
  </si>
  <si>
    <t>CACHI</t>
  </si>
  <si>
    <t>Chicoutimi</t>
  </si>
  <si>
    <t>CACHV</t>
  </si>
  <si>
    <t>Churchill</t>
  </si>
  <si>
    <t>CACLE</t>
  </si>
  <si>
    <t>Clarenville</t>
  </si>
  <si>
    <t>CACLC</t>
  </si>
  <si>
    <t>Clarke City</t>
  </si>
  <si>
    <t>CACLH</t>
  </si>
  <si>
    <t>Clark's Harbour</t>
  </si>
  <si>
    <t>CACSN</t>
  </si>
  <si>
    <t>Clarkson</t>
  </si>
  <si>
    <t>CACWT</t>
  </si>
  <si>
    <t>Clearwater</t>
  </si>
  <si>
    <t>CACVA</t>
  </si>
  <si>
    <t>CALLF</t>
  </si>
  <si>
    <t>Clifford</t>
  </si>
  <si>
    <t>CACLR</t>
  </si>
  <si>
    <t>Clyde River</t>
  </si>
  <si>
    <t>CACAU</t>
  </si>
  <si>
    <t>Coal Harbour</t>
  </si>
  <si>
    <t>CACBG</t>
  </si>
  <si>
    <t>Cobourg</t>
  </si>
  <si>
    <t>CACHS</t>
  </si>
  <si>
    <t>Cohasset</t>
  </si>
  <si>
    <t>CACLB</t>
  </si>
  <si>
    <t>Colborne</t>
  </si>
  <si>
    <t>CACYP</t>
  </si>
  <si>
    <t>Coley's Point</t>
  </si>
  <si>
    <t>CACOL</t>
  </si>
  <si>
    <t>Collingwood</t>
  </si>
  <si>
    <t>CACBC</t>
  </si>
  <si>
    <t>Come By Chance</t>
  </si>
  <si>
    <t>CACCV</t>
  </si>
  <si>
    <t>Comfort Cove</t>
  </si>
  <si>
    <t>CACOX</t>
  </si>
  <si>
    <t>Comox</t>
  </si>
  <si>
    <t>CACSJ</t>
  </si>
  <si>
    <t>Coniston</t>
  </si>
  <si>
    <t>CACQT</t>
  </si>
  <si>
    <t>Conquitlam</t>
  </si>
  <si>
    <t>CACOC</t>
  </si>
  <si>
    <t>Contrecoeur</t>
  </si>
  <si>
    <t>CACFL</t>
  </si>
  <si>
    <t>Cooper Cliff</t>
  </si>
  <si>
    <t>CACOP</t>
  </si>
  <si>
    <t>Coppermine</t>
  </si>
  <si>
    <t>CAYZS</t>
  </si>
  <si>
    <t>Coral Harbour</t>
  </si>
  <si>
    <t>CACBK</t>
  </si>
  <si>
    <t>Corner Brook</t>
  </si>
  <si>
    <t>CACWL</t>
  </si>
  <si>
    <t>Cornwall</t>
  </si>
  <si>
    <t>CACWI</t>
  </si>
  <si>
    <t>Cornwallis Is</t>
  </si>
  <si>
    <t>CACOR</t>
  </si>
  <si>
    <t>Corunna</t>
  </si>
  <si>
    <t>CACQA</t>
  </si>
  <si>
    <t>Coteau du Lac</t>
  </si>
  <si>
    <t>CACSC</t>
  </si>
  <si>
    <t>CACOH</t>
  </si>
  <si>
    <t>Country Harbour</t>
  </si>
  <si>
    <t>CACOU</t>
  </si>
  <si>
    <t>Courtenay</t>
  </si>
  <si>
    <t>CACRR</t>
  </si>
  <si>
    <t>Courtright</t>
  </si>
  <si>
    <t>CACWH</t>
  </si>
  <si>
    <t>Cow Head</t>
  </si>
  <si>
    <t>CACCB</t>
  </si>
  <si>
    <t>Cowichan Bay</t>
  </si>
  <si>
    <t>CACRA</t>
  </si>
  <si>
    <t>Cranford</t>
  </si>
  <si>
    <t>CACRO</t>
  </si>
  <si>
    <t>Crofton</t>
  </si>
  <si>
    <t>CACCI</t>
  </si>
  <si>
    <t>Crystal City</t>
  </si>
  <si>
    <t>CACUM</t>
  </si>
  <si>
    <t>Cumberland Bay</t>
  </si>
  <si>
    <t>CADHS</t>
  </si>
  <si>
    <t>Dalhousie</t>
  </si>
  <si>
    <t>CAYDH</t>
  </si>
  <si>
    <t>Daniels Harbour</t>
  </si>
  <si>
    <t>CADEB</t>
  </si>
  <si>
    <t>Deception Bay</t>
  </si>
  <si>
    <t>CADEI</t>
  </si>
  <si>
    <t>Deer Island</t>
  </si>
  <si>
    <t>CADEL</t>
  </si>
  <si>
    <t>Delta</t>
  </si>
  <si>
    <t>CADSA</t>
  </si>
  <si>
    <t>Denman Island</t>
  </si>
  <si>
    <t>CADIG</t>
  </si>
  <si>
    <t>Digby</t>
  </si>
  <si>
    <t>CADIL</t>
  </si>
  <si>
    <t>Dildo</t>
  </si>
  <si>
    <t>CADWL</t>
  </si>
  <si>
    <t>Dingwall</t>
  </si>
  <si>
    <t>CADCS</t>
  </si>
  <si>
    <t>Dorchester</t>
  </si>
  <si>
    <t>CADLN</t>
  </si>
  <si>
    <t>Dublin</t>
  </si>
  <si>
    <t>CAETA</t>
  </si>
  <si>
    <t>East Angus</t>
  </si>
  <si>
    <t>CAEDC</t>
  </si>
  <si>
    <t>Edwards Cove</t>
  </si>
  <si>
    <t>CAXVX</t>
  </si>
  <si>
    <t>Emerald Park</t>
  </si>
  <si>
    <t>CAEND</t>
  </si>
  <si>
    <t>Endako</t>
  </si>
  <si>
    <t>CAEBY</t>
  </si>
  <si>
    <t>English Bay</t>
  </si>
  <si>
    <t>CAENE</t>
  </si>
  <si>
    <t>Erieau</t>
  </si>
  <si>
    <t>CAESQ</t>
  </si>
  <si>
    <t>Esquimalt</t>
  </si>
  <si>
    <t>CAETN</t>
  </si>
  <si>
    <t>Etang-du-Nord</t>
  </si>
  <si>
    <t>CAETZ</t>
  </si>
  <si>
    <t>Etzikom</t>
  </si>
  <si>
    <t>CAFLR</t>
  </si>
  <si>
    <t>Fall River</t>
  </si>
  <si>
    <t>CAFAP</t>
  </si>
  <si>
    <t>Father Point</t>
  </si>
  <si>
    <t>CAFOG</t>
  </si>
  <si>
    <t>Fogo</t>
  </si>
  <si>
    <t>CAZFT</t>
  </si>
  <si>
    <t>Forest</t>
  </si>
  <si>
    <t>CAFRV</t>
  </si>
  <si>
    <t>Forestville</t>
  </si>
  <si>
    <t>CAFAL</t>
  </si>
  <si>
    <t>Fort Albany</t>
  </si>
  <si>
    <t>CAFFS</t>
  </si>
  <si>
    <t>Fort Frances</t>
  </si>
  <si>
    <t>CAFKN</t>
  </si>
  <si>
    <t>Fort Franklin</t>
  </si>
  <si>
    <t>CAFLY</t>
  </si>
  <si>
    <t>Fort Langley</t>
  </si>
  <si>
    <t>CAFMA</t>
  </si>
  <si>
    <t>Fort MacKay</t>
  </si>
  <si>
    <t>CAFSI</t>
  </si>
  <si>
    <t>Fort Simpson</t>
  </si>
  <si>
    <t>CAFSM</t>
  </si>
  <si>
    <t>Fort Smith</t>
  </si>
  <si>
    <t>CAFWL</t>
  </si>
  <si>
    <t>Fort William</t>
  </si>
  <si>
    <t>CAFOR</t>
  </si>
  <si>
    <t>Fortune</t>
  </si>
  <si>
    <t>CAFRR</t>
  </si>
  <si>
    <t>Fraser River</t>
  </si>
  <si>
    <t>CAFWS</t>
  </si>
  <si>
    <t>Fraser Wharves</t>
  </si>
  <si>
    <t>CAFSD</t>
  </si>
  <si>
    <t>Fraser-Surrey Docks</t>
  </si>
  <si>
    <t>CAFRE</t>
  </si>
  <si>
    <t>Fredericton</t>
  </si>
  <si>
    <t>CAGLT</t>
  </si>
  <si>
    <t>Galt</t>
  </si>
  <si>
    <t>CAGAN</t>
  </si>
  <si>
    <t>Gander</t>
  </si>
  <si>
    <t>CAGGS</t>
  </si>
  <si>
    <t>Ganges</t>
  </si>
  <si>
    <t>CAGPE</t>
  </si>
  <si>
    <t>CAYHK</t>
  </si>
  <si>
    <t>Gjoa Haven</t>
  </si>
  <si>
    <t>CAGLB</t>
  </si>
  <si>
    <t>Glace Bay</t>
  </si>
  <si>
    <t>CAGBT</t>
  </si>
  <si>
    <t>Godbout</t>
  </si>
  <si>
    <t>CAGOH</t>
  </si>
  <si>
    <t>Goderich</t>
  </si>
  <si>
    <t>CAGOR</t>
  </si>
  <si>
    <t>Gold River</t>
  </si>
  <si>
    <t>CAGOO</t>
  </si>
  <si>
    <t>Goose Bay</t>
  </si>
  <si>
    <t>CAGRB</t>
  </si>
  <si>
    <t>Grand Bank</t>
  </si>
  <si>
    <t>CAGMA</t>
  </si>
  <si>
    <t>Grand Manan</t>
  </si>
  <si>
    <t>CAEDI</t>
  </si>
  <si>
    <t>Grande-Digue</t>
  </si>
  <si>
    <t>CAGRS</t>
  </si>
  <si>
    <t>Grindstone</t>
  </si>
  <si>
    <t>CAYGZ</t>
  </si>
  <si>
    <t>Grise Fiord</t>
  </si>
  <si>
    <t>CAGCA</t>
  </si>
  <si>
    <t>Gros Cacouna</t>
  </si>
  <si>
    <t>CAHCC</t>
  </si>
  <si>
    <t>Hacketts Cove</t>
  </si>
  <si>
    <t>CAHAL</t>
  </si>
  <si>
    <t>Halifax</t>
  </si>
  <si>
    <t>CAHAB</t>
  </si>
  <si>
    <t>Hall Beach</t>
  </si>
  <si>
    <t>CAOON</t>
  </si>
  <si>
    <t>Halton Hills</t>
  </si>
  <si>
    <t>CAHAM</t>
  </si>
  <si>
    <t>CAHMP</t>
  </si>
  <si>
    <t>Hampden</t>
  </si>
  <si>
    <t>CAHVR</t>
  </si>
  <si>
    <t>Hanover</t>
  </si>
  <si>
    <t>CAHHB</t>
  </si>
  <si>
    <t>Hants Harbour</t>
  </si>
  <si>
    <t>CAHPT</t>
  </si>
  <si>
    <t>Hantsport</t>
  </si>
  <si>
    <t>CAHBR</t>
  </si>
  <si>
    <t>Harbour Breton</t>
  </si>
  <si>
    <t>CAHRE</t>
  </si>
  <si>
    <t>Harbour Grace</t>
  </si>
  <si>
    <t>CAHAR</t>
  </si>
  <si>
    <t>Harriet Harbour</t>
  </si>
  <si>
    <t>CAHON</t>
  </si>
  <si>
    <t>Harwood</t>
  </si>
  <si>
    <t>CAHSP</t>
  </si>
  <si>
    <t>Havre-Saint-Pierre</t>
  </si>
  <si>
    <t>CAHEB</t>
  </si>
  <si>
    <t>CAHMM</t>
  </si>
  <si>
    <t>Hemmingford</t>
  </si>
  <si>
    <t>CAHLI</t>
  </si>
  <si>
    <t>Herschel Island</t>
  </si>
  <si>
    <t>CAHIB</t>
  </si>
  <si>
    <t>Hibernia</t>
  </si>
  <si>
    <t>CAHID</t>
  </si>
  <si>
    <t>Hilda</t>
  </si>
  <si>
    <t>CAHOD</t>
  </si>
  <si>
    <t>Holyrood</t>
  </si>
  <si>
    <t>CAHOP</t>
  </si>
  <si>
    <t>Hopedale</t>
  </si>
  <si>
    <t>CAHRF</t>
  </si>
  <si>
    <t>Horsefly</t>
  </si>
  <si>
    <t>CAHWS</t>
  </si>
  <si>
    <t>Howe Sound</t>
  </si>
  <si>
    <t>CAIGL</t>
  </si>
  <si>
    <t>Igloolik</t>
  </si>
  <si>
    <t>CASIM</t>
  </si>
  <si>
    <t>Imperial</t>
  </si>
  <si>
    <t>CAIAM</t>
  </si>
  <si>
    <t>Indian Arm</t>
  </si>
  <si>
    <t>CAIKM</t>
  </si>
  <si>
    <t>Inkerman</t>
  </si>
  <si>
    <t>CAIVM</t>
  </si>
  <si>
    <t>Invermere</t>
  </si>
  <si>
    <t>CAIOC</t>
  </si>
  <si>
    <t>Ioco</t>
  </si>
  <si>
    <t>CAION</t>
  </si>
  <si>
    <t>Iona</t>
  </si>
  <si>
    <t>CAIQL</t>
  </si>
  <si>
    <t>Iqaluit</t>
  </si>
  <si>
    <t>CAIVN</t>
  </si>
  <si>
    <t>Irvine</t>
  </si>
  <si>
    <t>CAISL</t>
  </si>
  <si>
    <t>Island Lake</t>
  </si>
  <si>
    <t>CAJAC</t>
  </si>
  <si>
    <t>Jackson Arm</t>
  </si>
  <si>
    <t>CAJEG</t>
  </si>
  <si>
    <t>Jemseg</t>
  </si>
  <si>
    <t>CAJEI</t>
  </si>
  <si>
    <t>Jervis Inlet</t>
  </si>
  <si>
    <t>CAKLO</t>
  </si>
  <si>
    <t>Kaslo</t>
  </si>
  <si>
    <t>CAKEE</t>
  </si>
  <si>
    <t>Keene</t>
  </si>
  <si>
    <t>CAKHO</t>
  </si>
  <si>
    <t>Key Harbour</t>
  </si>
  <si>
    <t>CAKLY</t>
  </si>
  <si>
    <t>Killarney</t>
  </si>
  <si>
    <t>CAKWI</t>
  </si>
  <si>
    <t>King William Is</t>
  </si>
  <si>
    <t>CAKIN</t>
  </si>
  <si>
    <t>CAKVL</t>
  </si>
  <si>
    <t>Kingsville</t>
  </si>
  <si>
    <t>CAKKR</t>
  </si>
  <si>
    <t>Kinkora</t>
  </si>
  <si>
    <t>CAKNE</t>
  </si>
  <si>
    <t>Kinnear's Mills</t>
  </si>
  <si>
    <t>CAKTM</t>
  </si>
  <si>
    <t>Kitimat</t>
  </si>
  <si>
    <t>CAKOV</t>
  </si>
  <si>
    <t>Kovik Bay</t>
  </si>
  <si>
    <t>CAFCM</t>
  </si>
  <si>
    <t>Kuujjuaq</t>
  </si>
  <si>
    <t>CAREL</t>
  </si>
  <si>
    <t>La Relance</t>
  </si>
  <si>
    <t>CALMW</t>
  </si>
  <si>
    <t>La Salle</t>
  </si>
  <si>
    <t>CAAAB</t>
  </si>
  <si>
    <t>Lac La Biche</t>
  </si>
  <si>
    <t>CALDT</t>
  </si>
  <si>
    <t>Lac-Drolet</t>
  </si>
  <si>
    <t>CALAC</t>
  </si>
  <si>
    <t>Lachine/Montreal</t>
  </si>
  <si>
    <t>CALCH</t>
  </si>
  <si>
    <t>Lachute</t>
  </si>
  <si>
    <t>CALCO</t>
  </si>
  <si>
    <t>Lacolle</t>
  </si>
  <si>
    <t>CALDN</t>
  </si>
  <si>
    <t>Ladner</t>
  </si>
  <si>
    <t>CALAD</t>
  </si>
  <si>
    <t>Ladysmith</t>
  </si>
  <si>
    <t>CALAH</t>
  </si>
  <si>
    <t>Lake Harbour</t>
  </si>
  <si>
    <t>CALSE</t>
  </si>
  <si>
    <t>Lakeshore</t>
  </si>
  <si>
    <t>CALAW</t>
  </si>
  <si>
    <t>Lakeview</t>
  </si>
  <si>
    <t>CALNG</t>
  </si>
  <si>
    <t>Langley</t>
  </si>
  <si>
    <t>CALDS</t>
  </si>
  <si>
    <t>Lansdowne</t>
  </si>
  <si>
    <t>CAALO</t>
  </si>
  <si>
    <t>L'Anse-au-Loup</t>
  </si>
  <si>
    <t>CALZV</t>
  </si>
  <si>
    <t>Lantzville</t>
  </si>
  <si>
    <t>CALVH</t>
  </si>
  <si>
    <t>CALMN</t>
  </si>
  <si>
    <t>Leamington</t>
  </si>
  <si>
    <t>CAMHN</t>
  </si>
  <si>
    <t>Les Mechins</t>
  </si>
  <si>
    <t>CALEV</t>
  </si>
  <si>
    <t>CALWP</t>
  </si>
  <si>
    <t>Lewisporte</t>
  </si>
  <si>
    <t>CAILS</t>
  </si>
  <si>
    <t>CALIC</t>
  </si>
  <si>
    <t>Little Current</t>
  </si>
  <si>
    <t>CALIN</t>
  </si>
  <si>
    <t>Little Narrows</t>
  </si>
  <si>
    <t>CALIV</t>
  </si>
  <si>
    <t>Liverpool</t>
  </si>
  <si>
    <t>CALOB</t>
  </si>
  <si>
    <t>Lobo</t>
  </si>
  <si>
    <t>CALCP</t>
  </si>
  <si>
    <t>Lockeport</t>
  </si>
  <si>
    <t>CALMD</t>
  </si>
  <si>
    <t>Lomond</t>
  </si>
  <si>
    <t>CALOH</t>
  </si>
  <si>
    <t>Long Harbour</t>
  </si>
  <si>
    <t>CALOP</t>
  </si>
  <si>
    <t>Long Pond</t>
  </si>
  <si>
    <t>CALOU</t>
  </si>
  <si>
    <t>Louisbourg</t>
  </si>
  <si>
    <t>CALWB</t>
  </si>
  <si>
    <t>Lowbanks</t>
  </si>
  <si>
    <t>CALCV</t>
  </si>
  <si>
    <t>Lower Cove</t>
  </si>
  <si>
    <t>CASKL</t>
  </si>
  <si>
    <t>Lower Sackville</t>
  </si>
  <si>
    <t>CALWH</t>
  </si>
  <si>
    <t>Lower Woods Harbour</t>
  </si>
  <si>
    <t>CALUN</t>
  </si>
  <si>
    <t>Lunenburg</t>
  </si>
  <si>
    <t>CAMAB</t>
  </si>
  <si>
    <t>Mabou</t>
  </si>
  <si>
    <t>CAMTQ</t>
  </si>
  <si>
    <t>Mactaquac</t>
  </si>
  <si>
    <t>CAMGD</t>
  </si>
  <si>
    <t>Magdalen Is</t>
  </si>
  <si>
    <t>CAMAG</t>
  </si>
  <si>
    <t>Magog</t>
  </si>
  <si>
    <t>CAMHB</t>
  </si>
  <si>
    <t>Mahone Bay</t>
  </si>
  <si>
    <t>CAMBR</t>
  </si>
  <si>
    <t>Main Brook</t>
  </si>
  <si>
    <t>CAMTI</t>
  </si>
  <si>
    <t>Malartic</t>
  </si>
  <si>
    <t>CAMRI</t>
  </si>
  <si>
    <t>Maple Ridge</t>
  </si>
  <si>
    <t>CAMAR</t>
  </si>
  <si>
    <t>Marathon</t>
  </si>
  <si>
    <t>CAYMH</t>
  </si>
  <si>
    <t>Mary's Harbour</t>
  </si>
  <si>
    <t>CAMTN</t>
  </si>
  <si>
    <t>Marystown</t>
  </si>
  <si>
    <t>CAMSS</t>
  </si>
  <si>
    <t>Masset</t>
  </si>
  <si>
    <t>CAMNE</t>
  </si>
  <si>
    <t>Matane</t>
  </si>
  <si>
    <t>CAMFD</t>
  </si>
  <si>
    <t>Meaford</t>
  </si>
  <si>
    <t>CAMDB</t>
  </si>
  <si>
    <t>Meldrum Bay</t>
  </si>
  <si>
    <t>CAMEB</t>
  </si>
  <si>
    <t>Menzies Bay</t>
  </si>
  <si>
    <t>CAMGH</t>
  </si>
  <si>
    <t>Merigomish</t>
  </si>
  <si>
    <t>CAMET</t>
  </si>
  <si>
    <t>Meteghan</t>
  </si>
  <si>
    <t>CAMSW</t>
  </si>
  <si>
    <t>Metiskow</t>
  </si>
  <si>
    <t>CAMIH</t>
  </si>
  <si>
    <t>Michipicoten</t>
  </si>
  <si>
    <t>CAMID</t>
  </si>
  <si>
    <t>CAMLK</t>
  </si>
  <si>
    <t>Millbank</t>
  </si>
  <si>
    <t>CAMNI</t>
  </si>
  <si>
    <t>Milne Inlet Port</t>
  </si>
  <si>
    <t>CAMYO</t>
  </si>
  <si>
    <t>Mindemoya</t>
  </si>
  <si>
    <t>CAMSV</t>
  </si>
  <si>
    <t>Minesville</t>
  </si>
  <si>
    <t>CAMTO</t>
  </si>
  <si>
    <t>Minto</t>
  </si>
  <si>
    <t>CAMIR</t>
  </si>
  <si>
    <t>Miramichi</t>
  </si>
  <si>
    <t>CAMIB</t>
  </si>
  <si>
    <t>Mission</t>
  </si>
  <si>
    <t>CAMNT</t>
  </si>
  <si>
    <t>Moncton</t>
  </si>
  <si>
    <t>CAMOL</t>
  </si>
  <si>
    <t>Mont-Louis</t>
  </si>
  <si>
    <t>CAMTR</t>
  </si>
  <si>
    <t>Montreal</t>
  </si>
  <si>
    <t>CAMRE</t>
  </si>
  <si>
    <t>CAMOU</t>
  </si>
  <si>
    <t>Moosonee</t>
  </si>
  <si>
    <t>CAMOB</t>
  </si>
  <si>
    <t>Morrisburg</t>
  </si>
  <si>
    <t>CAYMD</t>
  </si>
  <si>
    <t>Mould Bay</t>
  </si>
  <si>
    <t>CAMUL</t>
  </si>
  <si>
    <t>Mulgrave</t>
  </si>
  <si>
    <t>CANAI</t>
  </si>
  <si>
    <t>Nain</t>
  </si>
  <si>
    <t>CANAK</t>
  </si>
  <si>
    <t>Nakusp</t>
  </si>
  <si>
    <t>CANNO</t>
  </si>
  <si>
    <t>Nanaimo</t>
  </si>
  <si>
    <t>CANVK</t>
  </si>
  <si>
    <t>Nanisivik</t>
  </si>
  <si>
    <t>CANNE</t>
  </si>
  <si>
    <t>Nanoose Bay</t>
  </si>
  <si>
    <t>CANAN</t>
  </si>
  <si>
    <t>Nanticoke</t>
  </si>
  <si>
    <t>CANMT</t>
  </si>
  <si>
    <t>Naramata</t>
  </si>
  <si>
    <t>CANS3</t>
  </si>
  <si>
    <t>Neil's Harbour</t>
  </si>
  <si>
    <t>CANLS</t>
  </si>
  <si>
    <t>Nelson</t>
  </si>
  <si>
    <t>CANGL</t>
  </si>
  <si>
    <t>New Glasgow</t>
  </si>
  <si>
    <t>CANRC</t>
  </si>
  <si>
    <t>New Richmond</t>
  </si>
  <si>
    <t>CANWE</t>
  </si>
  <si>
    <t>New Westminster</t>
  </si>
  <si>
    <t>CANCT</t>
  </si>
  <si>
    <t>CAEWT</t>
  </si>
  <si>
    <t>Newton</t>
  </si>
  <si>
    <t>CANIA</t>
  </si>
  <si>
    <t>Niagara Falls</t>
  </si>
  <si>
    <t>CANOL</t>
  </si>
  <si>
    <t>Niagara-on-the-Lake</t>
  </si>
  <si>
    <t>CANCV</t>
  </si>
  <si>
    <t>Norman's Cove</t>
  </si>
  <si>
    <t>CANAF</t>
  </si>
  <si>
    <t>North Arm Fraser</t>
  </si>
  <si>
    <t>CANRB</t>
  </si>
  <si>
    <t>North Bend</t>
  </si>
  <si>
    <t>CANSY</t>
  </si>
  <si>
    <t>North Sydney</t>
  </si>
  <si>
    <t>CANDL</t>
  </si>
  <si>
    <t>Notre-Dame-de-Lourdes</t>
  </si>
  <si>
    <t>CANBC</t>
  </si>
  <si>
    <t>Notre-Dame-du-Bon-Conseil</t>
  </si>
  <si>
    <t>CAOAJ</t>
  </si>
  <si>
    <t>Oakville</t>
  </si>
  <si>
    <t>CAOAK</t>
  </si>
  <si>
    <t>CAOFA</t>
  </si>
  <si>
    <t>Ocean Falls</t>
  </si>
  <si>
    <t>CAODE</t>
  </si>
  <si>
    <t>Odessa</t>
  </si>
  <si>
    <t>CAOVR</t>
  </si>
  <si>
    <t>Oliver</t>
  </si>
  <si>
    <t>CAOLS</t>
  </si>
  <si>
    <t>CAOSH</t>
  </si>
  <si>
    <t>Oshawa</t>
  </si>
  <si>
    <t>CAOTT</t>
  </si>
  <si>
    <t>Ottawa</t>
  </si>
  <si>
    <t>CAOWS</t>
  </si>
  <si>
    <t>Owen Sound</t>
  </si>
  <si>
    <t>CAPNT</t>
  </si>
  <si>
    <t>Pangnirtung</t>
  </si>
  <si>
    <t>CAPAR</t>
  </si>
  <si>
    <t>Parrsboro</t>
  </si>
  <si>
    <t>CAPRS</t>
  </si>
  <si>
    <t>Parry Sound</t>
  </si>
  <si>
    <t>CAPAS</t>
  </si>
  <si>
    <t>Paspebiac</t>
  </si>
  <si>
    <t>CAPTB</t>
  </si>
  <si>
    <t>Patricia Bay</t>
  </si>
  <si>
    <t>CAPEH</t>
  </si>
  <si>
    <t>Pender Harbour</t>
  </si>
  <si>
    <t>CAPTH</t>
  </si>
  <si>
    <t>Penetanguishene</t>
  </si>
  <si>
    <t>CAPHL</t>
  </si>
  <si>
    <t>Philipsburg</t>
  </si>
  <si>
    <t>CAPIC</t>
  </si>
  <si>
    <t>CAPTO</t>
  </si>
  <si>
    <t>Pictou</t>
  </si>
  <si>
    <t>CAPSV</t>
  </si>
  <si>
    <t>Pleasantville</t>
  </si>
  <si>
    <t>CAPHM</t>
  </si>
  <si>
    <t>CAPEW</t>
  </si>
  <si>
    <t>Point Edward</t>
  </si>
  <si>
    <t>CAPTU</t>
  </si>
  <si>
    <t>Point Tupper</t>
  </si>
  <si>
    <t>CAPPC</t>
  </si>
  <si>
    <t>Pointe au Pic</t>
  </si>
  <si>
    <t>CAPNO</t>
  </si>
  <si>
    <t>Pointe Noire</t>
  </si>
  <si>
    <t>CAPOP</t>
  </si>
  <si>
    <t>Pointe-au-Pic</t>
  </si>
  <si>
    <t>CAPAQ</t>
  </si>
  <si>
    <t>Pointe-aux-Basques</t>
  </si>
  <si>
    <t>CAPXT</t>
  </si>
  <si>
    <t>Pointe-aux-Trembles</t>
  </si>
  <si>
    <t>CAPOI</t>
  </si>
  <si>
    <t>Pointe-Claire</t>
  </si>
  <si>
    <t>CAPFT</t>
  </si>
  <si>
    <t>Pointe-Fortune</t>
  </si>
  <si>
    <t>CAESX</t>
  </si>
  <si>
    <t>Point-Escuminac</t>
  </si>
  <si>
    <t>CAPDI</t>
  </si>
  <si>
    <t>Pond Inlet</t>
  </si>
  <si>
    <t>CAPAB</t>
  </si>
  <si>
    <t>Port Alberni</t>
  </si>
  <si>
    <t>CAPAC</t>
  </si>
  <si>
    <t>Port Alice</t>
  </si>
  <si>
    <t>CAPOA</t>
  </si>
  <si>
    <t>CAPAP</t>
  </si>
  <si>
    <t>Port au Port</t>
  </si>
  <si>
    <t>CAPCO</t>
  </si>
  <si>
    <t>Port Colborne</t>
  </si>
  <si>
    <t>CAPCR</t>
  </si>
  <si>
    <t>Port Credit</t>
  </si>
  <si>
    <t>CAPDV</t>
  </si>
  <si>
    <t>Port Dover</t>
  </si>
  <si>
    <t>CAPTE</t>
  </si>
  <si>
    <t>Port Edward</t>
  </si>
  <si>
    <t>CAPEL</t>
  </si>
  <si>
    <t>Port Elgin</t>
  </si>
  <si>
    <t>CAPHY</t>
  </si>
  <si>
    <t>Port Hardy</t>
  </si>
  <si>
    <t>CAPHW</t>
  </si>
  <si>
    <t>Port Hawkesbury</t>
  </si>
  <si>
    <t>CAOPE</t>
  </si>
  <si>
    <t>Port Hope</t>
  </si>
  <si>
    <t>CAPMA</t>
  </si>
  <si>
    <t>Port McNeill</t>
  </si>
  <si>
    <t>CAPML</t>
  </si>
  <si>
    <t>Port Mellon</t>
  </si>
  <si>
    <t>CAPMO</t>
  </si>
  <si>
    <t>Port Moody/Vancouver</t>
  </si>
  <si>
    <t>CAPNE</t>
  </si>
  <si>
    <t>Port Nelson</t>
  </si>
  <si>
    <t>CAPRP</t>
  </si>
  <si>
    <t>Port Perry</t>
  </si>
  <si>
    <t>CAPSI</t>
  </si>
  <si>
    <t>Port Simpson</t>
  </si>
  <si>
    <t>CAPST</t>
  </si>
  <si>
    <t>CAPWE</t>
  </si>
  <si>
    <t>Port Weller</t>
  </si>
  <si>
    <t>CAPAF</t>
  </si>
  <si>
    <t>Port-Alfred</t>
  </si>
  <si>
    <t>CAPCA</t>
  </si>
  <si>
    <t>Port-Cartier</t>
  </si>
  <si>
    <t>CAPDL</t>
  </si>
  <si>
    <t>Port-Daniel</t>
  </si>
  <si>
    <t>CAPME</t>
  </si>
  <si>
    <t>Port-Menier</t>
  </si>
  <si>
    <t>CAPTN</t>
  </si>
  <si>
    <t>Portneuf</t>
  </si>
  <si>
    <t>CAPOU</t>
  </si>
  <si>
    <t>Pouce Coupe</t>
  </si>
  <si>
    <t>CAPOW</t>
  </si>
  <si>
    <t>Powell River</t>
  </si>
  <si>
    <t>CACQ5</t>
  </si>
  <si>
    <t>Preissac</t>
  </si>
  <si>
    <t>CAPRE</t>
  </si>
  <si>
    <t>Prescott</t>
  </si>
  <si>
    <t>CAVOS</t>
  </si>
  <si>
    <t>CAPRG</t>
  </si>
  <si>
    <t>Prince George</t>
  </si>
  <si>
    <t>CAPRR</t>
  </si>
  <si>
    <t>Prince Rupert</t>
  </si>
  <si>
    <t>CAPPT</t>
  </si>
  <si>
    <t>Prospect</t>
  </si>
  <si>
    <t>CAPUG</t>
  </si>
  <si>
    <t>Pugwash</t>
  </si>
  <si>
    <t>CAQTS</t>
  </si>
  <si>
    <t>Quatsino</t>
  </si>
  <si>
    <t>CAQUE</t>
  </si>
  <si>
    <t>Quebec</t>
  </si>
  <si>
    <t>CAQCH</t>
  </si>
  <si>
    <t>Queen Charlotte</t>
  </si>
  <si>
    <t>CARAM</t>
  </si>
  <si>
    <t>Ramea</t>
  </si>
  <si>
    <t>CARIT</t>
  </si>
  <si>
    <t>Rankin Inlet</t>
  </si>
  <si>
    <t>CARRC</t>
  </si>
  <si>
    <t>Red Rock</t>
  </si>
  <si>
    <t>CAREB</t>
  </si>
  <si>
    <t>Resolute Bay</t>
  </si>
  <si>
    <t>CARIM</t>
  </si>
  <si>
    <t>Rimouski</t>
  </si>
  <si>
    <t>CARDL</t>
  </si>
  <si>
    <t>CAROA</t>
  </si>
  <si>
    <t>Roaches Line</t>
  </si>
  <si>
    <t>CARTB</t>
  </si>
  <si>
    <t>Robert's Bank</t>
  </si>
  <si>
    <t>CARSV</t>
  </si>
  <si>
    <t>Robertsonville</t>
  </si>
  <si>
    <t>CARBN</t>
  </si>
  <si>
    <t>Robinsons</t>
  </si>
  <si>
    <t>CAGNN</t>
  </si>
  <si>
    <t>Rockport</t>
  </si>
  <si>
    <t>CARCD</t>
  </si>
  <si>
    <t>Rockwood</t>
  </si>
  <si>
    <t>CAABR</t>
  </si>
  <si>
    <t>Rocky View County</t>
  </si>
  <si>
    <t>CAROD</t>
  </si>
  <si>
    <t>Roddickton</t>
  </si>
  <si>
    <t>CARPO</t>
  </si>
  <si>
    <t>Rossport</t>
  </si>
  <si>
    <t>CARUI</t>
  </si>
  <si>
    <t>Rupert Inlet</t>
  </si>
  <si>
    <t>CARUS</t>
  </si>
  <si>
    <t>Ruskin</t>
  </si>
  <si>
    <t>CASAG</t>
  </si>
  <si>
    <t>Saguenay</t>
  </si>
  <si>
    <t>CAS8A</t>
  </si>
  <si>
    <t>Saint Albert</t>
  </si>
  <si>
    <t>CASAD</t>
  </si>
  <si>
    <t>Saint-Andrews</t>
  </si>
  <si>
    <t>CASKE</t>
  </si>
  <si>
    <t>Saint-Anne-de-Kent</t>
  </si>
  <si>
    <t>CASAT</t>
  </si>
  <si>
    <t>Saint-Anthony</t>
  </si>
  <si>
    <t>CASTD</t>
  </si>
  <si>
    <t>Saint-Armand</t>
  </si>
  <si>
    <t>CASAU</t>
  </si>
  <si>
    <t>Saint-Augustin</t>
  </si>
  <si>
    <t>CASBD</t>
  </si>
  <si>
    <t>Saint-Bernard</t>
  </si>
  <si>
    <t>CAQCS</t>
  </si>
  <si>
    <t>Saint-Bernard-de-Michaudville</t>
  </si>
  <si>
    <t>CABOJ</t>
  </si>
  <si>
    <t>Saint-Bruno-Lac-Saint-Jean</t>
  </si>
  <si>
    <t>CASCA</t>
  </si>
  <si>
    <t>Saint-Catharines</t>
  </si>
  <si>
    <t>CAZCR</t>
  </si>
  <si>
    <t>Saint-Charles-sur-Richelieu</t>
  </si>
  <si>
    <t>CASCP</t>
  </si>
  <si>
    <t>Saint-Christophe-d'Arthabaska</t>
  </si>
  <si>
    <t>CASDN</t>
  </si>
  <si>
    <t>Saint-Damien-de-Brandon</t>
  </si>
  <si>
    <t>CADDS</t>
  </si>
  <si>
    <t>Saint-Davids</t>
  </si>
  <si>
    <t>CASCT</t>
  </si>
  <si>
    <t>Sainte-Catherine</t>
  </si>
  <si>
    <t>CASFI</t>
  </si>
  <si>
    <t>Sainte-Famille</t>
  </si>
  <si>
    <t>CAMGT</t>
  </si>
  <si>
    <t>Sainte-Marguerite</t>
  </si>
  <si>
    <t>CASEU</t>
  </si>
  <si>
    <t>Saint-Eustache</t>
  </si>
  <si>
    <t>CASVD</t>
  </si>
  <si>
    <t>Sainte-Victoire-de-Sorel</t>
  </si>
  <si>
    <t>CAST3</t>
  </si>
  <si>
    <t>CASFX</t>
  </si>
  <si>
    <t>CASFR</t>
  </si>
  <si>
    <t>CASID</t>
  </si>
  <si>
    <t>Saint-Isidore</t>
  </si>
  <si>
    <t>CAXZC</t>
  </si>
  <si>
    <t>Saint-Isidore d'Auckland</t>
  </si>
  <si>
    <t>CASJB</t>
  </si>
  <si>
    <t>Saint-John</t>
  </si>
  <si>
    <t>CASJF</t>
  </si>
  <si>
    <t>Saint-John's</t>
  </si>
  <si>
    <t>CAXJH</t>
  </si>
  <si>
    <t>Saint-Joseph-de-Beauce</t>
  </si>
  <si>
    <t>CASLT</t>
  </si>
  <si>
    <t>Saint-Lambert</t>
  </si>
  <si>
    <t>CASLW</t>
  </si>
  <si>
    <t>Saint-Lawrence</t>
  </si>
  <si>
    <t>CASMS</t>
  </si>
  <si>
    <t>Saint-Marys</t>
  </si>
  <si>
    <t>CASPA</t>
  </si>
  <si>
    <t>Saint-Pascal</t>
  </si>
  <si>
    <t>CASRS</t>
  </si>
  <si>
    <t>Saint-Peters</t>
  </si>
  <si>
    <t>CASPI</t>
  </si>
  <si>
    <t>Saint-Pierre</t>
  </si>
  <si>
    <t>CAPDO</t>
  </si>
  <si>
    <t>CASRA</t>
  </si>
  <si>
    <t>Saint-Roch-de-l'Achigan</t>
  </si>
  <si>
    <t>CASRO</t>
  </si>
  <si>
    <t>Saint-Romuald-d'Etchemin</t>
  </si>
  <si>
    <t>CASST</t>
  </si>
  <si>
    <t>Saint-Shotts</t>
  </si>
  <si>
    <t>CASTS</t>
  </si>
  <si>
    <t>Saint-Stephen</t>
  </si>
  <si>
    <t>CASTH</t>
  </si>
  <si>
    <t>Saint-Thomas</t>
  </si>
  <si>
    <t>CAZTI</t>
  </si>
  <si>
    <t>Saint-Tite</t>
  </si>
  <si>
    <t>CASZT</t>
  </si>
  <si>
    <t>Saint-Zotique</t>
  </si>
  <si>
    <t>CASSP</t>
  </si>
  <si>
    <t>Sandspit</t>
  </si>
  <si>
    <t>CASBH</t>
  </si>
  <si>
    <t>Sandy Beach</t>
  </si>
  <si>
    <t>CASF2</t>
  </si>
  <si>
    <t>Sanford</t>
  </si>
  <si>
    <t>CASNI</t>
  </si>
  <si>
    <t>Sarnia</t>
  </si>
  <si>
    <t>CASSM</t>
  </si>
  <si>
    <t>Sault-Sainte-Marie</t>
  </si>
  <si>
    <t>CASYW</t>
  </si>
  <si>
    <t>Sayward</t>
  </si>
  <si>
    <t>CASED</t>
  </si>
  <si>
    <t>Sedgewick</t>
  </si>
  <si>
    <t>CASEM</t>
  </si>
  <si>
    <t>Seldom</t>
  </si>
  <si>
    <t>CASEL</t>
  </si>
  <si>
    <t>Selkirk</t>
  </si>
  <si>
    <t>CASEI</t>
  </si>
  <si>
    <t>Sept-Iles</t>
  </si>
  <si>
    <t>CASEB</t>
  </si>
  <si>
    <t>Seven Islands Bay</t>
  </si>
  <si>
    <t>CANON</t>
  </si>
  <si>
    <t>Shannon</t>
  </si>
  <si>
    <t>CASHV</t>
  </si>
  <si>
    <t>Shannonville</t>
  </si>
  <si>
    <t>CASNV</t>
  </si>
  <si>
    <t>Shaunavon</t>
  </si>
  <si>
    <t>CASHE</t>
  </si>
  <si>
    <t>Shediac</t>
  </si>
  <si>
    <t>CASHH</t>
  </si>
  <si>
    <t>Sheet Harbour</t>
  </si>
  <si>
    <t>CASBU</t>
  </si>
  <si>
    <t>Shelburne</t>
  </si>
  <si>
    <t>CASLB</t>
  </si>
  <si>
    <t>CASHP</t>
  </si>
  <si>
    <t>Shippegan</t>
  </si>
  <si>
    <t>CASIO</t>
  </si>
  <si>
    <t>Sicamous</t>
  </si>
  <si>
    <t>CASDY</t>
  </si>
  <si>
    <t>Sidney</t>
  </si>
  <si>
    <t>CASIC</t>
  </si>
  <si>
    <t>Simcoe</t>
  </si>
  <si>
    <t>CASOM</t>
  </si>
  <si>
    <t>Sombra</t>
  </si>
  <si>
    <t>CASOO</t>
  </si>
  <si>
    <t>Sooke</t>
  </si>
  <si>
    <t>CASOR</t>
  </si>
  <si>
    <t>Sorel</t>
  </si>
  <si>
    <t>CAST6</t>
  </si>
  <si>
    <t>Sorel-Tracy</t>
  </si>
  <si>
    <t>CASOU</t>
  </si>
  <si>
    <t>Souris</t>
  </si>
  <si>
    <t>CASPN</t>
  </si>
  <si>
    <t>Spaniards Bay</t>
  </si>
  <si>
    <t>CASLK</t>
  </si>
  <si>
    <t>Split Lake</t>
  </si>
  <si>
    <t>CASPR</t>
  </si>
  <si>
    <t>Spragge</t>
  </si>
  <si>
    <t>CASPD</t>
  </si>
  <si>
    <t>Springdale</t>
  </si>
  <si>
    <t>CASQA</t>
  </si>
  <si>
    <t>Squamish</t>
  </si>
  <si>
    <t>CASTV</t>
  </si>
  <si>
    <t>Stephenville</t>
  </si>
  <si>
    <t>CASTW</t>
  </si>
  <si>
    <t>Stewart</t>
  </si>
  <si>
    <t>CASTK</t>
  </si>
  <si>
    <t>Stockton</t>
  </si>
  <si>
    <t>CASTC</t>
  </si>
  <si>
    <t>Stoney Creek</t>
  </si>
  <si>
    <t>CASYI</t>
  </si>
  <si>
    <t>Stoney Island</t>
  </si>
  <si>
    <t>CASMT</t>
  </si>
  <si>
    <t>Stormont</t>
  </si>
  <si>
    <t>CASUD</t>
  </si>
  <si>
    <t>Sudbury</t>
  </si>
  <si>
    <t>CASUM</t>
  </si>
  <si>
    <t>Summerside</t>
  </si>
  <si>
    <t>CASUY</t>
  </si>
  <si>
    <t>Surrey</t>
  </si>
  <si>
    <t>CASYD</t>
  </si>
  <si>
    <t>CASYL</t>
  </si>
  <si>
    <t>Sylvan Lake</t>
  </si>
  <si>
    <t>CATAD</t>
  </si>
  <si>
    <t>Tadoussac</t>
  </si>
  <si>
    <t>CAPTA</t>
  </si>
  <si>
    <t>Tahsis</t>
  </si>
  <si>
    <t>CATAS</t>
  </si>
  <si>
    <t>Tasu</t>
  </si>
  <si>
    <t>CATEX</t>
  </si>
  <si>
    <t>Texada Island</t>
  </si>
  <si>
    <t>CATHA</t>
  </si>
  <si>
    <t>Thamesford</t>
  </si>
  <si>
    <t>CATWN</t>
  </si>
  <si>
    <t>Thawwassen</t>
  </si>
  <si>
    <t>CATTL</t>
  </si>
  <si>
    <t>Thetis Island</t>
  </si>
  <si>
    <t>CATBY</t>
  </si>
  <si>
    <t>Thornbury</t>
  </si>
  <si>
    <t>CATHL</t>
  </si>
  <si>
    <t>Thornhill</t>
  </si>
  <si>
    <t>CATHD</t>
  </si>
  <si>
    <t>Thorold</t>
  </si>
  <si>
    <t>CATHH</t>
  </si>
  <si>
    <t>Three Hills</t>
  </si>
  <si>
    <t>CATHU</t>
  </si>
  <si>
    <t>Thunder Bay</t>
  </si>
  <si>
    <t>CATLB</t>
  </si>
  <si>
    <t>Tilbury Is</t>
  </si>
  <si>
    <t>CATCV</t>
  </si>
  <si>
    <t>Tilt Cove</t>
  </si>
  <si>
    <t>CATNG</t>
  </si>
  <si>
    <t>Tingwick</t>
  </si>
  <si>
    <t>CATOR</t>
  </si>
  <si>
    <t>CATRC</t>
  </si>
  <si>
    <t>Tracy</t>
  </si>
  <si>
    <t>CATTC</t>
  </si>
  <si>
    <t>Trenton</t>
  </si>
  <si>
    <t>CATJN</t>
  </si>
  <si>
    <t>Tring Jonction</t>
  </si>
  <si>
    <t>CATRB</t>
  </si>
  <si>
    <t>Trinity Bay</t>
  </si>
  <si>
    <t>CATRO</t>
  </si>
  <si>
    <t>Trochu</t>
  </si>
  <si>
    <t>CATRR</t>
  </si>
  <si>
    <t>Trois-Rivieres (Three Rivers)</t>
  </si>
  <si>
    <t>CATUK</t>
  </si>
  <si>
    <t>Tuktoyaktuk</t>
  </si>
  <si>
    <t>CATWI</t>
  </si>
  <si>
    <t>Twillingate</t>
  </si>
  <si>
    <t>CAUCL</t>
  </si>
  <si>
    <t>Ucluelet</t>
  </si>
  <si>
    <t>CAUPT</t>
  </si>
  <si>
    <t>Upton</t>
  </si>
  <si>
    <t>CAVLF</t>
  </si>
  <si>
    <t>Valleyfield</t>
  </si>
  <si>
    <t>CAVND</t>
  </si>
  <si>
    <t>Vananda</t>
  </si>
  <si>
    <t>CAVAN</t>
  </si>
  <si>
    <t>Vancouver</t>
  </si>
  <si>
    <t>CAVCH</t>
  </si>
  <si>
    <t>CAVIC</t>
  </si>
  <si>
    <t>Victoria</t>
  </si>
  <si>
    <t>CAVIH</t>
  </si>
  <si>
    <t>Victoria Harbour</t>
  </si>
  <si>
    <t>CAVOB</t>
  </si>
  <si>
    <t>Voisey's Bay</t>
  </si>
  <si>
    <t>CAWAL</t>
  </si>
  <si>
    <t>Wallaceburg</t>
  </si>
  <si>
    <t>CAWTN</t>
  </si>
  <si>
    <t>Walton</t>
  </si>
  <si>
    <t>CAWAI</t>
  </si>
  <si>
    <t>Watson Is</t>
  </si>
  <si>
    <t>CAWEL</t>
  </si>
  <si>
    <t>CAEIW</t>
  </si>
  <si>
    <t>Wellington</t>
  </si>
  <si>
    <t>CAWEP</t>
  </si>
  <si>
    <t>Wembley</t>
  </si>
  <si>
    <t>CAWVR</t>
  </si>
  <si>
    <t>West Vancouver</t>
  </si>
  <si>
    <t>CAWTO</t>
  </si>
  <si>
    <t>Westport</t>
  </si>
  <si>
    <t>CAWEY</t>
  </si>
  <si>
    <t>Weymouth</t>
  </si>
  <si>
    <t>CAYXN</t>
  </si>
  <si>
    <t>Whale Cove</t>
  </si>
  <si>
    <t>CAWHH</t>
  </si>
  <si>
    <t>Whiffen Head</t>
  </si>
  <si>
    <t>CAWHI</t>
  </si>
  <si>
    <t>Whitby</t>
  </si>
  <si>
    <t>CAWRF</t>
  </si>
  <si>
    <t>White Rose Field</t>
  </si>
  <si>
    <t>CAWHF</t>
  </si>
  <si>
    <t>Whitefish</t>
  </si>
  <si>
    <t>CAWWO</t>
  </si>
  <si>
    <t>Wildwood</t>
  </si>
  <si>
    <t>CAYWM</t>
  </si>
  <si>
    <t>Williams Harbour</t>
  </si>
  <si>
    <t>CAWDR</t>
  </si>
  <si>
    <t>Windsor</t>
  </si>
  <si>
    <t>CAWND</t>
  </si>
  <si>
    <t>CAWIG</t>
  </si>
  <si>
    <t>CAWNP</t>
  </si>
  <si>
    <t>Winnipeg</t>
  </si>
  <si>
    <t>CAWOO</t>
  </si>
  <si>
    <t>Woodfibre</t>
  </si>
  <si>
    <t>CAZYE</t>
  </si>
  <si>
    <t>Yamachiche</t>
  </si>
  <si>
    <t>CAYRH</t>
  </si>
  <si>
    <t>Yarmouth</t>
  </si>
  <si>
    <t>CAZEB</t>
  </si>
  <si>
    <t>Zeballos</t>
  </si>
  <si>
    <t>CCCCK</t>
  </si>
  <si>
    <t>Cocos Islands</t>
  </si>
  <si>
    <t>CDBNW</t>
  </si>
  <si>
    <t>Banana</t>
  </si>
  <si>
    <t>CDBOA</t>
  </si>
  <si>
    <t>Boma</t>
  </si>
  <si>
    <t>CDFIH</t>
  </si>
  <si>
    <t>Kinshasa</t>
  </si>
  <si>
    <t>CDMKL</t>
  </si>
  <si>
    <t>Makala</t>
  </si>
  <si>
    <t>CDMAT</t>
  </si>
  <si>
    <t>Matadi</t>
  </si>
  <si>
    <t>CDMHB</t>
  </si>
  <si>
    <t>Moho Bilondo</t>
  </si>
  <si>
    <t>CFTOG</t>
  </si>
  <si>
    <t>Togo</t>
  </si>
  <si>
    <t>CGAZR</t>
  </si>
  <si>
    <t>Azurite</t>
  </si>
  <si>
    <t>CGDJE</t>
  </si>
  <si>
    <t>Djeno Terminal</t>
  </si>
  <si>
    <t>CGMOS</t>
  </si>
  <si>
    <t>Mossaka</t>
  </si>
  <si>
    <t>CGNKO</t>
  </si>
  <si>
    <t>N'Kossa Terminal</t>
  </si>
  <si>
    <t>CGOUE</t>
  </si>
  <si>
    <t>Ouesso</t>
  </si>
  <si>
    <t>CGOYO</t>
  </si>
  <si>
    <t>Oyo</t>
  </si>
  <si>
    <t>CGPNR</t>
  </si>
  <si>
    <t>CGYOM</t>
  </si>
  <si>
    <t>Yombo</t>
  </si>
  <si>
    <t>CHXRE</t>
  </si>
  <si>
    <t>Aeugst am Albis</t>
  </si>
  <si>
    <t>CHBRZ</t>
  </si>
  <si>
    <t>Bad Ragaz</t>
  </si>
  <si>
    <t>CHBA8</t>
  </si>
  <si>
    <t>Ballwil</t>
  </si>
  <si>
    <t>CHBSL</t>
  </si>
  <si>
    <t>Basel</t>
  </si>
  <si>
    <t>CHBIB</t>
  </si>
  <si>
    <t>Biberist</t>
  </si>
  <si>
    <t>CHBIR</t>
  </si>
  <si>
    <t>Birrwil</t>
  </si>
  <si>
    <t>CHBLY</t>
  </si>
  <si>
    <t>Blonay</t>
  </si>
  <si>
    <t>CHBSM</t>
  </si>
  <si>
    <t>Bretigny-sur-Morrens</t>
  </si>
  <si>
    <t>CHBRU</t>
  </si>
  <si>
    <t>Brunnen</t>
  </si>
  <si>
    <t>CHBTT</t>
  </si>
  <si>
    <t>Brutten</t>
  </si>
  <si>
    <t>CHBUR</t>
  </si>
  <si>
    <t>Bursinel</t>
  </si>
  <si>
    <t>CHHHM</t>
  </si>
  <si>
    <t>Cham</t>
  </si>
  <si>
    <t>CHCHS</t>
  </si>
  <si>
    <t>Chesieres</t>
  </si>
  <si>
    <t>CHCHE</t>
  </si>
  <si>
    <t>Chevenez</t>
  </si>
  <si>
    <t>CHN66</t>
  </si>
  <si>
    <t>Choindez</t>
  </si>
  <si>
    <t>CHCBL</t>
  </si>
  <si>
    <t>Collonge-Bellerive</t>
  </si>
  <si>
    <t>CHCOP</t>
  </si>
  <si>
    <t>Coppet</t>
  </si>
  <si>
    <t>CHCVT</t>
  </si>
  <si>
    <t>Couvet</t>
  </si>
  <si>
    <t>CHDOT</t>
  </si>
  <si>
    <t>CHDSF</t>
  </si>
  <si>
    <t>Epalinges</t>
  </si>
  <si>
    <t>CHEPS</t>
  </si>
  <si>
    <t>Epesses</t>
  </si>
  <si>
    <t>CHERB</t>
  </si>
  <si>
    <t>Erlenbach</t>
  </si>
  <si>
    <t>CHFEM</t>
  </si>
  <si>
    <t>Feldmeilen</t>
  </si>
  <si>
    <t>CHFLA</t>
  </si>
  <si>
    <t>CHGRG</t>
  </si>
  <si>
    <t>Gorgier</t>
  </si>
  <si>
    <t>CHGTT</t>
  </si>
  <si>
    <t>CHHTE</t>
  </si>
  <si>
    <t>Hauterive</t>
  </si>
  <si>
    <t>CHHBG</t>
  </si>
  <si>
    <t>Herrliberg</t>
  </si>
  <si>
    <t>CHXZX</t>
  </si>
  <si>
    <t>Ibach</t>
  </si>
  <si>
    <t>CHRGU</t>
  </si>
  <si>
    <t>Klingnau</t>
  </si>
  <si>
    <t>CHK3L</t>
  </si>
  <si>
    <t>Kollbrunn</t>
  </si>
  <si>
    <t>CHKPP</t>
  </si>
  <si>
    <t>Koppigen</t>
  </si>
  <si>
    <t>CHKRZ</t>
  </si>
  <si>
    <t>Kreuzlingen</t>
  </si>
  <si>
    <t>CHKSS</t>
  </si>
  <si>
    <t>Kussnacht</t>
  </si>
  <si>
    <t>CHLDO</t>
  </si>
  <si>
    <t>Le Landeron</t>
  </si>
  <si>
    <t>CHLLU</t>
  </si>
  <si>
    <t>Le Lieu</t>
  </si>
  <si>
    <t>CHMDF</t>
  </si>
  <si>
    <t>CHMAU</t>
  </si>
  <si>
    <t>Maur</t>
  </si>
  <si>
    <t>CHMLN</t>
  </si>
  <si>
    <t>Meilen</t>
  </si>
  <si>
    <t>CHMWA</t>
  </si>
  <si>
    <t>Meisterschwanden</t>
  </si>
  <si>
    <t>CHJJO</t>
  </si>
  <si>
    <t>Melide</t>
  </si>
  <si>
    <t>CHMIG</t>
  </si>
  <si>
    <t>Miege</t>
  </si>
  <si>
    <t>CHNEF</t>
  </si>
  <si>
    <t>CHNDB</t>
  </si>
  <si>
    <t>Niederbipp</t>
  </si>
  <si>
    <t>CHODB</t>
  </si>
  <si>
    <t>Oberried am Brienzersee</t>
  </si>
  <si>
    <t>CHPOR</t>
  </si>
  <si>
    <t>Porto Ronco</t>
  </si>
  <si>
    <t>CHRRN</t>
  </si>
  <si>
    <t>Raron</t>
  </si>
  <si>
    <t>CHRNB</t>
  </si>
  <si>
    <t>Reichenbach</t>
  </si>
  <si>
    <t>CHXXX</t>
  </si>
  <si>
    <t>CHRMH</t>
  </si>
  <si>
    <t>Romanshorn</t>
  </si>
  <si>
    <t>CHRGT</t>
  </si>
  <si>
    <t>Rougemont</t>
  </si>
  <si>
    <t>CHSAS</t>
  </si>
  <si>
    <t>Saint-Aubin-Sauges</t>
  </si>
  <si>
    <t>CHSSV</t>
  </si>
  <si>
    <t>Saint-Sulpice</t>
  </si>
  <si>
    <t>CHTTG</t>
  </si>
  <si>
    <t>Salenstein</t>
  </si>
  <si>
    <t>CHSEN</t>
  </si>
  <si>
    <t>Schenkon</t>
  </si>
  <si>
    <t>CHSMK</t>
  </si>
  <si>
    <t>Schmerikon</t>
  </si>
  <si>
    <t>CHSTA</t>
  </si>
  <si>
    <t>Stansstad</t>
  </si>
  <si>
    <t>CHSTI</t>
  </si>
  <si>
    <t>Steinhausen</t>
  </si>
  <si>
    <t>CHTAN</t>
  </si>
  <si>
    <t>Twann</t>
  </si>
  <si>
    <t>CHUKS</t>
  </si>
  <si>
    <t>Uetikon am See</t>
  </si>
  <si>
    <t>CHTZE</t>
  </si>
  <si>
    <t>Utzenstorf</t>
  </si>
  <si>
    <t>CHVAU</t>
  </si>
  <si>
    <t>Vaumarcus</t>
  </si>
  <si>
    <t>CHVSX</t>
  </si>
  <si>
    <t>Versoix</t>
  </si>
  <si>
    <t>CHVS5</t>
  </si>
  <si>
    <t>Villaz-Saint-Pierre</t>
  </si>
  <si>
    <t>CHVZU</t>
  </si>
  <si>
    <t>Vitznau</t>
  </si>
  <si>
    <t>CHWCW</t>
  </si>
  <si>
    <t>Walchwil</t>
  </si>
  <si>
    <t>CHWLO</t>
  </si>
  <si>
    <t>CIABJ</t>
  </si>
  <si>
    <t>Abidjan</t>
  </si>
  <si>
    <t>CIASS</t>
  </si>
  <si>
    <t>Assinie-Mafia</t>
  </si>
  <si>
    <t>CIBAO</t>
  </si>
  <si>
    <t>Baobab Terminal</t>
  </si>
  <si>
    <t>CIDAB</t>
  </si>
  <si>
    <t>Dabou</t>
  </si>
  <si>
    <t>CIESP</t>
  </si>
  <si>
    <t>Espoir</t>
  </si>
  <si>
    <t>CIFRE</t>
  </si>
  <si>
    <t>Fresco</t>
  </si>
  <si>
    <t>CIGBA</t>
  </si>
  <si>
    <t>Gbabam</t>
  </si>
  <si>
    <t>CIGLU</t>
  </si>
  <si>
    <t>Grand Lahou</t>
  </si>
  <si>
    <t>CIJAC</t>
  </si>
  <si>
    <t>Jacqueville</t>
  </si>
  <si>
    <t>CIKOS</t>
  </si>
  <si>
    <t>Kosagi</t>
  </si>
  <si>
    <t>CIPBT</t>
  </si>
  <si>
    <t>CISPY</t>
  </si>
  <si>
    <t>CIZSS</t>
  </si>
  <si>
    <t>Sassandra</t>
  </si>
  <si>
    <t>CKAIT</t>
  </si>
  <si>
    <t>Aitutaki</t>
  </si>
  <si>
    <t>CKARU</t>
  </si>
  <si>
    <t>Arutunga</t>
  </si>
  <si>
    <t>CKAIU</t>
  </si>
  <si>
    <t>Atiu</t>
  </si>
  <si>
    <t>CKMGS</t>
  </si>
  <si>
    <t>Mangaia</t>
  </si>
  <si>
    <t>CKMOI</t>
  </si>
  <si>
    <t>Mitiaro Island</t>
  </si>
  <si>
    <t>CKRAR</t>
  </si>
  <si>
    <t>Rarotonga</t>
  </si>
  <si>
    <t>CLACH</t>
  </si>
  <si>
    <t>Achao</t>
  </si>
  <si>
    <t>CLZUD</t>
  </si>
  <si>
    <t>Ancud</t>
  </si>
  <si>
    <t>CLANF</t>
  </si>
  <si>
    <t>Antofagasta</t>
  </si>
  <si>
    <t>CLARA</t>
  </si>
  <si>
    <t>Arauco</t>
  </si>
  <si>
    <t>CLARI</t>
  </si>
  <si>
    <t>Arica</t>
  </si>
  <si>
    <t>CLAYA</t>
  </si>
  <si>
    <t>Ayacara</t>
  </si>
  <si>
    <t>CLBAG</t>
  </si>
  <si>
    <t>CLBAR</t>
  </si>
  <si>
    <t>Barquito</t>
  </si>
  <si>
    <t>CLCHR</t>
  </si>
  <si>
    <t>Cabo de Hornos</t>
  </si>
  <si>
    <t>CLCNX</t>
  </si>
  <si>
    <t>Cabo Negro</t>
  </si>
  <si>
    <t>CLCBC</t>
  </si>
  <si>
    <t>Calbuco</t>
  </si>
  <si>
    <t>CLCLD</t>
  </si>
  <si>
    <t>Caldera</t>
  </si>
  <si>
    <t>CLCAA</t>
  </si>
  <si>
    <t>Calderilla</t>
  </si>
  <si>
    <t>CLCLR</t>
  </si>
  <si>
    <t>Caleta Clarencia</t>
  </si>
  <si>
    <t>CLCOL</t>
  </si>
  <si>
    <t>Caleta Coloso</t>
  </si>
  <si>
    <t>CLCAL</t>
  </si>
  <si>
    <t>Caleta Patillos</t>
  </si>
  <si>
    <t>CLCRH</t>
  </si>
  <si>
    <t>Carahue</t>
  </si>
  <si>
    <t>CLWCA</t>
  </si>
  <si>
    <t>Castro</t>
  </si>
  <si>
    <t>CLCHB</t>
  </si>
  <si>
    <t>Chacabuco</t>
  </si>
  <si>
    <t>CLCCA</t>
  </si>
  <si>
    <t>Chacao</t>
  </si>
  <si>
    <t>CLWCH</t>
  </si>
  <si>
    <t>CLCNR</t>
  </si>
  <si>
    <t>CLCHI</t>
  </si>
  <si>
    <t>Chiguayante</t>
  </si>
  <si>
    <t>CLCHO</t>
  </si>
  <si>
    <t>Chonchi</t>
  </si>
  <si>
    <t>CLCCP</t>
  </si>
  <si>
    <t>CLCST</t>
  </si>
  <si>
    <t>CLCPO</t>
  </si>
  <si>
    <t>CLCQQ</t>
  </si>
  <si>
    <t>Coquimbo</t>
  </si>
  <si>
    <t>CLCNL</t>
  </si>
  <si>
    <t>Coronel</t>
  </si>
  <si>
    <t>CLCRR</t>
  </si>
  <si>
    <t>Corral</t>
  </si>
  <si>
    <t>CLCGR</t>
  </si>
  <si>
    <t>Cruz Grande</t>
  </si>
  <si>
    <t>CLCDV</t>
  </si>
  <si>
    <t>CLDCH</t>
  </si>
  <si>
    <t>Dalcahue</t>
  </si>
  <si>
    <t>CLGUA</t>
  </si>
  <si>
    <t>Guaitecas</t>
  </si>
  <si>
    <t>CLGYC</t>
  </si>
  <si>
    <t>CLHUH</t>
  </si>
  <si>
    <t>CLHSO</t>
  </si>
  <si>
    <t>Huasco</t>
  </si>
  <si>
    <t>CLIQQ</t>
  </si>
  <si>
    <t>Iquique</t>
  </si>
  <si>
    <t>CLIPC</t>
  </si>
  <si>
    <t>Isla de Pascua</t>
  </si>
  <si>
    <t>CLISG</t>
  </si>
  <si>
    <t>Isla Guarello</t>
  </si>
  <si>
    <t>CLJFZ</t>
  </si>
  <si>
    <t>CLLSC</t>
  </si>
  <si>
    <t>La Serena</t>
  </si>
  <si>
    <t>CLLEB</t>
  </si>
  <si>
    <t>Lebu</t>
  </si>
  <si>
    <t>CLLQN</t>
  </si>
  <si>
    <t>CLLIA</t>
  </si>
  <si>
    <t>Llanquihue</t>
  </si>
  <si>
    <t>CLLLI</t>
  </si>
  <si>
    <t>Llico</t>
  </si>
  <si>
    <t>CLLVT</t>
  </si>
  <si>
    <t>Los Vientos</t>
  </si>
  <si>
    <t>CLLOS</t>
  </si>
  <si>
    <t>Los Vilos</t>
  </si>
  <si>
    <t>CLLTA</t>
  </si>
  <si>
    <t>Lota</t>
  </si>
  <si>
    <t>CLMLL</t>
  </si>
  <si>
    <t>CLMJS</t>
  </si>
  <si>
    <t>Mejillones</t>
  </si>
  <si>
    <t>CLMLI</t>
  </si>
  <si>
    <t>Melinka</t>
  </si>
  <si>
    <t>CLMIC</t>
  </si>
  <si>
    <t>Michilla</t>
  </si>
  <si>
    <t>CLNAL</t>
  </si>
  <si>
    <t>Nueva Aldea</t>
  </si>
  <si>
    <t>CLOHI</t>
  </si>
  <si>
    <t>O'Higgins</t>
  </si>
  <si>
    <t>CLZOS</t>
  </si>
  <si>
    <t>Osorno</t>
  </si>
  <si>
    <t>CLOVL</t>
  </si>
  <si>
    <t>Ovalle</t>
  </si>
  <si>
    <t>CLPAN</t>
  </si>
  <si>
    <t>Panguipulli</t>
  </si>
  <si>
    <t>CLPGA</t>
  </si>
  <si>
    <t>Pargua</t>
  </si>
  <si>
    <t>CLLOH</t>
  </si>
  <si>
    <t>Paso Lago O'Higgins/O'Higgins</t>
  </si>
  <si>
    <t>CLPTI</t>
  </si>
  <si>
    <t>Patillos</t>
  </si>
  <si>
    <t>CLPCK</t>
  </si>
  <si>
    <t>Pecket</t>
  </si>
  <si>
    <t>CLPEO</t>
  </si>
  <si>
    <t>Penco</t>
  </si>
  <si>
    <t>CLPIS</t>
  </si>
  <si>
    <t>Pisagua</t>
  </si>
  <si>
    <t>CLPOS</t>
  </si>
  <si>
    <t>CLWPA</t>
  </si>
  <si>
    <t>CLPAG</t>
  </si>
  <si>
    <t>Puerto Angamos</t>
  </si>
  <si>
    <t>CLPCH</t>
  </si>
  <si>
    <t>Puerto Chacabuco</t>
  </si>
  <si>
    <t>CLCIS</t>
  </si>
  <si>
    <t>Puerto Cisnes</t>
  </si>
  <si>
    <t>CLEDE</t>
  </si>
  <si>
    <t>CLPMC</t>
  </si>
  <si>
    <t>Puerto Montt</t>
  </si>
  <si>
    <t>CLPNT</t>
  </si>
  <si>
    <t>Puerto Natales</t>
  </si>
  <si>
    <t>CLPOC</t>
  </si>
  <si>
    <t>Puerto Octay</t>
  </si>
  <si>
    <t>CLPAT</t>
  </si>
  <si>
    <t>Puerto Patache</t>
  </si>
  <si>
    <t>CLPPY</t>
  </si>
  <si>
    <t>Puerto Percy</t>
  </si>
  <si>
    <t>CLPVS</t>
  </si>
  <si>
    <t>Puerto Varas</t>
  </si>
  <si>
    <t>CLWPU</t>
  </si>
  <si>
    <t>Puerto Williams</t>
  </si>
  <si>
    <t>CLPUQ</t>
  </si>
  <si>
    <t>Punta Arenas</t>
  </si>
  <si>
    <t>CLPTC</t>
  </si>
  <si>
    <t>Punta Chungo</t>
  </si>
  <si>
    <t>CLPPD</t>
  </si>
  <si>
    <t>Punta Padrones</t>
  </si>
  <si>
    <t>CLPQD</t>
  </si>
  <si>
    <t>CLQLN</t>
  </si>
  <si>
    <t>CLPTE</t>
  </si>
  <si>
    <t>CLQUV</t>
  </si>
  <si>
    <t>CLQMC</t>
  </si>
  <si>
    <t>Quemchi</t>
  </si>
  <si>
    <t>CLQCO</t>
  </si>
  <si>
    <t>Quinchao</t>
  </si>
  <si>
    <t>CLQTV</t>
  </si>
  <si>
    <t>Quintero</t>
  </si>
  <si>
    <t>CLRAF</t>
  </si>
  <si>
    <t>Rauco</t>
  </si>
  <si>
    <t>CLSAA</t>
  </si>
  <si>
    <t>Saavedra</t>
  </si>
  <si>
    <t>CLSAI</t>
  </si>
  <si>
    <t>San Antonio</t>
  </si>
  <si>
    <t>CLSVE</t>
  </si>
  <si>
    <t>San Vicente</t>
  </si>
  <si>
    <t>CLTLX</t>
  </si>
  <si>
    <t>Talca</t>
  </si>
  <si>
    <t>CLTAL</t>
  </si>
  <si>
    <t>Talcahuano</t>
  </si>
  <si>
    <t>CLTTC</t>
  </si>
  <si>
    <t>Taltal</t>
  </si>
  <si>
    <t>CLTOQ</t>
  </si>
  <si>
    <t>Tocopilla</t>
  </si>
  <si>
    <t>CLTOM</t>
  </si>
  <si>
    <t>CLTON</t>
  </si>
  <si>
    <t>Tongoy</t>
  </si>
  <si>
    <t>CLTOR</t>
  </si>
  <si>
    <t>Tortel</t>
  </si>
  <si>
    <t>CLTPT</t>
  </si>
  <si>
    <t>Tres Puentes</t>
  </si>
  <si>
    <t>CLZAL</t>
  </si>
  <si>
    <t>Valdivia</t>
  </si>
  <si>
    <t>CLVAP</t>
  </si>
  <si>
    <t>Valparaiso</t>
  </si>
  <si>
    <t>CLVNT</t>
  </si>
  <si>
    <t>Ventanas</t>
  </si>
  <si>
    <t>CLVIL</t>
  </si>
  <si>
    <t>Villarrica</t>
  </si>
  <si>
    <t>CLKNA</t>
  </si>
  <si>
    <t>CMDLA</t>
  </si>
  <si>
    <t>Douala</t>
  </si>
  <si>
    <t>CMGOU</t>
  </si>
  <si>
    <t>Garoua</t>
  </si>
  <si>
    <t>CMKOL</t>
  </si>
  <si>
    <t>Kole Terminal</t>
  </si>
  <si>
    <t>CMKBI</t>
  </si>
  <si>
    <t>Kribi</t>
  </si>
  <si>
    <t>CMKUM</t>
  </si>
  <si>
    <t>Kumba</t>
  </si>
  <si>
    <t>CMLIM</t>
  </si>
  <si>
    <t>Limbe</t>
  </si>
  <si>
    <t>CMLIT</t>
  </si>
  <si>
    <t>Limboh Terminal</t>
  </si>
  <si>
    <t>CMMSG</t>
  </si>
  <si>
    <t>Massongo Terminal</t>
  </si>
  <si>
    <t>CMMOU</t>
  </si>
  <si>
    <t>Moudi Terminal</t>
  </si>
  <si>
    <t>CMTKC</t>
  </si>
  <si>
    <t>Tiko</t>
  </si>
  <si>
    <t>CNAPP</t>
  </si>
  <si>
    <t>Anpu</t>
  </si>
  <si>
    <t>CNAQG</t>
  </si>
  <si>
    <t>Anqing Pt</t>
  </si>
  <si>
    <t>CNANQ</t>
  </si>
  <si>
    <t>Anqiu</t>
  </si>
  <si>
    <t>CNANT</t>
  </si>
  <si>
    <t>Anting</t>
  </si>
  <si>
    <t>CNAJG</t>
  </si>
  <si>
    <t>Aojiang Pt</t>
  </si>
  <si>
    <t>CNASW</t>
  </si>
  <si>
    <t>Aoshanwei</t>
  </si>
  <si>
    <t>CNBCO</t>
  </si>
  <si>
    <t>Bacao</t>
  </si>
  <si>
    <t>CNBDG</t>
  </si>
  <si>
    <t>Badong</t>
  </si>
  <si>
    <t>CNBAH</t>
  </si>
  <si>
    <t>Bahe</t>
  </si>
  <si>
    <t>CNBCG</t>
  </si>
  <si>
    <t>Baiceng</t>
  </si>
  <si>
    <t>CNBLO</t>
  </si>
  <si>
    <t>Bailuo</t>
  </si>
  <si>
    <t>CNBMJ</t>
  </si>
  <si>
    <t>Baimajing</t>
  </si>
  <si>
    <t>CNIMA</t>
  </si>
  <si>
    <t>Baimao</t>
  </si>
  <si>
    <t>CNBSE</t>
  </si>
  <si>
    <t>Baise</t>
  </si>
  <si>
    <t>CNBSI</t>
  </si>
  <si>
    <t>Baishi</t>
  </si>
  <si>
    <t>CNBYG</t>
  </si>
  <si>
    <t>Baiyang</t>
  </si>
  <si>
    <t>CNBLI</t>
  </si>
  <si>
    <t>Bali</t>
  </si>
  <si>
    <t>CNBSD</t>
  </si>
  <si>
    <t>Baoshan Pt</t>
  </si>
  <si>
    <t>CNBSP</t>
  </si>
  <si>
    <t>Basuo Pt</t>
  </si>
  <si>
    <t>CNBAU</t>
  </si>
  <si>
    <t>Baxu</t>
  </si>
  <si>
    <t>CNBYA</t>
  </si>
  <si>
    <t>Bayan</t>
  </si>
  <si>
    <t>CNBYQ</t>
  </si>
  <si>
    <t>Bayuquan</t>
  </si>
  <si>
    <t>CNBIC</t>
  </si>
  <si>
    <t>Beicun</t>
  </si>
  <si>
    <t>CNBIH</t>
  </si>
  <si>
    <t>Beihai Pt</t>
  </si>
  <si>
    <t>CNBIJ</t>
  </si>
  <si>
    <t>Beijiao</t>
  </si>
  <si>
    <t>CNBEI</t>
  </si>
  <si>
    <t>Beilun</t>
  </si>
  <si>
    <t>CNBLG</t>
  </si>
  <si>
    <t>Beilun Pt</t>
  </si>
  <si>
    <t>CNSXB</t>
  </si>
  <si>
    <t>Beitan</t>
  </si>
  <si>
    <t>CNBIY</t>
  </si>
  <si>
    <t>Beiyao</t>
  </si>
  <si>
    <t>CNPHB</t>
  </si>
  <si>
    <t>Bijia</t>
  </si>
  <si>
    <t>CNBHX</t>
  </si>
  <si>
    <t>Binhai</t>
  </si>
  <si>
    <t>CNBYN</t>
  </si>
  <si>
    <t>Binyang</t>
  </si>
  <si>
    <t>CNBOA</t>
  </si>
  <si>
    <t>Boao</t>
  </si>
  <si>
    <t>CNDBX</t>
  </si>
  <si>
    <t>Bohe</t>
  </si>
  <si>
    <t>CNBZG</t>
  </si>
  <si>
    <t>Bozhong</t>
  </si>
  <si>
    <t>CNBHE</t>
  </si>
  <si>
    <t>Buhe</t>
  </si>
  <si>
    <t>CNGSA</t>
  </si>
  <si>
    <t>Cangshan</t>
  </si>
  <si>
    <t>CNCGW</t>
  </si>
  <si>
    <t>Cangwu</t>
  </si>
  <si>
    <t>CNCFD</t>
  </si>
  <si>
    <t>Caofeidian Pt</t>
  </si>
  <si>
    <t>CNCJG</t>
  </si>
  <si>
    <t>Caojing</t>
  </si>
  <si>
    <t>CNCDH</t>
  </si>
  <si>
    <t>Changdianhekou</t>
  </si>
  <si>
    <t>CNCAH</t>
  </si>
  <si>
    <t>Changhua</t>
  </si>
  <si>
    <t>CNCGJ</t>
  </si>
  <si>
    <t>Changjing</t>
  </si>
  <si>
    <t>CNCSJ</t>
  </si>
  <si>
    <t>Changshou</t>
  </si>
  <si>
    <t>CNCSO</t>
  </si>
  <si>
    <t>CNCGS</t>
  </si>
  <si>
    <t>Changshu Pt</t>
  </si>
  <si>
    <t>CNCZX</t>
  </si>
  <si>
    <t>Changzhou Pt</t>
  </si>
  <si>
    <t>CNCHU</t>
  </si>
  <si>
    <t>Chaohu</t>
  </si>
  <si>
    <t>CNCHY</t>
  </si>
  <si>
    <t>Chaoyang Pt</t>
  </si>
  <si>
    <t>CNCOZ</t>
  </si>
  <si>
    <t>Chaozhou Pt</t>
  </si>
  <si>
    <t>CNCBG</t>
  </si>
  <si>
    <t>Chen Barag</t>
  </si>
  <si>
    <t>CNCUN</t>
  </si>
  <si>
    <t>Chencun</t>
  </si>
  <si>
    <t>CNCHE</t>
  </si>
  <si>
    <t>Chengaogang</t>
  </si>
  <si>
    <t>CNCNG</t>
  </si>
  <si>
    <t>Chengde</t>
  </si>
  <si>
    <t>CNCJI</t>
  </si>
  <si>
    <t>Chengjiang</t>
  </si>
  <si>
    <t>CNCLJ</t>
  </si>
  <si>
    <t>Chenglingji Pt</t>
  </si>
  <si>
    <t>CNCHX</t>
  </si>
  <si>
    <t>Chengxi</t>
  </si>
  <si>
    <t>CNCIG</t>
  </si>
  <si>
    <t>Chenjiagang</t>
  </si>
  <si>
    <t>CNCBI</t>
  </si>
  <si>
    <t>Chibi</t>
  </si>
  <si>
    <t>CNCWN</t>
  </si>
  <si>
    <t>Chiwan Pt</t>
  </si>
  <si>
    <t>CNCHI</t>
  </si>
  <si>
    <t>Chizhou Pt</t>
  </si>
  <si>
    <t>CNCGM</t>
  </si>
  <si>
    <t>Chongming</t>
  </si>
  <si>
    <t>CNCQI</t>
  </si>
  <si>
    <t>Chongqing</t>
  </si>
  <si>
    <t>CNCHQ</t>
  </si>
  <si>
    <t>Chongqing Pt</t>
  </si>
  <si>
    <t>CNQZC</t>
  </si>
  <si>
    <t>Chongwu</t>
  </si>
  <si>
    <t>CNCGZ</t>
  </si>
  <si>
    <t>Chongzuo</t>
  </si>
  <si>
    <t>CNCHS</t>
  </si>
  <si>
    <t>Chuanshan</t>
  </si>
  <si>
    <t>CNCUM</t>
  </si>
  <si>
    <t>Chumen</t>
  </si>
  <si>
    <t>CNCHZ</t>
  </si>
  <si>
    <t>Chuzhou</t>
  </si>
  <si>
    <t>CNCIV</t>
  </si>
  <si>
    <t>Civet / Guandong</t>
  </si>
  <si>
    <t>CNCIX</t>
  </si>
  <si>
    <t>Cixi</t>
  </si>
  <si>
    <t>CNCJA</t>
  </si>
  <si>
    <t>Congjiang</t>
  </si>
  <si>
    <t>CNDAN</t>
  </si>
  <si>
    <t>Daan</t>
  </si>
  <si>
    <t>CNDCB</t>
  </si>
  <si>
    <t>Dachenbei</t>
  </si>
  <si>
    <t>CNDDD</t>
  </si>
  <si>
    <t>Dadeng I.</t>
  </si>
  <si>
    <t>CNDIZ</t>
  </si>
  <si>
    <t>Dadingzi</t>
  </si>
  <si>
    <t>CNDDK</t>
  </si>
  <si>
    <t>Dadukou</t>
  </si>
  <si>
    <t>CNDFG</t>
  </si>
  <si>
    <t>Dafeng Pt</t>
  </si>
  <si>
    <t>CNDAA</t>
  </si>
  <si>
    <t>Dagang</t>
  </si>
  <si>
    <t>CNDHP</t>
  </si>
  <si>
    <t>Dahuangpu</t>
  </si>
  <si>
    <t>CNDJI</t>
  </si>
  <si>
    <t>Dajing</t>
  </si>
  <si>
    <t>CNDAL</t>
  </si>
  <si>
    <t>Dalian</t>
  </si>
  <si>
    <t>CNDAG</t>
  </si>
  <si>
    <t>Dalian Pt</t>
  </si>
  <si>
    <t>CNDLD</t>
  </si>
  <si>
    <t>Dalu Island</t>
  </si>
  <si>
    <t>CNDMY</t>
  </si>
  <si>
    <t>Damaiyu</t>
  </si>
  <si>
    <t>CNDDZ</t>
  </si>
  <si>
    <t>Dandong</t>
  </si>
  <si>
    <t>CNDDG</t>
  </si>
  <si>
    <t>Dandong Pt</t>
  </si>
  <si>
    <t>CNFZL</t>
  </si>
  <si>
    <t>Dantou</t>
  </si>
  <si>
    <t>CNDNT</t>
  </si>
  <si>
    <t>Dantu</t>
  </si>
  <si>
    <t>CNDZM</t>
  </si>
  <si>
    <t>Danzhimatou</t>
  </si>
  <si>
    <t>CNDHU</t>
  </si>
  <si>
    <t>Danzhou</t>
  </si>
  <si>
    <t>CNDJO</t>
  </si>
  <si>
    <t>Daojiao</t>
  </si>
  <si>
    <t>CNDPG</t>
  </si>
  <si>
    <t>Dapeng</t>
  </si>
  <si>
    <t>CNDQD</t>
  </si>
  <si>
    <t>Daqindao</t>
  </si>
  <si>
    <t>CNDSA</t>
  </si>
  <si>
    <t>Dasha</t>
  </si>
  <si>
    <t>CNDAS</t>
  </si>
  <si>
    <t>Dashihuagang</t>
  </si>
  <si>
    <t>CNDSO</t>
  </si>
  <si>
    <t>Dasong</t>
  </si>
  <si>
    <t>CNDTZ</t>
  </si>
  <si>
    <t>Dataizi</t>
  </si>
  <si>
    <t>CNDWN</t>
  </si>
  <si>
    <t>Dawan</t>
  </si>
  <si>
    <t>CNDAX</t>
  </si>
  <si>
    <t>Daxie Pt</t>
  </si>
  <si>
    <t>CNDXU</t>
  </si>
  <si>
    <t>Daxu</t>
  </si>
  <si>
    <t>CNDYW</t>
  </si>
  <si>
    <t>Dayaowan</t>
  </si>
  <si>
    <t>CNDAY</t>
  </si>
  <si>
    <t>Dayawan</t>
  </si>
  <si>
    <t>CNDYI</t>
  </si>
  <si>
    <t>Dayi</t>
  </si>
  <si>
    <t>CNDEF</t>
  </si>
  <si>
    <t>Defeng</t>
  </si>
  <si>
    <t>CNDEZ</t>
  </si>
  <si>
    <t>Dezhou</t>
  </si>
  <si>
    <t>CNDDP</t>
  </si>
  <si>
    <t>Didu</t>
  </si>
  <si>
    <t>CNDIA</t>
  </si>
  <si>
    <t>Digang</t>
  </si>
  <si>
    <t>CNDBG</t>
  </si>
  <si>
    <t>Dongbang</t>
  </si>
  <si>
    <t>CNDDW</t>
  </si>
  <si>
    <t>Dongdaiwan</t>
  </si>
  <si>
    <t>CNDFA</t>
  </si>
  <si>
    <t>Dongfang</t>
  </si>
  <si>
    <t>CNDFN</t>
  </si>
  <si>
    <t>Dongfeng</t>
  </si>
  <si>
    <t>CNDGN</t>
  </si>
  <si>
    <t>Donggang</t>
  </si>
  <si>
    <t>CNDGU</t>
  </si>
  <si>
    <t>Donggu</t>
  </si>
  <si>
    <t>CNDGG</t>
  </si>
  <si>
    <t>Dongguan Pt</t>
  </si>
  <si>
    <t>CNDNG</t>
  </si>
  <si>
    <t>Donghai</t>
  </si>
  <si>
    <t>CNDJG</t>
  </si>
  <si>
    <t>Dongjiang Port Area</t>
  </si>
  <si>
    <t>CNDJK</t>
  </si>
  <si>
    <t>Dongjiangkou</t>
  </si>
  <si>
    <t>CNDJT</t>
  </si>
  <si>
    <t>Dongjiaotou Pt</t>
  </si>
  <si>
    <t>CNDOP</t>
  </si>
  <si>
    <t>Donglian Port</t>
  </si>
  <si>
    <t>CNDLI</t>
  </si>
  <si>
    <t>Dongliu</t>
  </si>
  <si>
    <t>CNDGP</t>
  </si>
  <si>
    <t>Dongping</t>
  </si>
  <si>
    <t>CNDSN</t>
  </si>
  <si>
    <t>Dongshan Pt</t>
  </si>
  <si>
    <t>CNDSH</t>
  </si>
  <si>
    <t>Dongshi</t>
  </si>
  <si>
    <t>CNDSI</t>
  </si>
  <si>
    <t>CNDSB</t>
  </si>
  <si>
    <t>Dongsunba</t>
  </si>
  <si>
    <t>CNDOX</t>
  </si>
  <si>
    <t>Dongxing</t>
  </si>
  <si>
    <t>CNDYN</t>
  </si>
  <si>
    <t>Dongying Pt</t>
  </si>
  <si>
    <t>CNDOZ</t>
  </si>
  <si>
    <t>Dongzhang</t>
  </si>
  <si>
    <t>CNDHD</t>
  </si>
  <si>
    <t>Douhudi</t>
  </si>
  <si>
    <t>CNDOU</t>
  </si>
  <si>
    <t>Doumen Pt</t>
  </si>
  <si>
    <t>CNDCG</t>
  </si>
  <si>
    <t>Ducheng</t>
  </si>
  <si>
    <t>CNECG</t>
  </si>
  <si>
    <t>Echeng</t>
  </si>
  <si>
    <t>CNEBA</t>
  </si>
  <si>
    <t>Erba</t>
  </si>
  <si>
    <t>CNEGN</t>
  </si>
  <si>
    <t>Ergun</t>
  </si>
  <si>
    <t>CNETK</t>
  </si>
  <si>
    <t>Ertaokou</t>
  </si>
  <si>
    <t>CNEZH</t>
  </si>
  <si>
    <t>Ezhou</t>
  </si>
  <si>
    <t>CNFAN</t>
  </si>
  <si>
    <t>Fangcheng Pt</t>
  </si>
  <si>
    <t>CNFCH</t>
  </si>
  <si>
    <t>Fengcheng</t>
  </si>
  <si>
    <t>CNFDU</t>
  </si>
  <si>
    <t>Fengdu</t>
  </si>
  <si>
    <t>CNFJE</t>
  </si>
  <si>
    <t>Fengjie</t>
  </si>
  <si>
    <t>CNFKI</t>
  </si>
  <si>
    <t>Fengkai</t>
  </si>
  <si>
    <t>CNFRT</t>
  </si>
  <si>
    <t>Foshan New Pt</t>
  </si>
  <si>
    <t>CNFUC</t>
  </si>
  <si>
    <t>Fucheng</t>
  </si>
  <si>
    <t>CNFAG</t>
  </si>
  <si>
    <t>Fugang</t>
  </si>
  <si>
    <t>CNFUJ</t>
  </si>
  <si>
    <t>Fujin</t>
  </si>
  <si>
    <t>CNFLG</t>
  </si>
  <si>
    <t>Fuling</t>
  </si>
  <si>
    <t>CNFSA</t>
  </si>
  <si>
    <t>Fushan</t>
  </si>
  <si>
    <t>CNFSI</t>
  </si>
  <si>
    <t>Fusui</t>
  </si>
  <si>
    <t>CNFWN</t>
  </si>
  <si>
    <t>Fuwan</t>
  </si>
  <si>
    <t>CNFXG</t>
  </si>
  <si>
    <t>Fuxing</t>
  </si>
  <si>
    <t>CNFNG</t>
  </si>
  <si>
    <t>Fuyong</t>
  </si>
  <si>
    <t>CNFUY</t>
  </si>
  <si>
    <t>Fuyuan</t>
  </si>
  <si>
    <t>CNFZH</t>
  </si>
  <si>
    <t>Fuzhou</t>
  </si>
  <si>
    <t>CNFZG</t>
  </si>
  <si>
    <t>Fuzhou Pt</t>
  </si>
  <si>
    <t>CNFZX</t>
  </si>
  <si>
    <t>Fuzhouxingang</t>
  </si>
  <si>
    <t>CNGUL</t>
  </si>
  <si>
    <t>Gangluan</t>
  </si>
  <si>
    <t>CNGAO</t>
  </si>
  <si>
    <t>Gaogang</t>
  </si>
  <si>
    <t>CNGON</t>
  </si>
  <si>
    <t>Gaolan</t>
  </si>
  <si>
    <t>CNGLN</t>
  </si>
  <si>
    <t>CNGLG</t>
  </si>
  <si>
    <t>Gaoleng</t>
  </si>
  <si>
    <t>CNGOM</t>
  </si>
  <si>
    <t>Gaoming Pt</t>
  </si>
  <si>
    <t>CNGSH</t>
  </si>
  <si>
    <t>Gaosha</t>
  </si>
  <si>
    <t>CNGDI</t>
  </si>
  <si>
    <t>Gedian</t>
  </si>
  <si>
    <t>CNGGN</t>
  </si>
  <si>
    <t>Gongan</t>
  </si>
  <si>
    <t>CNGGU</t>
  </si>
  <si>
    <t>Gongguan</t>
  </si>
  <si>
    <t>CNGGK</t>
  </si>
  <si>
    <t>Gongkou</t>
  </si>
  <si>
    <t>CNGOG</t>
  </si>
  <si>
    <t>Gongming</t>
  </si>
  <si>
    <t>CNTSG</t>
  </si>
  <si>
    <t>Gongyi</t>
  </si>
  <si>
    <t>CNGBG</t>
  </si>
  <si>
    <t>Guanbu Pt</t>
  </si>
  <si>
    <t>CNGCH</t>
  </si>
  <si>
    <t>Guancheng</t>
  </si>
  <si>
    <t>CNGBT</t>
  </si>
  <si>
    <t>Guangbaotong</t>
  </si>
  <si>
    <t>CNGUT</t>
  </si>
  <si>
    <t>Guangdong Terminal</t>
  </si>
  <si>
    <t>CNGHI</t>
  </si>
  <si>
    <t>Guanghai Pt</t>
  </si>
  <si>
    <t>CNGLI</t>
  </si>
  <si>
    <t>Guangli</t>
  </si>
  <si>
    <t>CNGNI</t>
  </si>
  <si>
    <t>Guangning</t>
  </si>
  <si>
    <t>CNGNG</t>
  </si>
  <si>
    <t>CNGGZ</t>
  </si>
  <si>
    <t>Guangzhou</t>
  </si>
  <si>
    <t>CNGZG</t>
  </si>
  <si>
    <t>Guangzhou Pt</t>
  </si>
  <si>
    <t>CNGZC</t>
  </si>
  <si>
    <t>Guangzhouchuanchang</t>
  </si>
  <si>
    <t>CNGYO</t>
  </si>
  <si>
    <t>Guanyao</t>
  </si>
  <si>
    <t>CNGUG</t>
  </si>
  <si>
    <t>Guigang</t>
  </si>
  <si>
    <t>CNGPG</t>
  </si>
  <si>
    <t>Guiping</t>
  </si>
  <si>
    <t>CNGIS</t>
  </si>
  <si>
    <t>Guishan</t>
  </si>
  <si>
    <t>CNGZE</t>
  </si>
  <si>
    <t>Guzhen</t>
  </si>
  <si>
    <t>CNXWH</t>
  </si>
  <si>
    <t>Haian</t>
  </si>
  <si>
    <t>CNHDN</t>
  </si>
  <si>
    <t>Haidian</t>
  </si>
  <si>
    <t>CNHGN</t>
  </si>
  <si>
    <t>Haigeng</t>
  </si>
  <si>
    <t>CNHKO</t>
  </si>
  <si>
    <t>Haikou</t>
  </si>
  <si>
    <t>CNHXG</t>
  </si>
  <si>
    <t>Haikou New Pt</t>
  </si>
  <si>
    <t>CNHIG</t>
  </si>
  <si>
    <t>Haikou Pt</t>
  </si>
  <si>
    <t>CNCYH</t>
  </si>
  <si>
    <t>Haimen</t>
  </si>
  <si>
    <t>CNHIM</t>
  </si>
  <si>
    <t>Haimiao</t>
  </si>
  <si>
    <t>CNHHT</t>
  </si>
  <si>
    <t>Haitian Terminal/ Xiamen</t>
  </si>
  <si>
    <t>CNHTO</t>
  </si>
  <si>
    <t>Haitou</t>
  </si>
  <si>
    <t>CNHXE</t>
  </si>
  <si>
    <t>Haoxue</t>
  </si>
  <si>
    <t>CNHRN</t>
  </si>
  <si>
    <t>Harbin</t>
  </si>
  <si>
    <t>CNHBG</t>
  </si>
  <si>
    <t>Harbin Pt</t>
  </si>
  <si>
    <t>CNHEB</t>
  </si>
  <si>
    <t>Hebei</t>
  </si>
  <si>
    <t>CNHEK</t>
  </si>
  <si>
    <t>Heihe</t>
  </si>
  <si>
    <t>CNHST</t>
  </si>
  <si>
    <t>Heishantou</t>
  </si>
  <si>
    <t>CNXHH</t>
  </si>
  <si>
    <t>Hekou</t>
  </si>
  <si>
    <t>CNHLW</t>
  </si>
  <si>
    <t>Heliwei</t>
  </si>
  <si>
    <t>CNENP</t>
  </si>
  <si>
    <t>Hengban</t>
  </si>
  <si>
    <t>CNHNI</t>
  </si>
  <si>
    <t>Hengli</t>
  </si>
  <si>
    <t>CNHXA</t>
  </si>
  <si>
    <t>Hengxian</t>
  </si>
  <si>
    <t>CNHAS</t>
  </si>
  <si>
    <t>Heshan</t>
  </si>
  <si>
    <t>CNHSN</t>
  </si>
  <si>
    <t>Heshan Pt</t>
  </si>
  <si>
    <t>CNHTG</t>
  </si>
  <si>
    <t>Hetang</t>
  </si>
  <si>
    <t>CNHOD</t>
  </si>
  <si>
    <t>Hongdu</t>
  </si>
  <si>
    <t>CNHGG</t>
  </si>
  <si>
    <t>Hongguang Pt</t>
  </si>
  <si>
    <t>CNBLX</t>
  </si>
  <si>
    <t>Honghai Pt</t>
  </si>
  <si>
    <t>CNHOH</t>
  </si>
  <si>
    <t>Honghu</t>
  </si>
  <si>
    <t>CNHGA</t>
  </si>
  <si>
    <t>Honghua</t>
  </si>
  <si>
    <t>CNHOQ</t>
  </si>
  <si>
    <t>Hongqi</t>
  </si>
  <si>
    <t>CNHOU</t>
  </si>
  <si>
    <t>Houjie</t>
  </si>
  <si>
    <t>CNHZU</t>
  </si>
  <si>
    <t>Houzhu</t>
  </si>
  <si>
    <t>CNHCN</t>
  </si>
  <si>
    <t>Huachuan</t>
  </si>
  <si>
    <t>CNHDG</t>
  </si>
  <si>
    <t>Huadu Pt</t>
  </si>
  <si>
    <t>CNHIJ</t>
  </si>
  <si>
    <t>Huaiji</t>
  </si>
  <si>
    <t>CNHLI</t>
  </si>
  <si>
    <t>Huailai</t>
  </si>
  <si>
    <t>CNAIN</t>
  </si>
  <si>
    <t>Huaiyin</t>
  </si>
  <si>
    <t>CNHNH</t>
  </si>
  <si>
    <t>Huanghua</t>
  </si>
  <si>
    <t>CNHUH</t>
  </si>
  <si>
    <t>Huanghua Pt</t>
  </si>
  <si>
    <t>CNHJI</t>
  </si>
  <si>
    <t>Huangjiang</t>
  </si>
  <si>
    <t>CNHGJ</t>
  </si>
  <si>
    <t>CNWCH</t>
  </si>
  <si>
    <t>Huangpo</t>
  </si>
  <si>
    <t>CNHUA</t>
  </si>
  <si>
    <t>Huangpu Pt</t>
  </si>
  <si>
    <t>CNHAQ</t>
  </si>
  <si>
    <t>Huangqi/Nanhai</t>
  </si>
  <si>
    <t>CNHSK</t>
  </si>
  <si>
    <t>Huangsangkou</t>
  </si>
  <si>
    <t>CNHSI</t>
  </si>
  <si>
    <t>Huangshi Pt</t>
  </si>
  <si>
    <t>CNANG</t>
  </si>
  <si>
    <t>Huangxian</t>
  </si>
  <si>
    <t>CNHYN</t>
  </si>
  <si>
    <t>Huangyan</t>
  </si>
  <si>
    <t>CNHZO</t>
  </si>
  <si>
    <t>Huangzhou</t>
  </si>
  <si>
    <t>CNHNS</t>
  </si>
  <si>
    <t>Huanshi</t>
  </si>
  <si>
    <t>CNHUS</t>
  </si>
  <si>
    <t>Huashi</t>
  </si>
  <si>
    <t>CNHUY</t>
  </si>
  <si>
    <t>Huayang</t>
  </si>
  <si>
    <t>CNHUE</t>
  </si>
  <si>
    <t>Huchen</t>
  </si>
  <si>
    <t>CNHID</t>
  </si>
  <si>
    <t>Huidong Pt</t>
  </si>
  <si>
    <t>CNHIK</t>
  </si>
  <si>
    <t>Huikou</t>
  </si>
  <si>
    <t>CNHUI</t>
  </si>
  <si>
    <t>Huizhou Pt</t>
  </si>
  <si>
    <t>CNHKU</t>
  </si>
  <si>
    <t>Hukou</t>
  </si>
  <si>
    <t>CNHLE</t>
  </si>
  <si>
    <t>Hulan Ergi</t>
  </si>
  <si>
    <t>CNHUL</t>
  </si>
  <si>
    <t>Hulin</t>
  </si>
  <si>
    <t>CNHUD</t>
  </si>
  <si>
    <t>Huludao Pt</t>
  </si>
  <si>
    <t>CNHUM</t>
  </si>
  <si>
    <t>Huma</t>
  </si>
  <si>
    <t>CNHMN</t>
  </si>
  <si>
    <t>Humen Pt</t>
  </si>
  <si>
    <t>CNHUP</t>
  </si>
  <si>
    <t>Huo Pt</t>
  </si>
  <si>
    <t>CNHZH</t>
  </si>
  <si>
    <t>Huzhou Pt</t>
  </si>
  <si>
    <t>CNJMS</t>
  </si>
  <si>
    <t>Jiamusi Pt</t>
  </si>
  <si>
    <t>CNJBI</t>
  </si>
  <si>
    <t>Jianbi</t>
  </si>
  <si>
    <t>CNJAA</t>
  </si>
  <si>
    <t>Jiang'an</t>
  </si>
  <si>
    <t>CNJCH</t>
  </si>
  <si>
    <t>Jiangcheng</t>
  </si>
  <si>
    <t>CNJCN</t>
  </si>
  <si>
    <t>Jiangchuan</t>
  </si>
  <si>
    <t>CNJGJ</t>
  </si>
  <si>
    <t>Jiangjin</t>
  </si>
  <si>
    <t>CNJKO</t>
  </si>
  <si>
    <t>Jiangkou</t>
  </si>
  <si>
    <t>CNFKJ</t>
  </si>
  <si>
    <t>CNJMN</t>
  </si>
  <si>
    <t>Jiangmen Pt</t>
  </si>
  <si>
    <t>CNJIP</t>
  </si>
  <si>
    <t>Jiangping</t>
  </si>
  <si>
    <t>CNJPU</t>
  </si>
  <si>
    <t>Jiangpu</t>
  </si>
  <si>
    <t>CNJIS</t>
  </si>
  <si>
    <t>Jiangshan Pt</t>
  </si>
  <si>
    <t>CNJGY</t>
  </si>
  <si>
    <t>Jiangyin</t>
  </si>
  <si>
    <t>CNJIA</t>
  </si>
  <si>
    <t>Jiangyin Pt</t>
  </si>
  <si>
    <t>CNJLI</t>
  </si>
  <si>
    <t>Jianli</t>
  </si>
  <si>
    <t>CNJTO</t>
  </si>
  <si>
    <t>Jiantiao</t>
  </si>
  <si>
    <t>CNJXN</t>
  </si>
  <si>
    <t>Jiao Xin</t>
  </si>
  <si>
    <t>CNJOK</t>
  </si>
  <si>
    <t>Jiaokou</t>
  </si>
  <si>
    <t>CNJSG</t>
  </si>
  <si>
    <t>Jiaoshan Pt</t>
  </si>
  <si>
    <t>CNJAX</t>
  </si>
  <si>
    <t>Jiaxing Pt</t>
  </si>
  <si>
    <t>CNJAY</t>
  </si>
  <si>
    <t>Jiayin</t>
  </si>
  <si>
    <t>CNJIZ</t>
  </si>
  <si>
    <t>Jiazi</t>
  </si>
  <si>
    <t>CNJES</t>
  </si>
  <si>
    <t>Jieshi</t>
  </si>
  <si>
    <t>CNJMY</t>
  </si>
  <si>
    <t>Jimiya</t>
  </si>
  <si>
    <t>CNDMJ</t>
  </si>
  <si>
    <t>Jingan</t>
  </si>
  <si>
    <t>CNHLJ</t>
  </si>
  <si>
    <t>Jinghai</t>
  </si>
  <si>
    <t>CNJOG</t>
  </si>
  <si>
    <t>Jinghong</t>
  </si>
  <si>
    <t>CNJIJ</t>
  </si>
  <si>
    <t>Jingjiang Pt</t>
  </si>
  <si>
    <t>CNJTG</t>
  </si>
  <si>
    <t>Jingtang Pt</t>
  </si>
  <si>
    <t>CNJGU</t>
  </si>
  <si>
    <t>Jinguzhou</t>
  </si>
  <si>
    <t>CNJZK</t>
  </si>
  <si>
    <t>Jingzhou Pt</t>
  </si>
  <si>
    <t>CNJNH</t>
  </si>
  <si>
    <t>Jinhaian</t>
  </si>
  <si>
    <t>CNJHK</t>
  </si>
  <si>
    <t>Jinhekou</t>
  </si>
  <si>
    <t>CNPTJ</t>
  </si>
  <si>
    <t>Jinjing</t>
  </si>
  <si>
    <t>CNJNL</t>
  </si>
  <si>
    <t>Jinli</t>
  </si>
  <si>
    <t>CNJPI</t>
  </si>
  <si>
    <t>Jinpai</t>
  </si>
  <si>
    <t>CNJNZ</t>
  </si>
  <si>
    <t>Jinzhou Pt</t>
  </si>
  <si>
    <t>CNJUJ</t>
  </si>
  <si>
    <t>Jiujiang</t>
  </si>
  <si>
    <t>CNJIU</t>
  </si>
  <si>
    <t>Jiujiang Pt</t>
  </si>
  <si>
    <t>CNJUL</t>
  </si>
  <si>
    <t>Jiuli</t>
  </si>
  <si>
    <t>CNJLP</t>
  </si>
  <si>
    <t>Jiulongpo Pt</t>
  </si>
  <si>
    <t>CNJUZ</t>
  </si>
  <si>
    <t>Jiuzhen</t>
  </si>
  <si>
    <t>CNJZU</t>
  </si>
  <si>
    <t>Jiuzhou Pt</t>
  </si>
  <si>
    <t>CNJRG</t>
  </si>
  <si>
    <t>Jurong</t>
  </si>
  <si>
    <t>CNKFG</t>
  </si>
  <si>
    <t>Kaifeng</t>
  </si>
  <si>
    <t>CNKZG</t>
  </si>
  <si>
    <t>Kangzhou Pt</t>
  </si>
  <si>
    <t>CNKMN</t>
  </si>
  <si>
    <t>Kanmen</t>
  </si>
  <si>
    <t>CNCSL</t>
  </si>
  <si>
    <t>Laiwu</t>
  </si>
  <si>
    <t>CNLZO</t>
  </si>
  <si>
    <t>Laizhou Pt</t>
  </si>
  <si>
    <t>CNLSN</t>
  </si>
  <si>
    <t>Lanshan Pt</t>
  </si>
  <si>
    <t>CNLNS</t>
  </si>
  <si>
    <t>Lanshi</t>
  </si>
  <si>
    <t>CNLXI</t>
  </si>
  <si>
    <t>Lanxi</t>
  </si>
  <si>
    <t>CNLDK</t>
  </si>
  <si>
    <t>Laodukou</t>
  </si>
  <si>
    <t>CNLAL</t>
  </si>
  <si>
    <t>Laolong</t>
  </si>
  <si>
    <t>CNLXH</t>
  </si>
  <si>
    <t>Laoxiahe</t>
  </si>
  <si>
    <t>CNLTP</t>
  </si>
  <si>
    <t>Letianxi Pt</t>
  </si>
  <si>
    <t>CNLIH</t>
  </si>
  <si>
    <t>Lianhuashan Pt</t>
  </si>
  <si>
    <t>CNLYG</t>
  </si>
  <si>
    <t>Lianyungang</t>
  </si>
  <si>
    <t>CNLIZ</t>
  </si>
  <si>
    <t>Lianzhou</t>
  </si>
  <si>
    <t>CNLID</t>
  </si>
  <si>
    <t>Lidao</t>
  </si>
  <si>
    <t>CNLIJ</t>
  </si>
  <si>
    <t>Lijiang</t>
  </si>
  <si>
    <t>CNLLI</t>
  </si>
  <si>
    <t>Liling</t>
  </si>
  <si>
    <t>CNLNH</t>
  </si>
  <si>
    <t>Linhai</t>
  </si>
  <si>
    <t>CNTNC</t>
  </si>
  <si>
    <t>Lintao</t>
  </si>
  <si>
    <t>CNLUI</t>
  </si>
  <si>
    <t>Lisui</t>
  </si>
  <si>
    <t>CNLUD</t>
  </si>
  <si>
    <t>Liudu</t>
  </si>
  <si>
    <t>CNLJP</t>
  </si>
  <si>
    <t>Liujia Pt</t>
  </si>
  <si>
    <t>CNLJD</t>
  </si>
  <si>
    <t>Liujiadu</t>
  </si>
  <si>
    <t>CNLJN</t>
  </si>
  <si>
    <t>Liujing</t>
  </si>
  <si>
    <t>CNLKP</t>
  </si>
  <si>
    <t>Liukou Pt</t>
  </si>
  <si>
    <t>CNLZL</t>
  </si>
  <si>
    <t>Liusha</t>
  </si>
  <si>
    <t>CNXML</t>
  </si>
  <si>
    <t>Liuwudian</t>
  </si>
  <si>
    <t>CNLIU</t>
  </si>
  <si>
    <t>Liuyang</t>
  </si>
  <si>
    <t>CNLZH</t>
  </si>
  <si>
    <t>Liuzhou Pt</t>
  </si>
  <si>
    <t>CNLZP</t>
  </si>
  <si>
    <t>Liuzuo Pt</t>
  </si>
  <si>
    <t>CNLYP</t>
  </si>
  <si>
    <t>Liying Pt</t>
  </si>
  <si>
    <t>CNLGA</t>
  </si>
  <si>
    <t>Long'an</t>
  </si>
  <si>
    <t>CNLGU</t>
  </si>
  <si>
    <t>Longguan</t>
  </si>
  <si>
    <t>CNLGI</t>
  </si>
  <si>
    <t>Longhai</t>
  </si>
  <si>
    <t>CNLKU</t>
  </si>
  <si>
    <t>Longkou Pt</t>
  </si>
  <si>
    <t>CNLMN</t>
  </si>
  <si>
    <t>Longmen</t>
  </si>
  <si>
    <t>CNLPP</t>
  </si>
  <si>
    <t>Longping Pt</t>
  </si>
  <si>
    <t>CNLGW</t>
  </si>
  <si>
    <t>Longwu</t>
  </si>
  <si>
    <t>CNLGY</t>
  </si>
  <si>
    <t>Longyan Pt</t>
  </si>
  <si>
    <t>CNLOZ</t>
  </si>
  <si>
    <t>Longzhou</t>
  </si>
  <si>
    <t>CNLUN</t>
  </si>
  <si>
    <t>Lu'an</t>
  </si>
  <si>
    <t>CNLJK</t>
  </si>
  <si>
    <t>Luanjiakou</t>
  </si>
  <si>
    <t>CNUBU</t>
  </si>
  <si>
    <t>Lubu</t>
  </si>
  <si>
    <t>CNLCP</t>
  </si>
  <si>
    <t>Lucheng Pt</t>
  </si>
  <si>
    <t>CNLFN</t>
  </si>
  <si>
    <t>Lufeng</t>
  </si>
  <si>
    <t>CNLUH</t>
  </si>
  <si>
    <t>CNLNN</t>
  </si>
  <si>
    <t>Lunan</t>
  </si>
  <si>
    <t>CNLUB</t>
  </si>
  <si>
    <t>Luobei</t>
  </si>
  <si>
    <t>CNLOH</t>
  </si>
  <si>
    <t>Luohuang</t>
  </si>
  <si>
    <t>CNLJT</t>
  </si>
  <si>
    <t>Luojingtan</t>
  </si>
  <si>
    <t>CNLQI</t>
  </si>
  <si>
    <t>Luoqi</t>
  </si>
  <si>
    <t>CNLSH</t>
  </si>
  <si>
    <t>Lushun New Pt</t>
  </si>
  <si>
    <t>CNLUS</t>
  </si>
  <si>
    <t>Lusi</t>
  </si>
  <si>
    <t>CNLXP</t>
  </si>
  <si>
    <t>Luxikou Pt</t>
  </si>
  <si>
    <t>CNLZI</t>
  </si>
  <si>
    <t>Luzhai</t>
  </si>
  <si>
    <t>CNLUZ</t>
  </si>
  <si>
    <t>Luzhou</t>
  </si>
  <si>
    <t>CNMAA</t>
  </si>
  <si>
    <t>Maanshan Pt</t>
  </si>
  <si>
    <t>CNMBI</t>
  </si>
  <si>
    <t>Mabian Island</t>
  </si>
  <si>
    <t>CNMAC</t>
  </si>
  <si>
    <t>Macun</t>
  </si>
  <si>
    <t>CNSHM</t>
  </si>
  <si>
    <t>Mafang</t>
  </si>
  <si>
    <t>CNMJS</t>
  </si>
  <si>
    <t>Maji Shan</t>
  </si>
  <si>
    <t>CNMJD</t>
  </si>
  <si>
    <t>Majiadian</t>
  </si>
  <si>
    <t>CNMAJ</t>
  </si>
  <si>
    <t>Majistan/Zhoushan</t>
  </si>
  <si>
    <t>CNMOG</t>
  </si>
  <si>
    <t>Maogang</t>
  </si>
  <si>
    <t>CNMLG</t>
  </si>
  <si>
    <t>Maoling</t>
  </si>
  <si>
    <t>CNMPP</t>
  </si>
  <si>
    <t>Maoping Pt</t>
  </si>
  <si>
    <t>CNMSP</t>
  </si>
  <si>
    <t>Maoshan Pt</t>
  </si>
  <si>
    <t>CNMTZ</t>
  </si>
  <si>
    <t>Matouzhen</t>
  </si>
  <si>
    <t>CNMWN</t>
  </si>
  <si>
    <t>Mawan Pt</t>
  </si>
  <si>
    <t>CNMAW</t>
  </si>
  <si>
    <t>Mawei Pt</t>
  </si>
  <si>
    <t>CNMAY</t>
  </si>
  <si>
    <t>Mayong</t>
  </si>
  <si>
    <t>CNMIO</t>
  </si>
  <si>
    <t>Meiao</t>
  </si>
  <si>
    <t>CNMGG</t>
  </si>
  <si>
    <t>Meigeng</t>
  </si>
  <si>
    <t>CNMLI</t>
  </si>
  <si>
    <t>Meilin</t>
  </si>
  <si>
    <t>CNMSA</t>
  </si>
  <si>
    <t>Meisha Pt</t>
  </si>
  <si>
    <t>CNMSN</t>
  </si>
  <si>
    <t>Meishan</t>
  </si>
  <si>
    <t>CNMSG</t>
  </si>
  <si>
    <t>Meishan Pt</t>
  </si>
  <si>
    <t>CNMZW</t>
  </si>
  <si>
    <t>Meizhouwan</t>
  </si>
  <si>
    <t>CNMOT</t>
  </si>
  <si>
    <t>Miaotou</t>
  </si>
  <si>
    <t>CNMHG</t>
  </si>
  <si>
    <t>Minxing</t>
  </si>
  <si>
    <t>CNMIY</t>
  </si>
  <si>
    <t>Miyun</t>
  </si>
  <si>
    <t>CNMOH</t>
  </si>
  <si>
    <t>Mohe</t>
  </si>
  <si>
    <t>CNLPG</t>
  </si>
  <si>
    <t>Mouping</t>
  </si>
  <si>
    <t>CNMYM</t>
  </si>
  <si>
    <t>Moupingyangmadao</t>
  </si>
  <si>
    <t>CNMZU</t>
  </si>
  <si>
    <t>Muzhou</t>
  </si>
  <si>
    <t>CNGYN</t>
  </si>
  <si>
    <t>Nanan</t>
  </si>
  <si>
    <t>CNNAN</t>
  </si>
  <si>
    <t>Nanao Pt</t>
  </si>
  <si>
    <t>CNNAD</t>
  </si>
  <si>
    <t>Nandu</t>
  </si>
  <si>
    <t>CNNAH</t>
  </si>
  <si>
    <t>Nanhai Pt</t>
  </si>
  <si>
    <t>CNNJK</t>
  </si>
  <si>
    <t>Nanjiangkou</t>
  </si>
  <si>
    <t>CNNJI</t>
  </si>
  <si>
    <t>Nanjing</t>
  </si>
  <si>
    <t>CNNJG</t>
  </si>
  <si>
    <t>Nanjing Pt</t>
  </si>
  <si>
    <t>CNNIN</t>
  </si>
  <si>
    <t>Nanning</t>
  </si>
  <si>
    <t>CNNIG</t>
  </si>
  <si>
    <t>Nanning Pt</t>
  </si>
  <si>
    <t>CNNSA</t>
  </si>
  <si>
    <t>Nansha Pt</t>
  </si>
  <si>
    <t>CNNTG</t>
  </si>
  <si>
    <t>Nantong Pt</t>
  </si>
  <si>
    <t>CNNNX</t>
  </si>
  <si>
    <t>Nanxi</t>
  </si>
  <si>
    <t>CNNXI</t>
  </si>
  <si>
    <t>Nanxiang</t>
  </si>
  <si>
    <t>CNZNZ</t>
  </si>
  <si>
    <t>Naozhou</t>
  </si>
  <si>
    <t>CNNEG</t>
  </si>
  <si>
    <t>Neigang</t>
  </si>
  <si>
    <t>CNNSY</t>
  </si>
  <si>
    <t>Nianshanyapojiao</t>
  </si>
  <si>
    <t>CNNCA</t>
  </si>
  <si>
    <t>Nicha</t>
  </si>
  <si>
    <t>CNNBO</t>
  </si>
  <si>
    <t>Ningbo</t>
  </si>
  <si>
    <t>CNNBG</t>
  </si>
  <si>
    <t>Ningbo Pt</t>
  </si>
  <si>
    <t>CNNDE</t>
  </si>
  <si>
    <t>Ningde</t>
  </si>
  <si>
    <t>CNNMI</t>
  </si>
  <si>
    <t>Ningming</t>
  </si>
  <si>
    <t>CNNKL</t>
  </si>
  <si>
    <t>Niuguling</t>
  </si>
  <si>
    <t>CNNTN</t>
  </si>
  <si>
    <t>Niutoushan</t>
  </si>
  <si>
    <t>CNNUD</t>
  </si>
  <si>
    <t>Nudao</t>
  </si>
  <si>
    <t>CNPZO</t>
  </si>
  <si>
    <t>Paizhou</t>
  </si>
  <si>
    <t>CNPAJ</t>
  </si>
  <si>
    <t>Panjin</t>
  </si>
  <si>
    <t>CNPNT</t>
  </si>
  <si>
    <t>Pantang</t>
  </si>
  <si>
    <t>CNPLI</t>
  </si>
  <si>
    <t>Penglai Pt</t>
  </si>
  <si>
    <t>CNPZE</t>
  </si>
  <si>
    <t>Pengze</t>
  </si>
  <si>
    <t>CNPKO</t>
  </si>
  <si>
    <t>Pikou</t>
  </si>
  <si>
    <t>CNPIL</t>
  </si>
  <si>
    <t>Pingle</t>
  </si>
  <si>
    <t>CNPGN</t>
  </si>
  <si>
    <t>Pingnan</t>
  </si>
  <si>
    <t>CNPSH</t>
  </si>
  <si>
    <t>Pingsha</t>
  </si>
  <si>
    <t>CNPXM</t>
  </si>
  <si>
    <t>Pingshaxinmatou</t>
  </si>
  <si>
    <t>CNPGZ</t>
  </si>
  <si>
    <t>Pingzhou</t>
  </si>
  <si>
    <t>CNPJS</t>
  </si>
  <si>
    <t>Pizhou</t>
  </si>
  <si>
    <t>CNPJO</t>
  </si>
  <si>
    <t>Pojiao</t>
  </si>
  <si>
    <t>CNPDG</t>
  </si>
  <si>
    <t>Pudong/Shanghai</t>
  </si>
  <si>
    <t>CNPDX</t>
  </si>
  <si>
    <t>Pudongxinqu Pt</t>
  </si>
  <si>
    <t>CNPQI</t>
  </si>
  <si>
    <t>Puqi</t>
  </si>
  <si>
    <t>CNPQA</t>
  </si>
  <si>
    <t>Puqian</t>
  </si>
  <si>
    <t>CNPUT</t>
  </si>
  <si>
    <t>Putian</t>
  </si>
  <si>
    <t>CNPXI</t>
  </si>
  <si>
    <t>Puxi</t>
  </si>
  <si>
    <t>CNPYG</t>
  </si>
  <si>
    <t>Puyang</t>
  </si>
  <si>
    <t>CNQJO</t>
  </si>
  <si>
    <t>Qiangjiao</t>
  </si>
  <si>
    <t>CNQSN</t>
  </si>
  <si>
    <t>Qianshan/Zhuhai</t>
  </si>
  <si>
    <t>CNQAW</t>
  </si>
  <si>
    <t>Qianwan</t>
  </si>
  <si>
    <t>CNLJQ</t>
  </si>
  <si>
    <t>Qianyu</t>
  </si>
  <si>
    <t>CNQKE</t>
  </si>
  <si>
    <t>Qike</t>
  </si>
  <si>
    <t>CNQMN</t>
  </si>
  <si>
    <t>Qimen</t>
  </si>
  <si>
    <t>CNQDL</t>
  </si>
  <si>
    <t>Qindeli</t>
  </si>
  <si>
    <t>CNQIN</t>
  </si>
  <si>
    <t>Qingdao</t>
  </si>
  <si>
    <t>CNQDG</t>
  </si>
  <si>
    <t>Qingdao Pt</t>
  </si>
  <si>
    <t>CNQGG</t>
  </si>
  <si>
    <t>Qingge</t>
  </si>
  <si>
    <t>CNQIG</t>
  </si>
  <si>
    <t>Qingguji / Shangqiu</t>
  </si>
  <si>
    <t>CNQHE</t>
  </si>
  <si>
    <t>Qinghe</t>
  </si>
  <si>
    <t>CNQJI</t>
  </si>
  <si>
    <t>Qingjiang</t>
  </si>
  <si>
    <t>CNQLN</t>
  </si>
  <si>
    <t>Qinglan Pt</t>
  </si>
  <si>
    <t>CNQGS</t>
  </si>
  <si>
    <t>Qingshi</t>
  </si>
  <si>
    <t>CNQSE</t>
  </si>
  <si>
    <t>Qingshuihe/Shenzhen</t>
  </si>
  <si>
    <t>CNQYA</t>
  </si>
  <si>
    <t>Qingyang</t>
  </si>
  <si>
    <t>CNQGY</t>
  </si>
  <si>
    <t>Qingyuan</t>
  </si>
  <si>
    <t>CNSHP</t>
  </si>
  <si>
    <t>Qinhuangdao Pt</t>
  </si>
  <si>
    <t>CNQJG</t>
  </si>
  <si>
    <t>Qinjiang</t>
  </si>
  <si>
    <t>CNQZH</t>
  </si>
  <si>
    <t>Qinzhou Pt</t>
  </si>
  <si>
    <t>CNSAJ</t>
  </si>
  <si>
    <t>Qinzhoushajing</t>
  </si>
  <si>
    <t>CNQSA</t>
  </si>
  <si>
    <t>Qisha Pt</t>
  </si>
  <si>
    <t>CNQXT</t>
  </si>
  <si>
    <t>Qixingtai</t>
  </si>
  <si>
    <t>CNQZO</t>
  </si>
  <si>
    <t>Qizhou</t>
  </si>
  <si>
    <t>CNQZL</t>
  </si>
  <si>
    <t>Quanzhou</t>
  </si>
  <si>
    <t>CNQZJ</t>
  </si>
  <si>
    <t>Quanzhou Pt</t>
  </si>
  <si>
    <t>CNQKU</t>
  </si>
  <si>
    <t>Qukou</t>
  </si>
  <si>
    <t>CNJDR</t>
  </si>
  <si>
    <t>Quxi</t>
  </si>
  <si>
    <t>CNROH</t>
  </si>
  <si>
    <t>Raohe</t>
  </si>
  <si>
    <t>CNRPG</t>
  </si>
  <si>
    <t>Raoping</t>
  </si>
  <si>
    <t>CNRZH</t>
  </si>
  <si>
    <t>Rizhao Pt</t>
  </si>
  <si>
    <t>CNRGA</t>
  </si>
  <si>
    <t>Rong'an</t>
  </si>
  <si>
    <t>CNRCG</t>
  </si>
  <si>
    <t>Rongcheng</t>
  </si>
  <si>
    <t>CNRCH</t>
  </si>
  <si>
    <t>CNRGC</t>
  </si>
  <si>
    <t>CNRJG</t>
  </si>
  <si>
    <t>Rongjiang</t>
  </si>
  <si>
    <t>CNROQ</t>
  </si>
  <si>
    <t>Rongqi Pt</t>
  </si>
  <si>
    <t>CNRSI</t>
  </si>
  <si>
    <t>Rongshui</t>
  </si>
  <si>
    <t>CNRUG</t>
  </si>
  <si>
    <t>Rugao Pt</t>
  </si>
  <si>
    <t>CNRIA</t>
  </si>
  <si>
    <t>Ruian</t>
  </si>
  <si>
    <t>CNRAG</t>
  </si>
  <si>
    <t>Ruichang</t>
  </si>
  <si>
    <t>CNRJN</t>
  </si>
  <si>
    <t>Runjiang</t>
  </si>
  <si>
    <t>CNWHR</t>
  </si>
  <si>
    <t>Rushan</t>
  </si>
  <si>
    <t>CNRSN</t>
  </si>
  <si>
    <t>Rushankou</t>
  </si>
  <si>
    <t>CNSIQ</t>
  </si>
  <si>
    <t>Saiqi</t>
  </si>
  <si>
    <t>CNSBM</t>
  </si>
  <si>
    <t>Sanbaimen</t>
  </si>
  <si>
    <t>CNSBU</t>
  </si>
  <si>
    <t>Sanbu Pt</t>
  </si>
  <si>
    <t>CNSDP</t>
  </si>
  <si>
    <t>Sandouping</t>
  </si>
  <si>
    <t>CNSAA</t>
  </si>
  <si>
    <t>Sanhua</t>
  </si>
  <si>
    <t>CNSIG</t>
  </si>
  <si>
    <t>Sanjiang</t>
  </si>
  <si>
    <t>CNPTS</t>
  </si>
  <si>
    <t>Sanjiangkou</t>
  </si>
  <si>
    <t>CNSAM</t>
  </si>
  <si>
    <t>Sanming / Shanming Shi</t>
  </si>
  <si>
    <t>CNSRG</t>
  </si>
  <si>
    <t>Sanrong</t>
  </si>
  <si>
    <t>CNSNS</t>
  </si>
  <si>
    <t>Sansha</t>
  </si>
  <si>
    <t>CNNHS</t>
  </si>
  <si>
    <t>Sanshan pt</t>
  </si>
  <si>
    <t>CNSJQ</t>
  </si>
  <si>
    <t>Sanshui</t>
  </si>
  <si>
    <t>CNSYA</t>
  </si>
  <si>
    <t>Sanya Pt</t>
  </si>
  <si>
    <t>CNSNA</t>
  </si>
  <si>
    <t>Sanyang</t>
  </si>
  <si>
    <t>CNSZA</t>
  </si>
  <si>
    <t>Sanzao</t>
  </si>
  <si>
    <t>CNSZO</t>
  </si>
  <si>
    <t>Sanzhou</t>
  </si>
  <si>
    <t>CNNDS</t>
  </si>
  <si>
    <t>Shacheng</t>
  </si>
  <si>
    <t>CNSAT</t>
  </si>
  <si>
    <t>Shadi</t>
  </si>
  <si>
    <t>CNSEZ</t>
  </si>
  <si>
    <t>Shahezi</t>
  </si>
  <si>
    <t>CNSHO</t>
  </si>
  <si>
    <t>Shajiao</t>
  </si>
  <si>
    <t>CNSGH</t>
  </si>
  <si>
    <t>Shanghai</t>
  </si>
  <si>
    <t>CNSHG</t>
  </si>
  <si>
    <t>Shanghai Pt</t>
  </si>
  <si>
    <t>CNSGU</t>
  </si>
  <si>
    <t>Shangyu</t>
  </si>
  <si>
    <t>CNSXJ</t>
  </si>
  <si>
    <t>Shanshan</t>
  </si>
  <si>
    <t>CNSTG</t>
  </si>
  <si>
    <t>Shantou Pt</t>
  </si>
  <si>
    <t>CNSAW</t>
  </si>
  <si>
    <t>Shanwai</t>
  </si>
  <si>
    <t>CNSWE</t>
  </si>
  <si>
    <t>Shanwei Pt</t>
  </si>
  <si>
    <t>CNHSC</t>
  </si>
  <si>
    <t>Shaoguan New Pt</t>
  </si>
  <si>
    <t>CNSPA</t>
  </si>
  <si>
    <t>Shapa</t>
  </si>
  <si>
    <t>CNSAP</t>
  </si>
  <si>
    <t>Shaping</t>
  </si>
  <si>
    <t>CNSSN</t>
  </si>
  <si>
    <t>Shashan</t>
  </si>
  <si>
    <t>CNSSG</t>
  </si>
  <si>
    <t>Shashangang</t>
  </si>
  <si>
    <t>CNSTI</t>
  </si>
  <si>
    <t>Shatian</t>
  </si>
  <si>
    <t>CNSHT</t>
  </si>
  <si>
    <t>Shating</t>
  </si>
  <si>
    <t>CNSYC</t>
  </si>
  <si>
    <t>Shayuchong</t>
  </si>
  <si>
    <t>CNSHK</t>
  </si>
  <si>
    <t>Shekou Pt</t>
  </si>
  <si>
    <t>CNSNH</t>
  </si>
  <si>
    <t>Shenhu</t>
  </si>
  <si>
    <t>CNSQN</t>
  </si>
  <si>
    <t>Shenquan</t>
  </si>
  <si>
    <t>CNSNW</t>
  </si>
  <si>
    <t>Shenwan</t>
  </si>
  <si>
    <t>CNSNZ</t>
  </si>
  <si>
    <t>Shenzhen</t>
  </si>
  <si>
    <t>CNSZP</t>
  </si>
  <si>
    <t>Shenzhen Pt</t>
  </si>
  <si>
    <t>CNSEY</t>
  </si>
  <si>
    <t>Sheyang</t>
  </si>
  <si>
    <t>CNSBH</t>
  </si>
  <si>
    <t>Shibahe</t>
  </si>
  <si>
    <t>CNSHD</t>
  </si>
  <si>
    <t>Shidao Pt</t>
  </si>
  <si>
    <t>CNSIJ</t>
  </si>
  <si>
    <t>Shijing</t>
  </si>
  <si>
    <t>CNSJJ</t>
  </si>
  <si>
    <t>Shijingjiaoxin</t>
  </si>
  <si>
    <t>CNSJO</t>
  </si>
  <si>
    <t>Shijitou</t>
  </si>
  <si>
    <t>CNSJU</t>
  </si>
  <si>
    <t>Shijiu Pt</t>
  </si>
  <si>
    <t>CNSLG</t>
  </si>
  <si>
    <t>Shiliugang</t>
  </si>
  <si>
    <t>CNSLO</t>
  </si>
  <si>
    <t>Shilou</t>
  </si>
  <si>
    <t>CNZSM</t>
  </si>
  <si>
    <t>Shima</t>
  </si>
  <si>
    <t>CNSPI</t>
  </si>
  <si>
    <t>Shipai</t>
  </si>
  <si>
    <t>CNXSP</t>
  </si>
  <si>
    <t>Shipu</t>
  </si>
  <si>
    <t>CNSHQ</t>
  </si>
  <si>
    <t>Shiqi</t>
  </si>
  <si>
    <t>CNPNY</t>
  </si>
  <si>
    <t>Shiqiao</t>
  </si>
  <si>
    <t>CNSIP</t>
  </si>
  <si>
    <t>Shiqu Pt</t>
  </si>
  <si>
    <t>CNSHH</t>
  </si>
  <si>
    <t>Shishi</t>
  </si>
  <si>
    <t>CNSTB</t>
  </si>
  <si>
    <t>Shitoubu Pt</t>
  </si>
  <si>
    <t>CNSAN</t>
  </si>
  <si>
    <t>Shiwan</t>
  </si>
  <si>
    <t>CNSWI</t>
  </si>
  <si>
    <t>Shiwei</t>
  </si>
  <si>
    <t>CNSYG</t>
  </si>
  <si>
    <t>Shiyang</t>
  </si>
  <si>
    <t>CNSIU</t>
  </si>
  <si>
    <t>Shizhu</t>
  </si>
  <si>
    <t>CNSSP</t>
  </si>
  <si>
    <t>Shuangshui</t>
  </si>
  <si>
    <t>CNSDG</t>
  </si>
  <si>
    <t>Shuidong Pt</t>
  </si>
  <si>
    <t>CNSIK</t>
  </si>
  <si>
    <t>Shuikou</t>
  </si>
  <si>
    <t>CNSUD</t>
  </si>
  <si>
    <t>Shunde Pt</t>
  </si>
  <si>
    <t>CNSHL</t>
  </si>
  <si>
    <t>Shuolong</t>
  </si>
  <si>
    <t>CNSJT</t>
  </si>
  <si>
    <t>Sijitun</t>
  </si>
  <si>
    <t>CNSKS</t>
  </si>
  <si>
    <t>Sikuaishi</t>
  </si>
  <si>
    <t>CNSYM</t>
  </si>
  <si>
    <t>Simao</t>
  </si>
  <si>
    <t>CNSOG</t>
  </si>
  <si>
    <t>Songgai</t>
  </si>
  <si>
    <t>CNSGJ</t>
  </si>
  <si>
    <t>Songjiang</t>
  </si>
  <si>
    <t>CNSMN</t>
  </si>
  <si>
    <t>Songmen</t>
  </si>
  <si>
    <t>CNSON</t>
  </si>
  <si>
    <t>Songxia Pt</t>
  </si>
  <si>
    <t>CNSZK</t>
  </si>
  <si>
    <t>Songzikou</t>
  </si>
  <si>
    <t>CNSBN</t>
  </si>
  <si>
    <t>Suibin</t>
  </si>
  <si>
    <t>CNCFF</t>
  </si>
  <si>
    <t>Suidong</t>
  </si>
  <si>
    <t>CNSIZ</t>
  </si>
  <si>
    <t>Suizhong</t>
  </si>
  <si>
    <t>CNSUW</t>
  </si>
  <si>
    <t>Sunwu</t>
  </si>
  <si>
    <t>CNSZH</t>
  </si>
  <si>
    <t>Suzhou</t>
  </si>
  <si>
    <t>CNSZG</t>
  </si>
  <si>
    <t>Suzhou Pt</t>
  </si>
  <si>
    <t>CNTAC</t>
  </si>
  <si>
    <t>Taicang Pt</t>
  </si>
  <si>
    <t>CNTJG</t>
  </si>
  <si>
    <t>Taijiang</t>
  </si>
  <si>
    <t>CNTAP</t>
  </si>
  <si>
    <t>Taiping</t>
  </si>
  <si>
    <t>CNTPK</t>
  </si>
  <si>
    <t>Taipingkou</t>
  </si>
  <si>
    <t>CNTPW</t>
  </si>
  <si>
    <t>Taipingwan</t>
  </si>
  <si>
    <t>CNTIS</t>
  </si>
  <si>
    <t>Taishan</t>
  </si>
  <si>
    <t>CNTZO</t>
  </si>
  <si>
    <t>Taizhou</t>
  </si>
  <si>
    <t>CNTZU</t>
  </si>
  <si>
    <t>Taizhou Pt</t>
  </si>
  <si>
    <t>CNTAZ</t>
  </si>
  <si>
    <t>CNTNO</t>
  </si>
  <si>
    <t>Tanggou</t>
  </si>
  <si>
    <t>CNTGG</t>
  </si>
  <si>
    <t>Tanggu</t>
  </si>
  <si>
    <t>CNTJA</t>
  </si>
  <si>
    <t>Tangjia</t>
  </si>
  <si>
    <t>CNTGS</t>
  </si>
  <si>
    <t>Tangshan Pt</t>
  </si>
  <si>
    <t>CNQNH</t>
  </si>
  <si>
    <t>Tanmen</t>
  </si>
  <si>
    <t>CNYKU</t>
  </si>
  <si>
    <t>Taokou</t>
  </si>
  <si>
    <t>CNTXI</t>
  </si>
  <si>
    <t>Tengxian</t>
  </si>
  <si>
    <t>CNTID</t>
  </si>
  <si>
    <t>Tiandong</t>
  </si>
  <si>
    <t>CNTNJ</t>
  </si>
  <si>
    <t>Tianjin</t>
  </si>
  <si>
    <t>CNTXG</t>
  </si>
  <si>
    <t>Tianjin New Pt</t>
  </si>
  <si>
    <t>CNTNG</t>
  </si>
  <si>
    <t>Tianjin Pt</t>
  </si>
  <si>
    <t>CNTBS</t>
  </si>
  <si>
    <t>Tianjinbaoshuiqu</t>
  </si>
  <si>
    <t>CNTIY</t>
  </si>
  <si>
    <t>Tianyang</t>
  </si>
  <si>
    <t>CNTZE</t>
  </si>
  <si>
    <t>Tianzhen</t>
  </si>
  <si>
    <t>CNBHT</t>
  </si>
  <si>
    <t>Tieshan</t>
  </si>
  <si>
    <t>CNTOH</t>
  </si>
  <si>
    <t>Tonghe</t>
  </si>
  <si>
    <t>CNTOJ</t>
  </si>
  <si>
    <t>Tongjiang</t>
  </si>
  <si>
    <t>CNTOL</t>
  </si>
  <si>
    <t>Tongling Pt</t>
  </si>
  <si>
    <t>CNTXZ</t>
  </si>
  <si>
    <t>Tongxiang</t>
  </si>
  <si>
    <t>CNTOX</t>
  </si>
  <si>
    <t>Tongxing</t>
  </si>
  <si>
    <t>CNTOZ</t>
  </si>
  <si>
    <t>Tongzhao</t>
  </si>
  <si>
    <t>CNTFG</t>
  </si>
  <si>
    <t>Tuanfeng</t>
  </si>
  <si>
    <t>CNTJD</t>
  </si>
  <si>
    <t>Tuojidao</t>
  </si>
  <si>
    <t>CNTQO</t>
  </si>
  <si>
    <t>Tuqiao</t>
  </si>
  <si>
    <t>CNWIG</t>
  </si>
  <si>
    <t>Waigang</t>
  </si>
  <si>
    <t>CNWGQ</t>
  </si>
  <si>
    <t>Waigaoqiao Pt</t>
  </si>
  <si>
    <t>CNWIH</t>
  </si>
  <si>
    <t>Waihai</t>
  </si>
  <si>
    <t>CNWJG</t>
  </si>
  <si>
    <t>Wangjiang</t>
  </si>
  <si>
    <t>CNWAS</t>
  </si>
  <si>
    <t>Wanshan Pt</t>
  </si>
  <si>
    <t>CNWAX</t>
  </si>
  <si>
    <t>Wanxian</t>
  </si>
  <si>
    <t>CNWAZ</t>
  </si>
  <si>
    <t>Wanzai</t>
  </si>
  <si>
    <t>CNWZH</t>
  </si>
  <si>
    <t>Wanzhou</t>
  </si>
  <si>
    <t>CNWEF</t>
  </si>
  <si>
    <t>Weifang Pt</t>
  </si>
  <si>
    <t>CNWEI</t>
  </si>
  <si>
    <t>Weihai</t>
  </si>
  <si>
    <t>CNWEH</t>
  </si>
  <si>
    <t>Weihai Dashuipo Apt</t>
  </si>
  <si>
    <t>CNWEG</t>
  </si>
  <si>
    <t>Weihai Pt</t>
  </si>
  <si>
    <t>CNWIT</t>
  </si>
  <si>
    <t>Weitou</t>
  </si>
  <si>
    <t>CNWYK</t>
  </si>
  <si>
    <t>Weiyuankou</t>
  </si>
  <si>
    <t>CNWSH</t>
  </si>
  <si>
    <t>Wenshan</t>
  </si>
  <si>
    <t>CNWZO</t>
  </si>
  <si>
    <t>Wenzhou Pt</t>
  </si>
  <si>
    <t>CNWHU</t>
  </si>
  <si>
    <t>Wuchuan</t>
  </si>
  <si>
    <t>CNNHN</t>
  </si>
  <si>
    <t>Wuhan</t>
  </si>
  <si>
    <t>CNWHG</t>
  </si>
  <si>
    <t>Wuhan Pt</t>
  </si>
  <si>
    <t>CNWHE</t>
  </si>
  <si>
    <t>Wuhe</t>
  </si>
  <si>
    <t>CNWHI</t>
  </si>
  <si>
    <t>Wuhu Pt</t>
  </si>
  <si>
    <t>CNWJI</t>
  </si>
  <si>
    <t>Wujin</t>
  </si>
  <si>
    <t>CNWUK</t>
  </si>
  <si>
    <t>Wukan</t>
  </si>
  <si>
    <t>CNWSA</t>
  </si>
  <si>
    <t>Wusha</t>
  </si>
  <si>
    <t>CNWSN</t>
  </si>
  <si>
    <t>Wushan</t>
  </si>
  <si>
    <t>CNWUG</t>
  </si>
  <si>
    <t>Wusong Pt</t>
  </si>
  <si>
    <t>CNWXS</t>
  </si>
  <si>
    <t>Wuxi</t>
  </si>
  <si>
    <t>CNWXA</t>
  </si>
  <si>
    <t>Wuxuan</t>
  </si>
  <si>
    <t>CNWXP</t>
  </si>
  <si>
    <t>Wuxue Pt</t>
  </si>
  <si>
    <t>CNWYP</t>
  </si>
  <si>
    <t>Wuyapao</t>
  </si>
  <si>
    <t>CNWUZ</t>
  </si>
  <si>
    <t>Wuzhou Pt</t>
  </si>
  <si>
    <t>CNXDJ</t>
  </si>
  <si>
    <t>Xiadaiji</t>
  </si>
  <si>
    <t>CNXIH</t>
  </si>
  <si>
    <t>Xiahai</t>
  </si>
  <si>
    <t>CNXUA</t>
  </si>
  <si>
    <t>Xiahua</t>
  </si>
  <si>
    <t>CNFQX</t>
  </si>
  <si>
    <t>Xialong</t>
  </si>
  <si>
    <t>CNXAM</t>
  </si>
  <si>
    <t>Xiamen</t>
  </si>
  <si>
    <t>CNXMH</t>
  </si>
  <si>
    <t>Xiamen Haicang</t>
  </si>
  <si>
    <t>CNXMG</t>
  </si>
  <si>
    <t>Xiamen Pt</t>
  </si>
  <si>
    <t>CNXIA</t>
  </si>
  <si>
    <t>Xian</t>
  </si>
  <si>
    <t>CNXGK</t>
  </si>
  <si>
    <t>Xiangkou</t>
  </si>
  <si>
    <t>CNXSI</t>
  </si>
  <si>
    <t>Xiangshui</t>
  </si>
  <si>
    <t>CNXTA</t>
  </si>
  <si>
    <t>Xiangtan</t>
  </si>
  <si>
    <t>CNXAG</t>
  </si>
  <si>
    <t>Xianguojilugang</t>
  </si>
  <si>
    <t>CNXXY</t>
  </si>
  <si>
    <t>Xiangyu Terminal/ Xiamen</t>
  </si>
  <si>
    <t>CNXZI</t>
  </si>
  <si>
    <t>Xiangzhi</t>
  </si>
  <si>
    <t>CNXGZ</t>
  </si>
  <si>
    <t>Xiangzhou</t>
  </si>
  <si>
    <t>CNXZU</t>
  </si>
  <si>
    <t>CNXNG</t>
  </si>
  <si>
    <t>Xianing</t>
  </si>
  <si>
    <t>CNXTN</t>
  </si>
  <si>
    <t>Xiantan</t>
  </si>
  <si>
    <t>CNXCI</t>
  </si>
  <si>
    <t>Xiaochi</t>
  </si>
  <si>
    <t>CNXCU</t>
  </si>
  <si>
    <t>Xiaocuo Pt</t>
  </si>
  <si>
    <t>CNXHO</t>
  </si>
  <si>
    <t>Xiaohudao</t>
  </si>
  <si>
    <t>CNXJB</t>
  </si>
  <si>
    <t>Xiaojiangba</t>
  </si>
  <si>
    <t>CNXAO</t>
  </si>
  <si>
    <t>Xiaolan</t>
  </si>
  <si>
    <t>CNXOT</t>
  </si>
  <si>
    <t>Xiaotang</t>
  </si>
  <si>
    <t>CNXAS</t>
  </si>
  <si>
    <t>Xiashan</t>
  </si>
  <si>
    <t>CNXYN</t>
  </si>
  <si>
    <t>Xiaying</t>
  </si>
  <si>
    <t>CNZXZ</t>
  </si>
  <si>
    <t>Xiazhai</t>
  </si>
  <si>
    <t>CNXCG</t>
  </si>
  <si>
    <t>Xichong Pt</t>
  </si>
  <si>
    <t>CNXTI</t>
  </si>
  <si>
    <t>Xidi</t>
  </si>
  <si>
    <t>CNXEX</t>
  </si>
  <si>
    <t>Xiexu</t>
  </si>
  <si>
    <t>CNXIJ</t>
  </si>
  <si>
    <t>Xijiang</t>
  </si>
  <si>
    <t>CNXLS</t>
  </si>
  <si>
    <t>Xiliangshan</t>
  </si>
  <si>
    <t>CNXHT</t>
  </si>
  <si>
    <t>Xilin Hot</t>
  </si>
  <si>
    <t>CNSHX</t>
  </si>
  <si>
    <t>Xinan</t>
  </si>
  <si>
    <t>CNLSX</t>
  </si>
  <si>
    <t>Xincun</t>
  </si>
  <si>
    <t>CNXID</t>
  </si>
  <si>
    <t>Xindi</t>
  </si>
  <si>
    <t>CNXDI</t>
  </si>
  <si>
    <t>Xindian</t>
  </si>
  <si>
    <t>CNXDU</t>
  </si>
  <si>
    <t>Xindu</t>
  </si>
  <si>
    <t>CNXIP</t>
  </si>
  <si>
    <t>Xingang</t>
  </si>
  <si>
    <t>CNXGA</t>
  </si>
  <si>
    <t>CNXCE</t>
  </si>
  <si>
    <t>Xingcheng</t>
  </si>
  <si>
    <t>CNXGD</t>
  </si>
  <si>
    <t>Xingdong</t>
  </si>
  <si>
    <t>CNXHK</t>
  </si>
  <si>
    <t>Xinhekou</t>
  </si>
  <si>
    <t>CNDMX</t>
  </si>
  <si>
    <t>Xinhuan</t>
  </si>
  <si>
    <t>CNXIN</t>
  </si>
  <si>
    <t>Xinhui Pt</t>
  </si>
  <si>
    <t>CNXIK</t>
  </si>
  <si>
    <t>Xinkai</t>
  </si>
  <si>
    <t>CNXNA</t>
  </si>
  <si>
    <t>Xinsha</t>
  </si>
  <si>
    <t>CNXIT</t>
  </si>
  <si>
    <t>Xintang Pt</t>
  </si>
  <si>
    <t>CNXNI</t>
  </si>
  <si>
    <t>Xinxing</t>
  </si>
  <si>
    <t>CNCNX</t>
  </si>
  <si>
    <t>Xinxu</t>
  </si>
  <si>
    <t>CNING</t>
  </si>
  <si>
    <t>Xinyang</t>
  </si>
  <si>
    <t>CNXYI</t>
  </si>
  <si>
    <t>Xinying</t>
  </si>
  <si>
    <t>CNXTO</t>
  </si>
  <si>
    <t>Xitou</t>
  </si>
  <si>
    <t>CNXUL</t>
  </si>
  <si>
    <t>Xiulin</t>
  </si>
  <si>
    <t>CNXYG</t>
  </si>
  <si>
    <t>Xiuyu Pt</t>
  </si>
  <si>
    <t>CNXUM</t>
  </si>
  <si>
    <t>Xuanmen</t>
  </si>
  <si>
    <t>CNXEO</t>
  </si>
  <si>
    <t>Xueao</t>
  </si>
  <si>
    <t>CNXJD</t>
  </si>
  <si>
    <t>Xuejiadao</t>
  </si>
  <si>
    <t>CNXTZ</t>
  </si>
  <si>
    <t>Xuetangzhou</t>
  </si>
  <si>
    <t>CNXUK</t>
  </si>
  <si>
    <t>Xunke</t>
  </si>
  <si>
    <t>CNYBG</t>
  </si>
  <si>
    <t>Yabagou</t>
  </si>
  <si>
    <t>CNYJC</t>
  </si>
  <si>
    <t>Yangjiachang</t>
  </si>
  <si>
    <t>CNYJI</t>
  </si>
  <si>
    <t>Yangjiang Pt</t>
  </si>
  <si>
    <t>CNYGK</t>
  </si>
  <si>
    <t>Yangkou</t>
  </si>
  <si>
    <t>CNYLI</t>
  </si>
  <si>
    <t>Yangli</t>
  </si>
  <si>
    <t>CNYMD</t>
  </si>
  <si>
    <t>Yangmadao</t>
  </si>
  <si>
    <t>CNYPE</t>
  </si>
  <si>
    <t>Yangpeng</t>
  </si>
  <si>
    <t>CNYPG</t>
  </si>
  <si>
    <t>Yangpu Pt</t>
  </si>
  <si>
    <t>Yangshan</t>
  </si>
  <si>
    <t>CNYSN</t>
  </si>
  <si>
    <t>CNYSA</t>
  </si>
  <si>
    <t>Yangshan Pt</t>
  </si>
  <si>
    <t>CNYSO</t>
  </si>
  <si>
    <t>Yangshuo</t>
  </si>
  <si>
    <t>CNYGX</t>
  </si>
  <si>
    <t>Yangxi</t>
  </si>
  <si>
    <t>CNYXT</t>
  </si>
  <si>
    <t>Yangxifengtou</t>
  </si>
  <si>
    <t>CNYNG</t>
  </si>
  <si>
    <t>Yangzhong</t>
  </si>
  <si>
    <t>CNYZH</t>
  </si>
  <si>
    <t>Yangzhou Pt</t>
  </si>
  <si>
    <t>CNYJA</t>
  </si>
  <si>
    <t>Yanjia</t>
  </si>
  <si>
    <t>CNYAT</t>
  </si>
  <si>
    <t>Yantai</t>
  </si>
  <si>
    <t>CNYTG</t>
  </si>
  <si>
    <t>Yantai Pt</t>
  </si>
  <si>
    <t>CNYTN</t>
  </si>
  <si>
    <t>Yantian Pt</t>
  </si>
  <si>
    <t>CNYGO</t>
  </si>
  <si>
    <t>Yaogou</t>
  </si>
  <si>
    <t>CNYJP</t>
  </si>
  <si>
    <t>Yaojia Pt</t>
  </si>
  <si>
    <t>CNYIB</t>
  </si>
  <si>
    <t>Yibin</t>
  </si>
  <si>
    <t>CNYCG</t>
  </si>
  <si>
    <t>Yichang Pt</t>
  </si>
  <si>
    <t>CNYCA</t>
  </si>
  <si>
    <t>Yingchuan</t>
  </si>
  <si>
    <t>CNYGD</t>
  </si>
  <si>
    <t>Yingde</t>
  </si>
  <si>
    <t>CNYIK</t>
  </si>
  <si>
    <t>Yingkou Pt</t>
  </si>
  <si>
    <t>CNLJY</t>
  </si>
  <si>
    <t>Yingzai</t>
  </si>
  <si>
    <t>CNYXS</t>
  </si>
  <si>
    <t>Yixing</t>
  </si>
  <si>
    <t>CNYIZ</t>
  </si>
  <si>
    <t>Yizheng</t>
  </si>
  <si>
    <t>CNYGN</t>
  </si>
  <si>
    <t>Yongan</t>
  </si>
  <si>
    <t>CNYFU</t>
  </si>
  <si>
    <t>Yongfu</t>
  </si>
  <si>
    <t>CNYLO</t>
  </si>
  <si>
    <t>Yonglong</t>
  </si>
  <si>
    <t>CNYNN</t>
  </si>
  <si>
    <t>Yongning</t>
  </si>
  <si>
    <t>CNYTI</t>
  </si>
  <si>
    <t>Yongtai</t>
  </si>
  <si>
    <t>CNYSH</t>
  </si>
  <si>
    <t>Yuanshi</t>
  </si>
  <si>
    <t>CNYHG</t>
  </si>
  <si>
    <t>Yuecheng</t>
  </si>
  <si>
    <t>CNYLA</t>
  </si>
  <si>
    <t>Yuelai</t>
  </si>
  <si>
    <t>CNYYA</t>
  </si>
  <si>
    <t>Yueyang</t>
  </si>
  <si>
    <t>CNYUH</t>
  </si>
  <si>
    <t>Yuhuan</t>
  </si>
  <si>
    <t>CNYYP</t>
  </si>
  <si>
    <t>Yuyue Pt</t>
  </si>
  <si>
    <t>CNYZU</t>
  </si>
  <si>
    <t>Yuzhu</t>
  </si>
  <si>
    <t>CNZAG</t>
  </si>
  <si>
    <t>Zhanghu</t>
  </si>
  <si>
    <t>CNZJB</t>
  </si>
  <si>
    <t>Zhangjiabian</t>
  </si>
  <si>
    <t>CNWHZ</t>
  </si>
  <si>
    <t>Zhangjiabu</t>
  </si>
  <si>
    <t>CNZJG</t>
  </si>
  <si>
    <t>Zhangjiagang</t>
  </si>
  <si>
    <t>CNZGS</t>
  </si>
  <si>
    <t>Zhangshan</t>
  </si>
  <si>
    <t>CNZGW</t>
  </si>
  <si>
    <t>Zhangwan</t>
  </si>
  <si>
    <t>CNZZU</t>
  </si>
  <si>
    <t>Zhangzhou Pt</t>
  </si>
  <si>
    <t>CNZNG</t>
  </si>
  <si>
    <t>Zhanjiang Pt</t>
  </si>
  <si>
    <t>CNZDO</t>
  </si>
  <si>
    <t>Zhaodong</t>
  </si>
  <si>
    <t>CNZHG</t>
  </si>
  <si>
    <t>Zhaogang</t>
  </si>
  <si>
    <t>CNZPI</t>
  </si>
  <si>
    <t>Zhaoping</t>
  </si>
  <si>
    <t>CNZQG</t>
  </si>
  <si>
    <t>Zhaoqing Pt</t>
  </si>
  <si>
    <t>CNZHY</t>
  </si>
  <si>
    <t>Zhaoyuan</t>
  </si>
  <si>
    <t>CNZPO</t>
  </si>
  <si>
    <t>Zhapo</t>
  </si>
  <si>
    <t>CNZPK</t>
  </si>
  <si>
    <t>Zhapoyouku</t>
  </si>
  <si>
    <t>CNZPU</t>
  </si>
  <si>
    <t>Zhapu Pt</t>
  </si>
  <si>
    <t>CNZEL</t>
  </si>
  <si>
    <t>Zhelin</t>
  </si>
  <si>
    <t>CNZHI</t>
  </si>
  <si>
    <t>Zhenhai Pt</t>
  </si>
  <si>
    <t>CNZHE</t>
  </si>
  <si>
    <t>Zhenjiang Pt</t>
  </si>
  <si>
    <t>CNZXI</t>
  </si>
  <si>
    <t>Zhexiang</t>
  </si>
  <si>
    <t>CNZCG</t>
  </si>
  <si>
    <t>Zhicheng</t>
  </si>
  <si>
    <t>CNZSN</t>
  </si>
  <si>
    <t>Zhongshan Pt</t>
  </si>
  <si>
    <t>CNZGT</t>
  </si>
  <si>
    <t>Zhongtang</t>
  </si>
  <si>
    <t>CNZXN</t>
  </si>
  <si>
    <t>Zhongxian</t>
  </si>
  <si>
    <t>CNZQJ</t>
  </si>
  <si>
    <t>Zhouqujia</t>
  </si>
  <si>
    <t>CNZOS</t>
  </si>
  <si>
    <t>Zhoushan Pt</t>
  </si>
  <si>
    <t>CNZZG</t>
  </si>
  <si>
    <t>Zhouzhuang</t>
  </si>
  <si>
    <t>CNZHH</t>
  </si>
  <si>
    <t>Zhuanghe Pt</t>
  </si>
  <si>
    <t>CNZYO</t>
  </si>
  <si>
    <t>Zhuangyuanao</t>
  </si>
  <si>
    <t>CNZUH</t>
  </si>
  <si>
    <t>Zhuhai Pt</t>
  </si>
  <si>
    <t>CNZLO</t>
  </si>
  <si>
    <t>Zhuliao</t>
  </si>
  <si>
    <t>CNZUS</t>
  </si>
  <si>
    <t>Zhushan</t>
  </si>
  <si>
    <t>CNZUY</t>
  </si>
  <si>
    <t>Zhuyang</t>
  </si>
  <si>
    <t>CNZIY</t>
  </si>
  <si>
    <t>Ziyuan Pt</t>
  </si>
  <si>
    <t>CNZYG</t>
  </si>
  <si>
    <t>Zongyang</t>
  </si>
  <si>
    <t>COACM</t>
  </si>
  <si>
    <t>COBAL</t>
  </si>
  <si>
    <t>Balboa</t>
  </si>
  <si>
    <t>COEJA</t>
  </si>
  <si>
    <t>Barrancabermeja</t>
  </si>
  <si>
    <t>COBAQ</t>
  </si>
  <si>
    <t>Barranquilla</t>
  </si>
  <si>
    <t>COBUN</t>
  </si>
  <si>
    <t>Buenaventura</t>
  </si>
  <si>
    <t>COCTG</t>
  </si>
  <si>
    <t>Cartagena</t>
  </si>
  <si>
    <t>COCRC</t>
  </si>
  <si>
    <t>Cartago</t>
  </si>
  <si>
    <t>COCOV</t>
  </si>
  <si>
    <t>COEBQ</t>
  </si>
  <si>
    <t>El Bosque</t>
  </si>
  <si>
    <t>COENV</t>
  </si>
  <si>
    <t>Envigado</t>
  </si>
  <si>
    <t>COLET</t>
  </si>
  <si>
    <t>Leticia</t>
  </si>
  <si>
    <t>COMAM</t>
  </si>
  <si>
    <t>Mamonal</t>
  </si>
  <si>
    <t>COMAU</t>
  </si>
  <si>
    <t>Manaure</t>
  </si>
  <si>
    <t>COPOC</t>
  </si>
  <si>
    <t>Pozos Colorados</t>
  </si>
  <si>
    <t>COPUU</t>
  </si>
  <si>
    <t>COPBE</t>
  </si>
  <si>
    <t>Puerto Berrio</t>
  </si>
  <si>
    <t>COPBO</t>
  </si>
  <si>
    <t>COPYA</t>
  </si>
  <si>
    <t>Puerto Boyaca</t>
  </si>
  <si>
    <t>COPCR</t>
  </si>
  <si>
    <t>COPUC</t>
  </si>
  <si>
    <t>Puerto Colombia</t>
  </si>
  <si>
    <t>COPNM</t>
  </si>
  <si>
    <t>COPUL</t>
  </si>
  <si>
    <t>CORCO</t>
  </si>
  <si>
    <t>Rio Cordoba</t>
  </si>
  <si>
    <t>CORCH</t>
  </si>
  <si>
    <t>Riohacha</t>
  </si>
  <si>
    <t>COSMR</t>
  </si>
  <si>
    <t>Santa Marta</t>
  </si>
  <si>
    <t>COPSB</t>
  </si>
  <si>
    <t>Simon Bolivar</t>
  </si>
  <si>
    <t>COTLU</t>
  </si>
  <si>
    <t>COTCO</t>
  </si>
  <si>
    <t>Tumaco</t>
  </si>
  <si>
    <t>COTRB</t>
  </si>
  <si>
    <t>Turbo</t>
  </si>
  <si>
    <t>COYMB</t>
  </si>
  <si>
    <t>Yumbo</t>
  </si>
  <si>
    <t>CRABG</t>
  </si>
  <si>
    <t>Abangares</t>
  </si>
  <si>
    <t>CRBAT</t>
  </si>
  <si>
    <t>Batan</t>
  </si>
  <si>
    <t>CRCAB</t>
  </si>
  <si>
    <t>Cabo Blanco</t>
  </si>
  <si>
    <t>CRCAI</t>
  </si>
  <si>
    <t>Caimital</t>
  </si>
  <si>
    <t>CRCAL</t>
  </si>
  <si>
    <t>CRCOM</t>
  </si>
  <si>
    <t>Chomes</t>
  </si>
  <si>
    <t>CRCIR</t>
  </si>
  <si>
    <t>Ciruelas</t>
  </si>
  <si>
    <t>CRCYL</t>
  </si>
  <si>
    <t>Coyol</t>
  </si>
  <si>
    <t>CRCRR</t>
  </si>
  <si>
    <t>Curridabat</t>
  </si>
  <si>
    <t>CRCUT</t>
  </si>
  <si>
    <t>Cutris</t>
  </si>
  <si>
    <t>CRFIL</t>
  </si>
  <si>
    <t>Filadelfia</t>
  </si>
  <si>
    <t>CRFPN</t>
  </si>
  <si>
    <t>Fraijanes</t>
  </si>
  <si>
    <t>CRGLF</t>
  </si>
  <si>
    <t>Golfito</t>
  </si>
  <si>
    <t>CRGDP</t>
  </si>
  <si>
    <t>Golfo de Papagayo</t>
  </si>
  <si>
    <t>CRGDA</t>
  </si>
  <si>
    <t>Guardia</t>
  </si>
  <si>
    <t>CRGUA</t>
  </si>
  <si>
    <t>Guatuso</t>
  </si>
  <si>
    <t>CRHSA</t>
  </si>
  <si>
    <t>Horluetas/Sarapiqui</t>
  </si>
  <si>
    <t>CRJIC</t>
  </si>
  <si>
    <t>Jicaral</t>
  </si>
  <si>
    <t>CRLAF</t>
  </si>
  <si>
    <t>La Fortuna</t>
  </si>
  <si>
    <t>CRTIG</t>
  </si>
  <si>
    <t>La Tigra</t>
  </si>
  <si>
    <t>CRMAT</t>
  </si>
  <si>
    <t>Matina</t>
  </si>
  <si>
    <t>CRMOB</t>
  </si>
  <si>
    <t>CRCTC</t>
  </si>
  <si>
    <t>Moravia</t>
  </si>
  <si>
    <t>CRMUE</t>
  </si>
  <si>
    <t>Muelle de San Carlos</t>
  </si>
  <si>
    <t>CRNAN</t>
  </si>
  <si>
    <t>Nandayure</t>
  </si>
  <si>
    <t>CRNAR</t>
  </si>
  <si>
    <t>Naranjo</t>
  </si>
  <si>
    <t>CRCDN</t>
  </si>
  <si>
    <t>Neily</t>
  </si>
  <si>
    <t>CRORO</t>
  </si>
  <si>
    <t>Orotina</t>
  </si>
  <si>
    <t>CRPAN</t>
  </si>
  <si>
    <t>Palmar Norte</t>
  </si>
  <si>
    <t>CRPAR</t>
  </si>
  <si>
    <t>Parrita</t>
  </si>
  <si>
    <t>CRPEN</t>
  </si>
  <si>
    <t>Penshurst</t>
  </si>
  <si>
    <t>CRPIT</t>
  </si>
  <si>
    <t>Pital</t>
  </si>
  <si>
    <t>CRPOA</t>
  </si>
  <si>
    <t>Poas</t>
  </si>
  <si>
    <t>CRPTC</t>
  </si>
  <si>
    <t>Puerto Caldera</t>
  </si>
  <si>
    <t>CRLIO</t>
  </si>
  <si>
    <t>CRPMN</t>
  </si>
  <si>
    <t>Puerto Moin</t>
  </si>
  <si>
    <t>CRVDT</t>
  </si>
  <si>
    <t>Puerto Viejo</t>
  </si>
  <si>
    <t>CRPUM</t>
  </si>
  <si>
    <t>Punta Morales</t>
  </si>
  <si>
    <t>CRPAS</t>
  </si>
  <si>
    <t>Puntarenas</t>
  </si>
  <si>
    <t>CRQGG</t>
  </si>
  <si>
    <t>Quebrada Grande</t>
  </si>
  <si>
    <t>CRXQP</t>
  </si>
  <si>
    <t>Quepos (Puerto Quepos)</t>
  </si>
  <si>
    <t>CRRCD</t>
  </si>
  <si>
    <t>CRRIO</t>
  </si>
  <si>
    <t>CRRJI</t>
  </si>
  <si>
    <t>Rio Jimenez</t>
  </si>
  <si>
    <t>CRROX</t>
  </si>
  <si>
    <t>Roxana</t>
  </si>
  <si>
    <t>CRSAM</t>
  </si>
  <si>
    <t>CRSAB</t>
  </si>
  <si>
    <t>CRSAN</t>
  </si>
  <si>
    <t>San Ignacio de Acosta</t>
  </si>
  <si>
    <t>CRSJO</t>
  </si>
  <si>
    <t>CRMTZ</t>
  </si>
  <si>
    <t>San Marcos de Tarrazu</t>
  </si>
  <si>
    <t>CRSSP</t>
  </si>
  <si>
    <t>San Pedro de Poas</t>
  </si>
  <si>
    <t>CRSRG</t>
  </si>
  <si>
    <t>San Rafael Guatuso</t>
  </si>
  <si>
    <t>CRSMP</t>
  </si>
  <si>
    <t>Santa Maria/Pocosol</t>
  </si>
  <si>
    <t>CRSRP</t>
  </si>
  <si>
    <t>Santa Rosa/Pocosol</t>
  </si>
  <si>
    <t>CRSPI</t>
  </si>
  <si>
    <t>CRSRI</t>
  </si>
  <si>
    <t>CRSIX</t>
  </si>
  <si>
    <t>Sixaola/Talamanca</t>
  </si>
  <si>
    <t>CRTRE</t>
  </si>
  <si>
    <t>CRTUA</t>
  </si>
  <si>
    <t>Turrubares</t>
  </si>
  <si>
    <t>CRZAR</t>
  </si>
  <si>
    <t>Zarcero / Naranjo</t>
  </si>
  <si>
    <t>CUBHO</t>
  </si>
  <si>
    <t>CUBAN</t>
  </si>
  <si>
    <t>Banes</t>
  </si>
  <si>
    <t>CUBCA</t>
  </si>
  <si>
    <t>Baracoa</t>
  </si>
  <si>
    <t>CUBOG</t>
  </si>
  <si>
    <t>Boca Grande</t>
  </si>
  <si>
    <t>CUBUF</t>
  </si>
  <si>
    <t>Bufadero</t>
  </si>
  <si>
    <t>CUCAB</t>
  </si>
  <si>
    <t>CUCAI</t>
  </si>
  <si>
    <t>CUCMW</t>
  </si>
  <si>
    <t>CUCAR</t>
  </si>
  <si>
    <t>CUCAS</t>
  </si>
  <si>
    <t>Casilda</t>
  </si>
  <si>
    <t>CUCEI</t>
  </si>
  <si>
    <t>Ceiba Hueca</t>
  </si>
  <si>
    <t>CUCFG</t>
  </si>
  <si>
    <t>Cienfuegos</t>
  </si>
  <si>
    <t>CUQCO</t>
  </si>
  <si>
    <t>Colon</t>
  </si>
  <si>
    <t>CUGIB</t>
  </si>
  <si>
    <t>Gibara</t>
  </si>
  <si>
    <t>CUGUB</t>
  </si>
  <si>
    <t>Guantanamo Bay</t>
  </si>
  <si>
    <t>CUGYB</t>
  </si>
  <si>
    <t>Guayabal</t>
  </si>
  <si>
    <t>CUIDS</t>
  </si>
  <si>
    <t>Isabela de Sagua</t>
  </si>
  <si>
    <t>CUJUC</t>
  </si>
  <si>
    <t>CUHAV</t>
  </si>
  <si>
    <t>La Habana</t>
  </si>
  <si>
    <t>CUMZO</t>
  </si>
  <si>
    <t>Manzanillo</t>
  </si>
  <si>
    <t>CUMAR</t>
  </si>
  <si>
    <t>Mariel</t>
  </si>
  <si>
    <t>CUQMA</t>
  </si>
  <si>
    <t>Matanzas</t>
  </si>
  <si>
    <t>CUMEL</t>
  </si>
  <si>
    <t>Media Luna</t>
  </si>
  <si>
    <t>CUICR</t>
  </si>
  <si>
    <t>Nicaro</t>
  </si>
  <si>
    <t>CUNIQ</t>
  </si>
  <si>
    <t>Niquero</t>
  </si>
  <si>
    <t>CUGER</t>
  </si>
  <si>
    <t>Nueva Gerona</t>
  </si>
  <si>
    <t>CUNVT</t>
  </si>
  <si>
    <t>Nuevitas</t>
  </si>
  <si>
    <t>CUPAL</t>
  </si>
  <si>
    <t>Palo Alto</t>
  </si>
  <si>
    <t>CUVIT</t>
  </si>
  <si>
    <t>Puerto da Vita</t>
  </si>
  <si>
    <t>CUPAS</t>
  </si>
  <si>
    <t>Puerto de Pastelillo</t>
  </si>
  <si>
    <t>CUMNT</t>
  </si>
  <si>
    <t>CUPPA</t>
  </si>
  <si>
    <t>Puerto Padre</t>
  </si>
  <si>
    <t>CUPTA</t>
  </si>
  <si>
    <t>Puerto Tarafa</t>
  </si>
  <si>
    <t>CUSDT</t>
  </si>
  <si>
    <t>CURSL</t>
  </si>
  <si>
    <t>Sagua la Grande</t>
  </si>
  <si>
    <t>CUSNU</t>
  </si>
  <si>
    <t>Santa Clara</t>
  </si>
  <si>
    <t>CUSCS</t>
  </si>
  <si>
    <t>Santa Cruz del Sur</t>
  </si>
  <si>
    <t>CUSCU</t>
  </si>
  <si>
    <t>Santiago de Cuba</t>
  </si>
  <si>
    <t>CUTDZ</t>
  </si>
  <si>
    <t>Tunas de Zaza</t>
  </si>
  <si>
    <t>CVMIN</t>
  </si>
  <si>
    <t>Mindelo</t>
  </si>
  <si>
    <t>CVGRA</t>
  </si>
  <si>
    <t>Porto Grande</t>
  </si>
  <si>
    <t>CVRAI</t>
  </si>
  <si>
    <t>Praia</t>
  </si>
  <si>
    <t>CVVXE</t>
  </si>
  <si>
    <t>Sao Vicente</t>
  </si>
  <si>
    <t>CWBUB</t>
  </si>
  <si>
    <t>Bullenbaai</t>
  </si>
  <si>
    <t>CWCRB</t>
  </si>
  <si>
    <t>Caracas Baai</t>
  </si>
  <si>
    <t>CWCUR</t>
  </si>
  <si>
    <t>Curaçao</t>
  </si>
  <si>
    <t>CWFUI</t>
  </si>
  <si>
    <t>Fuikbaai</t>
  </si>
  <si>
    <t>CWSMB</t>
  </si>
  <si>
    <t>Sint Michielsbaai</t>
  </si>
  <si>
    <t>CWWIL</t>
  </si>
  <si>
    <t>Willemstad</t>
  </si>
  <si>
    <t>CXFFC</t>
  </si>
  <si>
    <t>Flying Fish Cove</t>
  </si>
  <si>
    <t>CYAKT</t>
  </si>
  <si>
    <t>Akrotiri</t>
  </si>
  <si>
    <t>CYDHK</t>
  </si>
  <si>
    <t>Dhekelia</t>
  </si>
  <si>
    <t>CYFMG</t>
  </si>
  <si>
    <t>Famagusta</t>
  </si>
  <si>
    <t>CYKAR</t>
  </si>
  <si>
    <t>Karavostasi</t>
  </si>
  <si>
    <t>CYKYR</t>
  </si>
  <si>
    <t>Kyrenia</t>
  </si>
  <si>
    <t>CYLCA</t>
  </si>
  <si>
    <t>Larnaca</t>
  </si>
  <si>
    <t>CYLAT</t>
  </si>
  <si>
    <t>Latchi</t>
  </si>
  <si>
    <t>CYLMS</t>
  </si>
  <si>
    <t>Limassol</t>
  </si>
  <si>
    <t>CYNIC</t>
  </si>
  <si>
    <t>Nicosia</t>
  </si>
  <si>
    <t>CYPFO</t>
  </si>
  <si>
    <t>Paphos</t>
  </si>
  <si>
    <t>CYVAS</t>
  </si>
  <si>
    <t>Vasilikos</t>
  </si>
  <si>
    <t>CZBBC</t>
  </si>
  <si>
    <t>Babice</t>
  </si>
  <si>
    <t>CZBAR</t>
  </si>
  <si>
    <t>Bartosovice</t>
  </si>
  <si>
    <t>CZBLN</t>
  </si>
  <si>
    <t>CZTNN</t>
  </si>
  <si>
    <t>Blatna</t>
  </si>
  <si>
    <t>CZBDC</t>
  </si>
  <si>
    <t>Bohdalice</t>
  </si>
  <si>
    <t>CZBOL</t>
  </si>
  <si>
    <t>Bolatice</t>
  </si>
  <si>
    <t>CZBTC</t>
  </si>
  <si>
    <t>Boretice</t>
  </si>
  <si>
    <t>CZBUB</t>
  </si>
  <si>
    <t>Bubovice</t>
  </si>
  <si>
    <t>CZBYS</t>
  </si>
  <si>
    <t>Bysice</t>
  </si>
  <si>
    <t>CZCEP</t>
  </si>
  <si>
    <t>Cepi</t>
  </si>
  <si>
    <t>CZC7V</t>
  </si>
  <si>
    <t>CZCEV</t>
  </si>
  <si>
    <t>CZCCN</t>
  </si>
  <si>
    <t>Chocen</t>
  </si>
  <si>
    <t>CZCUL</t>
  </si>
  <si>
    <t>Chrastava</t>
  </si>
  <si>
    <t>CZCHZ</t>
  </si>
  <si>
    <t>Chrustenice</t>
  </si>
  <si>
    <t>CZCHU</t>
  </si>
  <si>
    <t>CZG44</t>
  </si>
  <si>
    <t>Chvalatice</t>
  </si>
  <si>
    <t>CZMCE</t>
  </si>
  <si>
    <t>Cimelice</t>
  </si>
  <si>
    <t>CZDCB</t>
  </si>
  <si>
    <t>CZSKJ</t>
  </si>
  <si>
    <t>Dehtary</t>
  </si>
  <si>
    <t>CZDOH</t>
  </si>
  <si>
    <t>Destne v Orlickych Horach</t>
  </si>
  <si>
    <t>CZDIV</t>
  </si>
  <si>
    <t>Divisov</t>
  </si>
  <si>
    <t>CZDIS</t>
  </si>
  <si>
    <t>CZDRS</t>
  </si>
  <si>
    <t>Dobris</t>
  </si>
  <si>
    <t>CZDRO</t>
  </si>
  <si>
    <t>Dobromerice</t>
  </si>
  <si>
    <t>CZDDD</t>
  </si>
  <si>
    <t>Dobroviz</t>
  </si>
  <si>
    <t>CZKRB</t>
  </si>
  <si>
    <t>Dobruska</t>
  </si>
  <si>
    <t>CZDOB</t>
  </si>
  <si>
    <t>CZBBE</t>
  </si>
  <si>
    <t>CZSK5</t>
  </si>
  <si>
    <t>CZDOL</t>
  </si>
  <si>
    <t>CZDRN</t>
  </si>
  <si>
    <t>Drnholec</t>
  </si>
  <si>
    <t>CZDKV</t>
  </si>
  <si>
    <t>Drzkov</t>
  </si>
  <si>
    <t>CZHLP</t>
  </si>
  <si>
    <t>Hlubocepy</t>
  </si>
  <si>
    <t>CZHLU</t>
  </si>
  <si>
    <t>Hluk</t>
  </si>
  <si>
    <t>CZHTV</t>
  </si>
  <si>
    <t>Horni Tresnovec</t>
  </si>
  <si>
    <t>CZHST</t>
  </si>
  <si>
    <t>Hostinne</t>
  </si>
  <si>
    <t>CZHOT</t>
  </si>
  <si>
    <t>Hostomice</t>
  </si>
  <si>
    <t>CZDEK</t>
  </si>
  <si>
    <t>Hradek</t>
  </si>
  <si>
    <t>CZHRN</t>
  </si>
  <si>
    <t>Hradesin</t>
  </si>
  <si>
    <t>CZHSA</t>
  </si>
  <si>
    <t>Hrensko</t>
  </si>
  <si>
    <t>CZHRU</t>
  </si>
  <si>
    <t>Hrusky/Breclav</t>
  </si>
  <si>
    <t>CZJAB</t>
  </si>
  <si>
    <t>CZJEN</t>
  </si>
  <si>
    <t>Jencice</t>
  </si>
  <si>
    <t>CZJIE</t>
  </si>
  <si>
    <t>Jevisovice</t>
  </si>
  <si>
    <t>CZKAD</t>
  </si>
  <si>
    <t>Kadan</t>
  </si>
  <si>
    <t>CZKUV</t>
  </si>
  <si>
    <t>Karolinka</t>
  </si>
  <si>
    <t>CZKOR</t>
  </si>
  <si>
    <t>Korycany</t>
  </si>
  <si>
    <t>CZKOQ</t>
  </si>
  <si>
    <t>Kosor</t>
  </si>
  <si>
    <t>CZKSL</t>
  </si>
  <si>
    <t>Kostelec nad Labem</t>
  </si>
  <si>
    <t>CZRNH</t>
  </si>
  <si>
    <t>CZKNV</t>
  </si>
  <si>
    <t>Kralupy nad Vltavou</t>
  </si>
  <si>
    <t>CZZLY</t>
  </si>
  <si>
    <t>Kvasice</t>
  </si>
  <si>
    <t>CZKKA</t>
  </si>
  <si>
    <t>Kyselka</t>
  </si>
  <si>
    <t>CZLEC</t>
  </si>
  <si>
    <t>Lechovice</t>
  </si>
  <si>
    <t>CZLOE</t>
  </si>
  <si>
    <t>Letovice</t>
  </si>
  <si>
    <t>CZLOB</t>
  </si>
  <si>
    <t>Lobodice</t>
  </si>
  <si>
    <t>CZLUK</t>
  </si>
  <si>
    <t>Lochovice</t>
  </si>
  <si>
    <t>CZLOD</t>
  </si>
  <si>
    <t>Lodenice</t>
  </si>
  <si>
    <t>CZLBC</t>
  </si>
  <si>
    <t>Lubenec</t>
  </si>
  <si>
    <t>CZLCC</t>
  </si>
  <si>
    <t>Lulec</t>
  </si>
  <si>
    <t>CZMNV</t>
  </si>
  <si>
    <t>Michnov</t>
  </si>
  <si>
    <t>CZMIB</t>
  </si>
  <si>
    <t>Milotice nad Becvou</t>
  </si>
  <si>
    <t>CZMOR</t>
  </si>
  <si>
    <t>Moravicany</t>
  </si>
  <si>
    <t>CZMRA</t>
  </si>
  <si>
    <t>Moravsky Pisek</t>
  </si>
  <si>
    <t>CZMYT</t>
  </si>
  <si>
    <t>Myto/Cesky Krumlov</t>
  </si>
  <si>
    <t>CZNEH</t>
  </si>
  <si>
    <t>Nehvizdy</t>
  </si>
  <si>
    <t>CZNRT</t>
  </si>
  <si>
    <t>Neratovice</t>
  </si>
  <si>
    <t>CZNET</t>
  </si>
  <si>
    <t>Netolice</t>
  </si>
  <si>
    <t>CZOVV</t>
  </si>
  <si>
    <t>Novy Knin</t>
  </si>
  <si>
    <t>CZNVV</t>
  </si>
  <si>
    <t>CZODO</t>
  </si>
  <si>
    <t>Odolena Voda</t>
  </si>
  <si>
    <t>CZOCX</t>
  </si>
  <si>
    <t>Opocno</t>
  </si>
  <si>
    <t>CZOSI</t>
  </si>
  <si>
    <t>Osice</t>
  </si>
  <si>
    <t>CZPAO</t>
  </si>
  <si>
    <t>Osik</t>
  </si>
  <si>
    <t>CZPAU</t>
  </si>
  <si>
    <t>Plana u Marianskych Lazni</t>
  </si>
  <si>
    <t>CZPNJ</t>
  </si>
  <si>
    <t>CZPNA</t>
  </si>
  <si>
    <t>Polna</t>
  </si>
  <si>
    <t>CZPOP</t>
  </si>
  <si>
    <t>Popuvky</t>
  </si>
  <si>
    <t>CZXUY</t>
  </si>
  <si>
    <t>Prague-Vinohrady</t>
  </si>
  <si>
    <t>CZRDN</t>
  </si>
  <si>
    <t>Radonice</t>
  </si>
  <si>
    <t>CZRAU</t>
  </si>
  <si>
    <t>CZRAJ</t>
  </si>
  <si>
    <t>Rajhrad</t>
  </si>
  <si>
    <t>CZXXX</t>
  </si>
  <si>
    <t>CZJK6</t>
  </si>
  <si>
    <t>Sakvice</t>
  </si>
  <si>
    <t>CZNKN</t>
  </si>
  <si>
    <t>Sedlec</t>
  </si>
  <si>
    <t>CZSEM</t>
  </si>
  <si>
    <t>Semcice</t>
  </si>
  <si>
    <t>CZSTA</t>
  </si>
  <si>
    <t>Slatina</t>
  </si>
  <si>
    <t>CZSMO</t>
  </si>
  <si>
    <t>CZCRS</t>
  </si>
  <si>
    <t>Smilovice</t>
  </si>
  <si>
    <t>CZOVK</t>
  </si>
  <si>
    <t>Smrzovka</t>
  </si>
  <si>
    <t>CZSPC</t>
  </si>
  <si>
    <t>Stary Plzenec</t>
  </si>
  <si>
    <t>CZSTE</t>
  </si>
  <si>
    <t>Stechovice</t>
  </si>
  <si>
    <t>CZSTT</t>
  </si>
  <si>
    <t>CZBRA</t>
  </si>
  <si>
    <t>Stribrna Skalice</t>
  </si>
  <si>
    <t>CZSDO</t>
  </si>
  <si>
    <t>Sviadnov</t>
  </si>
  <si>
    <t>CZTVA</t>
  </si>
  <si>
    <t>Tanvald</t>
  </si>
  <si>
    <t>CZTIS</t>
  </si>
  <si>
    <t>Tisnov</t>
  </si>
  <si>
    <t>CZTOM</t>
  </si>
  <si>
    <t>Touzim</t>
  </si>
  <si>
    <t>CZVKA</t>
  </si>
  <si>
    <t>Trnavka</t>
  </si>
  <si>
    <t>CZTUC</t>
  </si>
  <si>
    <t>Tuchomerice</t>
  </si>
  <si>
    <t>CZULN</t>
  </si>
  <si>
    <t>CZVES</t>
  </si>
  <si>
    <t>Velika Ves</t>
  </si>
  <si>
    <t>CZVAA</t>
  </si>
  <si>
    <t>CZVRY</t>
  </si>
  <si>
    <t>Volary</t>
  </si>
  <si>
    <t>DEAAH</t>
  </si>
  <si>
    <t>Aachen</t>
  </si>
  <si>
    <t>DEABH</t>
  </si>
  <si>
    <t>Abbehausen</t>
  </si>
  <si>
    <t>DEABF</t>
  </si>
  <si>
    <t>Abbenfleth</t>
  </si>
  <si>
    <t>DEABL</t>
  </si>
  <si>
    <t>DEABR</t>
  </si>
  <si>
    <t>Abenberg</t>
  </si>
  <si>
    <t>DEAMR</t>
  </si>
  <si>
    <t>Achmer</t>
  </si>
  <si>
    <t>DEAWR</t>
  </si>
  <si>
    <t>Achterwehr</t>
  </si>
  <si>
    <t>DEAHO</t>
  </si>
  <si>
    <t>Ahlhorn</t>
  </si>
  <si>
    <t>DEAIT</t>
  </si>
  <si>
    <t>Aitrach</t>
  </si>
  <si>
    <t>DEILE</t>
  </si>
  <si>
    <t>Albersweiler</t>
  </si>
  <si>
    <t>DETSH</t>
  </si>
  <si>
    <t>Albertshofen</t>
  </si>
  <si>
    <t>DEAQF</t>
  </si>
  <si>
    <t>Alf</t>
  </si>
  <si>
    <t>DEALF</t>
  </si>
  <si>
    <t>Alfeld/Leine</t>
  </si>
  <si>
    <t>DEAXB</t>
  </si>
  <si>
    <t>Alsleben</t>
  </si>
  <si>
    <t>DEABO</t>
  </si>
  <si>
    <t>Alt Bork</t>
  </si>
  <si>
    <t>DEALT</t>
  </si>
  <si>
    <t>Altena</t>
  </si>
  <si>
    <t>DEANR</t>
  </si>
  <si>
    <t>Altenbruch Reede</t>
  </si>
  <si>
    <t>DESH4</t>
  </si>
  <si>
    <t>DEATL</t>
  </si>
  <si>
    <t>Altenlingen</t>
  </si>
  <si>
    <t>DEHHV</t>
  </si>
  <si>
    <t>Altenwerder</t>
  </si>
  <si>
    <t>DEAHU</t>
  </si>
  <si>
    <t>Am Hund</t>
  </si>
  <si>
    <t>DEAMB</t>
  </si>
  <si>
    <t>Amberg</t>
  </si>
  <si>
    <t>DEAML</t>
  </si>
  <si>
    <t>DEARL</t>
  </si>
  <si>
    <t>Ammerland</t>
  </si>
  <si>
    <t>DEIAM</t>
  </si>
  <si>
    <t>Amrum</t>
  </si>
  <si>
    <t>DEAND</t>
  </si>
  <si>
    <t>Andernach</t>
  </si>
  <si>
    <t>DEANK</t>
  </si>
  <si>
    <t>Anklam</t>
  </si>
  <si>
    <t>DEAPE</t>
  </si>
  <si>
    <t>Apen</t>
  </si>
  <si>
    <t>DEAPN</t>
  </si>
  <si>
    <t>Apensen</t>
  </si>
  <si>
    <t>DEASE</t>
  </si>
  <si>
    <t>Arendsee</t>
  </si>
  <si>
    <t>DEARN</t>
  </si>
  <si>
    <t>Arnsberg</t>
  </si>
  <si>
    <t>DEASC</t>
  </si>
  <si>
    <t>Aschaffenburg</t>
  </si>
  <si>
    <t>DEASS</t>
  </si>
  <si>
    <t>Assel</t>
  </si>
  <si>
    <t>DEAUO</t>
  </si>
  <si>
    <t>Audorf</t>
  </si>
  <si>
    <t>DEAGB</t>
  </si>
  <si>
    <t>Augsburg</t>
  </si>
  <si>
    <t>DEAUG</t>
  </si>
  <si>
    <t>Augustfehn</t>
  </si>
  <si>
    <t>DEAUL</t>
  </si>
  <si>
    <t>Aulendorf</t>
  </si>
  <si>
    <t>DEAUR</t>
  </si>
  <si>
    <t>Aurich</t>
  </si>
  <si>
    <t>DEAEB</t>
  </si>
  <si>
    <t>Babelsberg</t>
  </si>
  <si>
    <t>DEASR</t>
  </si>
  <si>
    <t>DEDCH</t>
  </si>
  <si>
    <t>Bacharach</t>
  </si>
  <si>
    <t>DEBBV</t>
  </si>
  <si>
    <t>Bad Bevensen</t>
  </si>
  <si>
    <t>DEUBG</t>
  </si>
  <si>
    <t>DERHX</t>
  </si>
  <si>
    <t>Bad Durrheim</t>
  </si>
  <si>
    <t>DEBES</t>
  </si>
  <si>
    <t>Bad Essen</t>
  </si>
  <si>
    <t>DEBFH</t>
  </si>
  <si>
    <t>Bad Friedrichshall</t>
  </si>
  <si>
    <t>DEBGO</t>
  </si>
  <si>
    <t>Bad Godesberg</t>
  </si>
  <si>
    <t>DEBHE</t>
  </si>
  <si>
    <t>Bad Hersfeld</t>
  </si>
  <si>
    <t>DEBOY</t>
  </si>
  <si>
    <t>Bad Oeynhausen</t>
  </si>
  <si>
    <t>DEBSA</t>
  </si>
  <si>
    <t>DEBDS</t>
  </si>
  <si>
    <t>Bad Schandau</t>
  </si>
  <si>
    <t>DEBEZ</t>
  </si>
  <si>
    <t>Bahlingen</t>
  </si>
  <si>
    <t>DETEJ</t>
  </si>
  <si>
    <t>Ballrechten</t>
  </si>
  <si>
    <t>DEBMR</t>
  </si>
  <si>
    <t>Baltrum</t>
  </si>
  <si>
    <t>DEBAM</t>
  </si>
  <si>
    <t>Bamberg</t>
  </si>
  <si>
    <t>DEGBX</t>
  </si>
  <si>
    <t>Barbing</t>
  </si>
  <si>
    <t>DEBRK</t>
  </si>
  <si>
    <t>Barnkrug</t>
  </si>
  <si>
    <t>DEBAS</t>
  </si>
  <si>
    <t>Basbeck</t>
  </si>
  <si>
    <t>DEBZS</t>
  </si>
  <si>
    <t>Beddingen</t>
  </si>
  <si>
    <t>DEBKW</t>
  </si>
  <si>
    <t>Beeskow</t>
  </si>
  <si>
    <t>DEBEI</t>
  </si>
  <si>
    <t>Beidenfleth</t>
  </si>
  <si>
    <t>DEELG</t>
  </si>
  <si>
    <t>Belgern</t>
  </si>
  <si>
    <t>DEBDF</t>
  </si>
  <si>
    <t>Bendorf/Rhein</t>
  </si>
  <si>
    <t>DEBEN</t>
  </si>
  <si>
    <t>Bensersiel</t>
  </si>
  <si>
    <t>DEHUB</t>
  </si>
  <si>
    <t>DEBGL</t>
  </si>
  <si>
    <t>Bergisch Gladbach</t>
  </si>
  <si>
    <t>DEBER</t>
  </si>
  <si>
    <t>Berlin</t>
  </si>
  <si>
    <t>DEBMN</t>
  </si>
  <si>
    <t>Bermatingen</t>
  </si>
  <si>
    <t>DEBOF</t>
  </si>
  <si>
    <t>Berndshof</t>
  </si>
  <si>
    <t>DEBEK</t>
  </si>
  <si>
    <t>Bernkastel-Kues</t>
  </si>
  <si>
    <t>DEBTI</t>
  </si>
  <si>
    <t>Bertingen</t>
  </si>
  <si>
    <t>DEBEV</t>
  </si>
  <si>
    <t>Beverungen</t>
  </si>
  <si>
    <t>DEBKF</t>
  </si>
  <si>
    <t>Biedenkopf</t>
  </si>
  <si>
    <t>DEIEN</t>
  </si>
  <si>
    <t>Biene</t>
  </si>
  <si>
    <t>DEERX</t>
  </si>
  <si>
    <t>Biere</t>
  </si>
  <si>
    <t>DEBBI</t>
  </si>
  <si>
    <t>Bietigheim-Bissingen</t>
  </si>
  <si>
    <t>DEBIW</t>
  </si>
  <si>
    <t>Bindow</t>
  </si>
  <si>
    <t>DEBIN</t>
  </si>
  <si>
    <t>Bingen am Rhein</t>
  </si>
  <si>
    <t>DEBZR</t>
  </si>
  <si>
    <t>Binz</t>
  </si>
  <si>
    <t>DEBQ2</t>
  </si>
  <si>
    <t>Birklar</t>
  </si>
  <si>
    <t>DEBWQ</t>
  </si>
  <si>
    <t>Birkweiler</t>
  </si>
  <si>
    <t>DECKH</t>
  </si>
  <si>
    <t>Blankenheim</t>
  </si>
  <si>
    <t>DEOIN</t>
  </si>
  <si>
    <t>Blossin</t>
  </si>
  <si>
    <t>DEBLM</t>
  </si>
  <si>
    <t>Blumenthal/Bremen</t>
  </si>
  <si>
    <t>DEBOE</t>
  </si>
  <si>
    <t>DECKK</t>
  </si>
  <si>
    <t>Bockenem</t>
  </si>
  <si>
    <t>DEBCO</t>
  </si>
  <si>
    <t>Bockholdt</t>
  </si>
  <si>
    <t>DEBOC</t>
  </si>
  <si>
    <t>Bockhorst</t>
  </si>
  <si>
    <t>DEBTC</t>
  </si>
  <si>
    <t>Bodenteich</t>
  </si>
  <si>
    <t>DEBFF</t>
  </si>
  <si>
    <t>Boffzen</t>
  </si>
  <si>
    <t>DEBOI</t>
  </si>
  <si>
    <t>Boizenburg</t>
  </si>
  <si>
    <t>DEBOK</t>
  </si>
  <si>
    <t>Bokel</t>
  </si>
  <si>
    <t>DEBON</t>
  </si>
  <si>
    <t>Bonn</t>
  </si>
  <si>
    <t>DEBMO</t>
  </si>
  <si>
    <t>DEBYT</t>
  </si>
  <si>
    <t>Borgstedt</t>
  </si>
  <si>
    <t>DEBMK</t>
  </si>
  <si>
    <t>Borkum</t>
  </si>
  <si>
    <t>DEBRN</t>
  </si>
  <si>
    <t>DEBCT</t>
  </si>
  <si>
    <t>DEBFL</t>
  </si>
  <si>
    <t>Borsfleth</t>
  </si>
  <si>
    <t>DEBTA</t>
  </si>
  <si>
    <t>Bortfeld</t>
  </si>
  <si>
    <t>DEBOT</t>
  </si>
  <si>
    <t>Bottrop</t>
  </si>
  <si>
    <t>DEBXB</t>
  </si>
  <si>
    <t>Boxberg</t>
  </si>
  <si>
    <t>DEBCW</t>
  </si>
  <si>
    <t>Brachwitz</t>
  </si>
  <si>
    <t>DEBTF</t>
  </si>
  <si>
    <t>Brahlstorf</t>
  </si>
  <si>
    <t>DEBKE</t>
  </si>
  <si>
    <t>Brake</t>
  </si>
  <si>
    <t>DERLZ</t>
  </si>
  <si>
    <t>Bralitz</t>
  </si>
  <si>
    <t>DEBRA</t>
  </si>
  <si>
    <t>Bramel</t>
  </si>
  <si>
    <t>DEBRM</t>
  </si>
  <si>
    <t>Bramsche</t>
  </si>
  <si>
    <t>DEBBG</t>
  </si>
  <si>
    <t>Brandenburg</t>
  </si>
  <si>
    <t>DEBWE</t>
  </si>
  <si>
    <t>Braunschweig</t>
  </si>
  <si>
    <t>DEUDF</t>
  </si>
  <si>
    <t>Braunsdorf</t>
  </si>
  <si>
    <t>DEBSH</t>
  </si>
  <si>
    <t>Breisach</t>
  </si>
  <si>
    <t>DEBRT</t>
  </si>
  <si>
    <t>Breitenberg</t>
  </si>
  <si>
    <t>DEBRE</t>
  </si>
  <si>
    <t>Bremen</t>
  </si>
  <si>
    <t>DEBRV</t>
  </si>
  <si>
    <t>Bremerhaven</t>
  </si>
  <si>
    <t>DEBMV</t>
  </si>
  <si>
    <t>DETLD</t>
  </si>
  <si>
    <t>Bresteland</t>
  </si>
  <si>
    <t>DEBRI</t>
  </si>
  <si>
    <t>Brilon</t>
  </si>
  <si>
    <t>DEBNK</t>
  </si>
  <si>
    <t>Brink</t>
  </si>
  <si>
    <t>DERIZ</t>
  </si>
  <si>
    <t>Britz</t>
  </si>
  <si>
    <t>DEBDA</t>
  </si>
  <si>
    <t>Brodenbach</t>
  </si>
  <si>
    <t>DEBRO</t>
  </si>
  <si>
    <t>DEBRB</t>
  </si>
  <si>
    <t>DEBSI</t>
  </si>
  <si>
    <t>Bubsheim</t>
  </si>
  <si>
    <t>DEUSF</t>
  </si>
  <si>
    <t>DEBUL</t>
  </si>
  <si>
    <t>DELYY</t>
  </si>
  <si>
    <t>Bullay</t>
  </si>
  <si>
    <t>DEBEU</t>
  </si>
  <si>
    <t>Bullenhausen</t>
  </si>
  <si>
    <t>DEBRG</t>
  </si>
  <si>
    <t>Burg/Dithmarschen</t>
  </si>
  <si>
    <t>DEBLD</t>
  </si>
  <si>
    <t>Burglengenfeld</t>
  </si>
  <si>
    <t>DEBSK</t>
  </si>
  <si>
    <t>Burgstaaken/Fehmarn</t>
  </si>
  <si>
    <t>DEBZQ</t>
  </si>
  <si>
    <t>DEURR</t>
  </si>
  <si>
    <t>Burladingen</t>
  </si>
  <si>
    <t>DEBUM</t>
  </si>
  <si>
    <t>DEBUT</t>
  </si>
  <si>
    <t>Butjadingen</t>
  </si>
  <si>
    <t>DEBUZ</t>
  </si>
  <si>
    <t>DEBUX</t>
  </si>
  <si>
    <t>Buxtehude</t>
  </si>
  <si>
    <t>DECAR</t>
  </si>
  <si>
    <t>Carolinensiel</t>
  </si>
  <si>
    <t>DECYN</t>
  </si>
  <si>
    <t>Castell</t>
  </si>
  <si>
    <t>DECRL</t>
  </si>
  <si>
    <t>Castrop-Rauxel</t>
  </si>
  <si>
    <t>DECHI</t>
  </si>
  <si>
    <t>Chiemsee</t>
  </si>
  <si>
    <t>DECOC</t>
  </si>
  <si>
    <t>Cochem</t>
  </si>
  <si>
    <t>DECPZ</t>
  </si>
  <si>
    <t>Copitz</t>
  </si>
  <si>
    <t>DECRR</t>
  </si>
  <si>
    <t>Crossen an der Elster</t>
  </si>
  <si>
    <t>DECUM</t>
  </si>
  <si>
    <t>Cumlosen</t>
  </si>
  <si>
    <t>DECUX</t>
  </si>
  <si>
    <t>Cuxhaven</t>
  </si>
  <si>
    <t>DEDAD</t>
  </si>
  <si>
    <t>Daaden</t>
  </si>
  <si>
    <t>DEDAG</t>
  </si>
  <si>
    <t>DEDAP</t>
  </si>
  <si>
    <t>Damp</t>
  </si>
  <si>
    <t>DEDAN</t>
  </si>
  <si>
    <t>Dangast</t>
  </si>
  <si>
    <t>DEDWD</t>
  </si>
  <si>
    <t>Dannenwalde</t>
  </si>
  <si>
    <t>DEMVD</t>
  </si>
  <si>
    <t>Dassow</t>
  </si>
  <si>
    <t>DEDAT</t>
  </si>
  <si>
    <t>Datteln</t>
  </si>
  <si>
    <t>DEDGA</t>
  </si>
  <si>
    <t>Deggenau</t>
  </si>
  <si>
    <t>DEDEG</t>
  </si>
  <si>
    <t>Deggendorf</t>
  </si>
  <si>
    <t>DEDMN</t>
  </si>
  <si>
    <t>Demmin</t>
  </si>
  <si>
    <t>DEDNR</t>
  </si>
  <si>
    <t>Derenburg</t>
  </si>
  <si>
    <t>DEDEU</t>
  </si>
  <si>
    <t>Dernau</t>
  </si>
  <si>
    <t>DERPD</t>
  </si>
  <si>
    <t>Derschen</t>
  </si>
  <si>
    <t>DEDSU</t>
  </si>
  <si>
    <t>Dersum</t>
  </si>
  <si>
    <t>DEDFN</t>
  </si>
  <si>
    <t>Dettighofen</t>
  </si>
  <si>
    <t>DEDEB</t>
  </si>
  <si>
    <t>Deuben</t>
  </si>
  <si>
    <t>DEDIA</t>
  </si>
  <si>
    <t>Dierhagen</t>
  </si>
  <si>
    <t>DEDHM</t>
  </si>
  <si>
    <t>Diersheim</t>
  </si>
  <si>
    <t>DEDSB</t>
  </si>
  <si>
    <t>Diesbar</t>
  </si>
  <si>
    <t>DEDSC</t>
  </si>
  <si>
    <t>Dinkelscherben</t>
  </si>
  <si>
    <t>DEDIN</t>
  </si>
  <si>
    <t>Dinslaken</t>
  </si>
  <si>
    <t>DEDT8</t>
  </si>
  <si>
    <t>Dittersdorf</t>
  </si>
  <si>
    <t>DEDIT</t>
  </si>
  <si>
    <t>Ditzum</t>
  </si>
  <si>
    <t>DELZ6</t>
  </si>
  <si>
    <t>DEDE3</t>
  </si>
  <si>
    <t>DEDOW</t>
  </si>
  <si>
    <t>DEDNT</t>
  </si>
  <si>
    <t>Dorenthe</t>
  </si>
  <si>
    <t>DEDMG</t>
  </si>
  <si>
    <t>Dormagen</t>
  </si>
  <si>
    <t>DERKQ</t>
  </si>
  <si>
    <t>Dornach</t>
  </si>
  <si>
    <t>DEDOB</t>
  </si>
  <si>
    <t>Dornbusch</t>
  </si>
  <si>
    <t>DEDRP</t>
  </si>
  <si>
    <t>DEDON</t>
  </si>
  <si>
    <t>Dorsten</t>
  </si>
  <si>
    <t>DEDTM</t>
  </si>
  <si>
    <t>Dortmund</t>
  </si>
  <si>
    <t>DEDVE</t>
  </si>
  <si>
    <t>DEDRA</t>
  </si>
  <si>
    <t>Dranske</t>
  </si>
  <si>
    <t>DEDR5</t>
  </si>
  <si>
    <t>Drebber</t>
  </si>
  <si>
    <t>DENDQ</t>
  </si>
  <si>
    <t>Dreisbach</t>
  </si>
  <si>
    <t>DEDRS</t>
  </si>
  <si>
    <t>Dresden</t>
  </si>
  <si>
    <t>DEDRO</t>
  </si>
  <si>
    <t>Drochtersen</t>
  </si>
  <si>
    <t>DEDUI</t>
  </si>
  <si>
    <t>Duisburg</t>
  </si>
  <si>
    <t>DEDUS</t>
  </si>
  <si>
    <t>DEDUL</t>
  </si>
  <si>
    <t>Dusslingen</t>
  </si>
  <si>
    <t>DEDYK</t>
  </si>
  <si>
    <t>Dyckhausen</t>
  </si>
  <si>
    <t>DEEBB</t>
  </si>
  <si>
    <t>Eberbach</t>
  </si>
  <si>
    <t>DEEGC</t>
  </si>
  <si>
    <t>Eching/Landshut</t>
  </si>
  <si>
    <t>DEECK</t>
  </si>
  <si>
    <t>DEEDI</t>
  </si>
  <si>
    <t>Edingen</t>
  </si>
  <si>
    <t>DEEAX</t>
  </si>
  <si>
    <t>Effeldorf</t>
  </si>
  <si>
    <t>DEEGL</t>
  </si>
  <si>
    <t>Eggenstein-Leopoldshafen</t>
  </si>
  <si>
    <t>DEEGJ</t>
  </si>
  <si>
    <t>DEEOM</t>
  </si>
  <si>
    <t>Eggolsheim</t>
  </si>
  <si>
    <t>DEEHI</t>
  </si>
  <si>
    <t>Ehingen</t>
  </si>
  <si>
    <t>DEEBI</t>
  </si>
  <si>
    <t>Ehrenbreitstein</t>
  </si>
  <si>
    <t>DEEDD</t>
  </si>
  <si>
    <t>Eiderdeich</t>
  </si>
  <si>
    <t>DEEHS</t>
  </si>
  <si>
    <t>DEELB</t>
  </si>
  <si>
    <t>Ellerbek</t>
  </si>
  <si>
    <t>DEELM</t>
  </si>
  <si>
    <t>Elmshorn</t>
  </si>
  <si>
    <t>DEELF</t>
  </si>
  <si>
    <t>Elsenfeld</t>
  </si>
  <si>
    <t>DEELS</t>
  </si>
  <si>
    <t>Elsfleth</t>
  </si>
  <si>
    <t>DELER</t>
  </si>
  <si>
    <t>Elster</t>
  </si>
  <si>
    <t>DEETN</t>
  </si>
  <si>
    <t>Elten</t>
  </si>
  <si>
    <t>DEEZH</t>
  </si>
  <si>
    <t>Elzach</t>
  </si>
  <si>
    <t>DEEME</t>
  </si>
  <si>
    <t>Emden</t>
  </si>
  <si>
    <t>DEEM4</t>
  </si>
  <si>
    <t>Emersacker</t>
  </si>
  <si>
    <t>DEESU</t>
  </si>
  <si>
    <t>Emmelsum</t>
  </si>
  <si>
    <t>DEEMM</t>
  </si>
  <si>
    <t>Emmerich</t>
  </si>
  <si>
    <t>DEERY</t>
  </si>
  <si>
    <t>Ering</t>
  </si>
  <si>
    <t>DEEAU</t>
  </si>
  <si>
    <t>Erlau</t>
  </si>
  <si>
    <t>DEEAM</t>
  </si>
  <si>
    <t>Erlenbach am Main</t>
  </si>
  <si>
    <t>DEESS</t>
  </si>
  <si>
    <t>Essen</t>
  </si>
  <si>
    <t>DEESF</t>
  </si>
  <si>
    <t>Estorf/Weser</t>
  </si>
  <si>
    <t>DEETY</t>
  </si>
  <si>
    <t>Ettal</t>
  </si>
  <si>
    <t>DEXAX</t>
  </si>
  <si>
    <t>Euerfeld</t>
  </si>
  <si>
    <t>DEEUT</t>
  </si>
  <si>
    <t>Eutin</t>
  </si>
  <si>
    <t>DEFBR</t>
  </si>
  <si>
    <t>Falkenberg</t>
  </si>
  <si>
    <t>DEFHM</t>
  </si>
  <si>
    <t>Fellheim</t>
  </si>
  <si>
    <t>DEMV5</t>
  </si>
  <si>
    <t>Ferdinandshof</t>
  </si>
  <si>
    <t>DEXFW</t>
  </si>
  <si>
    <t>Finkenwerder</t>
  </si>
  <si>
    <t>DERP7</t>
  </si>
  <si>
    <t>Flemlingen</t>
  </si>
  <si>
    <t>DEFLF</t>
  </si>
  <si>
    <t>Flensburg</t>
  </si>
  <si>
    <t>DEFSH</t>
  </si>
  <si>
    <t>Framersheim</t>
  </si>
  <si>
    <t>DEFRA</t>
  </si>
  <si>
    <t>Frankfurt am Main</t>
  </si>
  <si>
    <t>DEFFO</t>
  </si>
  <si>
    <t>Frankfurt/Oder</t>
  </si>
  <si>
    <t>DEFRR</t>
  </si>
  <si>
    <t>Frauenau</t>
  </si>
  <si>
    <t>DEFES</t>
  </si>
  <si>
    <t>Freistett</t>
  </si>
  <si>
    <t>DEFRE</t>
  </si>
  <si>
    <t>Fresenburg</t>
  </si>
  <si>
    <t>DEFHL</t>
  </si>
  <si>
    <t>Friedrichsfeld</t>
  </si>
  <si>
    <t>DEFDH</t>
  </si>
  <si>
    <t>Friedrichshafen</t>
  </si>
  <si>
    <t>DEFRI</t>
  </si>
  <si>
    <t>Friedrichstadt</t>
  </si>
  <si>
    <t>DEFWH</t>
  </si>
  <si>
    <t>Friedrich-Wilhelmshutte</t>
  </si>
  <si>
    <t>DEFHE</t>
  </si>
  <si>
    <t>Frielendorf</t>
  </si>
  <si>
    <t>DEFYE</t>
  </si>
  <si>
    <t>Friesoythe</t>
  </si>
  <si>
    <t>DEFNW</t>
  </si>
  <si>
    <t>Fritzdorf</t>
  </si>
  <si>
    <t>DEGXG</t>
  </si>
  <si>
    <t>Gager</t>
  </si>
  <si>
    <t>DELLI</t>
  </si>
  <si>
    <t>Gallin</t>
  </si>
  <si>
    <t>DEGAO</t>
  </si>
  <si>
    <t>Gau Odernheim</t>
  </si>
  <si>
    <t>DEGXS</t>
  </si>
  <si>
    <t>Gaussig</t>
  </si>
  <si>
    <t>DEGST</t>
  </si>
  <si>
    <t>Geeste</t>
  </si>
  <si>
    <t>DEGNL</t>
  </si>
  <si>
    <t>Gelbensande</t>
  </si>
  <si>
    <t>DEGEK</t>
  </si>
  <si>
    <t>Gelsenkirchen</t>
  </si>
  <si>
    <t>DEGEL</t>
  </si>
  <si>
    <t>Gelting</t>
  </si>
  <si>
    <t>DEGEM</t>
  </si>
  <si>
    <t>DEGER</t>
  </si>
  <si>
    <t>Germersheim</t>
  </si>
  <si>
    <t>DEGHM</t>
  </si>
  <si>
    <t>Gernsheim</t>
  </si>
  <si>
    <t>DEGFD</t>
  </si>
  <si>
    <t>Gersfeld</t>
  </si>
  <si>
    <t>DEGHZ</t>
  </si>
  <si>
    <t>Gersheim</t>
  </si>
  <si>
    <t>DEGEV</t>
  </si>
  <si>
    <t>Geversdorf</t>
  </si>
  <si>
    <t>DEGS5</t>
  </si>
  <si>
    <t>Gilseberg</t>
  </si>
  <si>
    <t>DEGXN</t>
  </si>
  <si>
    <t>Gimmeldingen</t>
  </si>
  <si>
    <t>DEGNP</t>
  </si>
  <si>
    <t>Ginepp</t>
  </si>
  <si>
    <t>DEGIG</t>
  </si>
  <si>
    <t>Ginsheim-Gustavsburg</t>
  </si>
  <si>
    <t>DEGIT</t>
  </si>
  <si>
    <t>Gittelde</t>
  </si>
  <si>
    <t>DEGLK</t>
  </si>
  <si>
    <t>Glucksburg</t>
  </si>
  <si>
    <t>DEGLU</t>
  </si>
  <si>
    <t>DEUND</t>
  </si>
  <si>
    <t>Gmund am Tegernsee</t>
  </si>
  <si>
    <t>DEGDO</t>
  </si>
  <si>
    <t>Godorf</t>
  </si>
  <si>
    <t>DEGTR</t>
  </si>
  <si>
    <t>Gohlis</t>
  </si>
  <si>
    <t>DEGKR</t>
  </si>
  <si>
    <t>Goldkronach</t>
  </si>
  <si>
    <t>DEGO4</t>
  </si>
  <si>
    <t>DEGMV</t>
  </si>
  <si>
    <t>DEEFE</t>
  </si>
  <si>
    <t>DEGFF</t>
  </si>
  <si>
    <t>Grafschaft</t>
  </si>
  <si>
    <t>DERBI</t>
  </si>
  <si>
    <t>Grambin</t>
  </si>
  <si>
    <t>DEGNR</t>
  </si>
  <si>
    <t>Grau Rheindorf</t>
  </si>
  <si>
    <t>DERLB</t>
  </si>
  <si>
    <t>Grauelsbaum</t>
  </si>
  <si>
    <t>DEGRE</t>
  </si>
  <si>
    <t>Greetsiel</t>
  </si>
  <si>
    <t>DEGRD</t>
  </si>
  <si>
    <t>Greifswald</t>
  </si>
  <si>
    <t>DEITH</t>
  </si>
  <si>
    <t>Grieth</t>
  </si>
  <si>
    <t>DEGMR</t>
  </si>
  <si>
    <t>Grimberg</t>
  </si>
  <si>
    <t>DEGMN</t>
  </si>
  <si>
    <t>Grimmen</t>
  </si>
  <si>
    <t>DEGXR</t>
  </si>
  <si>
    <t>DEGNU</t>
  </si>
  <si>
    <t>Gronau</t>
  </si>
  <si>
    <t>DEGPR</t>
  </si>
  <si>
    <t>Groppenbruch</t>
  </si>
  <si>
    <t>DEGKG</t>
  </si>
  <si>
    <t>Gross Krotzenburg</t>
  </si>
  <si>
    <t>DEHHO</t>
  </si>
  <si>
    <t>Grosseichholzheim</t>
  </si>
  <si>
    <t>DEGRO</t>
  </si>
  <si>
    <t>Grossenbrode</t>
  </si>
  <si>
    <t>DEGSI</t>
  </si>
  <si>
    <t>Grossensiel</t>
  </si>
  <si>
    <t>DEGSA</t>
  </si>
  <si>
    <t>Grosslehna</t>
  </si>
  <si>
    <t>DEGZG</t>
  </si>
  <si>
    <t>Grosszerlang</t>
  </si>
  <si>
    <t>DEGDZ</t>
  </si>
  <si>
    <t>Gudderath</t>
  </si>
  <si>
    <t>DEGUG</t>
  </si>
  <si>
    <t>DEGUE</t>
  </si>
  <si>
    <t>Gusen</t>
  </si>
  <si>
    <t>DEGNX</t>
  </si>
  <si>
    <t>Gutenberg</t>
  </si>
  <si>
    <t>DEHAF</t>
  </si>
  <si>
    <t>Hafenlohr</t>
  </si>
  <si>
    <t>DEHLH</t>
  </si>
  <si>
    <t>Haldensleben</t>
  </si>
  <si>
    <t>DEHRX</t>
  </si>
  <si>
    <t>Hallig</t>
  </si>
  <si>
    <t>DEHAM</t>
  </si>
  <si>
    <t>Hamburg</t>
  </si>
  <si>
    <t>DEHTJ</t>
  </si>
  <si>
    <t>Hamburg-Mitte</t>
  </si>
  <si>
    <t>DEHAN</t>
  </si>
  <si>
    <t>Hameln</t>
  </si>
  <si>
    <t>DEHMM</t>
  </si>
  <si>
    <t>Hamm</t>
  </si>
  <si>
    <t>DEHAU</t>
  </si>
  <si>
    <t>Hanau</t>
  </si>
  <si>
    <t>DEXZS</t>
  </si>
  <si>
    <t>Handeloh</t>
  </si>
  <si>
    <t>DEHAJ</t>
  </si>
  <si>
    <t>Hannover</t>
  </si>
  <si>
    <t>DEHBU</t>
  </si>
  <si>
    <t>Harburg</t>
  </si>
  <si>
    <t>DEHRN</t>
  </si>
  <si>
    <t>Haren/Ems</t>
  </si>
  <si>
    <t>DEHSX</t>
  </si>
  <si>
    <t>Harlesiel</t>
  </si>
  <si>
    <t>DENIH</t>
  </si>
  <si>
    <t>Hasbergen</t>
  </si>
  <si>
    <t>DEHLO</t>
  </si>
  <si>
    <t>Haseldorf</t>
  </si>
  <si>
    <t>DEHAO</t>
  </si>
  <si>
    <t>Hasloch</t>
  </si>
  <si>
    <t>DEHAS</t>
  </si>
  <si>
    <t>Hassfurt</t>
  </si>
  <si>
    <t>DEHME</t>
  </si>
  <si>
    <t>Hattenheim</t>
  </si>
  <si>
    <t>DEHH7</t>
  </si>
  <si>
    <t>Hauneck</t>
  </si>
  <si>
    <t>DEHHL</t>
  </si>
  <si>
    <t>Hehlen</t>
  </si>
  <si>
    <t>DEHEI</t>
  </si>
  <si>
    <t>Heidelberg</t>
  </si>
  <si>
    <t>DEHSI</t>
  </si>
  <si>
    <t>Heidesheim</t>
  </si>
  <si>
    <t>DEHED</t>
  </si>
  <si>
    <t>Heikendorf</t>
  </si>
  <si>
    <t>DEHEN</t>
  </si>
  <si>
    <t>Heilbronn</t>
  </si>
  <si>
    <t>DEHHF</t>
  </si>
  <si>
    <t>Heiligenhafen</t>
  </si>
  <si>
    <t>DEHE5</t>
  </si>
  <si>
    <t>Heimersheim</t>
  </si>
  <si>
    <t>DEHRC</t>
  </si>
  <si>
    <t>Heinrichsberg</t>
  </si>
  <si>
    <t>DEHGL</t>
  </si>
  <si>
    <t>Helgoland</t>
  </si>
  <si>
    <t>DEHML</t>
  </si>
  <si>
    <t>Helmlingen</t>
  </si>
  <si>
    <t>DEHMO</t>
  </si>
  <si>
    <t>Hemmoor</t>
  </si>
  <si>
    <t>DEHNF</t>
  </si>
  <si>
    <t>Hennigsdorf</t>
  </si>
  <si>
    <t>DEXRT</t>
  </si>
  <si>
    <t>Herbertingen</t>
  </si>
  <si>
    <t>DEH54</t>
  </si>
  <si>
    <t>Herbornseelbach</t>
  </si>
  <si>
    <t>DEHBR</t>
  </si>
  <si>
    <t>Herbrum</t>
  </si>
  <si>
    <t>DEHGZ</t>
  </si>
  <si>
    <t>Hergatz</t>
  </si>
  <si>
    <t>DEHEE</t>
  </si>
  <si>
    <t>Herne</t>
  </si>
  <si>
    <t>DEHRT</t>
  </si>
  <si>
    <t>Herten</t>
  </si>
  <si>
    <t>DESSL</t>
  </si>
  <si>
    <t>Hesselte</t>
  </si>
  <si>
    <t>DEHDI</t>
  </si>
  <si>
    <t>Hiddingsel</t>
  </si>
  <si>
    <t>DEHIE</t>
  </si>
  <si>
    <t>Hille</t>
  </si>
  <si>
    <t>DEHLP</t>
  </si>
  <si>
    <t>Hiltrup</t>
  </si>
  <si>
    <t>DEHRE</t>
  </si>
  <si>
    <t>Hirzenhain</t>
  </si>
  <si>
    <t>DEHD8</t>
  </si>
  <si>
    <t>Hitdorf</t>
  </si>
  <si>
    <t>DEHOD</t>
  </si>
  <si>
    <t>Hochdonn</t>
  </si>
  <si>
    <t>DEHCS</t>
  </si>
  <si>
    <t>DEHO4</t>
  </si>
  <si>
    <t>Hochstadt</t>
  </si>
  <si>
    <t>DEJUY</t>
  </si>
  <si>
    <t>Hohenau</t>
  </si>
  <si>
    <t>DEHOJ</t>
  </si>
  <si>
    <t>Hohenhameln</t>
  </si>
  <si>
    <t>DEHHS</t>
  </si>
  <si>
    <t>Hohenhorn</t>
  </si>
  <si>
    <t>DEHSA</t>
  </si>
  <si>
    <t>Hohensaaten</t>
  </si>
  <si>
    <t>DEOWH</t>
  </si>
  <si>
    <t>Hohenwarthe</t>
  </si>
  <si>
    <t>DEVVH</t>
  </si>
  <si>
    <t>Hohn</t>
  </si>
  <si>
    <t>DEHLN</t>
  </si>
  <si>
    <t>Hollenstedt</t>
  </si>
  <si>
    <t>DEHZN</t>
  </si>
  <si>
    <t>Holzminden</t>
  </si>
  <si>
    <t>DEHBO</t>
  </si>
  <si>
    <t>Homberg</t>
  </si>
  <si>
    <t>DEHGE</t>
  </si>
  <si>
    <t>Hooge</t>
  </si>
  <si>
    <t>DEHOO</t>
  </si>
  <si>
    <t>Hooksiel</t>
  </si>
  <si>
    <t>DEHPE</t>
  </si>
  <si>
    <t>Hoopte</t>
  </si>
  <si>
    <t>DE3L4</t>
  </si>
  <si>
    <t>Hoppegarten</t>
  </si>
  <si>
    <t>DEHOB</t>
  </si>
  <si>
    <t>Horb</t>
  </si>
  <si>
    <t>DEHRB</t>
  </si>
  <si>
    <t>Horneburg</t>
  </si>
  <si>
    <t>DEHRM</t>
  </si>
  <si>
    <t>DEHSB</t>
  </si>
  <si>
    <t>DEHOS</t>
  </si>
  <si>
    <t>Horumersiel</t>
  </si>
  <si>
    <t>DEHOX</t>
  </si>
  <si>
    <t>DEHRO</t>
  </si>
  <si>
    <t>DEHSU</t>
  </si>
  <si>
    <t>DEHUX</t>
  </si>
  <si>
    <t>DEHUS</t>
  </si>
  <si>
    <t>Husum</t>
  </si>
  <si>
    <t>DEHZZ</t>
  </si>
  <si>
    <t>Huttingen</t>
  </si>
  <si>
    <t>DEIGH</t>
  </si>
  <si>
    <t>Igersheim</t>
  </si>
  <si>
    <t>DEIHL</t>
  </si>
  <si>
    <t>Ihlow</t>
  </si>
  <si>
    <t>DEZVE</t>
  </si>
  <si>
    <t>Ihrlerstein</t>
  </si>
  <si>
    <t>DEINM</t>
  </si>
  <si>
    <t>Ingelheim</t>
  </si>
  <si>
    <t>DEING</t>
  </si>
  <si>
    <t>Ingolstadt</t>
  </si>
  <si>
    <t>DEISP</t>
  </si>
  <si>
    <t>Ispringen</t>
  </si>
  <si>
    <t>DEISU</t>
  </si>
  <si>
    <t>Issum</t>
  </si>
  <si>
    <t>DEITZ</t>
  </si>
  <si>
    <t>Itzehoe</t>
  </si>
  <si>
    <t>DEJEM</t>
  </si>
  <si>
    <t>Jemgum</t>
  </si>
  <si>
    <t>DEJTN</t>
  </si>
  <si>
    <t>Jettingen</t>
  </si>
  <si>
    <t>DEJSN</t>
  </si>
  <si>
    <t>DEJUI</t>
  </si>
  <si>
    <t>Juist</t>
  </si>
  <si>
    <t>DEKAM</t>
  </si>
  <si>
    <t>Kahl am Main</t>
  </si>
  <si>
    <t>DEKMT</t>
  </si>
  <si>
    <t>Kaimt</t>
  </si>
  <si>
    <t>DEKOP</t>
  </si>
  <si>
    <t>Kaje Omni-Pac</t>
  </si>
  <si>
    <t>DEKDT</t>
  </si>
  <si>
    <t>Kallstadt</t>
  </si>
  <si>
    <t>DEKPE</t>
  </si>
  <si>
    <t>Kampe</t>
  </si>
  <si>
    <t>DEKAP</t>
  </si>
  <si>
    <t>Kappeln</t>
  </si>
  <si>
    <t>DEKBN</t>
  </si>
  <si>
    <t>Karben</t>
  </si>
  <si>
    <t>DEKAE</t>
  </si>
  <si>
    <t>Karlsruhe</t>
  </si>
  <si>
    <t>DEKAR</t>
  </si>
  <si>
    <t>Karnin</t>
  </si>
  <si>
    <t>DEKHU</t>
  </si>
  <si>
    <t>Karthaus</t>
  </si>
  <si>
    <t>DEKEH</t>
  </si>
  <si>
    <t>Kehl</t>
  </si>
  <si>
    <t>DEKEM</t>
  </si>
  <si>
    <t>Kelheim</t>
  </si>
  <si>
    <t>DEKHN</t>
  </si>
  <si>
    <t>Kellinghusen</t>
  </si>
  <si>
    <t>DEKEZ</t>
  </si>
  <si>
    <t>DEKEB</t>
  </si>
  <si>
    <t>Kelsterbach</t>
  </si>
  <si>
    <t>DENNP</t>
  </si>
  <si>
    <t>Kenn</t>
  </si>
  <si>
    <t>DEKLS</t>
  </si>
  <si>
    <t>Kesselstadt</t>
  </si>
  <si>
    <t>DEJIV</t>
  </si>
  <si>
    <t>Kettenheim</t>
  </si>
  <si>
    <t>DEKEL</t>
  </si>
  <si>
    <t>Kiel</t>
  </si>
  <si>
    <t>DEKIE</t>
  </si>
  <si>
    <t>Kietz</t>
  </si>
  <si>
    <t>DEKBR</t>
  </si>
  <si>
    <t>Kinderbeuern</t>
  </si>
  <si>
    <t>DEKPF</t>
  </si>
  <si>
    <t>Kipfenberg</t>
  </si>
  <si>
    <t>DENWC</t>
  </si>
  <si>
    <t>Kirchhellen</t>
  </si>
  <si>
    <t>DEKCO</t>
  </si>
  <si>
    <t>DERFT</t>
  </si>
  <si>
    <t>Kirschfurt</t>
  </si>
  <si>
    <t>DEKIT</t>
  </si>
  <si>
    <t>Kitzingen</t>
  </si>
  <si>
    <t>DEKLX</t>
  </si>
  <si>
    <t>Klusserath</t>
  </si>
  <si>
    <t>DEKOB</t>
  </si>
  <si>
    <t>Koblenz am Rhein</t>
  </si>
  <si>
    <t>DEKHO</t>
  </si>
  <si>
    <t>Kochendorf</t>
  </si>
  <si>
    <t>DEKOF</t>
  </si>
  <si>
    <t>Kolenfeld</t>
  </si>
  <si>
    <t>DEKOL</t>
  </si>
  <si>
    <t>Kollmar</t>
  </si>
  <si>
    <t>DECGN</t>
  </si>
  <si>
    <t>DEKWH</t>
  </si>
  <si>
    <t>DEKGM</t>
  </si>
  <si>
    <t>DEKOW</t>
  </si>
  <si>
    <t>DEKON</t>
  </si>
  <si>
    <t>Konstanz</t>
  </si>
  <si>
    <t>DEKB6</t>
  </si>
  <si>
    <t>Kosbach</t>
  </si>
  <si>
    <t>DEKTN</t>
  </si>
  <si>
    <t>DEKVG</t>
  </si>
  <si>
    <t>DEKZB</t>
  </si>
  <si>
    <t>Kranzberg</t>
  </si>
  <si>
    <t>DEKRA</t>
  </si>
  <si>
    <t>Krautsand</t>
  </si>
  <si>
    <t>DEKRE</t>
  </si>
  <si>
    <t>Krefeld</t>
  </si>
  <si>
    <t>DEKNT</t>
  </si>
  <si>
    <t>Kreinitz</t>
  </si>
  <si>
    <t>DEKGU</t>
  </si>
  <si>
    <t>Kriegenbrunn</t>
  </si>
  <si>
    <t>DEKR9</t>
  </si>
  <si>
    <t>Kronskamp</t>
  </si>
  <si>
    <t>DEKRV</t>
  </si>
  <si>
    <t>DEKKU</t>
  </si>
  <si>
    <t>DEKUP</t>
  </si>
  <si>
    <t>Kuppenheim</t>
  </si>
  <si>
    <t>DEKUT</t>
  </si>
  <si>
    <t>Kurten</t>
  </si>
  <si>
    <t>DELAB</t>
  </si>
  <si>
    <t>Laboe</t>
  </si>
  <si>
    <t>DELAE</t>
  </si>
  <si>
    <t>DELHD</t>
  </si>
  <si>
    <t>Lahde</t>
  </si>
  <si>
    <t>DELAM</t>
  </si>
  <si>
    <t>Lampertheim</t>
  </si>
  <si>
    <t>DELAD</t>
  </si>
  <si>
    <t>Landau in der Pfalz</t>
  </si>
  <si>
    <t>DEAAD</t>
  </si>
  <si>
    <t>Landkreis Ammerland</t>
  </si>
  <si>
    <t>DELDH</t>
  </si>
  <si>
    <t>Landshut</t>
  </si>
  <si>
    <t>DELGB</t>
  </si>
  <si>
    <t>Langenbach</t>
  </si>
  <si>
    <t>DELDM</t>
  </si>
  <si>
    <t>Langendamm</t>
  </si>
  <si>
    <t>DELGO</t>
  </si>
  <si>
    <t>Langeoog</t>
  </si>
  <si>
    <t>DELAW</t>
  </si>
  <si>
    <t>Langewiesen</t>
  </si>
  <si>
    <t>DE6NK</t>
  </si>
  <si>
    <t>Langsur</t>
  </si>
  <si>
    <t>DELKI</t>
  </si>
  <si>
    <t>Lankwitz</t>
  </si>
  <si>
    <t>DELSA</t>
  </si>
  <si>
    <t>Lassan</t>
  </si>
  <si>
    <t>DELAT</t>
  </si>
  <si>
    <t>Lathen</t>
  </si>
  <si>
    <t>DEUBT</t>
  </si>
  <si>
    <t>Laubegast</t>
  </si>
  <si>
    <t>DEDE8</t>
  </si>
  <si>
    <t>Laubenheim</t>
  </si>
  <si>
    <t>DELNU</t>
  </si>
  <si>
    <t>Lauenburg/Elbe</t>
  </si>
  <si>
    <t>DELS4</t>
  </si>
  <si>
    <t>Laussig</t>
  </si>
  <si>
    <t>DEUTA</t>
  </si>
  <si>
    <t>Lauta</t>
  </si>
  <si>
    <t>DELEE</t>
  </si>
  <si>
    <t>Leer</t>
  </si>
  <si>
    <t>DECCC</t>
  </si>
  <si>
    <t>Leimbach</t>
  </si>
  <si>
    <t>DEEEM</t>
  </si>
  <si>
    <t>Leimersheim</t>
  </si>
  <si>
    <t>DELIA</t>
  </si>
  <si>
    <t>Leina</t>
  </si>
  <si>
    <t>DE23A</t>
  </si>
  <si>
    <t>Leinatal</t>
  </si>
  <si>
    <t>DELPH</t>
  </si>
  <si>
    <t>Leipheim</t>
  </si>
  <si>
    <t>DELIZ</t>
  </si>
  <si>
    <t>Leissnitz</t>
  </si>
  <si>
    <t>DELRC</t>
  </si>
  <si>
    <t>Lembruch</t>
  </si>
  <si>
    <t>DELEW</t>
  </si>
  <si>
    <t>Lemwerder</t>
  </si>
  <si>
    <t>DEEZN</t>
  </si>
  <si>
    <t>Lenzen</t>
  </si>
  <si>
    <t>DEDDD</t>
  </si>
  <si>
    <t>Letmathe</t>
  </si>
  <si>
    <t>DELEV</t>
  </si>
  <si>
    <t>Leverkusen</t>
  </si>
  <si>
    <t>DEILH</t>
  </si>
  <si>
    <t>Lich</t>
  </si>
  <si>
    <t>DELTF</t>
  </si>
  <si>
    <t>Lichterfelde</t>
  </si>
  <si>
    <t>DELIB</t>
  </si>
  <si>
    <t>Liebenau</t>
  </si>
  <si>
    <t>DELPQ</t>
  </si>
  <si>
    <t>Liepgarten</t>
  </si>
  <si>
    <t>DELSR</t>
  </si>
  <si>
    <t>Lieser</t>
  </si>
  <si>
    <t>DELSH</t>
  </si>
  <si>
    <t>Limeshain</t>
  </si>
  <si>
    <t>DELIU</t>
  </si>
  <si>
    <t>Lindau</t>
  </si>
  <si>
    <t>DELIG</t>
  </si>
  <si>
    <t>Lingen</t>
  </si>
  <si>
    <t>DELIN</t>
  </si>
  <si>
    <t>Lintelermarsch</t>
  </si>
  <si>
    <t>DELRN</t>
  </si>
  <si>
    <t>Linz am Rhein</t>
  </si>
  <si>
    <t>DELIS</t>
  </si>
  <si>
    <t>List/Sylt</t>
  </si>
  <si>
    <t>DELNH</t>
  </si>
  <si>
    <t>DESCJ</t>
  </si>
  <si>
    <t>Lommatzsch</t>
  </si>
  <si>
    <t>DEONG</t>
  </si>
  <si>
    <t>Longen</t>
  </si>
  <si>
    <t>DELON</t>
  </si>
  <si>
    <t>Longuich</t>
  </si>
  <si>
    <t>DERPL</t>
  </si>
  <si>
    <t>Lonsheim</t>
  </si>
  <si>
    <t>DELCW</t>
  </si>
  <si>
    <t>Loschwitz</t>
  </si>
  <si>
    <t>DELBC</t>
  </si>
  <si>
    <t>DELBM</t>
  </si>
  <si>
    <t>Lubmin</t>
  </si>
  <si>
    <t>DELSU</t>
  </si>
  <si>
    <t>Ludwigsau</t>
  </si>
  <si>
    <t>DELUH</t>
  </si>
  <si>
    <t>Ludwigshafen</t>
  </si>
  <si>
    <t>DELGX</t>
  </si>
  <si>
    <t>DELLS</t>
  </si>
  <si>
    <t>DELOW</t>
  </si>
  <si>
    <t>Lunow</t>
  </si>
  <si>
    <t>DELT9</t>
  </si>
  <si>
    <t>DETJE</t>
  </si>
  <si>
    <t>Lutjenburg</t>
  </si>
  <si>
    <t>DEMAG</t>
  </si>
  <si>
    <t>Magdeburg</t>
  </si>
  <si>
    <t>DEMAI</t>
  </si>
  <si>
    <t>Mainz</t>
  </si>
  <si>
    <t>DEGYM</t>
  </si>
  <si>
    <t>Mainzlar</t>
  </si>
  <si>
    <t>DEMAM</t>
  </si>
  <si>
    <t>Malente</t>
  </si>
  <si>
    <t>DEMFL</t>
  </si>
  <si>
    <t>Malsfeld</t>
  </si>
  <si>
    <t>DEMMF</t>
  </si>
  <si>
    <t>Mammendorf</t>
  </si>
  <si>
    <t>DEMMI</t>
  </si>
  <si>
    <t>Mamming</t>
  </si>
  <si>
    <t>DEMHG</t>
  </si>
  <si>
    <t>Mannheim</t>
  </si>
  <si>
    <t>DEMRM</t>
  </si>
  <si>
    <t>Marcardsmoor</t>
  </si>
  <si>
    <t>DEMRS</t>
  </si>
  <si>
    <t>Mariensiel</t>
  </si>
  <si>
    <t>DEMTD</t>
  </si>
  <si>
    <t>Marktrodach</t>
  </si>
  <si>
    <t>DEMLO</t>
  </si>
  <si>
    <t>Marlow</t>
  </si>
  <si>
    <t>DEMSK</t>
  </si>
  <si>
    <t>Martinskirchen</t>
  </si>
  <si>
    <t>DEMXA</t>
  </si>
  <si>
    <t>Maxau</t>
  </si>
  <si>
    <t>DEMXM</t>
  </si>
  <si>
    <t>Maximiliansau</t>
  </si>
  <si>
    <t>DEMHR</t>
  </si>
  <si>
    <t>Mehring</t>
  </si>
  <si>
    <t>DEMRU</t>
  </si>
  <si>
    <t>Mehrum</t>
  </si>
  <si>
    <t>DEMDI</t>
  </si>
  <si>
    <t>Meiderich</t>
  </si>
  <si>
    <t>DEME8</t>
  </si>
  <si>
    <t>Meineweh</t>
  </si>
  <si>
    <t>DEMIM</t>
  </si>
  <si>
    <t>Meisenheim</t>
  </si>
  <si>
    <t>DEMEI</t>
  </si>
  <si>
    <t>Meissen</t>
  </si>
  <si>
    <t>DEMEL</t>
  </si>
  <si>
    <t>Meldorf</t>
  </si>
  <si>
    <t>DEMZE</t>
  </si>
  <si>
    <t>Mellensee</t>
  </si>
  <si>
    <t>DEMEM</t>
  </si>
  <si>
    <t>Memmert</t>
  </si>
  <si>
    <t>DEGJ9</t>
  </si>
  <si>
    <t>Mengkofen</t>
  </si>
  <si>
    <t>DEMSH</t>
  </si>
  <si>
    <t>Mescherin</t>
  </si>
  <si>
    <t>DEZ4Z</t>
  </si>
  <si>
    <t>Michelbach am Heuchelberg</t>
  </si>
  <si>
    <t>DEMIL</t>
  </si>
  <si>
    <t>Miltenberg</t>
  </si>
  <si>
    <t>DEMID</t>
  </si>
  <si>
    <t>Minden</t>
  </si>
  <si>
    <t>DEMNM</t>
  </si>
  <si>
    <t>Minheim</t>
  </si>
  <si>
    <t>DEMIN</t>
  </si>
  <si>
    <t>Minsen</t>
  </si>
  <si>
    <t>DEMIB</t>
  </si>
  <si>
    <t>Misburg</t>
  </si>
  <si>
    <t>DEMWF</t>
  </si>
  <si>
    <t>Mittelherwigsdorf</t>
  </si>
  <si>
    <t>DEMSB</t>
  </si>
  <si>
    <t>DEMGW</t>
  </si>
  <si>
    <t>DEMOE</t>
  </si>
  <si>
    <t>DEMMM</t>
  </si>
  <si>
    <t>Mommenheim</t>
  </si>
  <si>
    <t>DEMWW</t>
  </si>
  <si>
    <t>Monchweiler</t>
  </si>
  <si>
    <t>DEMNF</t>
  </si>
  <si>
    <t>Mondorf</t>
  </si>
  <si>
    <t>DEXMP</t>
  </si>
  <si>
    <t>Monheim</t>
  </si>
  <si>
    <t>DEMHM</t>
  </si>
  <si>
    <t>DEGL3</t>
  </si>
  <si>
    <t>DEMXB</t>
  </si>
  <si>
    <t>DEMUK</t>
  </si>
  <si>
    <t>Mukran</t>
  </si>
  <si>
    <t>DEMMO</t>
  </si>
  <si>
    <t>DEMUH</t>
  </si>
  <si>
    <t>DEULS</t>
  </si>
  <si>
    <t>Mulsen</t>
  </si>
  <si>
    <t>DEM5B</t>
  </si>
  <si>
    <t>Munchsdorf</t>
  </si>
  <si>
    <t>DEMUN</t>
  </si>
  <si>
    <t>Munster</t>
  </si>
  <si>
    <t>DEMSR</t>
  </si>
  <si>
    <t>DEMNQ</t>
  </si>
  <si>
    <t>DENZM</t>
  </si>
  <si>
    <t>Nahmitz</t>
  </si>
  <si>
    <t>DENST</t>
  </si>
  <si>
    <t>Neckarsteinach</t>
  </si>
  <si>
    <t>DENTA</t>
  </si>
  <si>
    <t>Neckartailfingen</t>
  </si>
  <si>
    <t>DENZE</t>
  </si>
  <si>
    <t>Neckarzimmern</t>
  </si>
  <si>
    <t>DENFE</t>
  </si>
  <si>
    <t>Neef</t>
  </si>
  <si>
    <t>DENSY</t>
  </si>
  <si>
    <t>Nersingen</t>
  </si>
  <si>
    <t>DENES</t>
  </si>
  <si>
    <t>Nessmersiel</t>
  </si>
  <si>
    <t>DENNH</t>
  </si>
  <si>
    <t>Neuendorf-Hiddensee</t>
  </si>
  <si>
    <t>DENSC</t>
  </si>
  <si>
    <t>Neuenschleuse</t>
  </si>
  <si>
    <t>DENSE</t>
  </si>
  <si>
    <t>Neuessen</t>
  </si>
  <si>
    <t>DENEF</t>
  </si>
  <si>
    <t>Neufeld</t>
  </si>
  <si>
    <t>DENHS</t>
  </si>
  <si>
    <t>Neuharlingersiel</t>
  </si>
  <si>
    <t>DENEH</t>
  </si>
  <si>
    <t>Neuhaus an der Oste</t>
  </si>
  <si>
    <t>DEUKI</t>
  </si>
  <si>
    <t>Neukieritzsch</t>
  </si>
  <si>
    <t>DEFER</t>
  </si>
  <si>
    <t>Neu-Kupfer</t>
  </si>
  <si>
    <t>DENEL</t>
  </si>
  <si>
    <t>Neuland/Elbe</t>
  </si>
  <si>
    <t>DENN4</t>
  </si>
  <si>
    <t>Neuleiningen</t>
  </si>
  <si>
    <t>DENMN</t>
  </si>
  <si>
    <t>Neumagen-Dhron</t>
  </si>
  <si>
    <t>DENSV</t>
  </si>
  <si>
    <t>Neumarkt-Sankt Veit</t>
  </si>
  <si>
    <t>DENBD</t>
  </si>
  <si>
    <t>Neunkirchen am Brand</t>
  </si>
  <si>
    <t>DENCA</t>
  </si>
  <si>
    <t>Neuscharrel</t>
  </si>
  <si>
    <t>DENSS</t>
  </si>
  <si>
    <t>Neuss</t>
  </si>
  <si>
    <t>DENHO</t>
  </si>
  <si>
    <t>Neustadt in Holstein</t>
  </si>
  <si>
    <t>DENGL</t>
  </si>
  <si>
    <t>Neustadt-Glewe</t>
  </si>
  <si>
    <t>DENED</t>
  </si>
  <si>
    <t>Neuwied</t>
  </si>
  <si>
    <t>DEBWJ</t>
  </si>
  <si>
    <t>Niebelsbach</t>
  </si>
  <si>
    <t>DEDFX</t>
  </si>
  <si>
    <t>Niederdollendorf</t>
  </si>
  <si>
    <t>DECH5</t>
  </si>
  <si>
    <t>Niederkaina</t>
  </si>
  <si>
    <t>DENGH</t>
  </si>
  <si>
    <t>Niederneuching</t>
  </si>
  <si>
    <t>DENHL</t>
  </si>
  <si>
    <t>DENIE</t>
  </si>
  <si>
    <t>Nienburg</t>
  </si>
  <si>
    <t>DENCZ</t>
  </si>
  <si>
    <t>DENO9</t>
  </si>
  <si>
    <t>DENOE</t>
  </si>
  <si>
    <t>Norddeich</t>
  </si>
  <si>
    <t>DENOD</t>
  </si>
  <si>
    <t>Norden</t>
  </si>
  <si>
    <t>DENHA</t>
  </si>
  <si>
    <t>Nordenham</t>
  </si>
  <si>
    <t>DENRD</t>
  </si>
  <si>
    <t>Norderney</t>
  </si>
  <si>
    <t>DENHE</t>
  </si>
  <si>
    <t>Nordheim</t>
  </si>
  <si>
    <t>DENHN</t>
  </si>
  <si>
    <t>Nordhorn</t>
  </si>
  <si>
    <t>DENOR</t>
  </si>
  <si>
    <t>Nordstrand</t>
  </si>
  <si>
    <t>DENUE</t>
  </si>
  <si>
    <t>DEPJQ</t>
  </si>
  <si>
    <t>Nusplingen</t>
  </si>
  <si>
    <t>DEOAB</t>
  </si>
  <si>
    <t>Ober-Abtsteinach</t>
  </si>
  <si>
    <t>DEOBE</t>
  </si>
  <si>
    <t>Oberhausen</t>
  </si>
  <si>
    <t>DEOAN</t>
  </si>
  <si>
    <t>Oberhausen an der Nahe</t>
  </si>
  <si>
    <t>DEOKY</t>
  </si>
  <si>
    <t>Oberkotzau</t>
  </si>
  <si>
    <t>DEORM</t>
  </si>
  <si>
    <t>DEOLM</t>
  </si>
  <si>
    <t>Ober-Olm</t>
  </si>
  <si>
    <t>DEDEO</t>
  </si>
  <si>
    <t>Oberthal</t>
  </si>
  <si>
    <t>DEOEE</t>
  </si>
  <si>
    <t>Oberwesel</t>
  </si>
  <si>
    <t>DEOWT</t>
  </si>
  <si>
    <t>Oberwinter</t>
  </si>
  <si>
    <t>DEOSW</t>
  </si>
  <si>
    <t>Oestrich-Winkel</t>
  </si>
  <si>
    <t>DEOFF</t>
  </si>
  <si>
    <t>Offenbach</t>
  </si>
  <si>
    <t>DEOLO</t>
  </si>
  <si>
    <t>Oldenburg</t>
  </si>
  <si>
    <t>DEOLB</t>
  </si>
  <si>
    <t>DEOLD</t>
  </si>
  <si>
    <t>Oldendorf</t>
  </si>
  <si>
    <t>DEOLU</t>
  </si>
  <si>
    <t>Oldersum</t>
  </si>
  <si>
    <t>DEOLP</t>
  </si>
  <si>
    <t>Olpenitz</t>
  </si>
  <si>
    <t>DEOTK</t>
  </si>
  <si>
    <t>Oortkaten</t>
  </si>
  <si>
    <t>DEOPP</t>
  </si>
  <si>
    <t>Oppenheim</t>
  </si>
  <si>
    <t>DEORS</t>
  </si>
  <si>
    <t>Orsoy</t>
  </si>
  <si>
    <t>DEORT</t>
  </si>
  <si>
    <t>Orth/Fehmarn</t>
  </si>
  <si>
    <t>DEOSL</t>
  </si>
  <si>
    <t>Osloss</t>
  </si>
  <si>
    <t>DEOSN</t>
  </si>
  <si>
    <t>DEOSB</t>
  </si>
  <si>
    <t>Ossenberg</t>
  </si>
  <si>
    <t>DEOSR</t>
  </si>
  <si>
    <t>Ostermoor</t>
  </si>
  <si>
    <t>DETRD</t>
  </si>
  <si>
    <t>DETER</t>
  </si>
  <si>
    <t>Osterwald</t>
  </si>
  <si>
    <t>DESXD</t>
  </si>
  <si>
    <t>Ottendorf</t>
  </si>
  <si>
    <t>DEOTT</t>
  </si>
  <si>
    <t>Otterndorf</t>
  </si>
  <si>
    <t>DEPAH</t>
  </si>
  <si>
    <t>Pahlhude</t>
  </si>
  <si>
    <t>DEPAP</t>
  </si>
  <si>
    <t>Papenburg</t>
  </si>
  <si>
    <t>DEPRY</t>
  </si>
  <si>
    <t>Parey</t>
  </si>
  <si>
    <t>DEPTN</t>
  </si>
  <si>
    <t>Parkentin</t>
  </si>
  <si>
    <t>DEPAS</t>
  </si>
  <si>
    <t>Passau</t>
  </si>
  <si>
    <t>DEPZI</t>
  </si>
  <si>
    <t>Pautzfeld</t>
  </si>
  <si>
    <t>DEPEF</t>
  </si>
  <si>
    <t>DEPEI</t>
  </si>
  <si>
    <t>Peine</t>
  </si>
  <si>
    <t>DEPEL</t>
  </si>
  <si>
    <t>Pellworm</t>
  </si>
  <si>
    <t>DEPEN</t>
  </si>
  <si>
    <t>Pente</t>
  </si>
  <si>
    <t>DEPRC</t>
  </si>
  <si>
    <t>Perrich</t>
  </si>
  <si>
    <t>DEPTD</t>
  </si>
  <si>
    <t>Petersdorf</t>
  </si>
  <si>
    <t>DEPSW</t>
  </si>
  <si>
    <t>Petershagen/Weser</t>
  </si>
  <si>
    <t>DEAQ2</t>
  </si>
  <si>
    <t>DEPFR</t>
  </si>
  <si>
    <t>Pfronten</t>
  </si>
  <si>
    <t>DEPSB</t>
  </si>
  <si>
    <t>Piesberger</t>
  </si>
  <si>
    <t>DEPPT</t>
  </si>
  <si>
    <t>Piesport</t>
  </si>
  <si>
    <t>DEPSR</t>
  </si>
  <si>
    <t>Piesteritz</t>
  </si>
  <si>
    <t>DEPIN</t>
  </si>
  <si>
    <t>Pinneberg</t>
  </si>
  <si>
    <t>DEPRA</t>
  </si>
  <si>
    <t>Pirna</t>
  </si>
  <si>
    <t>DETTP</t>
  </si>
  <si>
    <t>Platten</t>
  </si>
  <si>
    <t>DEPSA</t>
  </si>
  <si>
    <t>Plessa</t>
  </si>
  <si>
    <t>DEPLS</t>
  </si>
  <si>
    <t>Pliezhausen</t>
  </si>
  <si>
    <t>DEPLL</t>
  </si>
  <si>
    <t>Pollhagen</t>
  </si>
  <si>
    <t>DEPOT</t>
  </si>
  <si>
    <t>Potsdam</t>
  </si>
  <si>
    <t>DEPRW</t>
  </si>
  <si>
    <t>Prerow</t>
  </si>
  <si>
    <t>DEPRN</t>
  </si>
  <si>
    <t>Prettin</t>
  </si>
  <si>
    <t>DEPCE</t>
  </si>
  <si>
    <t>Pruchten</t>
  </si>
  <si>
    <t>DEPUT</t>
  </si>
  <si>
    <t>Puttgarden</t>
  </si>
  <si>
    <t>DEPKU</t>
  </si>
  <si>
    <t>Putzkau</t>
  </si>
  <si>
    <t>DERDU</t>
  </si>
  <si>
    <t>Radeburg</t>
  </si>
  <si>
    <t>DERAD</t>
  </si>
  <si>
    <t>Radolfzell</t>
  </si>
  <si>
    <t>DERE5</t>
  </si>
  <si>
    <t>Rech</t>
  </si>
  <si>
    <t>DERCI</t>
  </si>
  <si>
    <t>Rechlin</t>
  </si>
  <si>
    <t>DERCK</t>
  </si>
  <si>
    <t>Recke</t>
  </si>
  <si>
    <t>DEREE</t>
  </si>
  <si>
    <t>Reepsholt</t>
  </si>
  <si>
    <t>DEREG</t>
  </si>
  <si>
    <t>Regensburg</t>
  </si>
  <si>
    <t>DERTJ</t>
  </si>
  <si>
    <t>Reichartshausen</t>
  </si>
  <si>
    <t>DERFI</t>
  </si>
  <si>
    <t>Reichenbach an der Fils</t>
  </si>
  <si>
    <t>DEREM</t>
  </si>
  <si>
    <t>Remagen</t>
  </si>
  <si>
    <t>DEREN</t>
  </si>
  <si>
    <t>Rendsburg</t>
  </si>
  <si>
    <t>DERET</t>
  </si>
  <si>
    <t>Rethem</t>
  </si>
  <si>
    <t>DERZB</t>
  </si>
  <si>
    <t>Rettenbach / Gunzburg</t>
  </si>
  <si>
    <t>DERHB</t>
  </si>
  <si>
    <t>Rheinberg</t>
  </si>
  <si>
    <t>DERHL</t>
  </si>
  <si>
    <t>Rheinbrohl</t>
  </si>
  <si>
    <t>DERHE</t>
  </si>
  <si>
    <t>Rheine</t>
  </si>
  <si>
    <t>DERRG</t>
  </si>
  <si>
    <t>Rheinsberg</t>
  </si>
  <si>
    <t>DERDL</t>
  </si>
  <si>
    <t>DERIK</t>
  </si>
  <si>
    <t>Rieneck</t>
  </si>
  <si>
    <t>DERBK</t>
  </si>
  <si>
    <t>Riesenbeck</t>
  </si>
  <si>
    <t>DEXXX</t>
  </si>
  <si>
    <t>DE2RO</t>
  </si>
  <si>
    <t>DEHJK</t>
  </si>
  <si>
    <t>Roschbach</t>
  </si>
  <si>
    <t>DEROS</t>
  </si>
  <si>
    <t>Rosenheim</t>
  </si>
  <si>
    <t>DERSK</t>
  </si>
  <si>
    <t>Rostock</t>
  </si>
  <si>
    <t>DERDT</t>
  </si>
  <si>
    <t>Rot an der Rot</t>
  </si>
  <si>
    <t>DERBF</t>
  </si>
  <si>
    <t>Rotenburg an der Fulda</t>
  </si>
  <si>
    <t>DEOHE</t>
  </si>
  <si>
    <t>Rothensee</t>
  </si>
  <si>
    <t>DERU7</t>
  </si>
  <si>
    <t>DERUE</t>
  </si>
  <si>
    <t>DERDW</t>
  </si>
  <si>
    <t>Rudow</t>
  </si>
  <si>
    <t>DERAR</t>
  </si>
  <si>
    <t>Ruhstorf an der Rott</t>
  </si>
  <si>
    <t>DERNT</t>
  </si>
  <si>
    <t>DERUB</t>
  </si>
  <si>
    <t>Rusbend</t>
  </si>
  <si>
    <t>DERUM</t>
  </si>
  <si>
    <t>DESCN</t>
  </si>
  <si>
    <t>DESAG</t>
  </si>
  <si>
    <t>Saarburg</t>
  </si>
  <si>
    <t>DESAA</t>
  </si>
  <si>
    <t>Saarlouis</t>
  </si>
  <si>
    <t>DESKS</t>
  </si>
  <si>
    <t>Salbke</t>
  </si>
  <si>
    <t>DESAR</t>
  </si>
  <si>
    <t>Salzgitter</t>
  </si>
  <si>
    <t>DEZMU</t>
  </si>
  <si>
    <t>DESDE</t>
  </si>
  <si>
    <t>Sande, Friesland</t>
  </si>
  <si>
    <t>DESMA</t>
  </si>
  <si>
    <t>Sankt Margarethen</t>
  </si>
  <si>
    <t>DEPSH</t>
  </si>
  <si>
    <t>Sankt Peter-Ording</t>
  </si>
  <si>
    <t>DESAS</t>
  </si>
  <si>
    <t>Sassnitz</t>
  </si>
  <si>
    <t>DESAU</t>
  </si>
  <si>
    <t>Schacht-Audorf</t>
  </si>
  <si>
    <t>DESDI</t>
  </si>
  <si>
    <t>Schalding</t>
  </si>
  <si>
    <t>DES3B</t>
  </si>
  <si>
    <t>Schechingen</t>
  </si>
  <si>
    <t>DESEF</t>
  </si>
  <si>
    <t>Schelldorf</t>
  </si>
  <si>
    <t>DESCV</t>
  </si>
  <si>
    <t>Schleiden</t>
  </si>
  <si>
    <t>DESLS</t>
  </si>
  <si>
    <t>Schleswig</t>
  </si>
  <si>
    <t>DEMHA</t>
  </si>
  <si>
    <t>Schmedehausen</t>
  </si>
  <si>
    <t>DESNR</t>
  </si>
  <si>
    <t>Schnackenburg</t>
  </si>
  <si>
    <t>DEOKE</t>
  </si>
  <si>
    <t>DESFL</t>
  </si>
  <si>
    <t>DESPD</t>
  </si>
  <si>
    <t>Schopsdorf</t>
  </si>
  <si>
    <t>DESZ8</t>
  </si>
  <si>
    <t>Schozach</t>
  </si>
  <si>
    <t>DECHL</t>
  </si>
  <si>
    <t>Schulau</t>
  </si>
  <si>
    <t>DESPS</t>
  </si>
  <si>
    <t>DEUTT</t>
  </si>
  <si>
    <t>Schuttertal</t>
  </si>
  <si>
    <t>DECWN</t>
  </si>
  <si>
    <t>Schwaan</t>
  </si>
  <si>
    <t>DESWF</t>
  </si>
  <si>
    <t>Schwaigern</t>
  </si>
  <si>
    <t>DESWQ</t>
  </si>
  <si>
    <t>Schwanfeld</t>
  </si>
  <si>
    <t>DESWZ</t>
  </si>
  <si>
    <t>Schwarzenbruck</t>
  </si>
  <si>
    <t>DESDT</t>
  </si>
  <si>
    <t>Schwedt</t>
  </si>
  <si>
    <t>DESCW</t>
  </si>
  <si>
    <t>Schweinfurt</t>
  </si>
  <si>
    <t>DESGW</t>
  </si>
  <si>
    <t>Schwelgern</t>
  </si>
  <si>
    <t>DESWT</t>
  </si>
  <si>
    <t>Schwentinental</t>
  </si>
  <si>
    <t>DESRI</t>
  </si>
  <si>
    <t>Schweringen</t>
  </si>
  <si>
    <t>DEIEW</t>
  </si>
  <si>
    <t>Schwielowsee</t>
  </si>
  <si>
    <t>DEB85</t>
  </si>
  <si>
    <t>Schwindegg</t>
  </si>
  <si>
    <t>DESXE</t>
  </si>
  <si>
    <t>Seelbach</t>
  </si>
  <si>
    <t>DESE8</t>
  </si>
  <si>
    <t>Seeshaupt</t>
  </si>
  <si>
    <t>DEKFT</t>
  </si>
  <si>
    <t>Segnitz</t>
  </si>
  <si>
    <t>DESEH</t>
  </si>
  <si>
    <t>Sehestedt/Eider</t>
  </si>
  <si>
    <t>DESNE</t>
  </si>
  <si>
    <t>Sehnde</t>
  </si>
  <si>
    <t>DEYSF</t>
  </si>
  <si>
    <t>Seifhennersdorf</t>
  </si>
  <si>
    <t>DEDEE</t>
  </si>
  <si>
    <t>Senden</t>
  </si>
  <si>
    <t>DEEHM</t>
  </si>
  <si>
    <t>Senheim</t>
  </si>
  <si>
    <t>DESRA</t>
  </si>
  <si>
    <t>Serrig</t>
  </si>
  <si>
    <t>DESQJ</t>
  </si>
  <si>
    <t>Sesslach</t>
  </si>
  <si>
    <t>DESEP</t>
  </si>
  <si>
    <t>DESPE</t>
  </si>
  <si>
    <t>Speyer</t>
  </si>
  <si>
    <t>DESPI</t>
  </si>
  <si>
    <t>Spiekeroog</t>
  </si>
  <si>
    <t>DEPYK</t>
  </si>
  <si>
    <t>Spyck</t>
  </si>
  <si>
    <t>DESTA</t>
  </si>
  <si>
    <t>Stade</t>
  </si>
  <si>
    <t>DESTS</t>
  </si>
  <si>
    <t>Stader Sand</t>
  </si>
  <si>
    <t>DESL5</t>
  </si>
  <si>
    <t>Stahlbrode</t>
  </si>
  <si>
    <t>DESDD</t>
  </si>
  <si>
    <t>Steenodde, Amrum</t>
  </si>
  <si>
    <t>DESN2</t>
  </si>
  <si>
    <t>Stein</t>
  </si>
  <si>
    <t>DEHSJ</t>
  </si>
  <si>
    <t>Steinhorst</t>
  </si>
  <si>
    <t>DESWS</t>
  </si>
  <si>
    <t>Steinwiesen</t>
  </si>
  <si>
    <t>DESKN</t>
  </si>
  <si>
    <t>Stephanskirchen</t>
  </si>
  <si>
    <t>DESRP</t>
  </si>
  <si>
    <t>Stockhausen-Illfurth</t>
  </si>
  <si>
    <t>DESOC</t>
  </si>
  <si>
    <t>Stollhofen</t>
  </si>
  <si>
    <t>DESNP</t>
  </si>
  <si>
    <t>Stolpe</t>
  </si>
  <si>
    <t>DESTL</t>
  </si>
  <si>
    <t>Stralsund</t>
  </si>
  <si>
    <t>DESTD</t>
  </si>
  <si>
    <t>Strande</t>
  </si>
  <si>
    <t>DESTB</t>
  </si>
  <si>
    <t>Straubing</t>
  </si>
  <si>
    <t>DETLB</t>
  </si>
  <si>
    <t>Strehla/Elbe</t>
  </si>
  <si>
    <t>DESUD</t>
  </si>
  <si>
    <t>DEUHF</t>
  </si>
  <si>
    <t>Suhrendorf</t>
  </si>
  <si>
    <t>DESLZ</t>
  </si>
  <si>
    <t>Sulzbach-Laufen</t>
  </si>
  <si>
    <t>DEZB4</t>
  </si>
  <si>
    <t>Sulzberg</t>
  </si>
  <si>
    <t>DESNC</t>
  </si>
  <si>
    <t>DETAR</t>
  </si>
  <si>
    <t>Taben</t>
  </si>
  <si>
    <t>DETAE</t>
  </si>
  <si>
    <t>DETLT</t>
  </si>
  <si>
    <t>Teltow</t>
  </si>
  <si>
    <t>DETMM</t>
  </si>
  <si>
    <t>Temmels</t>
  </si>
  <si>
    <t>DETCN</t>
  </si>
  <si>
    <t>Teuchern</t>
  </si>
  <si>
    <t>DETWZ</t>
  </si>
  <si>
    <t>Thallwitz</t>
  </si>
  <si>
    <t>DETHR</t>
  </si>
  <si>
    <t>Thierhaupten</t>
  </si>
  <si>
    <t>DETOY</t>
  </si>
  <si>
    <t>Tholey</t>
  </si>
  <si>
    <t>DERRT</t>
  </si>
  <si>
    <t>DETHU</t>
  </si>
  <si>
    <t>Thune</t>
  </si>
  <si>
    <t>DETGM</t>
  </si>
  <si>
    <t>DETYN</t>
  </si>
  <si>
    <t>Thurnau</t>
  </si>
  <si>
    <t>DETSU</t>
  </si>
  <si>
    <t>Tiessau</t>
  </si>
  <si>
    <t>DETCH</t>
  </si>
  <si>
    <t>Toepchin</t>
  </si>
  <si>
    <t>DETOE</t>
  </si>
  <si>
    <t>DETMH</t>
  </si>
  <si>
    <t>DETOS</t>
  </si>
  <si>
    <t>Tossens</t>
  </si>
  <si>
    <t>DETRT</t>
  </si>
  <si>
    <t>Traben-Trarbach</t>
  </si>
  <si>
    <t>DETRV</t>
  </si>
  <si>
    <t>DETBN</t>
  </si>
  <si>
    <t>Trebbin</t>
  </si>
  <si>
    <t>DETRH</t>
  </si>
  <si>
    <t>Trechtingshausen</t>
  </si>
  <si>
    <t>DETKD</t>
  </si>
  <si>
    <t>Treis-Karden</t>
  </si>
  <si>
    <t>DETRI</t>
  </si>
  <si>
    <t>Trier</t>
  </si>
  <si>
    <t>DETRF</t>
  </si>
  <si>
    <t>Trochtelfingen</t>
  </si>
  <si>
    <t>DEUEB</t>
  </si>
  <si>
    <t>DEUH7</t>
  </si>
  <si>
    <t>Udenheim</t>
  </si>
  <si>
    <t>DEUCK</t>
  </si>
  <si>
    <t>DEUEL</t>
  </si>
  <si>
    <t>Uelzen</t>
  </si>
  <si>
    <t>DEUES</t>
  </si>
  <si>
    <t>Uesen</t>
  </si>
  <si>
    <t>DEUET</t>
  </si>
  <si>
    <t>Uetersen</t>
  </si>
  <si>
    <t>DEULM</t>
  </si>
  <si>
    <t>Ulm</t>
  </si>
  <si>
    <t>DEUPS</t>
  </si>
  <si>
    <t>DEGUZ</t>
  </si>
  <si>
    <t>Urmitz</t>
  </si>
  <si>
    <t>DEVAR</t>
  </si>
  <si>
    <t>Varel</t>
  </si>
  <si>
    <t>DEVNA</t>
  </si>
  <si>
    <t>Venhaus</t>
  </si>
  <si>
    <t>DEVEN</t>
  </si>
  <si>
    <t>Venne</t>
  </si>
  <si>
    <t>DEVEJ</t>
  </si>
  <si>
    <t>Vetschau</t>
  </si>
  <si>
    <t>DEVTZ</t>
  </si>
  <si>
    <t>Vielitz</t>
  </si>
  <si>
    <t>DEVIU</t>
  </si>
  <si>
    <t>Vienenburg</t>
  </si>
  <si>
    <t>DEVIW</t>
  </si>
  <si>
    <t>Vierow</t>
  </si>
  <si>
    <t>DEVRW</t>
  </si>
  <si>
    <t>Viewrow</t>
  </si>
  <si>
    <t>DEVGF</t>
  </si>
  <si>
    <t>Vilgertshofen</t>
  </si>
  <si>
    <t>DEVBS</t>
  </si>
  <si>
    <t>Vilsbiburg</t>
  </si>
  <si>
    <t>DEV44</t>
  </si>
  <si>
    <t>Vinn</t>
  </si>
  <si>
    <t>DEVTT</t>
  </si>
  <si>
    <t>Vitte (Hiddensee)</t>
  </si>
  <si>
    <t>DEVOC</t>
  </si>
  <si>
    <t>Vockfey</t>
  </si>
  <si>
    <t>DEVRD</t>
  </si>
  <si>
    <t>Voerde</t>
  </si>
  <si>
    <t>DEVOL</t>
  </si>
  <si>
    <t>Volkach</t>
  </si>
  <si>
    <t>DEVOE</t>
  </si>
  <si>
    <t>DEWAZ</t>
  </si>
  <si>
    <t>Wabern</t>
  </si>
  <si>
    <t>DEAHH</t>
  </si>
  <si>
    <t>Walderbach</t>
  </si>
  <si>
    <t>DEWLE</t>
  </si>
  <si>
    <t>Walheim</t>
  </si>
  <si>
    <t>DEWLM</t>
  </si>
  <si>
    <t>Walsum</t>
  </si>
  <si>
    <t>DEWTP</t>
  </si>
  <si>
    <t>Waltrop</t>
  </si>
  <si>
    <t>DEWNL</t>
  </si>
  <si>
    <t>Wandersleben</t>
  </si>
  <si>
    <t>DEAGE</t>
  </si>
  <si>
    <t>Wangerooge</t>
  </si>
  <si>
    <t>DEWKE</t>
  </si>
  <si>
    <t>Wankendorf</t>
  </si>
  <si>
    <t>DEANE</t>
  </si>
  <si>
    <t>Wanne-Eickel</t>
  </si>
  <si>
    <t>DEWAR</t>
  </si>
  <si>
    <t>DEERA</t>
  </si>
  <si>
    <t>Watzerath</t>
  </si>
  <si>
    <t>DEYWX</t>
  </si>
  <si>
    <t>Waxweiler</t>
  </si>
  <si>
    <t>DEWED</t>
  </si>
  <si>
    <t>Wedel</t>
  </si>
  <si>
    <t>DEWNT</t>
  </si>
  <si>
    <t>Wedlenstedt</t>
  </si>
  <si>
    <t>DESWW</t>
  </si>
  <si>
    <t>Wedtlenstedt</t>
  </si>
  <si>
    <t>DEWEE</t>
  </si>
  <si>
    <t>Weener</t>
  </si>
  <si>
    <t>DEWGQ</t>
  </si>
  <si>
    <t>Wehingen</t>
  </si>
  <si>
    <t>DEWKK</t>
  </si>
  <si>
    <t>Weikersheim</t>
  </si>
  <si>
    <t>DEWWI</t>
  </si>
  <si>
    <t>Weilerswist</t>
  </si>
  <si>
    <t>DEIWN</t>
  </si>
  <si>
    <t>Weinbergen</t>
  </si>
  <si>
    <t>DEADT</t>
  </si>
  <si>
    <t>Weinstadt</t>
  </si>
  <si>
    <t>DERRP</t>
  </si>
  <si>
    <t>Weisenheim am Sand</t>
  </si>
  <si>
    <t>DEBYW</t>
  </si>
  <si>
    <t>Weissenbrunn</t>
  </si>
  <si>
    <t>DEWNG</t>
  </si>
  <si>
    <t>Weissenburg in Bayern</t>
  </si>
  <si>
    <t>DEWNU</t>
  </si>
  <si>
    <t>Weissenthurm</t>
  </si>
  <si>
    <t>DEITN</t>
  </si>
  <si>
    <t>Weitnau</t>
  </si>
  <si>
    <t>DEWMM</t>
  </si>
  <si>
    <t>Wemmetsweiler</t>
  </si>
  <si>
    <t>DERIC</t>
  </si>
  <si>
    <t>Werrich</t>
  </si>
  <si>
    <t>DEWTM</t>
  </si>
  <si>
    <t>Wertheim</t>
  </si>
  <si>
    <t>DEWES</t>
  </si>
  <si>
    <t>Wesel</t>
  </si>
  <si>
    <t>DEWAC</t>
  </si>
  <si>
    <t>Westeraccumersiel</t>
  </si>
  <si>
    <t>DEWE5</t>
  </si>
  <si>
    <t>Wester-Ohrstedt</t>
  </si>
  <si>
    <t>DETTR</t>
  </si>
  <si>
    <t>Wettringen</t>
  </si>
  <si>
    <t>DEWEW</t>
  </si>
  <si>
    <t>Wewelsfleth</t>
  </si>
  <si>
    <t>DEWKZ</t>
  </si>
  <si>
    <t>Wickrath</t>
  </si>
  <si>
    <t>DEWIK</t>
  </si>
  <si>
    <t>Wiek</t>
  </si>
  <si>
    <t>DEWIB</t>
  </si>
  <si>
    <t>Wiesbaden</t>
  </si>
  <si>
    <t>DEWIE</t>
  </si>
  <si>
    <t>Wiesens</t>
  </si>
  <si>
    <t>DEWVN</t>
  </si>
  <si>
    <t>Wilhelmshaven</t>
  </si>
  <si>
    <t>DEWB2</t>
  </si>
  <si>
    <t>Willmersdorf</t>
  </si>
  <si>
    <t>DEWIL</t>
  </si>
  <si>
    <t>Wilster</t>
  </si>
  <si>
    <t>DEWIM</t>
  </si>
  <si>
    <t>Wimmer</t>
  </si>
  <si>
    <t>DEWNH</t>
  </si>
  <si>
    <t>Windheim</t>
  </si>
  <si>
    <t>DEWWH</t>
  </si>
  <si>
    <t>Windsbach</t>
  </si>
  <si>
    <t>DEWNI</t>
  </si>
  <si>
    <t>Winnweiler</t>
  </si>
  <si>
    <t>DEWHP</t>
  </si>
  <si>
    <t>Wipperdorf</t>
  </si>
  <si>
    <t>DEWIH</t>
  </si>
  <si>
    <t>Wisch</t>
  </si>
  <si>
    <t>DEWIF</t>
  </si>
  <si>
    <t>Wischhafen</t>
  </si>
  <si>
    <t>DEWIS</t>
  </si>
  <si>
    <t>Wismar</t>
  </si>
  <si>
    <t>DEWTG</t>
  </si>
  <si>
    <t>Wittenberg</t>
  </si>
  <si>
    <t>DETNR</t>
  </si>
  <si>
    <t>Wittenberge</t>
  </si>
  <si>
    <t>DEWTU</t>
  </si>
  <si>
    <t>Wittichenau</t>
  </si>
  <si>
    <t>DEWIT</t>
  </si>
  <si>
    <t>Wittlage</t>
  </si>
  <si>
    <t>DEOHL</t>
  </si>
  <si>
    <t>Wohlenberg</t>
  </si>
  <si>
    <t>DEWOB</t>
  </si>
  <si>
    <t>Wolfsburg</t>
  </si>
  <si>
    <t>DEWOL</t>
  </si>
  <si>
    <t>Wolgast</t>
  </si>
  <si>
    <t>DEOLK</t>
  </si>
  <si>
    <t>Wolkenstein</t>
  </si>
  <si>
    <t>DELZG</t>
  </si>
  <si>
    <t>Wolzig</t>
  </si>
  <si>
    <t>DEWOR</t>
  </si>
  <si>
    <t>Worms</t>
  </si>
  <si>
    <t>DEWOG</t>
  </si>
  <si>
    <t>Worringen</t>
  </si>
  <si>
    <t>DEWOE</t>
  </si>
  <si>
    <t>DEWTA</t>
  </si>
  <si>
    <t>DEWRY</t>
  </si>
  <si>
    <t>Wremen</t>
  </si>
  <si>
    <t>DERZE</t>
  </si>
  <si>
    <t>Wriezen</t>
  </si>
  <si>
    <t>DEWRI</t>
  </si>
  <si>
    <t>Wrist</t>
  </si>
  <si>
    <t>DEWUE</t>
  </si>
  <si>
    <t>DEWFA</t>
  </si>
  <si>
    <t>Wutha-Farnroda</t>
  </si>
  <si>
    <t>DEWYK</t>
  </si>
  <si>
    <t>DEZHA</t>
  </si>
  <si>
    <t>Zahna</t>
  </si>
  <si>
    <t>DEZIZ</t>
  </si>
  <si>
    <t>Zaisenhausen</t>
  </si>
  <si>
    <t>DEZAI</t>
  </si>
  <si>
    <t>Zaisertshofen</t>
  </si>
  <si>
    <t>DEZRH</t>
  </si>
  <si>
    <t>DEZHD</t>
  </si>
  <si>
    <t>Zehdenick</t>
  </si>
  <si>
    <t>DEZH8</t>
  </si>
  <si>
    <t>Zehren</t>
  </si>
  <si>
    <t>DEZZL</t>
  </si>
  <si>
    <t>Zellertal</t>
  </si>
  <si>
    <t>DEZLT</t>
  </si>
  <si>
    <t>Zeltingen-Rachtig</t>
  </si>
  <si>
    <t>DEZTH</t>
  </si>
  <si>
    <t>Zeuthen</t>
  </si>
  <si>
    <t>DEZIS</t>
  </si>
  <si>
    <t>Zingst</t>
  </si>
  <si>
    <t>DEZIN</t>
  </si>
  <si>
    <t>Zinnowitz</t>
  </si>
  <si>
    <t>DEZOR</t>
  </si>
  <si>
    <t>Zorge</t>
  </si>
  <si>
    <t>DEZZH</t>
  </si>
  <si>
    <t>Zuzenhausen</t>
  </si>
  <si>
    <t>DEAWI</t>
  </si>
  <si>
    <t>Zwiefalten</t>
  </si>
  <si>
    <t>DJJIB</t>
  </si>
  <si>
    <t>Djibouti</t>
  </si>
  <si>
    <t>DJPOD</t>
  </si>
  <si>
    <t>DJDCT</t>
  </si>
  <si>
    <t>Doraleh Container Terminal</t>
  </si>
  <si>
    <t>DKAAL</t>
  </si>
  <si>
    <t>Aalborg</t>
  </si>
  <si>
    <t>DKROR</t>
  </si>
  <si>
    <t>Aalborg Portland Cementfabrikk</t>
  </si>
  <si>
    <t>DKAAR</t>
  </si>
  <si>
    <t>Aarhus</t>
  </si>
  <si>
    <t>DKAAB</t>
  </si>
  <si>
    <t>DKKK4</t>
  </si>
  <si>
    <t>DKARK</t>
  </si>
  <si>
    <t>DKAGO</t>
  </si>
  <si>
    <t>DKAGH</t>
  </si>
  <si>
    <t>Agger Havn</t>
  </si>
  <si>
    <t>DKASH</t>
  </si>
  <si>
    <t>Aggersund</t>
  </si>
  <si>
    <t>DKAK3</t>
  </si>
  <si>
    <t>DKAGE</t>
  </si>
  <si>
    <t>Allinge</t>
  </si>
  <si>
    <t>DKANH</t>
  </si>
  <si>
    <t>Anholt</t>
  </si>
  <si>
    <t>DKARO</t>
  </si>
  <si>
    <t>DKARD</t>
  </si>
  <si>
    <t>DKASA</t>
  </si>
  <si>
    <t>Asaa</t>
  </si>
  <si>
    <t>DKASK</t>
  </si>
  <si>
    <t>DKASV</t>
  </si>
  <si>
    <t>DKASN</t>
  </si>
  <si>
    <t>Assens</t>
  </si>
  <si>
    <t>DKAUB</t>
  </si>
  <si>
    <t>Augustenborg</t>
  </si>
  <si>
    <t>DKVRE</t>
  </si>
  <si>
    <t>Avedore</t>
  </si>
  <si>
    <t>DKAVE</t>
  </si>
  <si>
    <t>DKAVK</t>
  </si>
  <si>
    <t>Avernak By</t>
  </si>
  <si>
    <t>DKAVN</t>
  </si>
  <si>
    <t>Avernakke Havn</t>
  </si>
  <si>
    <t>DKBGO</t>
  </si>
  <si>
    <t>DKBLU</t>
  </si>
  <si>
    <t>Baelum</t>
  </si>
  <si>
    <t>DKBAG</t>
  </si>
  <si>
    <t>Bagenkop</t>
  </si>
  <si>
    <t>DKBLB</t>
  </si>
  <si>
    <t>Ballebro</t>
  </si>
  <si>
    <t>DKBAL</t>
  </si>
  <si>
    <t>Ballen</t>
  </si>
  <si>
    <t>DKBDX</t>
  </si>
  <si>
    <t>Bandholm</t>
  </si>
  <si>
    <t>DKBLA</t>
  </si>
  <si>
    <t>Blavand</t>
  </si>
  <si>
    <t>DKBGZ</t>
  </si>
  <si>
    <t>Bogense</t>
  </si>
  <si>
    <t>DKBOG</t>
  </si>
  <si>
    <t>Bogo By</t>
  </si>
  <si>
    <t>DKBOS</t>
  </si>
  <si>
    <t>DKBBG</t>
  </si>
  <si>
    <t>DKBRB</t>
  </si>
  <si>
    <t>Brabrand</t>
  </si>
  <si>
    <t>DKBRH</t>
  </si>
  <si>
    <t>Branden Havn</t>
  </si>
  <si>
    <t>DKDAN</t>
  </si>
  <si>
    <t>Cementfabriken Dania</t>
  </si>
  <si>
    <t>DKKON</t>
  </si>
  <si>
    <t>Cementfabrikken Kongsdal Havn</t>
  </si>
  <si>
    <t>DKOOT</t>
  </si>
  <si>
    <t>Charlottenlund</t>
  </si>
  <si>
    <t>DKCSO</t>
  </si>
  <si>
    <t>DKDN6</t>
  </si>
  <si>
    <t>Dannemare</t>
  </si>
  <si>
    <t>DKDAS</t>
  </si>
  <si>
    <t>Dansk Salts Havn</t>
  </si>
  <si>
    <t>DKDRA</t>
  </si>
  <si>
    <t>DKDYS</t>
  </si>
  <si>
    <t>Dyssegard</t>
  </si>
  <si>
    <t>DKEBT</t>
  </si>
  <si>
    <t>Ebeltoft</t>
  </si>
  <si>
    <t>DKEGN</t>
  </si>
  <si>
    <t>Egense</t>
  </si>
  <si>
    <t>DKEND</t>
  </si>
  <si>
    <t>Egernsund</t>
  </si>
  <si>
    <t>DKEDL</t>
  </si>
  <si>
    <t>Endelave</t>
  </si>
  <si>
    <t>DKENS</t>
  </si>
  <si>
    <t>DKEBJ</t>
  </si>
  <si>
    <t>Esbjerg</t>
  </si>
  <si>
    <t>DKEK4</t>
  </si>
  <si>
    <t>Eskilstrup</t>
  </si>
  <si>
    <t>DKFAA</t>
  </si>
  <si>
    <t>Faaborg</t>
  </si>
  <si>
    <t>DKFAK</t>
  </si>
  <si>
    <t>Fakse Ladeplads Havn</t>
  </si>
  <si>
    <t>DKFGS</t>
  </si>
  <si>
    <t>Feggesund</t>
  </si>
  <si>
    <t>DKFEJ</t>
  </si>
  <si>
    <t>DKFMO</t>
  </si>
  <si>
    <t>DKFER</t>
  </si>
  <si>
    <t>Ferritslev</t>
  </si>
  <si>
    <t>DKFRK</t>
  </si>
  <si>
    <t>DKFRC</t>
  </si>
  <si>
    <t>Fredericia</t>
  </si>
  <si>
    <t>DKFDH</t>
  </si>
  <si>
    <t>Frederikshavn</t>
  </si>
  <si>
    <t>DKFDS</t>
  </si>
  <si>
    <t>Frederikssund</t>
  </si>
  <si>
    <t>DKFDV</t>
  </si>
  <si>
    <t>DKFUH</t>
  </si>
  <si>
    <t>Fur</t>
  </si>
  <si>
    <t>DKFYH</t>
  </si>
  <si>
    <t>Fynshav</t>
  </si>
  <si>
    <t>DKGED</t>
  </si>
  <si>
    <t>Gedser</t>
  </si>
  <si>
    <t>DKGTS</t>
  </si>
  <si>
    <t>Glatved Strand</t>
  </si>
  <si>
    <t>DKGLY</t>
  </si>
  <si>
    <t>DKGRA</t>
  </si>
  <si>
    <t>DKGRE</t>
  </si>
  <si>
    <t>Grenaa</t>
  </si>
  <si>
    <t>DKGDM</t>
  </si>
  <si>
    <t>Gudhjem</t>
  </si>
  <si>
    <t>DKGFH</t>
  </si>
  <si>
    <t>Gulfhavn</t>
  </si>
  <si>
    <t>DKHAD</t>
  </si>
  <si>
    <t>Haderslev</t>
  </si>
  <si>
    <t>DKHSU</t>
  </si>
  <si>
    <t>Hadsund</t>
  </si>
  <si>
    <t>DKHAS</t>
  </si>
  <si>
    <t>Hals</t>
  </si>
  <si>
    <t>DKHHV</t>
  </si>
  <si>
    <t>Hammerhavn</t>
  </si>
  <si>
    <t>DKHAN</t>
  </si>
  <si>
    <t>Hanstholm</t>
  </si>
  <si>
    <t>DKHDH</t>
  </si>
  <si>
    <t>DKHSL</t>
  </si>
  <si>
    <t>Hasle</t>
  </si>
  <si>
    <t>DKHNB</t>
  </si>
  <si>
    <t>Havneby</t>
  </si>
  <si>
    <t>DKHVN</t>
  </si>
  <si>
    <t>DKHEJ</t>
  </si>
  <si>
    <t>Hejls</t>
  </si>
  <si>
    <t>DKHVT</t>
  </si>
  <si>
    <t>DKHLS</t>
  </si>
  <si>
    <t>DKHER</t>
  </si>
  <si>
    <t>Herning</t>
  </si>
  <si>
    <t>DKHIR</t>
  </si>
  <si>
    <t>Hirtshals</t>
  </si>
  <si>
    <t>DKHJT</t>
  </si>
  <si>
    <t>Hjerting</t>
  </si>
  <si>
    <t>DKHBO</t>
  </si>
  <si>
    <t>Hobro</t>
  </si>
  <si>
    <t>DKHJ3</t>
  </si>
  <si>
    <t>DKHBK</t>
  </si>
  <si>
    <t>DKHSB</t>
  </si>
  <si>
    <t>Holstebro</t>
  </si>
  <si>
    <t>DKHOR</t>
  </si>
  <si>
    <t>Horsens</t>
  </si>
  <si>
    <t>DKHOH</t>
  </si>
  <si>
    <t>Hou Havn</t>
  </si>
  <si>
    <t>DKHWO</t>
  </si>
  <si>
    <t>Hov</t>
  </si>
  <si>
    <t>DKHBA</t>
  </si>
  <si>
    <t>DKHUN</t>
  </si>
  <si>
    <t>Hundested</t>
  </si>
  <si>
    <t>DKHVA</t>
  </si>
  <si>
    <t>Hvalpsund</t>
  </si>
  <si>
    <t>DKHVS</t>
  </si>
  <si>
    <t>Hvide Sande</t>
  </si>
  <si>
    <t>DKJEL</t>
  </si>
  <si>
    <t>Jelling</t>
  </si>
  <si>
    <t>DKJUE</t>
  </si>
  <si>
    <t>Juelsminde</t>
  </si>
  <si>
    <t>DKKAL</t>
  </si>
  <si>
    <t>Kalundborg</t>
  </si>
  <si>
    <t>DKKAR</t>
  </si>
  <si>
    <t>Karlslunde</t>
  </si>
  <si>
    <t>DKKBK</t>
  </si>
  <si>
    <t>DKKTP</t>
  </si>
  <si>
    <t>Kastrup</t>
  </si>
  <si>
    <t>DKKTD</t>
  </si>
  <si>
    <t>Kerteminde</t>
  </si>
  <si>
    <t>DKKT4</t>
  </si>
  <si>
    <t>Kettinge</t>
  </si>
  <si>
    <t>DKKLP</t>
  </si>
  <si>
    <t>Kleppen</t>
  </si>
  <si>
    <t>DKKBG</t>
  </si>
  <si>
    <t>Klintebjerg</t>
  </si>
  <si>
    <t>DKKHV</t>
  </si>
  <si>
    <t>Knudshoved</t>
  </si>
  <si>
    <t>DKCPH</t>
  </si>
  <si>
    <t>DKKOG</t>
  </si>
  <si>
    <t>DKKOK</t>
  </si>
  <si>
    <t>DKKOL</t>
  </si>
  <si>
    <t>Kolding</t>
  </si>
  <si>
    <t>DKKDM</t>
  </si>
  <si>
    <t>Kollund Mole</t>
  </si>
  <si>
    <t>DKKGL</t>
  </si>
  <si>
    <t>Kongsdal Harbour</t>
  </si>
  <si>
    <t>DKKRR</t>
  </si>
  <si>
    <t>DKKRA</t>
  </si>
  <si>
    <t>DKKVR</t>
  </si>
  <si>
    <t>DKKBY</t>
  </si>
  <si>
    <t>Kyndbyvaerkets Havn</t>
  </si>
  <si>
    <t>DKLVG</t>
  </si>
  <si>
    <t>Lemvig</t>
  </si>
  <si>
    <t>DKLHH</t>
  </si>
  <si>
    <t>Lindholm Havn</t>
  </si>
  <si>
    <t>DKLIN</t>
  </si>
  <si>
    <t>DKLGR</t>
  </si>
  <si>
    <t>DKLOH</t>
  </si>
  <si>
    <t>Lohals</t>
  </si>
  <si>
    <t>DKLUN</t>
  </si>
  <si>
    <t>Lundeborg</t>
  </si>
  <si>
    <t>DKLYO</t>
  </si>
  <si>
    <t>Lyngs Odde Havn</t>
  </si>
  <si>
    <t>DKMRB</t>
  </si>
  <si>
    <t>DKMRR</t>
  </si>
  <si>
    <t>Mariager</t>
  </si>
  <si>
    <t>DKMRS</t>
  </si>
  <si>
    <t>Marstal</t>
  </si>
  <si>
    <t>DKMAS</t>
  </si>
  <si>
    <t>DKMKH</t>
  </si>
  <si>
    <t>Masnedovaerkets Havn/Vordingborg</t>
  </si>
  <si>
    <t>DKMNS</t>
  </si>
  <si>
    <t>Masnedsund</t>
  </si>
  <si>
    <t>DKUNX</t>
  </si>
  <si>
    <t>Masnedsund Godningshamn</t>
  </si>
  <si>
    <t>DKMID</t>
  </si>
  <si>
    <t>Middelfart</t>
  </si>
  <si>
    <t>DKMOM</t>
  </si>
  <si>
    <t>Mommark</t>
  </si>
  <si>
    <t>DKNUD</t>
  </si>
  <si>
    <t>DKNVD</t>
  </si>
  <si>
    <t>DKNGB</t>
  </si>
  <si>
    <t>Nagbol</t>
  </si>
  <si>
    <t>DKNAK</t>
  </si>
  <si>
    <t>Nakskov</t>
  </si>
  <si>
    <t>DKNEX</t>
  </si>
  <si>
    <t>DKNDB</t>
  </si>
  <si>
    <t>DKVSV</t>
  </si>
  <si>
    <t>Norjyllandsvarkets havn</t>
  </si>
  <si>
    <t>DKNRE</t>
  </si>
  <si>
    <t>DKNSD</t>
  </si>
  <si>
    <t>DKNRS</t>
  </si>
  <si>
    <t>DKNBG</t>
  </si>
  <si>
    <t>Nyborg</t>
  </si>
  <si>
    <t>DKNYB</t>
  </si>
  <si>
    <t>DKNYF</t>
  </si>
  <si>
    <t>DKNYM</t>
  </si>
  <si>
    <t>DKN3S</t>
  </si>
  <si>
    <t>Nykobing Sjaelland</t>
  </si>
  <si>
    <t>DKNR4</t>
  </si>
  <si>
    <t>Nyrup</t>
  </si>
  <si>
    <t>DKNTD</t>
  </si>
  <si>
    <t>Nysted</t>
  </si>
  <si>
    <t>DKODE</t>
  </si>
  <si>
    <t>Odense</t>
  </si>
  <si>
    <t>DKOMO</t>
  </si>
  <si>
    <t>DKORE</t>
  </si>
  <si>
    <t>Orehoved, Falster</t>
  </si>
  <si>
    <t>DKORO</t>
  </si>
  <si>
    <t>DKRAN</t>
  </si>
  <si>
    <t>Randers</t>
  </si>
  <si>
    <t>DKROF</t>
  </si>
  <si>
    <t>DKROD</t>
  </si>
  <si>
    <t>DKRDK</t>
  </si>
  <si>
    <t>DKRDH</t>
  </si>
  <si>
    <t>DKRMO</t>
  </si>
  <si>
    <t>Romo</t>
  </si>
  <si>
    <t>DKRNN</t>
  </si>
  <si>
    <t>DKRRV</t>
  </si>
  <si>
    <t>DKRKE</t>
  </si>
  <si>
    <t>Roskilde</t>
  </si>
  <si>
    <t>DKRD4</t>
  </si>
  <si>
    <t>Rude</t>
  </si>
  <si>
    <t>DKRKB</t>
  </si>
  <si>
    <t>DKRYS</t>
  </si>
  <si>
    <t>Ryslinge</t>
  </si>
  <si>
    <t>DKSAE</t>
  </si>
  <si>
    <t>DKSLV</t>
  </si>
  <si>
    <t>DKKII</t>
  </si>
  <si>
    <t>Saint Kilian</t>
  </si>
  <si>
    <t>DKSAX</t>
  </si>
  <si>
    <t>DKSD7</t>
  </si>
  <si>
    <t>Sandved</t>
  </si>
  <si>
    <t>DKSVG</t>
  </si>
  <si>
    <t>Sandvig</t>
  </si>
  <si>
    <t>DKSEO</t>
  </si>
  <si>
    <t>DKSLB</t>
  </si>
  <si>
    <t>Silkeborg</t>
  </si>
  <si>
    <t>DKSSK</t>
  </si>
  <si>
    <t>DKSKA</t>
  </si>
  <si>
    <t>Skagen</t>
  </si>
  <si>
    <t>DKSDO</t>
  </si>
  <si>
    <t>DKSKV</t>
  </si>
  <si>
    <t>Skive</t>
  </si>
  <si>
    <t>DKSK3</t>
  </si>
  <si>
    <t>Skodsborg</t>
  </si>
  <si>
    <t>DKSNE</t>
  </si>
  <si>
    <t>Snekkersten</t>
  </si>
  <si>
    <t>DKSN2</t>
  </si>
  <si>
    <t>Snertinge</t>
  </si>
  <si>
    <t>DKSOB</t>
  </si>
  <si>
    <t>DKSL2</t>
  </si>
  <si>
    <t>DKSGD</t>
  </si>
  <si>
    <t>DKSPB</t>
  </si>
  <si>
    <t>Spodsbjerg Havn</t>
  </si>
  <si>
    <t>DKSVV</t>
  </si>
  <si>
    <t>DKSTT</t>
  </si>
  <si>
    <t>Statoil-Havnen</t>
  </si>
  <si>
    <t>DKSTA</t>
  </si>
  <si>
    <t>Stavning</t>
  </si>
  <si>
    <t>DKSTE</t>
  </si>
  <si>
    <t>Stege</t>
  </si>
  <si>
    <t>DKSN7</t>
  </si>
  <si>
    <t>Stensved</t>
  </si>
  <si>
    <t>DKSTP</t>
  </si>
  <si>
    <t>Stevns Pier</t>
  </si>
  <si>
    <t>DKSTG</t>
  </si>
  <si>
    <t>DKSTN</t>
  </si>
  <si>
    <t>DKSIT</t>
  </si>
  <si>
    <t>Stigsnaes Inter Terminal</t>
  </si>
  <si>
    <t>DKSF2</t>
  </si>
  <si>
    <t>Store Fuglede</t>
  </si>
  <si>
    <t>DKSH6</t>
  </si>
  <si>
    <t>Store Heddinge</t>
  </si>
  <si>
    <t>DKSM6</t>
  </si>
  <si>
    <t>DKSTB</t>
  </si>
  <si>
    <t>Strib Havn</t>
  </si>
  <si>
    <t>DKSB2</t>
  </si>
  <si>
    <t>DKSTR</t>
  </si>
  <si>
    <t>Struer</t>
  </si>
  <si>
    <t>DKSNO</t>
  </si>
  <si>
    <t>DKSBK</t>
  </si>
  <si>
    <t>DKSSV</t>
  </si>
  <si>
    <t>DKEOT</t>
  </si>
  <si>
    <t>Styrtom</t>
  </si>
  <si>
    <t>DKSNY</t>
  </si>
  <si>
    <t>Sundby/Mors</t>
  </si>
  <si>
    <t>DKSUE</t>
  </si>
  <si>
    <t>DKSVA</t>
  </si>
  <si>
    <t>Svaneke</t>
  </si>
  <si>
    <t>DKSVE</t>
  </si>
  <si>
    <t>Svendborg</t>
  </si>
  <si>
    <t>DKSDA</t>
  </si>
  <si>
    <t>Sydals</t>
  </si>
  <si>
    <t>DKTRS</t>
  </si>
  <si>
    <t>DKTED</t>
  </si>
  <si>
    <t>Thisted</t>
  </si>
  <si>
    <t>DKTKB</t>
  </si>
  <si>
    <t>DKTB4</t>
  </si>
  <si>
    <t>Toreby</t>
  </si>
  <si>
    <t>DKTRG</t>
  </si>
  <si>
    <t>Torrig</t>
  </si>
  <si>
    <t>DKTMD</t>
  </si>
  <si>
    <t>Torsminde</t>
  </si>
  <si>
    <t>DKTRO</t>
  </si>
  <si>
    <t>Troense</t>
  </si>
  <si>
    <t>DKTUB</t>
  </si>
  <si>
    <t>Tuborg</t>
  </si>
  <si>
    <t>DKTN3</t>
  </si>
  <si>
    <t>Tune</t>
  </si>
  <si>
    <t>DKTNO</t>
  </si>
  <si>
    <t>DKTYB</t>
  </si>
  <si>
    <t>DKVG4</t>
  </si>
  <si>
    <t>DKVAE</t>
  </si>
  <si>
    <t>DKVNG</t>
  </si>
  <si>
    <t>Vang Havn</t>
  </si>
  <si>
    <t>DKVB2</t>
  </si>
  <si>
    <t>Vejby</t>
  </si>
  <si>
    <t>DKVEJ</t>
  </si>
  <si>
    <t>Vejle</t>
  </si>
  <si>
    <t>DKVK7</t>
  </si>
  <si>
    <t>DKVM2</t>
  </si>
  <si>
    <t>Vemmelev</t>
  </si>
  <si>
    <t>DKVEN</t>
  </si>
  <si>
    <t>DKVT2</t>
  </si>
  <si>
    <t>Vesterborg</t>
  </si>
  <si>
    <t>DKVES</t>
  </si>
  <si>
    <t>DKVOR</t>
  </si>
  <si>
    <t>Vordingborg</t>
  </si>
  <si>
    <t>DKVBN</t>
  </si>
  <si>
    <t>Vordingborg Nordhavnen</t>
  </si>
  <si>
    <t>DKVBS</t>
  </si>
  <si>
    <t>Vordingborg Sydhavnen</t>
  </si>
  <si>
    <t>DMADM</t>
  </si>
  <si>
    <t>Anse du Mai</t>
  </si>
  <si>
    <t>DMBEL</t>
  </si>
  <si>
    <t>Belfast</t>
  </si>
  <si>
    <t>DMPOR</t>
  </si>
  <si>
    <t>Portsmouth</t>
  </si>
  <si>
    <t>DMRSU</t>
  </si>
  <si>
    <t>Roseau</t>
  </si>
  <si>
    <t>DOAZU</t>
  </si>
  <si>
    <t>Azua</t>
  </si>
  <si>
    <t>DOBAN</t>
  </si>
  <si>
    <t>DOBRX</t>
  </si>
  <si>
    <t>Barahona</t>
  </si>
  <si>
    <t>DOBQL</t>
  </si>
  <si>
    <t>Barcequillo</t>
  </si>
  <si>
    <t>DOBAV</t>
  </si>
  <si>
    <t>Bavaro</t>
  </si>
  <si>
    <t>DOBCC</t>
  </si>
  <si>
    <t>Boca Chica</t>
  </si>
  <si>
    <t>DOCBJ</t>
  </si>
  <si>
    <t>Cabo Rojo</t>
  </si>
  <si>
    <t>DOCDC</t>
  </si>
  <si>
    <t>Casa de Campo</t>
  </si>
  <si>
    <t>DOCAI</t>
  </si>
  <si>
    <t>Catalina Island</t>
  </si>
  <si>
    <t>DOCAU</t>
  </si>
  <si>
    <t>Caucedo</t>
  </si>
  <si>
    <t>DOCAL</t>
  </si>
  <si>
    <t>Cayo Levantado</t>
  </si>
  <si>
    <t>DOINA</t>
  </si>
  <si>
    <t>Haina</t>
  </si>
  <si>
    <t>DOHIG</t>
  </si>
  <si>
    <t>DOLRM</t>
  </si>
  <si>
    <t>La Romana</t>
  </si>
  <si>
    <t>DOMAN</t>
  </si>
  <si>
    <t>DOOCO</t>
  </si>
  <si>
    <t>Ocoa Bay</t>
  </si>
  <si>
    <t>DOPDR</t>
  </si>
  <si>
    <t>Pedernales</t>
  </si>
  <si>
    <t>DOPUO</t>
  </si>
  <si>
    <t>Puerto Libertador</t>
  </si>
  <si>
    <t>DOPAL</t>
  </si>
  <si>
    <t>Puerto Palenque</t>
  </si>
  <si>
    <t>DOPOP</t>
  </si>
  <si>
    <t>Puerto Plata</t>
  </si>
  <si>
    <t>DOPVA</t>
  </si>
  <si>
    <t>Puerto Viejo de Azua</t>
  </si>
  <si>
    <t>DOHAI</t>
  </si>
  <si>
    <t>Rio Haina</t>
  </si>
  <si>
    <t>DOSNX</t>
  </si>
  <si>
    <t>Sabana de la Mar</t>
  </si>
  <si>
    <t>DOSFN</t>
  </si>
  <si>
    <t>DOSPM</t>
  </si>
  <si>
    <t>DOSNZ</t>
  </si>
  <si>
    <t>DOSTI</t>
  </si>
  <si>
    <t>Santiago de los Caballeros</t>
  </si>
  <si>
    <t>DOSDQ</t>
  </si>
  <si>
    <t>Santo Domingo</t>
  </si>
  <si>
    <t>DOVAL</t>
  </si>
  <si>
    <t>Villa Altagracia</t>
  </si>
  <si>
    <t>DZALG</t>
  </si>
  <si>
    <t>Alger (Algiers)</t>
  </si>
  <si>
    <t>DZAAE</t>
  </si>
  <si>
    <t>Annaba (ex Bone)</t>
  </si>
  <si>
    <t>DZAZW</t>
  </si>
  <si>
    <t>Arzew</t>
  </si>
  <si>
    <t>DZBJA</t>
  </si>
  <si>
    <t>Bejaia (ex Bougie)</t>
  </si>
  <si>
    <t>DZBSF</t>
  </si>
  <si>
    <t>Benisaf</t>
  </si>
  <si>
    <t>DZBHA</t>
  </si>
  <si>
    <t>Bethioua</t>
  </si>
  <si>
    <t>DZBTA</t>
  </si>
  <si>
    <t>Bethoula</t>
  </si>
  <si>
    <t>DZBIU</t>
  </si>
  <si>
    <t>Bouinane</t>
  </si>
  <si>
    <t>DZCHE</t>
  </si>
  <si>
    <t>Cherchell</t>
  </si>
  <si>
    <t>DZCOL</t>
  </si>
  <si>
    <t>Collo</t>
  </si>
  <si>
    <t>DZDEL</t>
  </si>
  <si>
    <t>Dellys</t>
  </si>
  <si>
    <t>DZDJE</t>
  </si>
  <si>
    <t>Djen-Djen</t>
  </si>
  <si>
    <t>DZGHA</t>
  </si>
  <si>
    <t>DZGHZ</t>
  </si>
  <si>
    <t>Ghazaouet</t>
  </si>
  <si>
    <t>DZDJI</t>
  </si>
  <si>
    <t>Jijel (ex Djidjelli)</t>
  </si>
  <si>
    <t>DZKHE</t>
  </si>
  <si>
    <t>Kherrata</t>
  </si>
  <si>
    <t>DZMOS</t>
  </si>
  <si>
    <t>Mostaganem</t>
  </si>
  <si>
    <t>DZORN</t>
  </si>
  <si>
    <t>Oran</t>
  </si>
  <si>
    <t>DZROU</t>
  </si>
  <si>
    <t>Rouiba</t>
  </si>
  <si>
    <t>DZSKI</t>
  </si>
  <si>
    <t>Skikda (ex Philippeville)</t>
  </si>
  <si>
    <t>DZTBS</t>
  </si>
  <si>
    <t>Tebessa</t>
  </si>
  <si>
    <t>DZTEN</t>
  </si>
  <si>
    <t>DZTLM</t>
  </si>
  <si>
    <t>Tlemcen</t>
  </si>
  <si>
    <t>ECBHA</t>
  </si>
  <si>
    <t>ECEBL</t>
  </si>
  <si>
    <t>Balao</t>
  </si>
  <si>
    <t>ECBLI</t>
  </si>
  <si>
    <t>Bartolome Island</t>
  </si>
  <si>
    <t>ECCAT</t>
  </si>
  <si>
    <t>Caleta Tagus</t>
  </si>
  <si>
    <t>ECOCC</t>
  </si>
  <si>
    <t>Coca</t>
  </si>
  <si>
    <t>ECDUN</t>
  </si>
  <si>
    <t>ECESM</t>
  </si>
  <si>
    <t>Esmeraldas</t>
  </si>
  <si>
    <t>ECESP</t>
  </si>
  <si>
    <t>Espanola Island</t>
  </si>
  <si>
    <t>ECFLO</t>
  </si>
  <si>
    <t>Floreana Island</t>
  </si>
  <si>
    <t>ECGYE</t>
  </si>
  <si>
    <t>Guayaquil</t>
  </si>
  <si>
    <t>ECGUA</t>
  </si>
  <si>
    <t>Guayas</t>
  </si>
  <si>
    <t>ECLLD</t>
  </si>
  <si>
    <t>La Libertad</t>
  </si>
  <si>
    <t>ECLPT</t>
  </si>
  <si>
    <t>La Puntilla</t>
  </si>
  <si>
    <t>ECMEC</t>
  </si>
  <si>
    <t>Manta</t>
  </si>
  <si>
    <t>ECCAR</t>
  </si>
  <si>
    <t>Pedro Carbo</t>
  </si>
  <si>
    <t>ECAYO</t>
  </si>
  <si>
    <t>Puerto Ayora, Isla Santa Cruz</t>
  </si>
  <si>
    <t>ECPBG</t>
  </si>
  <si>
    <t>Puerto Balao Grande</t>
  </si>
  <si>
    <t>ECBAQ</t>
  </si>
  <si>
    <t>Puerto Baquerizo Moreno</t>
  </si>
  <si>
    <t>ECPBO</t>
  </si>
  <si>
    <t>ECPEG</t>
  </si>
  <si>
    <t>Puerto Egas</t>
  </si>
  <si>
    <t>ECPEV</t>
  </si>
  <si>
    <t>Puerto Nuevo</t>
  </si>
  <si>
    <t>ECVIL</t>
  </si>
  <si>
    <t>Puerto Villamil, Isla Isabela</t>
  </si>
  <si>
    <t>ECPUN</t>
  </si>
  <si>
    <t>ECRAB</t>
  </si>
  <si>
    <t>Rabida Island</t>
  </si>
  <si>
    <t>ECSNC</t>
  </si>
  <si>
    <t>Salinas</t>
  </si>
  <si>
    <t>ECSLR</t>
  </si>
  <si>
    <t>ECSYM</t>
  </si>
  <si>
    <t>Seymour</t>
  </si>
  <si>
    <t>ECTEP</t>
  </si>
  <si>
    <t>Tepre</t>
  </si>
  <si>
    <t>ECZTL</t>
  </si>
  <si>
    <t>Zapotal</t>
  </si>
  <si>
    <t>EEABR</t>
  </si>
  <si>
    <t>Abruka</t>
  </si>
  <si>
    <t>EEADV</t>
  </si>
  <si>
    <t>EEAEN</t>
  </si>
  <si>
    <t>Aegna</t>
  </si>
  <si>
    <t>EEALJ</t>
  </si>
  <si>
    <t>EEAJS</t>
  </si>
  <si>
    <t>EEAKS</t>
  </si>
  <si>
    <t>EEASE</t>
  </si>
  <si>
    <t>Aseri</t>
  </si>
  <si>
    <t>EEATL</t>
  </si>
  <si>
    <t>Atla</t>
  </si>
  <si>
    <t>EEBEK</t>
  </si>
  <si>
    <t>Bekkeri</t>
  </si>
  <si>
    <t>EEDIR</t>
  </si>
  <si>
    <t>Dirhami</t>
  </si>
  <si>
    <t>EEDOB</t>
  </si>
  <si>
    <t>Doberani</t>
  </si>
  <si>
    <t>EEEIS</t>
  </si>
  <si>
    <t>Eisma</t>
  </si>
  <si>
    <t>EEHAA</t>
  </si>
  <si>
    <t>Haapsalu</t>
  </si>
  <si>
    <t>EEHVV</t>
  </si>
  <si>
    <t>Haapsalu Veskiviigi</t>
  </si>
  <si>
    <t>EEHLD</t>
  </si>
  <si>
    <t>Haldi</t>
  </si>
  <si>
    <t>EEHLT</t>
  </si>
  <si>
    <t>Heltermaa</t>
  </si>
  <si>
    <t>EEHII</t>
  </si>
  <si>
    <t>Hiiessaare</t>
  </si>
  <si>
    <t>EEHUN</t>
  </si>
  <si>
    <t>Hundipea</t>
  </si>
  <si>
    <t>EEJGP</t>
  </si>
  <si>
    <t>Jaagupi</t>
  </si>
  <si>
    <t>EEJEP</t>
  </si>
  <si>
    <t>EEJKR</t>
  </si>
  <si>
    <t>EEJOS</t>
  </si>
  <si>
    <t>EEJHT</t>
  </si>
  <si>
    <t>Juheta</t>
  </si>
  <si>
    <t>EEKBN</t>
  </si>
  <si>
    <t>Kaberneeme Sadam</t>
  </si>
  <si>
    <t>EEKAK</t>
  </si>
  <si>
    <t>EEKAL</t>
  </si>
  <si>
    <t>Kalana</t>
  </si>
  <si>
    <t>EEKAS</t>
  </si>
  <si>
    <t>Kalasadam</t>
  </si>
  <si>
    <t>EEKJK</t>
  </si>
  <si>
    <t>Kalevi Jahtklubi</t>
  </si>
  <si>
    <t>EEKLE</t>
  </si>
  <si>
    <t>Kallaste</t>
  </si>
  <si>
    <t>EEKLL</t>
  </si>
  <si>
    <t>EEKLR</t>
  </si>
  <si>
    <t>Kallaste Rannasadam</t>
  </si>
  <si>
    <t>EEKDL</t>
  </si>
  <si>
    <t>EEKAP</t>
  </si>
  <si>
    <t>Karlova Paadisadam</t>
  </si>
  <si>
    <t>EEKSA</t>
  </si>
  <si>
    <t>EEKSN</t>
  </si>
  <si>
    <t>Kastna</t>
  </si>
  <si>
    <t>EEKSP</t>
  </si>
  <si>
    <t>Kaunispe</t>
  </si>
  <si>
    <t>EEKVR</t>
  </si>
  <si>
    <t>Kavaru</t>
  </si>
  <si>
    <t>EEKLN</t>
  </si>
  <si>
    <t>Kelnase</t>
  </si>
  <si>
    <t>EEKEL</t>
  </si>
  <si>
    <t>Kelvingi</t>
  </si>
  <si>
    <t>EEKEJ</t>
  </si>
  <si>
    <t>Kesse-Jaani</t>
  </si>
  <si>
    <t>EEKHN</t>
  </si>
  <si>
    <t>Kihnu</t>
  </si>
  <si>
    <t>EEKGV</t>
  </si>
  <si>
    <t>Koguva</t>
  </si>
  <si>
    <t>EEKGS</t>
  </si>
  <si>
    <t>EEKLK</t>
  </si>
  <si>
    <t>Koljunuki</t>
  </si>
  <si>
    <t>EEKOL</t>
  </si>
  <si>
    <t>Kolkja</t>
  </si>
  <si>
    <t>EEKRG</t>
  </si>
  <si>
    <t>EEKUI</t>
  </si>
  <si>
    <t>Kuivastu</t>
  </si>
  <si>
    <t>EEKUG</t>
  </si>
  <si>
    <t>Kulgu</t>
  </si>
  <si>
    <t>EEKND</t>
  </si>
  <si>
    <t>Kunda</t>
  </si>
  <si>
    <t>EEKNG</t>
  </si>
  <si>
    <t>Kungla</t>
  </si>
  <si>
    <t>EEURE</t>
  </si>
  <si>
    <t>Kuressaare</t>
  </si>
  <si>
    <t>EEKUR</t>
  </si>
  <si>
    <t>Kuressaare sadam</t>
  </si>
  <si>
    <t>EEKKE</t>
  </si>
  <si>
    <t>Kurkse</t>
  </si>
  <si>
    <t>EELKS</t>
  </si>
  <si>
    <t>Laaksaare</t>
  </si>
  <si>
    <t>EELAN</t>
  </si>
  <si>
    <t>EELAT</t>
  </si>
  <si>
    <t>EELHS</t>
  </si>
  <si>
    <t>Lahesuu</t>
  </si>
  <si>
    <t>EELAO</t>
  </si>
  <si>
    <t>Lao</t>
  </si>
  <si>
    <t>EELAU</t>
  </si>
  <si>
    <t>Lautri</t>
  </si>
  <si>
    <t>EELHT</t>
  </si>
  <si>
    <t>Lehtma</t>
  </si>
  <si>
    <t>EELEN</t>
  </si>
  <si>
    <t>Lennusadam</t>
  </si>
  <si>
    <t>EELEP</t>
  </si>
  <si>
    <t>Leppneeme</t>
  </si>
  <si>
    <t>EELPN</t>
  </si>
  <si>
    <t>Leppneeme Kalasadam</t>
  </si>
  <si>
    <t>EELIN</t>
  </si>
  <si>
    <t>Lindi</t>
  </si>
  <si>
    <t>EELIU</t>
  </si>
  <si>
    <t>Liu</t>
  </si>
  <si>
    <t>EELSL</t>
  </si>
  <si>
    <t>Lohusalu</t>
  </si>
  <si>
    <t>EELSA</t>
  </si>
  <si>
    <t>Loksa</t>
  </si>
  <si>
    <t>EELMA</t>
  </si>
  <si>
    <t>EELNR</t>
  </si>
  <si>
    <t>EELUI</t>
  </si>
  <si>
    <t>EEMAN</t>
  </si>
  <si>
    <t>Manilaiu</t>
  </si>
  <si>
    <t>EEMNI</t>
  </si>
  <si>
    <t>EEMRS</t>
  </si>
  <si>
    <t>Meeruse</t>
  </si>
  <si>
    <t>EEMRL</t>
  </si>
  <si>
    <t>Merelaiu</t>
  </si>
  <si>
    <t>EEMDR</t>
  </si>
  <si>
    <t>Miiduranna</t>
  </si>
  <si>
    <t>EEMNT</t>
  </si>
  <si>
    <t>EEMUN</t>
  </si>
  <si>
    <t>Munalaiu</t>
  </si>
  <si>
    <t>EEMTV</t>
  </si>
  <si>
    <t>Mustvee</t>
  </si>
  <si>
    <t>EEMUG</t>
  </si>
  <si>
    <t>Muuga</t>
  </si>
  <si>
    <t>EENAI</t>
  </si>
  <si>
    <t>Naissaare</t>
  </si>
  <si>
    <t>EENAS</t>
  </si>
  <si>
    <t>Nasva</t>
  </si>
  <si>
    <t>EENME</t>
  </si>
  <si>
    <t>Neeme</t>
  </si>
  <si>
    <t>EENOB</t>
  </si>
  <si>
    <t>Noblessneri</t>
  </si>
  <si>
    <t>EENRM</t>
  </si>
  <si>
    <t>Nurme</t>
  </si>
  <si>
    <t>EEOIU</t>
  </si>
  <si>
    <t>Oiu</t>
  </si>
  <si>
    <t>EEOMR</t>
  </si>
  <si>
    <t>Omedu Rand</t>
  </si>
  <si>
    <t>EEORI</t>
  </si>
  <si>
    <t>Orissaare</t>
  </si>
  <si>
    <t>EEORJ</t>
  </si>
  <si>
    <t>Orjaku</t>
  </si>
  <si>
    <t>EEOST</t>
  </si>
  <si>
    <t>EEOTI</t>
  </si>
  <si>
    <t>Oti</t>
  </si>
  <si>
    <t>EEOTS</t>
  </si>
  <si>
    <t>Otsa</t>
  </si>
  <si>
    <t>EEPAA</t>
  </si>
  <si>
    <t>Paatsalu</t>
  </si>
  <si>
    <t>EEPLS</t>
  </si>
  <si>
    <t>EEPLN</t>
  </si>
  <si>
    <t>EEPAS</t>
  </si>
  <si>
    <t>Paljassaare</t>
  </si>
  <si>
    <t>EEPRN</t>
  </si>
  <si>
    <t>EEPRV</t>
  </si>
  <si>
    <t>EEPAR</t>
  </si>
  <si>
    <t>Patareisadam</t>
  </si>
  <si>
    <t>EEPRI</t>
  </si>
  <si>
    <t>Peerni</t>
  </si>
  <si>
    <t>EEPRE</t>
  </si>
  <si>
    <t>Piirissaare Sadam</t>
  </si>
  <si>
    <t>EEPVS</t>
  </si>
  <si>
    <t>Piirivalvesadam</t>
  </si>
  <si>
    <t>EEPIR</t>
  </si>
  <si>
    <t>Pirita</t>
  </si>
  <si>
    <t>EEPUR</t>
  </si>
  <si>
    <t>Purtse</t>
  </si>
  <si>
    <t>EEPRJ</t>
  </si>
  <si>
    <t>Purtse Jahisadam</t>
  </si>
  <si>
    <t>EEPUS</t>
  </si>
  <si>
    <t>Pusi</t>
  </si>
  <si>
    <t>EERAJ</t>
  </si>
  <si>
    <t>Raja</t>
  </si>
  <si>
    <t>EERNM</t>
  </si>
  <si>
    <t>Rannametsa</t>
  </si>
  <si>
    <t>EERPI</t>
  </si>
  <si>
    <t>EERBS</t>
  </si>
  <si>
    <t>Rebase Paadisadam</t>
  </si>
  <si>
    <t>EERVS</t>
  </si>
  <si>
    <t>Remniku Vanasadam</t>
  </si>
  <si>
    <t>EERNG</t>
  </si>
  <si>
    <t>Ringsu</t>
  </si>
  <si>
    <t>EERST</t>
  </si>
  <si>
    <t>Ristna</t>
  </si>
  <si>
    <t>EERJS</t>
  </si>
  <si>
    <t>Ristna Jahisadam</t>
  </si>
  <si>
    <t>EERLS</t>
  </si>
  <si>
    <t>EERHK</t>
  </si>
  <si>
    <t>EERON</t>
  </si>
  <si>
    <t>Rohuneeme</t>
  </si>
  <si>
    <t>EERNV</t>
  </si>
  <si>
    <t>EERGR</t>
  </si>
  <si>
    <t>Roograhu</t>
  </si>
  <si>
    <t>EERMS</t>
  </si>
  <si>
    <t>Roomassaare</t>
  </si>
  <si>
    <t>EEROO</t>
  </si>
  <si>
    <t>Roopa</t>
  </si>
  <si>
    <t>EERUV</t>
  </si>
  <si>
    <t>Ruhve</t>
  </si>
  <si>
    <t>EESMA</t>
  </si>
  <si>
    <t>Saaremaa sadam</t>
  </si>
  <si>
    <t>EESRA</t>
  </si>
  <si>
    <t>Saarepera</t>
  </si>
  <si>
    <t>EESVS</t>
  </si>
  <si>
    <t>Saastna Vanasadam</t>
  </si>
  <si>
    <t>EESLN</t>
  </si>
  <si>
    <t>EESNK</t>
  </si>
  <si>
    <t>EESNP</t>
  </si>
  <si>
    <t>EESLE</t>
  </si>
  <si>
    <t>EESAM</t>
  </si>
  <si>
    <t>Salmistu</t>
  </si>
  <si>
    <t>EESAS</t>
  </si>
  <si>
    <t>Sassukvere</t>
  </si>
  <si>
    <t>EESLM</t>
  </si>
  <si>
    <t>EESOE</t>
  </si>
  <si>
    <t>Soela</t>
  </si>
  <si>
    <t>EESSO</t>
  </si>
  <si>
    <t>Soo</t>
  </si>
  <si>
    <t>EESRU</t>
  </si>
  <si>
    <t>EESRV</t>
  </si>
  <si>
    <t>EESUA</t>
  </si>
  <si>
    <t>Suaru</t>
  </si>
  <si>
    <t>EESHL</t>
  </si>
  <si>
    <t>Suur-Holmi</t>
  </si>
  <si>
    <t>EESUL</t>
  </si>
  <si>
    <t>Suur-Lootsi</t>
  </si>
  <si>
    <t>EESUR</t>
  </si>
  <si>
    <t>Suurpea</t>
  </si>
  <si>
    <t>EESUS</t>
  </si>
  <si>
    <t>Suursadam</t>
  </si>
  <si>
    <t>EESVI</t>
  </si>
  <si>
    <t>Sviby</t>
  </si>
  <si>
    <t>EETLL</t>
  </si>
  <si>
    <t>Tallinn</t>
  </si>
  <si>
    <t>EETLV</t>
  </si>
  <si>
    <t>Talvesadam</t>
  </si>
  <si>
    <t>EETPL</t>
  </si>
  <si>
    <t>Tapurla</t>
  </si>
  <si>
    <t>EETMA</t>
  </si>
  <si>
    <t>EETIL</t>
  </si>
  <si>
    <t>Tilgu</t>
  </si>
  <si>
    <t>EETOI</t>
  </si>
  <si>
    <t>Toila</t>
  </si>
  <si>
    <t>EETRE</t>
  </si>
  <si>
    <t>Treimani</t>
  </si>
  <si>
    <t>EETGI</t>
  </si>
  <si>
    <t>Triigi</t>
  </si>
  <si>
    <t>EETLT</t>
  </si>
  <si>
    <t>Tuletorni</t>
  </si>
  <si>
    <t>EEVTR</t>
  </si>
  <si>
    <t>EEVAN</t>
  </si>
  <si>
    <t>Vanasadam</t>
  </si>
  <si>
    <t>EEVRI</t>
  </si>
  <si>
    <t>EEVPS</t>
  </si>
  <si>
    <t>EEVRS</t>
  </si>
  <si>
    <t>Varese Sadam</t>
  </si>
  <si>
    <t>EEVAR</t>
  </si>
  <si>
    <t>EEVNA</t>
  </si>
  <si>
    <t>Vasknarva</t>
  </si>
  <si>
    <t>EEVVN</t>
  </si>
  <si>
    <t>Vasknarva Paadisadam</t>
  </si>
  <si>
    <t>EEVSK</t>
  </si>
  <si>
    <t>Vasknarva Reisisadam</t>
  </si>
  <si>
    <t>EEVKS</t>
  </si>
  <si>
    <t>Vasknarva Sadam</t>
  </si>
  <si>
    <t>EEVUS</t>
  </si>
  <si>
    <t>Vasknarva Uussadam</t>
  </si>
  <si>
    <t>EEVEE</t>
  </si>
  <si>
    <t>Veere</t>
  </si>
  <si>
    <t>EEVVM</t>
  </si>
  <si>
    <t>Veere Vanasadam</t>
  </si>
  <si>
    <t>EEVEB</t>
  </si>
  <si>
    <t>Vene-Balti</t>
  </si>
  <si>
    <t>EEVER</t>
  </si>
  <si>
    <t>Vergi</t>
  </si>
  <si>
    <t>EEVIR</t>
  </si>
  <si>
    <t>Virtsu</t>
  </si>
  <si>
    <t>EEVIS</t>
  </si>
  <si>
    <t>Virtsu Kalasadam</t>
  </si>
  <si>
    <t>EEVVS</t>
  </si>
  <si>
    <t>Virtsu Vanasadam</t>
  </si>
  <si>
    <t>EEVDU</t>
  </si>
  <si>
    <t>EEVOI</t>
  </si>
  <si>
    <t>EEVOP</t>
  </si>
  <si>
    <t>EEVRK</t>
  </si>
  <si>
    <t>EEVOS</t>
  </si>
  <si>
    <t>EEWST</t>
  </si>
  <si>
    <t>Westmeri</t>
  </si>
  <si>
    <t>EEWJS</t>
  </si>
  <si>
    <t>Westmeri Jahisadam</t>
  </si>
  <si>
    <t>EGAKI</t>
  </si>
  <si>
    <t>Abu Kir</t>
  </si>
  <si>
    <t>EGAUE</t>
  </si>
  <si>
    <t>Abu Rudeis</t>
  </si>
  <si>
    <t>EGAZA</t>
  </si>
  <si>
    <t>Abu Zenimah</t>
  </si>
  <si>
    <t>EGAIS</t>
  </si>
  <si>
    <t>Ain Sukhna</t>
  </si>
  <si>
    <t>EGADA</t>
  </si>
  <si>
    <t>Al Adabiyah</t>
  </si>
  <si>
    <t>EGAGZ</t>
  </si>
  <si>
    <t>Al Jizah (Giza)</t>
  </si>
  <si>
    <t>EGMIN</t>
  </si>
  <si>
    <t>Al Minya</t>
  </si>
  <si>
    <t>EGAQU</t>
  </si>
  <si>
    <t>Al Qusayr</t>
  </si>
  <si>
    <t>EGEEG</t>
  </si>
  <si>
    <t>An Nukhaylah</t>
  </si>
  <si>
    <t>EGSUZ</t>
  </si>
  <si>
    <t>As Suways (Suez)</t>
  </si>
  <si>
    <t>EGASW</t>
  </si>
  <si>
    <t>Aswan</t>
  </si>
  <si>
    <t>EGAST</t>
  </si>
  <si>
    <t>Asyut</t>
  </si>
  <si>
    <t>EGBGB</t>
  </si>
  <si>
    <t>Atakka Dry Port</t>
  </si>
  <si>
    <t>EGBEN</t>
  </si>
  <si>
    <t>Beni Suef</t>
  </si>
  <si>
    <t>EGDAM</t>
  </si>
  <si>
    <t>Dumyat (Damietta)</t>
  </si>
  <si>
    <t>EGBEH</t>
  </si>
  <si>
    <t>El Beheirah</t>
  </si>
  <si>
    <t>EGEDK</t>
  </si>
  <si>
    <t>El Dekheila</t>
  </si>
  <si>
    <t>EGALY</t>
  </si>
  <si>
    <t>El Iskandariya (Alexandria)</t>
  </si>
  <si>
    <t>EGEOB</t>
  </si>
  <si>
    <t>El Obour</t>
  </si>
  <si>
    <t>EGCAI</t>
  </si>
  <si>
    <t>El Qahira (Cairo)</t>
  </si>
  <si>
    <t>EGGUA</t>
  </si>
  <si>
    <t>El-Guna (El Gouna)</t>
  </si>
  <si>
    <t>EGFAD</t>
  </si>
  <si>
    <t>Fa'id</t>
  </si>
  <si>
    <t>EGFAN</t>
  </si>
  <si>
    <t>Fanara</t>
  </si>
  <si>
    <t>EGGEI</t>
  </si>
  <si>
    <t>Geisum Terminal</t>
  </si>
  <si>
    <t>EGHAL</t>
  </si>
  <si>
    <t>Halaib</t>
  </si>
  <si>
    <t>EGHAM</t>
  </si>
  <si>
    <t>Hamrawein</t>
  </si>
  <si>
    <t>EGHEL</t>
  </si>
  <si>
    <t>Heliopolis</t>
  </si>
  <si>
    <t>EGHRG</t>
  </si>
  <si>
    <t>Hurghada</t>
  </si>
  <si>
    <t>EGISM</t>
  </si>
  <si>
    <t>Ismailia</t>
  </si>
  <si>
    <t>EGKEH</t>
  </si>
  <si>
    <t>Kafr El Sheikh</t>
  </si>
  <si>
    <t>EGKEN</t>
  </si>
  <si>
    <t>Kenna</t>
  </si>
  <si>
    <t>EGMUH</t>
  </si>
  <si>
    <t>Matruh</t>
  </si>
  <si>
    <t>EGMAH</t>
  </si>
  <si>
    <t>Mersa El Hamra</t>
  </si>
  <si>
    <t>EGQAH</t>
  </si>
  <si>
    <t>Nasr City</t>
  </si>
  <si>
    <t>EGCA7</t>
  </si>
  <si>
    <t>New Cairo</t>
  </si>
  <si>
    <t>EGNUW</t>
  </si>
  <si>
    <t>Nuwaiba</t>
  </si>
  <si>
    <t>EGPIB</t>
  </si>
  <si>
    <t>Port Ibrahim</t>
  </si>
  <si>
    <t>EGPSD</t>
  </si>
  <si>
    <t>Port Said</t>
  </si>
  <si>
    <t>EGPSE</t>
  </si>
  <si>
    <t>Port Said East</t>
  </si>
  <si>
    <t>EGPTK</t>
  </si>
  <si>
    <t>Port Tewfik</t>
  </si>
  <si>
    <t>EGQUB</t>
  </si>
  <si>
    <t>Qalyub</t>
  </si>
  <si>
    <t>EGRAB</t>
  </si>
  <si>
    <t>Ras Budran</t>
  </si>
  <si>
    <t>EGRAG</t>
  </si>
  <si>
    <t>Ras Gharib</t>
  </si>
  <si>
    <t>EGRSH</t>
  </si>
  <si>
    <t>Ras Shukheir</t>
  </si>
  <si>
    <t>EGRSU</t>
  </si>
  <si>
    <t>Ras Sudr</t>
  </si>
  <si>
    <t>EGPRA</t>
  </si>
  <si>
    <t>Rashid</t>
  </si>
  <si>
    <t>EGSGA</t>
  </si>
  <si>
    <t>Safaga</t>
  </si>
  <si>
    <t>EGSKR</t>
  </si>
  <si>
    <t>Sakr Koreish</t>
  </si>
  <si>
    <t>EGSSH</t>
  </si>
  <si>
    <t>Sharm ash Shaykh</t>
  </si>
  <si>
    <t>EGSBA</t>
  </si>
  <si>
    <t>Sidi Barrani</t>
  </si>
  <si>
    <t>EGSHG</t>
  </si>
  <si>
    <t>Sohag</t>
  </si>
  <si>
    <t>EGSOK</t>
  </si>
  <si>
    <t>Sokhna Port</t>
  </si>
  <si>
    <t>EGSOS</t>
  </si>
  <si>
    <t>Sosdi/6th October</t>
  </si>
  <si>
    <t>EGSIN</t>
  </si>
  <si>
    <t>South Sinai (Ganoub Sinai)</t>
  </si>
  <si>
    <t>EGWAF</t>
  </si>
  <si>
    <t>Wadi Feiran</t>
  </si>
  <si>
    <t>EGZTB</t>
  </si>
  <si>
    <t>Zeit Bay</t>
  </si>
  <si>
    <t>EHEAI</t>
  </si>
  <si>
    <t>Ejbei Uad el Aabd</t>
  </si>
  <si>
    <t>ERASA</t>
  </si>
  <si>
    <t>Assab</t>
  </si>
  <si>
    <t>ERMSW</t>
  </si>
  <si>
    <t>Massawa (Mitsiwa)</t>
  </si>
  <si>
    <t>ESAXO</t>
  </si>
  <si>
    <t>A Baiuca</t>
  </si>
  <si>
    <t>ESABH</t>
  </si>
  <si>
    <t>Abanto</t>
  </si>
  <si>
    <t>ESACH</t>
  </si>
  <si>
    <t>Aceuchal</t>
  </si>
  <si>
    <t>ESADR</t>
  </si>
  <si>
    <t>Adra</t>
  </si>
  <si>
    <t>ESAGA</t>
  </si>
  <si>
    <t>Agaete</t>
  </si>
  <si>
    <t>ESAGU</t>
  </si>
  <si>
    <t>Aguilas</t>
  </si>
  <si>
    <t>ESADS</t>
  </si>
  <si>
    <t>Alameda de La Sagra</t>
  </si>
  <si>
    <t>ESRDA</t>
  </si>
  <si>
    <t>Alcala del Rio</t>
  </si>
  <si>
    <t>ESACA</t>
  </si>
  <si>
    <t>Alcanar</t>
  </si>
  <si>
    <t>ESADT</t>
  </si>
  <si>
    <t>Alcaudete de la Jaya</t>
  </si>
  <si>
    <t>ESALD</t>
  </si>
  <si>
    <t>Alcudia</t>
  </si>
  <si>
    <t>ESALG</t>
  </si>
  <si>
    <t>Algeciras</t>
  </si>
  <si>
    <t>ESALT</t>
  </si>
  <si>
    <t>Algorta</t>
  </si>
  <si>
    <t>ESALC</t>
  </si>
  <si>
    <t>Alicante</t>
  </si>
  <si>
    <t>ESARZ</t>
  </si>
  <si>
    <t>ESALX</t>
  </si>
  <si>
    <t>Almendricos</t>
  </si>
  <si>
    <t>ESLEI</t>
  </si>
  <si>
    <t>ESAMX</t>
  </si>
  <si>
    <t>Almorox</t>
  </si>
  <si>
    <t>ESAMP</t>
  </si>
  <si>
    <t>Ampuero</t>
  </si>
  <si>
    <t>ESASL</t>
  </si>
  <si>
    <t>Andosilla</t>
  </si>
  <si>
    <t>ESARN</t>
  </si>
  <si>
    <t>Arenys de Mar</t>
  </si>
  <si>
    <t>ESAGG</t>
  </si>
  <si>
    <t>Argelaguer</t>
  </si>
  <si>
    <t>ESARI</t>
  </si>
  <si>
    <t>Arguineguin</t>
  </si>
  <si>
    <t>ESATQ</t>
  </si>
  <si>
    <t>Ataquines</t>
  </si>
  <si>
    <t>ESAVS</t>
  </si>
  <si>
    <t>Aviles</t>
  </si>
  <si>
    <t>ESUNY</t>
  </si>
  <si>
    <t>ESAYA</t>
  </si>
  <si>
    <t>Ayamonte</t>
  </si>
  <si>
    <t>ESNAA</t>
  </si>
  <si>
    <t>Ayegui</t>
  </si>
  <si>
    <t>ESAYR</t>
  </si>
  <si>
    <t>Ayora</t>
  </si>
  <si>
    <t>ESB8C</t>
  </si>
  <si>
    <t>ESBDP</t>
  </si>
  <si>
    <t>Banyeres del Penedes</t>
  </si>
  <si>
    <t>ESBDF</t>
  </si>
  <si>
    <t>Barbate de Franco</t>
  </si>
  <si>
    <t>ESBCN</t>
  </si>
  <si>
    <t>Barcelona</t>
  </si>
  <si>
    <t>ESBLR</t>
  </si>
  <si>
    <t>Begur</t>
  </si>
  <si>
    <t>ESITE</t>
  </si>
  <si>
    <t>Belchite</t>
  </si>
  <si>
    <t>ESUCC</t>
  </si>
  <si>
    <t>Belmonte</t>
  </si>
  <si>
    <t>ESBDA</t>
  </si>
  <si>
    <t>Benegida</t>
  </si>
  <si>
    <t>ESBU3</t>
  </si>
  <si>
    <t>Benicull</t>
  </si>
  <si>
    <t>ESBEM</t>
  </si>
  <si>
    <t>Benidorm</t>
  </si>
  <si>
    <t>ESBMO</t>
  </si>
  <si>
    <t>Benimodo</t>
  </si>
  <si>
    <t>ESBGJ</t>
  </si>
  <si>
    <t>Berguenda</t>
  </si>
  <si>
    <t>ESBGG</t>
  </si>
  <si>
    <t>Berlanga</t>
  </si>
  <si>
    <t>ESBRM</t>
  </si>
  <si>
    <t>Bermeo</t>
  </si>
  <si>
    <t>ESBSL</t>
  </si>
  <si>
    <t>Bermiyo Sallago</t>
  </si>
  <si>
    <t>ESBIO</t>
  </si>
  <si>
    <t>Bilbao</t>
  </si>
  <si>
    <t>ESBS3</t>
  </si>
  <si>
    <t>Binissalem</t>
  </si>
  <si>
    <t>ESBLA</t>
  </si>
  <si>
    <t>Blanes</t>
  </si>
  <si>
    <t>ESBOA</t>
  </si>
  <si>
    <t>Boadilla del Monte</t>
  </si>
  <si>
    <t>ESBBJ</t>
  </si>
  <si>
    <t>ESBVN</t>
  </si>
  <si>
    <t>Buenavista del Norte</t>
  </si>
  <si>
    <t>ESNNN</t>
  </si>
  <si>
    <t>Bunuiel</t>
  </si>
  <si>
    <t>ESBRL</t>
  </si>
  <si>
    <t>Burela</t>
  </si>
  <si>
    <t>ESBOS</t>
  </si>
  <si>
    <t>Burgo de Osma</t>
  </si>
  <si>
    <t>ESBRX</t>
  </si>
  <si>
    <t>Burriana</t>
  </si>
  <si>
    <t>ESJON</t>
  </si>
  <si>
    <t>Burujon</t>
  </si>
  <si>
    <t>ESCBZ</t>
  </si>
  <si>
    <t>Cabezuela</t>
  </si>
  <si>
    <t>ESCBP</t>
  </si>
  <si>
    <t>Cabo de Palos</t>
  </si>
  <si>
    <t>ESCRG</t>
  </si>
  <si>
    <t>Cabo Roig</t>
  </si>
  <si>
    <t>ESAS8</t>
  </si>
  <si>
    <t>ESOOP</t>
  </si>
  <si>
    <t>ESCAD</t>
  </si>
  <si>
    <t>Cadiz</t>
  </si>
  <si>
    <t>ESCBS</t>
  </si>
  <si>
    <t>Cala Sabina</t>
  </si>
  <si>
    <t>ESLEL</t>
  </si>
  <si>
    <t>Calella</t>
  </si>
  <si>
    <t>ESC9A</t>
  </si>
  <si>
    <t>Calles</t>
  </si>
  <si>
    <t>ESCGE</t>
  </si>
  <si>
    <t>Calonge</t>
  </si>
  <si>
    <t>ESIAS</t>
  </si>
  <si>
    <t>ESCZT</t>
  </si>
  <si>
    <t>Camarzana Tera</t>
  </si>
  <si>
    <t>ESCBD</t>
  </si>
  <si>
    <t>Cambados</t>
  </si>
  <si>
    <t>ESCBL</t>
  </si>
  <si>
    <t>Cambrils</t>
  </si>
  <si>
    <t>ESCPL</t>
  </si>
  <si>
    <t>Campanillas</t>
  </si>
  <si>
    <t>ESCGG</t>
  </si>
  <si>
    <t>Campllong</t>
  </si>
  <si>
    <t>ESCPA</t>
  </si>
  <si>
    <t>Campoamor</t>
  </si>
  <si>
    <t>ESCES</t>
  </si>
  <si>
    <t>Capellades</t>
  </si>
  <si>
    <t>ESCRS</t>
  </si>
  <si>
    <t>Carboneras</t>
  </si>
  <si>
    <t>ESCCX</t>
  </si>
  <si>
    <t>Carcaixent</t>
  </si>
  <si>
    <t>ESCNO</t>
  </si>
  <si>
    <t>ESCRP</t>
  </si>
  <si>
    <t>Carpio Tajo</t>
  </si>
  <si>
    <t>ESCQU</t>
  </si>
  <si>
    <t>Carranque</t>
  </si>
  <si>
    <t>ESCDI</t>
  </si>
  <si>
    <t>Carrizal</t>
  </si>
  <si>
    <t>ESCAR</t>
  </si>
  <si>
    <t>ESSIO</t>
  </si>
  <si>
    <t>Casasimarro</t>
  </si>
  <si>
    <t>ESCFL</t>
  </si>
  <si>
    <t>Casillas Flores</t>
  </si>
  <si>
    <t>ESCAS</t>
  </si>
  <si>
    <t>ESHHU</t>
  </si>
  <si>
    <t>Castillazuelo</t>
  </si>
  <si>
    <t>ESCSO</t>
  </si>
  <si>
    <t>Castropol</t>
  </si>
  <si>
    <t>ESCUR</t>
  </si>
  <si>
    <t>Castro-Urdiales</t>
  </si>
  <si>
    <t>ESCOI</t>
  </si>
  <si>
    <t>Catoira</t>
  </si>
  <si>
    <t>ESEBO</t>
  </si>
  <si>
    <t>Cebolla</t>
  </si>
  <si>
    <t>ESCED</t>
  </si>
  <si>
    <t>Cedeira</t>
  </si>
  <si>
    <t>ESCEE</t>
  </si>
  <si>
    <t>Cee</t>
  </si>
  <si>
    <t>ESCEL</t>
  </si>
  <si>
    <t>ESCEU</t>
  </si>
  <si>
    <t>Ceuta</t>
  </si>
  <si>
    <t>ESCRI</t>
  </si>
  <si>
    <t>Cierbena</t>
  </si>
  <si>
    <t>ESCIV</t>
  </si>
  <si>
    <t>Ciervana</t>
  </si>
  <si>
    <t>ESGVA</t>
  </si>
  <si>
    <t>Cigales</t>
  </si>
  <si>
    <t>ESCSN</t>
  </si>
  <si>
    <t>Cisneros</t>
  </si>
  <si>
    <t>ESQIU</t>
  </si>
  <si>
    <t>Ciudadela</t>
  </si>
  <si>
    <t>ESCGR</t>
  </si>
  <si>
    <t>Consuegra</t>
  </si>
  <si>
    <t>ESCCN</t>
  </si>
  <si>
    <t>ESNCO</t>
  </si>
  <si>
    <t>Coristanco</t>
  </si>
  <si>
    <t>ESQFU</t>
  </si>
  <si>
    <t>Corralejo</t>
  </si>
  <si>
    <t>ESCUD</t>
  </si>
  <si>
    <t>Cuarte de Huerva</t>
  </si>
  <si>
    <t>ESDBA</t>
  </si>
  <si>
    <t>Deba</t>
  </si>
  <si>
    <t>ESDNA</t>
  </si>
  <si>
    <t>Denia</t>
  </si>
  <si>
    <t>ESDRI</t>
  </si>
  <si>
    <t>Derio</t>
  </si>
  <si>
    <t>ESDAG</t>
  </si>
  <si>
    <t>Dos Aguas</t>
  </si>
  <si>
    <t>ESEJC</t>
  </si>
  <si>
    <t>Ejea de los Caballeros</t>
  </si>
  <si>
    <t>ESATO</t>
  </si>
  <si>
    <t>El Astillero</t>
  </si>
  <si>
    <t>ESECT</t>
  </si>
  <si>
    <t>El Casar de Talamanca</t>
  </si>
  <si>
    <t>ESGCS</t>
  </si>
  <si>
    <t>El Grao</t>
  </si>
  <si>
    <t>ESMED</t>
  </si>
  <si>
    <t>El Medano</t>
  </si>
  <si>
    <t>ESEOO</t>
  </si>
  <si>
    <t>El Pedernoso</t>
  </si>
  <si>
    <t>ESSOL</t>
  </si>
  <si>
    <t>El Port</t>
  </si>
  <si>
    <t>ESROM</t>
  </si>
  <si>
    <t>El Rompido</t>
  </si>
  <si>
    <t>ESTAL</t>
  </si>
  <si>
    <t>El Tarajal</t>
  </si>
  <si>
    <t>ESELV</t>
  </si>
  <si>
    <t>Elvillar</t>
  </si>
  <si>
    <t>ESEMP</t>
  </si>
  <si>
    <t>Empuriabrava</t>
  </si>
  <si>
    <t>ESENG</t>
  </si>
  <si>
    <t>Enguera</t>
  </si>
  <si>
    <t>ESENT</t>
  </si>
  <si>
    <t>Entoma</t>
  </si>
  <si>
    <t>ESESC</t>
  </si>
  <si>
    <t>Escombreras</t>
  </si>
  <si>
    <t>ESCC7</t>
  </si>
  <si>
    <t>Escorca</t>
  </si>
  <si>
    <t>ESEKZ</t>
  </si>
  <si>
    <t>Eskoriatza</t>
  </si>
  <si>
    <t>ESEDL</t>
  </si>
  <si>
    <t>Estadilla</t>
  </si>
  <si>
    <t>ESEZC</t>
  </si>
  <si>
    <t>Ezcaray</t>
  </si>
  <si>
    <t>ESFRM</t>
  </si>
  <si>
    <t>Fermoselle</t>
  </si>
  <si>
    <t>ESRRS</t>
  </si>
  <si>
    <t>Ferreras</t>
  </si>
  <si>
    <t>ESFRO</t>
  </si>
  <si>
    <t>Ferrol</t>
  </si>
  <si>
    <t>ESGU6</t>
  </si>
  <si>
    <t>Fontanar</t>
  </si>
  <si>
    <t>ESFLD</t>
  </si>
  <si>
    <t>Formentera Island</t>
  </si>
  <si>
    <t>ESFRA</t>
  </si>
  <si>
    <t>Frades</t>
  </si>
  <si>
    <t>ESFSL</t>
  </si>
  <si>
    <t>Fuensalida</t>
  </si>
  <si>
    <t>ESFAL</t>
  </si>
  <si>
    <t>ESEWE</t>
  </si>
  <si>
    <t>ESGAN</t>
  </si>
  <si>
    <t>ESGGA</t>
  </si>
  <si>
    <t>Garriguella</t>
  </si>
  <si>
    <t>ESGAR</t>
  </si>
  <si>
    <t>Garrucha</t>
  </si>
  <si>
    <t>ESGTX</t>
  </si>
  <si>
    <t>Getxo</t>
  </si>
  <si>
    <t>ESGIJ</t>
  </si>
  <si>
    <t>ESGDL</t>
  </si>
  <si>
    <t>Godella</t>
  </si>
  <si>
    <t>ESGDR</t>
  </si>
  <si>
    <t>Grajal de Ribera</t>
  </si>
  <si>
    <t>ESGTL</t>
  </si>
  <si>
    <t>Gran Tarajal</t>
  </si>
  <si>
    <t>ESGYA</t>
  </si>
  <si>
    <t>Granyanella</t>
  </si>
  <si>
    <t>ESGRY</t>
  </si>
  <si>
    <t>Grao</t>
  </si>
  <si>
    <t>ESEGR</t>
  </si>
  <si>
    <t>Grove</t>
  </si>
  <si>
    <t>ESJUE</t>
  </si>
  <si>
    <t>Guijuelo</t>
  </si>
  <si>
    <t>ESHSN</t>
  </si>
  <si>
    <t>Hermisende</t>
  </si>
  <si>
    <t>ESHIG</t>
  </si>
  <si>
    <t>Higuera la Real</t>
  </si>
  <si>
    <t>ESHDD</t>
  </si>
  <si>
    <t>Hinojosa del Duque</t>
  </si>
  <si>
    <t>ESHTY</t>
  </si>
  <si>
    <t>Hontanaya</t>
  </si>
  <si>
    <t>ESHLL</t>
  </si>
  <si>
    <t>Hormilla</t>
  </si>
  <si>
    <t>ESHDA</t>
  </si>
  <si>
    <t>Horta de Avinyo</t>
  </si>
  <si>
    <t>ESHUV</t>
  </si>
  <si>
    <t>Huelva</t>
  </si>
  <si>
    <t>ESETH</t>
  </si>
  <si>
    <t>Huete</t>
  </si>
  <si>
    <t>ESHUR</t>
  </si>
  <si>
    <t>Humilladero</t>
  </si>
  <si>
    <t>ESIBZ</t>
  </si>
  <si>
    <t>Ibiza</t>
  </si>
  <si>
    <t>ESNCA</t>
  </si>
  <si>
    <t>Inca</t>
  </si>
  <si>
    <t>ESITR</t>
  </si>
  <si>
    <t>Iturriotz</t>
  </si>
  <si>
    <t>ESIUA</t>
  </si>
  <si>
    <t>Iurreta</t>
  </si>
  <si>
    <t>ESJAV</t>
  </si>
  <si>
    <t>ESKLL</t>
  </si>
  <si>
    <t>La Ametlla de Mar</t>
  </si>
  <si>
    <t>ESBAT</t>
  </si>
  <si>
    <t>La Batlloria</t>
  </si>
  <si>
    <t>ESLCG</t>
  </si>
  <si>
    <t>ESGLE</t>
  </si>
  <si>
    <t>La Escala (L'Escala)</t>
  </si>
  <si>
    <t>ESLES</t>
  </si>
  <si>
    <t>La Estaca</t>
  </si>
  <si>
    <t>ESFNC</t>
  </si>
  <si>
    <t>La Font den Carros</t>
  </si>
  <si>
    <t>ESLGC</t>
  </si>
  <si>
    <t>La Graciosa</t>
  </si>
  <si>
    <t>ESAGD</t>
  </si>
  <si>
    <t>La Guardia</t>
  </si>
  <si>
    <t>ESLJO</t>
  </si>
  <si>
    <t>La Llagosta</t>
  </si>
  <si>
    <t>ESMAT</t>
  </si>
  <si>
    <t>La Matanza</t>
  </si>
  <si>
    <t>ESLMN</t>
  </si>
  <si>
    <t>La Minosa</t>
  </si>
  <si>
    <t>ESLPF</t>
  </si>
  <si>
    <t>La Poble de Farnals</t>
  </si>
  <si>
    <t>ESTT2</t>
  </si>
  <si>
    <t>La Selva del Camp</t>
  </si>
  <si>
    <t>ESLSL</t>
  </si>
  <si>
    <t>La Seu d'Urgell</t>
  </si>
  <si>
    <t>ESTJI</t>
  </si>
  <si>
    <t>La Tejita</t>
  </si>
  <si>
    <t>ESLZR</t>
  </si>
  <si>
    <t>La Zarza</t>
  </si>
  <si>
    <t>ESGRT</t>
  </si>
  <si>
    <t>Lagartera</t>
  </si>
  <si>
    <t>ESLAX</t>
  </si>
  <si>
    <t>Lage</t>
  </si>
  <si>
    <t>ESLAN</t>
  </si>
  <si>
    <t>Lanciego</t>
  </si>
  <si>
    <t>ESRON</t>
  </si>
  <si>
    <t>Lantaron</t>
  </si>
  <si>
    <t>ESACE</t>
  </si>
  <si>
    <t>Lanzarote</t>
  </si>
  <si>
    <t>ESLAP</t>
  </si>
  <si>
    <t>Lapuebla de Labarca</t>
  </si>
  <si>
    <t>ESCDK</t>
  </si>
  <si>
    <t>Las Casas de Alcanar</t>
  </si>
  <si>
    <t>ESNDD</t>
  </si>
  <si>
    <t>Las Noras de Daza</t>
  </si>
  <si>
    <t>ESLPA</t>
  </si>
  <si>
    <t>Las Palmas de Gran Canaria</t>
  </si>
  <si>
    <t>ESLEC</t>
  </si>
  <si>
    <t>Lecumberri</t>
  </si>
  <si>
    <t>ESLGU</t>
  </si>
  <si>
    <t>Legutiano</t>
  </si>
  <si>
    <t>ESLEK</t>
  </si>
  <si>
    <t>Lekeitio</t>
  </si>
  <si>
    <t>ESTG2</t>
  </si>
  <si>
    <t>Les Borges del Camp</t>
  </si>
  <si>
    <t>ESLIT</t>
  </si>
  <si>
    <t>Lizartza</t>
  </si>
  <si>
    <t>ESURI</t>
  </si>
  <si>
    <t>Llauri</t>
  </si>
  <si>
    <t>ESLLO</t>
  </si>
  <si>
    <t>Lloret de Mar</t>
  </si>
  <si>
    <t>ESLCR</t>
  </si>
  <si>
    <t>Los Cristianos</t>
  </si>
  <si>
    <t>ESLSD</t>
  </si>
  <si>
    <t>Los Santos de la Humosa</t>
  </si>
  <si>
    <t>ESLSI</t>
  </si>
  <si>
    <t>Los Silos</t>
  </si>
  <si>
    <t>ESLUQ</t>
  </si>
  <si>
    <t>Luque</t>
  </si>
  <si>
    <t>ESMRJ</t>
  </si>
  <si>
    <t>Madridejos</t>
  </si>
  <si>
    <t>ESMGN</t>
  </si>
  <si>
    <t>Magan</t>
  </si>
  <si>
    <t>ESMAH</t>
  </si>
  <si>
    <t>ESAGP</t>
  </si>
  <si>
    <t>ESMMA</t>
  </si>
  <si>
    <t>Malgrat de Mar</t>
  </si>
  <si>
    <t>ESMLO</t>
  </si>
  <si>
    <t>ESMAI</t>
  </si>
  <si>
    <t>ESMRN</t>
  </si>
  <si>
    <t>Maracena</t>
  </si>
  <si>
    <t>ESMPG</t>
  </si>
  <si>
    <t>Marin, Pontevedra</t>
  </si>
  <si>
    <t>ESMSN</t>
  </si>
  <si>
    <t>Masnou</t>
  </si>
  <si>
    <t>ESMEC</t>
  </si>
  <si>
    <t>Meco</t>
  </si>
  <si>
    <t>ESMLN</t>
  </si>
  <si>
    <t>Melilla</t>
  </si>
  <si>
    <t>ESNTR</t>
  </si>
  <si>
    <t>Mentrida</t>
  </si>
  <si>
    <t>ESMIA</t>
  </si>
  <si>
    <t>Mesia</t>
  </si>
  <si>
    <t>ESMET</t>
  </si>
  <si>
    <t>Miguel Esteban</t>
  </si>
  <si>
    <t>ESMIC</t>
  </si>
  <si>
    <t>Miraclamp</t>
  </si>
  <si>
    <t>ESMIR</t>
  </si>
  <si>
    <t>Miramar</t>
  </si>
  <si>
    <t>ESMIX</t>
  </si>
  <si>
    <t>Miranda de Ebro</t>
  </si>
  <si>
    <t>ESMOA</t>
  </si>
  <si>
    <t>ESMOG</t>
  </si>
  <si>
    <t>Mogarraz</t>
  </si>
  <si>
    <t>ESMOJ</t>
  </si>
  <si>
    <t>ESMBY</t>
  </si>
  <si>
    <t>Mombuey</t>
  </si>
  <si>
    <t>ESNRT</t>
  </si>
  <si>
    <t>Monserrat</t>
  </si>
  <si>
    <t>ESMTC</t>
  </si>
  <si>
    <t>Montblanc</t>
  </si>
  <si>
    <t>ESMNF</t>
  </si>
  <si>
    <t>Montefrio</t>
  </si>
  <si>
    <t>ESMTQ</t>
  </si>
  <si>
    <t>Montesquiu</t>
  </si>
  <si>
    <t>ESMOI</t>
  </si>
  <si>
    <t>Montiel</t>
  </si>
  <si>
    <t>ESOMR</t>
  </si>
  <si>
    <t>Mora</t>
  </si>
  <si>
    <t>ESLTV</t>
  </si>
  <si>
    <t>Moral de Calatrava</t>
  </si>
  <si>
    <t>ESMTU</t>
  </si>
  <si>
    <t>Motrico (Mutriku)</t>
  </si>
  <si>
    <t>ESMOT</t>
  </si>
  <si>
    <t>Motril</t>
  </si>
  <si>
    <t>ESMCZ</t>
  </si>
  <si>
    <t>Mozoncillo</t>
  </si>
  <si>
    <t>ESMGA</t>
  </si>
  <si>
    <t>Mugia</t>
  </si>
  <si>
    <t>ESMUN</t>
  </si>
  <si>
    <t>ESMLJ</t>
  </si>
  <si>
    <t>ESMRS</t>
  </si>
  <si>
    <t>Muros</t>
  </si>
  <si>
    <t>ESMUS</t>
  </si>
  <si>
    <t>Musel-Arnao</t>
  </si>
  <si>
    <t>ESNJE</t>
  </si>
  <si>
    <t>ESNBL</t>
  </si>
  <si>
    <t>Noblejas</t>
  </si>
  <si>
    <t>ESNVS</t>
  </si>
  <si>
    <t>Noves</t>
  </si>
  <si>
    <t>ESAD6</t>
  </si>
  <si>
    <t>ESONS</t>
  </si>
  <si>
    <t>Obanos</t>
  </si>
  <si>
    <t>ESOLZ</t>
  </si>
  <si>
    <t>ESOLY</t>
  </si>
  <si>
    <t>Olias del Rey</t>
  </si>
  <si>
    <t>ESOND</t>
  </si>
  <si>
    <t>ESORJ</t>
  </si>
  <si>
    <t>ESOSR</t>
  </si>
  <si>
    <t>Oroso</t>
  </si>
  <si>
    <t>ESOTG</t>
  </si>
  <si>
    <t>Ortigueira</t>
  </si>
  <si>
    <t>ESOZL</t>
  </si>
  <si>
    <t>Orzola</t>
  </si>
  <si>
    <t>ESOUT</t>
  </si>
  <si>
    <t>Outes</t>
  </si>
  <si>
    <t>ESPAF</t>
  </si>
  <si>
    <t>Pajara Fuerteventura</t>
  </si>
  <si>
    <t>ESPAL</t>
  </si>
  <si>
    <t>ESPMI</t>
  </si>
  <si>
    <t>Palma de Mallorca</t>
  </si>
  <si>
    <t>ESTO9</t>
  </si>
  <si>
    <t>Palomeque</t>
  </si>
  <si>
    <t>ESPBU</t>
  </si>
  <si>
    <t>Pancorbo</t>
  </si>
  <si>
    <t>ESPAN</t>
  </si>
  <si>
    <t>Pantoja</t>
  </si>
  <si>
    <t>ESPAS</t>
  </si>
  <si>
    <t>Pasajes</t>
  </si>
  <si>
    <t>ESPET</t>
  </si>
  <si>
    <t>Petra</t>
  </si>
  <si>
    <t>ESPCN</t>
  </si>
  <si>
    <t>Picassent</t>
  </si>
  <si>
    <t>ESPAZ</t>
  </si>
  <si>
    <t>Pilar de la Horadada</t>
  </si>
  <si>
    <t>ESPIT</t>
  </si>
  <si>
    <t>Pitillas</t>
  </si>
  <si>
    <t>ESQLY</t>
  </si>
  <si>
    <t>Playa Blanca</t>
  </si>
  <si>
    <t>ESPLI</t>
  </si>
  <si>
    <t>Playa Ingles</t>
  </si>
  <si>
    <t>ESPSO</t>
  </si>
  <si>
    <t>Pola de Siero</t>
  </si>
  <si>
    <t>ESPLC</t>
  </si>
  <si>
    <t>Polanco</t>
  </si>
  <si>
    <t>ESPJC</t>
  </si>
  <si>
    <t>ESPEV</t>
  </si>
  <si>
    <t>Pontevedra</t>
  </si>
  <si>
    <t>ESBPM</t>
  </si>
  <si>
    <t>Porreras</t>
  </si>
  <si>
    <t>ESPRT</t>
  </si>
  <si>
    <t>Portosin</t>
  </si>
  <si>
    <t>ESPOR</t>
  </si>
  <si>
    <t>Portugalete</t>
  </si>
  <si>
    <t>ESPSL</t>
  </si>
  <si>
    <t>Posada de Llanera</t>
  </si>
  <si>
    <t>ESCHZ</t>
  </si>
  <si>
    <t>ESLPC</t>
  </si>
  <si>
    <t>ESPRE</t>
  </si>
  <si>
    <t>Puerto Calero</t>
  </si>
  <si>
    <t>ESPCO</t>
  </si>
  <si>
    <t>Puerto Colom</t>
  </si>
  <si>
    <t>ESGND</t>
  </si>
  <si>
    <t>Puerto de Granadilla</t>
  </si>
  <si>
    <t>ESPGU</t>
  </si>
  <si>
    <t>Puerto de Guimar</t>
  </si>
  <si>
    <t>ESHIE</t>
  </si>
  <si>
    <t>Puerto de la Estaca</t>
  </si>
  <si>
    <t>ESPD3</t>
  </si>
  <si>
    <t>Puerto de la Selva</t>
  </si>
  <si>
    <t>ESPPS</t>
  </si>
  <si>
    <t>Puerto de Playa de Santiago</t>
  </si>
  <si>
    <t>ESPDS</t>
  </si>
  <si>
    <t>Puerto de Sagunto</t>
  </si>
  <si>
    <t>ESPSM</t>
  </si>
  <si>
    <t>Puerto de Santa Maria</t>
  </si>
  <si>
    <t>ESPVG</t>
  </si>
  <si>
    <t>Puerto de Vega</t>
  </si>
  <si>
    <t>ESPUC</t>
  </si>
  <si>
    <t>Puerto del Carmen</t>
  </si>
  <si>
    <t>ESFUE</t>
  </si>
  <si>
    <t>Puerto del Rosario-Fuerteventura</t>
  </si>
  <si>
    <t>ESPRO</t>
  </si>
  <si>
    <t>Puerto Rosario</t>
  </si>
  <si>
    <t>ESPTM</t>
  </si>
  <si>
    <t>Puertomarin</t>
  </si>
  <si>
    <t>ESPRG</t>
  </si>
  <si>
    <t>Puig-reig</t>
  </si>
  <si>
    <t>ESPVA</t>
  </si>
  <si>
    <t>Puras</t>
  </si>
  <si>
    <t>ESQIS</t>
  </si>
  <si>
    <t>Quismondo</t>
  </si>
  <si>
    <t>ESRA5</t>
  </si>
  <si>
    <t>Rajadell</t>
  </si>
  <si>
    <t>ESTRY</t>
  </si>
  <si>
    <t>Real de Montroy</t>
  </si>
  <si>
    <t>ESRDP</t>
  </si>
  <si>
    <t>Renedo de Pielago</t>
  </si>
  <si>
    <t>ESRTA</t>
  </si>
  <si>
    <t>ESRIB</t>
  </si>
  <si>
    <t>Ribadeo</t>
  </si>
  <si>
    <t>ESRBS</t>
  </si>
  <si>
    <t>Ribadesella</t>
  </si>
  <si>
    <t>ESRBI</t>
  </si>
  <si>
    <t>Ribeira (Santa Uxia)</t>
  </si>
  <si>
    <t>ESREG</t>
  </si>
  <si>
    <t>Rioseco de Guriezo</t>
  </si>
  <si>
    <t>ESRPL</t>
  </si>
  <si>
    <t>Ripoll</t>
  </si>
  <si>
    <t>ESCAQ</t>
  </si>
  <si>
    <t>Riudecanyes</t>
  </si>
  <si>
    <t>ESROS</t>
  </si>
  <si>
    <t>Rosas</t>
  </si>
  <si>
    <t>ESVEZ</t>
  </si>
  <si>
    <t>Rossburgh</t>
  </si>
  <si>
    <t>ESROT</t>
  </si>
  <si>
    <t>Rota</t>
  </si>
  <si>
    <t>ESOTO</t>
  </si>
  <si>
    <t>Rotova</t>
  </si>
  <si>
    <t>ESRDE</t>
  </si>
  <si>
    <t>Rubielos de Mora</t>
  </si>
  <si>
    <t>ESRUE</t>
  </si>
  <si>
    <t>Rueda</t>
  </si>
  <si>
    <t>ESSAD</t>
  </si>
  <si>
    <t>Sada</t>
  </si>
  <si>
    <t>ESSAG</t>
  </si>
  <si>
    <t>Sagunto</t>
  </si>
  <si>
    <t>ESS9S</t>
  </si>
  <si>
    <t>Salinas de Oro</t>
  </si>
  <si>
    <t>ESNRA</t>
  </si>
  <si>
    <t>Salinas De Pamplona</t>
  </si>
  <si>
    <t>ESSAT</t>
  </si>
  <si>
    <t>Salinetas</t>
  </si>
  <si>
    <t>ESSDG</t>
  </si>
  <si>
    <t>Sallent de Gallego</t>
  </si>
  <si>
    <t>ESGDM</t>
  </si>
  <si>
    <t>Salvaterra de Mino</t>
  </si>
  <si>
    <t>ESSGT</t>
  </si>
  <si>
    <t>San Agustin</t>
  </si>
  <si>
    <t>ESSAA</t>
  </si>
  <si>
    <t>ESSAS</t>
  </si>
  <si>
    <t>San Asensio</t>
  </si>
  <si>
    <t>ESSBT</t>
  </si>
  <si>
    <t>ESSCR</t>
  </si>
  <si>
    <t>ESSCI</t>
  </si>
  <si>
    <t>San Ciprian</t>
  </si>
  <si>
    <t>ESSEO</t>
  </si>
  <si>
    <t>San Esteban de Pravia</t>
  </si>
  <si>
    <t>ESLIU</t>
  </si>
  <si>
    <t>ESSFU</t>
  </si>
  <si>
    <t>San Feliu de Guixols</t>
  </si>
  <si>
    <t>ESSFO</t>
  </si>
  <si>
    <t>ESSID</t>
  </si>
  <si>
    <t>ESSJN</t>
  </si>
  <si>
    <t>San Juan de Nivea</t>
  </si>
  <si>
    <t>ESJRM</t>
  </si>
  <si>
    <t>ESSPQ</t>
  </si>
  <si>
    <t>San Pedro Ceque</t>
  </si>
  <si>
    <t>ESSPP</t>
  </si>
  <si>
    <t>San Pedro del Pinatar</t>
  </si>
  <si>
    <t>ESSAP</t>
  </si>
  <si>
    <t>San Pedro Pescador</t>
  </si>
  <si>
    <t>ESSRH</t>
  </si>
  <si>
    <t>ESEAS</t>
  </si>
  <si>
    <t>San Sebastian</t>
  </si>
  <si>
    <t>ESSSG</t>
  </si>
  <si>
    <t>San Sebastian de la Gomera</t>
  </si>
  <si>
    <t>ESSVI</t>
  </si>
  <si>
    <t>ESSVB</t>
  </si>
  <si>
    <t>San Vicente de la Barquera</t>
  </si>
  <si>
    <t>ESSXX</t>
  </si>
  <si>
    <t>Sangenjo</t>
  </si>
  <si>
    <t>ESSP4</t>
  </si>
  <si>
    <t>Sanguineda</t>
  </si>
  <si>
    <t>ESPNY</t>
  </si>
  <si>
    <t>Sant Antoni de Portmany</t>
  </si>
  <si>
    <t>ESSFL</t>
  </si>
  <si>
    <t>Sant Feliu de Llobregat</t>
  </si>
  <si>
    <t>ESSJO</t>
  </si>
  <si>
    <t>ESSL4</t>
  </si>
  <si>
    <t>ESSMD</t>
  </si>
  <si>
    <t>ESSGD</t>
  </si>
  <si>
    <t>Santa Agueda</t>
  </si>
  <si>
    <t>ESSPC</t>
  </si>
  <si>
    <t>Santa Cruz de La Palma</t>
  </si>
  <si>
    <t>ESSCT</t>
  </si>
  <si>
    <t>Santa Cruz de Tenerife</t>
  </si>
  <si>
    <t>ESEUG</t>
  </si>
  <si>
    <t>Santa Eugenia</t>
  </si>
  <si>
    <t>ESSTE</t>
  </si>
  <si>
    <t>ESGCR</t>
  </si>
  <si>
    <t>Santa Maria de Guia de Gran Canaria</t>
  </si>
  <si>
    <t>ESNLL</t>
  </si>
  <si>
    <t>Santa Olalla</t>
  </si>
  <si>
    <t>ESSPO</t>
  </si>
  <si>
    <t>Santa Pola</t>
  </si>
  <si>
    <t>ESSUR</t>
  </si>
  <si>
    <t>ESSDR</t>
  </si>
  <si>
    <t>Santander</t>
  </si>
  <si>
    <t>ESS8C</t>
  </si>
  <si>
    <t>Santervas De Campos</t>
  </si>
  <si>
    <t>ESAAQ</t>
  </si>
  <si>
    <t>Santiago del Campo</t>
  </si>
  <si>
    <t>ESRUM</t>
  </si>
  <si>
    <t>Santo Angel</t>
  </si>
  <si>
    <t>ESSNR</t>
  </si>
  <si>
    <t>Santurce</t>
  </si>
  <si>
    <t>ES4SS</t>
  </si>
  <si>
    <t>Santurtz</t>
  </si>
  <si>
    <t>ESHVC</t>
  </si>
  <si>
    <t>Sanxenxo</t>
  </si>
  <si>
    <t>ESRAL</t>
  </si>
  <si>
    <t>Sarral</t>
  </si>
  <si>
    <t>ESZMF</t>
  </si>
  <si>
    <t>Sauzal</t>
  </si>
  <si>
    <t>ESSEW</t>
  </si>
  <si>
    <t>ESSER</t>
  </si>
  <si>
    <t>Serra</t>
  </si>
  <si>
    <t>ESSVQ</t>
  </si>
  <si>
    <t>Sevilla</t>
  </si>
  <si>
    <t>ESSIS</t>
  </si>
  <si>
    <t>Sils</t>
  </si>
  <si>
    <t>ESSIT</t>
  </si>
  <si>
    <t>Sitges</t>
  </si>
  <si>
    <t>ESSOV</t>
  </si>
  <si>
    <t>Sollana</t>
  </si>
  <si>
    <t>ESPTN</t>
  </si>
  <si>
    <t>Son (Puerto del Son)</t>
  </si>
  <si>
    <t>ESSUM</t>
  </si>
  <si>
    <t>Sumarcarcer</t>
  </si>
  <si>
    <t>ESTBR</t>
  </si>
  <si>
    <t>Tabara</t>
  </si>
  <si>
    <t>ESTBZ</t>
  </si>
  <si>
    <t>Tabuenca</t>
  </si>
  <si>
    <t>ESTRF</t>
  </si>
  <si>
    <t>Tarifa</t>
  </si>
  <si>
    <t>ESTAR</t>
  </si>
  <si>
    <t>Tarragona</t>
  </si>
  <si>
    <t>ESTAZ</t>
  </si>
  <si>
    <t>Tazacorte</t>
  </si>
  <si>
    <t>ESTJQ</t>
  </si>
  <si>
    <t>Tejina</t>
  </si>
  <si>
    <t>ESTEM</t>
  </si>
  <si>
    <t>Tembleque</t>
  </si>
  <si>
    <t>ESTJF</t>
  </si>
  <si>
    <t>Tijarafe</t>
  </si>
  <si>
    <t>ESTDY</t>
  </si>
  <si>
    <t>Tordoya</t>
  </si>
  <si>
    <t>ESTVC</t>
  </si>
  <si>
    <t>Tornavacas</t>
  </si>
  <si>
    <t>ESTMS</t>
  </si>
  <si>
    <t>Torre de Miguel Sesmero</t>
  </si>
  <si>
    <t>ESTHO</t>
  </si>
  <si>
    <t>Torre Horadada</t>
  </si>
  <si>
    <t>ESTRR</t>
  </si>
  <si>
    <t>Torredembarra</t>
  </si>
  <si>
    <t>ESLE6</t>
  </si>
  <si>
    <t>Torrente</t>
  </si>
  <si>
    <t>ESTOR</t>
  </si>
  <si>
    <t>Torrevieja</t>
  </si>
  <si>
    <t>ESTOT</t>
  </si>
  <si>
    <t>Tortosa</t>
  </si>
  <si>
    <t>ESTKG</t>
  </si>
  <si>
    <t>Tossa (Tossa de Mar)</t>
  </si>
  <si>
    <t>ESTRE</t>
  </si>
  <si>
    <t>Trebujena</t>
  </si>
  <si>
    <t>ESTTO</t>
  </si>
  <si>
    <t>Treto</t>
  </si>
  <si>
    <t>ESTDC</t>
  </si>
  <si>
    <t>Trobajo del Cerecedo</t>
  </si>
  <si>
    <t>ESTRU</t>
  </si>
  <si>
    <t>Trubia</t>
  </si>
  <si>
    <t>ESURZ</t>
  </si>
  <si>
    <t>Urroz</t>
  </si>
  <si>
    <t>ESDEJ</t>
  </si>
  <si>
    <t>Valdetorres de Jarama</t>
  </si>
  <si>
    <t>ESVLC</t>
  </si>
  <si>
    <t>Valencia</t>
  </si>
  <si>
    <t>ESVJO</t>
  </si>
  <si>
    <t>Valera de Abajo</t>
  </si>
  <si>
    <t>ESVCC</t>
  </si>
  <si>
    <t>Vallcarca</t>
  </si>
  <si>
    <t>ESVGR</t>
  </si>
  <si>
    <t>Valle Gran Rey</t>
  </si>
  <si>
    <t>ESCVJ</t>
  </si>
  <si>
    <t>Victoria de Acentejo</t>
  </si>
  <si>
    <t>ESVGO</t>
  </si>
  <si>
    <t>Vigo</t>
  </si>
  <si>
    <t>ESVBN</t>
  </si>
  <si>
    <t>Villabona</t>
  </si>
  <si>
    <t>ESZZ4</t>
  </si>
  <si>
    <t>Villaflor</t>
  </si>
  <si>
    <t>ESVIL</t>
  </si>
  <si>
    <t>ESDGS</t>
  </si>
  <si>
    <t>Villandangos</t>
  </si>
  <si>
    <t>ESVLG</t>
  </si>
  <si>
    <t>ESALA</t>
  </si>
  <si>
    <t>ESVZO</t>
  </si>
  <si>
    <t>Vimianzo</t>
  </si>
  <si>
    <t>ESVZR</t>
  </si>
  <si>
    <t>Vinaroz</t>
  </si>
  <si>
    <t>ESVIT</t>
  </si>
  <si>
    <t>Vitoria-Gasteiz</t>
  </si>
  <si>
    <t>ESVVR</t>
  </si>
  <si>
    <t>Vivares</t>
  </si>
  <si>
    <t>ESVIV</t>
  </si>
  <si>
    <t>Viveiro</t>
  </si>
  <si>
    <t>ESVZM</t>
  </si>
  <si>
    <t>Vizmalo</t>
  </si>
  <si>
    <t>ESZAZ</t>
  </si>
  <si>
    <t>Zaragoza</t>
  </si>
  <si>
    <t>ESZUE</t>
  </si>
  <si>
    <t>Zuera</t>
  </si>
  <si>
    <t>FITKU</t>
  </si>
  <si>
    <t>FIAJO</t>
  </si>
  <si>
    <t>Ajos</t>
  </si>
  <si>
    <t>FIAHL</t>
  </si>
  <si>
    <t>Alholmen</t>
  </si>
  <si>
    <t>FIAKK</t>
  </si>
  <si>
    <t>Asikkala</t>
  </si>
  <si>
    <t>FIBAR</t>
  </si>
  <si>
    <t>Baronsalmi</t>
  </si>
  <si>
    <t>FIPOR</t>
  </si>
  <si>
    <t>FIPRV</t>
  </si>
  <si>
    <t>FIRAA</t>
  </si>
  <si>
    <t>Brahestad (Raahe)</t>
  </si>
  <si>
    <t>FIBRA</t>
  </si>
  <si>
    <t>FIBRO</t>
  </si>
  <si>
    <t>Bromarv</t>
  </si>
  <si>
    <t>FIDLS</t>
  </si>
  <si>
    <t>Dalsbruk (Taalintehdas)</t>
  </si>
  <si>
    <t>FIDEG</t>
  </si>
  <si>
    <t>Degerby</t>
  </si>
  <si>
    <t>FIDRA</t>
  </si>
  <si>
    <t>FIECK</t>
  </si>
  <si>
    <t>FITAI</t>
  </si>
  <si>
    <t>FIEM2</t>
  </si>
  <si>
    <t>FIENK</t>
  </si>
  <si>
    <t>Enonkoski</t>
  </si>
  <si>
    <t>FIESP</t>
  </si>
  <si>
    <t>Esbo (Espoo)</t>
  </si>
  <si>
    <t>FIEJO</t>
  </si>
  <si>
    <t>FIFAR</t>
  </si>
  <si>
    <t>FISAR</t>
  </si>
  <si>
    <t>FIFOG</t>
  </si>
  <si>
    <t>FIFOR</t>
  </si>
  <si>
    <t>FIHMN</t>
  </si>
  <si>
    <t>Fredrikshamn (Hamina)</t>
  </si>
  <si>
    <t>FIGDB</t>
  </si>
  <si>
    <t>Gottby (Godby)</t>
  </si>
  <si>
    <t>FIGUL</t>
  </si>
  <si>
    <t>FIKUS</t>
  </si>
  <si>
    <t>Gustavs (Kustavi)</t>
  </si>
  <si>
    <t>FIHAO</t>
  </si>
  <si>
    <t>Hailuoto</t>
  </si>
  <si>
    <t>FIHAK</t>
  </si>
  <si>
    <t>Hakkola</t>
  </si>
  <si>
    <t>FIHAL</t>
  </si>
  <si>
    <t>Halonen</t>
  </si>
  <si>
    <t>FILHO</t>
  </si>
  <si>
    <t>Halosenlahti</t>
  </si>
  <si>
    <t>FIHKO</t>
  </si>
  <si>
    <t>FIHAR</t>
  </si>
  <si>
    <t>Harvaluoto</t>
  </si>
  <si>
    <t>FIHAU</t>
  </si>
  <si>
    <t>Haukipudas</t>
  </si>
  <si>
    <t>FIHEL</t>
  </si>
  <si>
    <t>Helsingfors (Helsinki)</t>
  </si>
  <si>
    <t>FIHIT</t>
  </si>
  <si>
    <t>Hiitinen</t>
  </si>
  <si>
    <t>FIHIM</t>
  </si>
  <si>
    <t>Himanka</t>
  </si>
  <si>
    <t>FIHMA</t>
  </si>
  <si>
    <t>FIHVM</t>
  </si>
  <si>
    <t>Hirvensalmi</t>
  </si>
  <si>
    <t>FIHOG</t>
  </si>
  <si>
    <t>FIHOU</t>
  </si>
  <si>
    <t>FIIIS</t>
  </si>
  <si>
    <t>Idensalmi (Iisalmi)</t>
  </si>
  <si>
    <t>FIIMA</t>
  </si>
  <si>
    <t>Imatra</t>
  </si>
  <si>
    <t>FIINK</t>
  </si>
  <si>
    <t>FIINI</t>
  </si>
  <si>
    <t>FIISN</t>
  </si>
  <si>
    <t>FIPRS</t>
  </si>
  <si>
    <t>Jakobstad (Pietarsaari)</t>
  </si>
  <si>
    <t>FIJAN</t>
  </si>
  <si>
    <t>Janakkala</t>
  </si>
  <si>
    <t>FIJOE</t>
  </si>
  <si>
    <t>Joensuu</t>
  </si>
  <si>
    <t>FIJOU</t>
  </si>
  <si>
    <t>Joutseno</t>
  </si>
  <si>
    <t>FIJUS</t>
  </si>
  <si>
    <t>Jussaro</t>
  </si>
  <si>
    <t>FIJUK</t>
  </si>
  <si>
    <t>Juuka</t>
  </si>
  <si>
    <t>FIJYV</t>
  </si>
  <si>
    <t>FIKPL</t>
  </si>
  <si>
    <t>Kaipola</t>
  </si>
  <si>
    <t>FIKJO</t>
  </si>
  <si>
    <t>Kalajoki</t>
  </si>
  <si>
    <t>FIKK5</t>
  </si>
  <si>
    <t>Kalliola</t>
  </si>
  <si>
    <t>FIKLV</t>
  </si>
  <si>
    <t>Kallviken</t>
  </si>
  <si>
    <t>FIKAN</t>
  </si>
  <si>
    <t>Kantlax (Kaitalahti)</t>
  </si>
  <si>
    <t>FIKNT</t>
  </si>
  <si>
    <t>Kantvik</t>
  </si>
  <si>
    <t>FIKOK</t>
  </si>
  <si>
    <t>Karleby (Kokkola)</t>
  </si>
  <si>
    <t>FIKAS</t>
  </si>
  <si>
    <t>FIKEM</t>
  </si>
  <si>
    <t>FIKIM</t>
  </si>
  <si>
    <t>FIKES</t>
  </si>
  <si>
    <t>FISKV</t>
  </si>
  <si>
    <t>FIKIR</t>
  </si>
  <si>
    <t>Kirkniemi</t>
  </si>
  <si>
    <t>FIKTQ</t>
  </si>
  <si>
    <t>Kitee</t>
  </si>
  <si>
    <t>FIKLA</t>
  </si>
  <si>
    <t>Klamila</t>
  </si>
  <si>
    <t>FIKOJ</t>
  </si>
  <si>
    <t>Kojonkulma</t>
  </si>
  <si>
    <t>FIKKR</t>
  </si>
  <si>
    <t>FIKOR</t>
  </si>
  <si>
    <t>Korpo (Korppoo)</t>
  </si>
  <si>
    <t>FIKKV</t>
  </si>
  <si>
    <t>Koskenkorva</t>
  </si>
  <si>
    <t>FIKTK</t>
  </si>
  <si>
    <t>Kotka</t>
  </si>
  <si>
    <t>FIKVH</t>
  </si>
  <si>
    <t>Koverhaara (Koverhar)</t>
  </si>
  <si>
    <t>FIKRS</t>
  </si>
  <si>
    <t>Kristiinankaupunki (Kristinestad)</t>
  </si>
  <si>
    <t>FIKRO</t>
  </si>
  <si>
    <t>Kronvik</t>
  </si>
  <si>
    <t>FIKUM</t>
  </si>
  <si>
    <t>Kumlinge</t>
  </si>
  <si>
    <t>FIKUO</t>
  </si>
  <si>
    <t>Kuopio</t>
  </si>
  <si>
    <t>FIKUR</t>
  </si>
  <si>
    <t>Kuru</t>
  </si>
  <si>
    <t>FILAK</t>
  </si>
  <si>
    <t>Lakulahti</t>
  </si>
  <si>
    <t>FILAN</t>
  </si>
  <si>
    <t>FILLO</t>
  </si>
  <si>
    <t>Lapaluoto</t>
  </si>
  <si>
    <t>FILPJ</t>
  </si>
  <si>
    <t>FILPP</t>
  </si>
  <si>
    <t>Lappeenranta (Villmanstrand)</t>
  </si>
  <si>
    <t>FILAP</t>
  </si>
  <si>
    <t>Lappohja (Lappvik)</t>
  </si>
  <si>
    <t>FILUK</t>
  </si>
  <si>
    <t>Laukaa</t>
  </si>
  <si>
    <t>FILLX</t>
  </si>
  <si>
    <t>Lielax</t>
  </si>
  <si>
    <t>FILSK</t>
  </si>
  <si>
    <t>Lindkoski</t>
  </si>
  <si>
    <t>FILVB</t>
  </si>
  <si>
    <t>FILOV</t>
  </si>
  <si>
    <t>Loviisa (Lovisa)</t>
  </si>
  <si>
    <t>FILUA</t>
  </si>
  <si>
    <t>FILUV</t>
  </si>
  <si>
    <t>Luvia</t>
  </si>
  <si>
    <t>FIMAA</t>
  </si>
  <si>
    <t>Maaninka</t>
  </si>
  <si>
    <t>FIMHQ</t>
  </si>
  <si>
    <t>FIMTY</t>
  </si>
  <si>
    <t>FIMRS</t>
  </si>
  <si>
    <t>Marsund</t>
  </si>
  <si>
    <t>FIMER</t>
  </si>
  <si>
    <t>Merikarvia (Sastmola)</t>
  </si>
  <si>
    <t>FIMIK</t>
  </si>
  <si>
    <t>Mikkeli (Sankt Michel)</t>
  </si>
  <si>
    <t>FIMUL</t>
  </si>
  <si>
    <t>Multia</t>
  </si>
  <si>
    <t>FIMUN</t>
  </si>
  <si>
    <t>Munsala</t>
  </si>
  <si>
    <t>FIMUS</t>
  </si>
  <si>
    <t>Mustola</t>
  </si>
  <si>
    <t>FINLI</t>
  </si>
  <si>
    <t>FINAU</t>
  </si>
  <si>
    <t>Nagu (Nauvo)</t>
  </si>
  <si>
    <t>FINLS</t>
  </si>
  <si>
    <t>Nilsia</t>
  </si>
  <si>
    <t>FINOU</t>
  </si>
  <si>
    <t>Nousiainen (Nousis)</t>
  </si>
  <si>
    <t>FINUR</t>
  </si>
  <si>
    <t>Nurmes</t>
  </si>
  <si>
    <t>FIUKP</t>
  </si>
  <si>
    <t>Nykarleby (Uusikaarlepyy)</t>
  </si>
  <si>
    <t>FISVL</t>
  </si>
  <si>
    <t>Nyslott (Savonlinna)</t>
  </si>
  <si>
    <t>FIUKI</t>
  </si>
  <si>
    <t>Nystad (Uusikaupunki)</t>
  </si>
  <si>
    <t>FIOLK</t>
  </si>
  <si>
    <t>Olkiluoto</t>
  </si>
  <si>
    <t>FIOUL</t>
  </si>
  <si>
    <t>FIPAR</t>
  </si>
  <si>
    <t>Parainen (Pargas)</t>
  </si>
  <si>
    <t>FIPAH</t>
  </si>
  <si>
    <t>Parhalahti</t>
  </si>
  <si>
    <t>FIPRK</t>
  </si>
  <si>
    <t>Parikkala</t>
  </si>
  <si>
    <t>FIPAA</t>
  </si>
  <si>
    <t>Parola</t>
  </si>
  <si>
    <t>FIPNL</t>
  </si>
  <si>
    <t>Pennala</t>
  </si>
  <si>
    <t>FIPER</t>
  </si>
  <si>
    <t>FIZBQ</t>
  </si>
  <si>
    <t>Perttula</t>
  </si>
  <si>
    <t>FIPT2</t>
  </si>
  <si>
    <t>Pihtipudas</t>
  </si>
  <si>
    <t>FIPK9</t>
  </si>
  <si>
    <t>FIPOH</t>
  </si>
  <si>
    <t>Pohjankuru (Skuru)</t>
  </si>
  <si>
    <t>FIPSI</t>
  </si>
  <si>
    <t>Poitsila</t>
  </si>
  <si>
    <t>FIPUH</t>
  </si>
  <si>
    <t>Puhos</t>
  </si>
  <si>
    <t>FIPUU</t>
  </si>
  <si>
    <t>Puumala</t>
  </si>
  <si>
    <t>FIRAU</t>
  </si>
  <si>
    <t>Rauma (Raumo)</t>
  </si>
  <si>
    <t>FIRTR</t>
  </si>
  <si>
    <t>Rautaruukki</t>
  </si>
  <si>
    <t>FIREP</t>
  </si>
  <si>
    <t>Reposaari</t>
  </si>
  <si>
    <t>FIRYM</t>
  </si>
  <si>
    <t>FIRIS</t>
  </si>
  <si>
    <t>Ristiina</t>
  </si>
  <si>
    <t>FIRHU</t>
  </si>
  <si>
    <t>Rouhu</t>
  </si>
  <si>
    <t>FIRVN</t>
  </si>
  <si>
    <t>Rovaniemi</t>
  </si>
  <si>
    <t>FIROY</t>
  </si>
  <si>
    <t>FIRUO</t>
  </si>
  <si>
    <t>FIRUI</t>
  </si>
  <si>
    <t>Ruovesi</t>
  </si>
  <si>
    <t>FISAL</t>
  </si>
  <si>
    <t>Salo</t>
  </si>
  <si>
    <t>FISAN</t>
  </si>
  <si>
    <t>FISSI</t>
  </si>
  <si>
    <t>FISIP</t>
  </si>
  <si>
    <t>Sibbo (Sipoo)</t>
  </si>
  <si>
    <t>FISII</t>
  </si>
  <si>
    <t>FISLY</t>
  </si>
  <si>
    <t>FISKI</t>
  </si>
  <si>
    <t>Skinnarvik</t>
  </si>
  <si>
    <t>FISKB</t>
  </si>
  <si>
    <t>Skogby</t>
  </si>
  <si>
    <t>FISKU</t>
  </si>
  <si>
    <t>Skutviken</t>
  </si>
  <si>
    <t>FISNA</t>
  </si>
  <si>
    <t>Snappertuna</t>
  </si>
  <si>
    <t>FISTR</t>
  </si>
  <si>
    <t>FISVK</t>
  </si>
  <si>
    <t>Sulkava</t>
  </si>
  <si>
    <t>FISMA</t>
  </si>
  <si>
    <t>Summa</t>
  </si>
  <si>
    <t>FISUL</t>
  </si>
  <si>
    <t>Sunila</t>
  </si>
  <si>
    <t>FISBG</t>
  </si>
  <si>
    <t>Suomenlinna (Sveaborg)</t>
  </si>
  <si>
    <t>FITHK</t>
  </si>
  <si>
    <t>Tahkoluoto</t>
  </si>
  <si>
    <t>FITVS</t>
  </si>
  <si>
    <t>FITMP</t>
  </si>
  <si>
    <t>Tammerfors (Tampere)</t>
  </si>
  <si>
    <t>FITEI</t>
  </si>
  <si>
    <t>Teijo</t>
  </si>
  <si>
    <t>FITSD</t>
  </si>
  <si>
    <t>Tervsund</t>
  </si>
  <si>
    <t>FITJO</t>
  </si>
  <si>
    <t>FITES</t>
  </si>
  <si>
    <t>FITOJ</t>
  </si>
  <si>
    <t>FITOK</t>
  </si>
  <si>
    <t>Tolkis (Tolkkinen)</t>
  </si>
  <si>
    <t>FITOR</t>
  </si>
  <si>
    <t>FITOT</t>
  </si>
  <si>
    <t>Tottesund</t>
  </si>
  <si>
    <t>FITVA</t>
  </si>
  <si>
    <t>FIUIM</t>
  </si>
  <si>
    <t>Uimaharju</t>
  </si>
  <si>
    <t>FIULV</t>
  </si>
  <si>
    <t>Ulvila</t>
  </si>
  <si>
    <t>FIUSK</t>
  </si>
  <si>
    <t>Uskila</t>
  </si>
  <si>
    <t>FIUUS</t>
  </si>
  <si>
    <t>FIVAA</t>
  </si>
  <si>
    <t>Vaasa (Vasa)</t>
  </si>
  <si>
    <t>FIVKO</t>
  </si>
  <si>
    <t>Valko (Valkom)</t>
  </si>
  <si>
    <t>FIVJK</t>
  </si>
  <si>
    <t>Varjakka</t>
  </si>
  <si>
    <t>FIVRK</t>
  </si>
  <si>
    <t>Varkaus</t>
  </si>
  <si>
    <t>FIVIR</t>
  </si>
  <si>
    <t>Varpuniemi (Kello)</t>
  </si>
  <si>
    <t>FIVAR</t>
  </si>
  <si>
    <t>Vartsala</t>
  </si>
  <si>
    <t>FIWAS</t>
  </si>
  <si>
    <t>Vasklot (Vaskiluoto)</t>
  </si>
  <si>
    <t>FIVTF</t>
  </si>
  <si>
    <t>FIVEI</t>
  </si>
  <si>
    <t>Veitsiluoto</t>
  </si>
  <si>
    <t>FIVEL</t>
  </si>
  <si>
    <t>Velkua</t>
  </si>
  <si>
    <t>FIVAS</t>
  </si>
  <si>
    <t>Vestlax</t>
  </si>
  <si>
    <t>FIVRA</t>
  </si>
  <si>
    <t>Virrat (Virdois)</t>
  </si>
  <si>
    <t>FIVKT</t>
  </si>
  <si>
    <t>Vuoksen Terminal</t>
  </si>
  <si>
    <t>FIVSS</t>
  </si>
  <si>
    <t>FIYXP</t>
  </si>
  <si>
    <t>Yxpila</t>
  </si>
  <si>
    <t>FJELL</t>
  </si>
  <si>
    <t>Ellington Wharf</t>
  </si>
  <si>
    <t>FJLBS</t>
  </si>
  <si>
    <t>Labasa</t>
  </si>
  <si>
    <t>FJLTK</t>
  </si>
  <si>
    <t>Lautoka</t>
  </si>
  <si>
    <t>FJMAL</t>
  </si>
  <si>
    <t>Malau (Labasa)</t>
  </si>
  <si>
    <t>FJMOM</t>
  </si>
  <si>
    <t>Momi</t>
  </si>
  <si>
    <t>FJNAM</t>
  </si>
  <si>
    <t>Nambouwalu</t>
  </si>
  <si>
    <t>FJRTA</t>
  </si>
  <si>
    <t>Rotuma</t>
  </si>
  <si>
    <t>FJSVU</t>
  </si>
  <si>
    <t>Savusavu</t>
  </si>
  <si>
    <t>FJSIN</t>
  </si>
  <si>
    <t>Singatoka</t>
  </si>
  <si>
    <t>FJSUV</t>
  </si>
  <si>
    <t>Suva</t>
  </si>
  <si>
    <t>FJVAT</t>
  </si>
  <si>
    <t>Vatia Wharf</t>
  </si>
  <si>
    <t>FJVUD</t>
  </si>
  <si>
    <t>Vuda</t>
  </si>
  <si>
    <t>FJWAI</t>
  </si>
  <si>
    <t>Wairiki</t>
  </si>
  <si>
    <t>FKFBE</t>
  </si>
  <si>
    <t>Fox Bay</t>
  </si>
  <si>
    <t>FKPSY</t>
  </si>
  <si>
    <t>FMTKK</t>
  </si>
  <si>
    <t>Chuuk (ex Truk)</t>
  </si>
  <si>
    <t>FMEAU</t>
  </si>
  <si>
    <t>Eauripik Atoll</t>
  </si>
  <si>
    <t>FMFSI</t>
  </si>
  <si>
    <t>Faisi</t>
  </si>
  <si>
    <t>FMGAF</t>
  </si>
  <si>
    <t>Gaferut Atoll</t>
  </si>
  <si>
    <t>FMIFA</t>
  </si>
  <si>
    <t>Ifalik Atoll</t>
  </si>
  <si>
    <t>FMKSA</t>
  </si>
  <si>
    <t>Kosrae (ex Kusaie)</t>
  </si>
  <si>
    <t>FMLUK</t>
  </si>
  <si>
    <t>Lukunor Atoll</t>
  </si>
  <si>
    <t>FMNGA</t>
  </si>
  <si>
    <t>Ngatik</t>
  </si>
  <si>
    <t>FMPNI</t>
  </si>
  <si>
    <t>Pohnpei (ex Ponape)</t>
  </si>
  <si>
    <t>FMPUL</t>
  </si>
  <si>
    <t>Pulap Island</t>
  </si>
  <si>
    <t>FMPLW</t>
  </si>
  <si>
    <t>Puluwat</t>
  </si>
  <si>
    <t>FMSAT</t>
  </si>
  <si>
    <t>Satawal</t>
  </si>
  <si>
    <t>FMSOR</t>
  </si>
  <si>
    <t>Sorol Atoll</t>
  </si>
  <si>
    <t>FMWOL</t>
  </si>
  <si>
    <t>Woleai Atoll</t>
  </si>
  <si>
    <t>FMYAP</t>
  </si>
  <si>
    <t>Yap</t>
  </si>
  <si>
    <t>FOEDI</t>
  </si>
  <si>
    <t>Eidi</t>
  </si>
  <si>
    <t>FOFUG</t>
  </si>
  <si>
    <t>FOHYV</t>
  </si>
  <si>
    <t>Hoyvik</t>
  </si>
  <si>
    <t>FOHUS</t>
  </si>
  <si>
    <t>Husevig</t>
  </si>
  <si>
    <t>FOKVI</t>
  </si>
  <si>
    <t>Klaksvik</t>
  </si>
  <si>
    <t>FOKOL</t>
  </si>
  <si>
    <t>FOLOP</t>
  </si>
  <si>
    <t>Lopra</t>
  </si>
  <si>
    <t>FONLS</t>
  </si>
  <si>
    <t>FONSK</t>
  </si>
  <si>
    <t>FORVK</t>
  </si>
  <si>
    <t>FOSJO</t>
  </si>
  <si>
    <t>Sjovar havn</t>
  </si>
  <si>
    <t>FOSKA</t>
  </si>
  <si>
    <t>FOSMJ</t>
  </si>
  <si>
    <t>Solmundefjord</t>
  </si>
  <si>
    <t>FOSRV</t>
  </si>
  <si>
    <t>FOSTR</t>
  </si>
  <si>
    <t>Strendur</t>
  </si>
  <si>
    <t>FOSYN</t>
  </si>
  <si>
    <t>Streymnes</t>
  </si>
  <si>
    <t>FOTHO</t>
  </si>
  <si>
    <t>Thorshavn</t>
  </si>
  <si>
    <t>FOTOF</t>
  </si>
  <si>
    <t>Toftir</t>
  </si>
  <si>
    <t>FOTOR</t>
  </si>
  <si>
    <t>FOTVO</t>
  </si>
  <si>
    <t>Tvoroyri</t>
  </si>
  <si>
    <t>FOVID</t>
  </si>
  <si>
    <t>Vadair</t>
  </si>
  <si>
    <t>FOVAG</t>
  </si>
  <si>
    <t>FOVES</t>
  </si>
  <si>
    <t>Vestmanhavn</t>
  </si>
  <si>
    <t>FRABB</t>
  </si>
  <si>
    <t>Abbeville</t>
  </si>
  <si>
    <t>FRA86</t>
  </si>
  <si>
    <t>Achery</t>
  </si>
  <si>
    <t>FRAGF</t>
  </si>
  <si>
    <t>Agen</t>
  </si>
  <si>
    <t>FRAWS</t>
  </si>
  <si>
    <t>Aiserey</t>
  </si>
  <si>
    <t>FRAJA</t>
  </si>
  <si>
    <t>Ajaccio</t>
  </si>
  <si>
    <t>FRTKU</t>
  </si>
  <si>
    <t>Allamps</t>
  </si>
  <si>
    <t>FRAXM</t>
  </si>
  <si>
    <t>Ambly</t>
  </si>
  <si>
    <t>FRYMS</t>
  </si>
  <si>
    <t>Ambly-sur-Meuse</t>
  </si>
  <si>
    <t>FRAMI</t>
  </si>
  <si>
    <t>Amiens</t>
  </si>
  <si>
    <t>FRADB</t>
  </si>
  <si>
    <t>Andernos-les-Bains</t>
  </si>
  <si>
    <t>Ange</t>
  </si>
  <si>
    <t>FRXAN</t>
  </si>
  <si>
    <t>Anse</t>
  </si>
  <si>
    <t>FRAHH</t>
  </si>
  <si>
    <t>Anthy-Sechex</t>
  </si>
  <si>
    <t>FRANT</t>
  </si>
  <si>
    <t>Antibes</t>
  </si>
  <si>
    <t>FRAAH</t>
  </si>
  <si>
    <t>Apach</t>
  </si>
  <si>
    <t>FRAAO</t>
  </si>
  <si>
    <t>Aramon</t>
  </si>
  <si>
    <t>FRARC</t>
  </si>
  <si>
    <t>Arcachon</t>
  </si>
  <si>
    <t>FRARD</t>
  </si>
  <si>
    <t>Ardres</t>
  </si>
  <si>
    <t>FRTWA</t>
  </si>
  <si>
    <t>FRAXY</t>
  </si>
  <si>
    <t>Argancy</t>
  </si>
  <si>
    <t>FRAJR</t>
  </si>
  <si>
    <t>Argeliers</t>
  </si>
  <si>
    <t>FRAR5</t>
  </si>
  <si>
    <t>Argenton</t>
  </si>
  <si>
    <t>FRAS8</t>
  </si>
  <si>
    <t>Argoeuvres</t>
  </si>
  <si>
    <t>FRRME</t>
  </si>
  <si>
    <t>FRARR</t>
  </si>
  <si>
    <t>Arras</t>
  </si>
  <si>
    <t>FRAQS</t>
  </si>
  <si>
    <t>FRA84</t>
  </si>
  <si>
    <t>Aubais</t>
  </si>
  <si>
    <t>FRAUD</t>
  </si>
  <si>
    <t>Audierne</t>
  </si>
  <si>
    <t>FRAIQ</t>
  </si>
  <si>
    <t>Audruicq</t>
  </si>
  <si>
    <t>FRAEO</t>
  </si>
  <si>
    <t>Auvers-sur-Oise</t>
  </si>
  <si>
    <t>FRAUF</t>
  </si>
  <si>
    <t>Auxerre</t>
  </si>
  <si>
    <t>FRAVN</t>
  </si>
  <si>
    <t>Avignon</t>
  </si>
  <si>
    <t>FRAYW</t>
  </si>
  <si>
    <t>Ay</t>
  </si>
  <si>
    <t>FRAYT</t>
  </si>
  <si>
    <t>FRZLE</t>
  </si>
  <si>
    <t>Azille</t>
  </si>
  <si>
    <t>FRNOP</t>
  </si>
  <si>
    <t>Baden</t>
  </si>
  <si>
    <t>FRIBA</t>
  </si>
  <si>
    <t>Bains-les-Bains</t>
  </si>
  <si>
    <t>FRBLF</t>
  </si>
  <si>
    <t>Balaruc-les-Bains</t>
  </si>
  <si>
    <t>FRNTZ</t>
  </si>
  <si>
    <t>Bantouzelle</t>
  </si>
  <si>
    <t>FRBLD</t>
  </si>
  <si>
    <t>Bar-le-Duc</t>
  </si>
  <si>
    <t>FRBNV</t>
  </si>
  <si>
    <t>Barneville-Carteret</t>
  </si>
  <si>
    <t>FRBAI</t>
  </si>
  <si>
    <t>Basse-Indre</t>
  </si>
  <si>
    <t>FRBAS</t>
  </si>
  <si>
    <t>Bassens</t>
  </si>
  <si>
    <t>FRBIA</t>
  </si>
  <si>
    <t>Bastia</t>
  </si>
  <si>
    <t>FRBQA</t>
  </si>
  <si>
    <t>Bauvin</t>
  </si>
  <si>
    <t>FRBAV</t>
  </si>
  <si>
    <t>Bavilliers</t>
  </si>
  <si>
    <t>FRWBY</t>
  </si>
  <si>
    <t>Bayon</t>
  </si>
  <si>
    <t>FRBAY</t>
  </si>
  <si>
    <t>Bayonne</t>
  </si>
  <si>
    <t>FRBCA</t>
  </si>
  <si>
    <t>Beaucaire</t>
  </si>
  <si>
    <t>FRBMT</t>
  </si>
  <si>
    <t>Beaumont-sur-Oise</t>
  </si>
  <si>
    <t>FRBEC</t>
  </si>
  <si>
    <t>FRBXU</t>
  </si>
  <si>
    <t>Begaar</t>
  </si>
  <si>
    <t>FREUE</t>
  </si>
  <si>
    <t>FRBBQ</t>
  </si>
  <si>
    <t>Belin-Beliet</t>
  </si>
  <si>
    <t>FRDBE</t>
  </si>
  <si>
    <t>FRIUS</t>
  </si>
  <si>
    <t>Bernieres-sur-Seine</t>
  </si>
  <si>
    <t>FRBEE</t>
  </si>
  <si>
    <t>Berre</t>
  </si>
  <si>
    <t>FRETB</t>
  </si>
  <si>
    <t>FRDF9</t>
  </si>
  <si>
    <t>Berru</t>
  </si>
  <si>
    <t>FRYF2</t>
  </si>
  <si>
    <t>Beru</t>
  </si>
  <si>
    <t>FRBEV</t>
  </si>
  <si>
    <t>Berville-sur-Mer</t>
  </si>
  <si>
    <t>FRBSN</t>
  </si>
  <si>
    <t>FR3CG</t>
  </si>
  <si>
    <t>Bessan</t>
  </si>
  <si>
    <t>FRKJ9</t>
  </si>
  <si>
    <t>Besse-sur-Issole</t>
  </si>
  <si>
    <t>FRTU9</t>
  </si>
  <si>
    <t>Besson</t>
  </si>
  <si>
    <t>FRBET</t>
  </si>
  <si>
    <t>FRBTU</t>
  </si>
  <si>
    <t>Betton</t>
  </si>
  <si>
    <t>FRIHS</t>
  </si>
  <si>
    <t>Biaches</t>
  </si>
  <si>
    <t>FRBIQ</t>
  </si>
  <si>
    <t>Biarritz</t>
  </si>
  <si>
    <t>FRBDD</t>
  </si>
  <si>
    <t>Bidart</t>
  </si>
  <si>
    <t>FRDNZ</t>
  </si>
  <si>
    <t>Billy-le-Grand</t>
  </si>
  <si>
    <t>FRIRT</t>
  </si>
  <si>
    <t>Bissert</t>
  </si>
  <si>
    <t>FREUY</t>
  </si>
  <si>
    <t>Bisseuil</t>
  </si>
  <si>
    <t>FRYVG</t>
  </si>
  <si>
    <t>Blagny-sur-Vingeanne</t>
  </si>
  <si>
    <t>FRNCB</t>
  </si>
  <si>
    <t>Blanc-Sablons</t>
  </si>
  <si>
    <t>FRBYE</t>
  </si>
  <si>
    <t>Blaye</t>
  </si>
  <si>
    <t>FRBPS</t>
  </si>
  <si>
    <t>FRWMN</t>
  </si>
  <si>
    <t>Blienschwiller</t>
  </si>
  <si>
    <t>FRHYD</t>
  </si>
  <si>
    <t>Bligny</t>
  </si>
  <si>
    <t>FRMWF</t>
  </si>
  <si>
    <t>Blomac</t>
  </si>
  <si>
    <t>FRYGO</t>
  </si>
  <si>
    <t>Bogy</t>
  </si>
  <si>
    <t>FRHOB</t>
  </si>
  <si>
    <t>Bohas</t>
  </si>
  <si>
    <t>FRBCQ</t>
  </si>
  <si>
    <t>Boissettes</t>
  </si>
  <si>
    <t>FRBXO</t>
  </si>
  <si>
    <t>Bollene</t>
  </si>
  <si>
    <t>FRFAX</t>
  </si>
  <si>
    <t>Boncourt-le-Bois</t>
  </si>
  <si>
    <t>FRBON</t>
  </si>
  <si>
    <t>Bonifacio</t>
  </si>
  <si>
    <t>FRMQP</t>
  </si>
  <si>
    <t>Bonneil</t>
  </si>
  <si>
    <t>FREFG</t>
  </si>
  <si>
    <t>Bonnelles</t>
  </si>
  <si>
    <t>FRHJK</t>
  </si>
  <si>
    <t>Bonnencontre</t>
  </si>
  <si>
    <t>FRBSC</t>
  </si>
  <si>
    <t>Bonsecours</t>
  </si>
  <si>
    <t>FRBOD</t>
  </si>
  <si>
    <t>Bordeaux</t>
  </si>
  <si>
    <t>FRGID</t>
  </si>
  <si>
    <t>Bordeaux-Bruges</t>
  </si>
  <si>
    <t>Borre</t>
  </si>
  <si>
    <t>FRBG3</t>
  </si>
  <si>
    <t>Bossugan</t>
  </si>
  <si>
    <t>FRBFT</t>
  </si>
  <si>
    <t>Botans</t>
  </si>
  <si>
    <t>FRXBA</t>
  </si>
  <si>
    <t>Bouc-Bel-Air</t>
  </si>
  <si>
    <t>FRBHC</t>
  </si>
  <si>
    <t>Bouchain</t>
  </si>
  <si>
    <t>FRBHR</t>
  </si>
  <si>
    <t>Boucharey</t>
  </si>
  <si>
    <t>FRFUC</t>
  </si>
  <si>
    <t>Bouchet</t>
  </si>
  <si>
    <t>FRNEG</t>
  </si>
  <si>
    <t>Bougenais</t>
  </si>
  <si>
    <t>FRUGV</t>
  </si>
  <si>
    <t>Bougival</t>
  </si>
  <si>
    <t>FRUJA</t>
  </si>
  <si>
    <t>Boujan-sur-Libron</t>
  </si>
  <si>
    <t>FRAAI</t>
  </si>
  <si>
    <t>Bouliac</t>
  </si>
  <si>
    <t>FROGB</t>
  </si>
  <si>
    <t>Boulogne-Billancourt</t>
  </si>
  <si>
    <t>FRBOL</t>
  </si>
  <si>
    <t>Boulogne-sur-Mer</t>
  </si>
  <si>
    <t>FRUUL</t>
  </si>
  <si>
    <t>Boulouris-sur-Mer</t>
  </si>
  <si>
    <t>FRBH4</t>
  </si>
  <si>
    <t>Bourcefranc-le-Chapus</t>
  </si>
  <si>
    <t>FRRTE</t>
  </si>
  <si>
    <t>Bourg-Charente</t>
  </si>
  <si>
    <t>FRBSG</t>
  </si>
  <si>
    <t>Bourg-sur-Gironde</t>
  </si>
  <si>
    <t>FRUUO</t>
  </si>
  <si>
    <t>Boursault</t>
  </si>
  <si>
    <t>FROJA</t>
  </si>
  <si>
    <t>Boutiers-Saint-Trojan</t>
  </si>
  <si>
    <t>FREZR</t>
  </si>
  <si>
    <t>Bouzeron</t>
  </si>
  <si>
    <t>Bouzigues</t>
  </si>
  <si>
    <t>FRGUZ</t>
  </si>
  <si>
    <t>FRQDF</t>
  </si>
  <si>
    <t>Bragassargues</t>
  </si>
  <si>
    <t>FRZTW</t>
  </si>
  <si>
    <t>Bram</t>
  </si>
  <si>
    <t>FRQXC</t>
  </si>
  <si>
    <t>Bras</t>
  </si>
  <si>
    <t>FRAJK</t>
  </si>
  <si>
    <t>Brasles</t>
  </si>
  <si>
    <t>FRBEP</t>
  </si>
  <si>
    <t>Brazey-en-Plaine</t>
  </si>
  <si>
    <t>FRBRQ</t>
  </si>
  <si>
    <t>FRBQT</t>
  </si>
  <si>
    <t>Brebotte</t>
  </si>
  <si>
    <t>FREHA</t>
  </si>
  <si>
    <t>Brehan</t>
  </si>
  <si>
    <t>FRBES</t>
  </si>
  <si>
    <t>Brest</t>
  </si>
  <si>
    <t>FREHY</t>
  </si>
  <si>
    <t>Brethenay</t>
  </si>
  <si>
    <t>FRMHT</t>
  </si>
  <si>
    <t>Brie-sous-Matha</t>
  </si>
  <si>
    <t>FRB2T</t>
  </si>
  <si>
    <t>Brimont</t>
  </si>
  <si>
    <t>FRBSD</t>
  </si>
  <si>
    <t>FRUUC</t>
  </si>
  <si>
    <t>Bruch</t>
  </si>
  <si>
    <t>FRUFN</t>
  </si>
  <si>
    <t>Buffon</t>
  </si>
  <si>
    <t>FRBYB</t>
  </si>
  <si>
    <t>Bully</t>
  </si>
  <si>
    <t>FRP5C</t>
  </si>
  <si>
    <t>Busnes</t>
  </si>
  <si>
    <t>FRUYO</t>
  </si>
  <si>
    <t>Butry-sur-Oise</t>
  </si>
  <si>
    <t>FRXEU</t>
  </si>
  <si>
    <t>Buxeuil</t>
  </si>
  <si>
    <t>FRBXE</t>
  </si>
  <si>
    <t>Buxiere-sur-Arce</t>
  </si>
  <si>
    <t>FRZUI</t>
  </si>
  <si>
    <t>Buzet-sur-Baise</t>
  </si>
  <si>
    <t>FRCAW</t>
  </si>
  <si>
    <t>Cabourg</t>
  </si>
  <si>
    <t>FRCFR</t>
  </si>
  <si>
    <t>Caen</t>
  </si>
  <si>
    <t>FRCQF</t>
  </si>
  <si>
    <t>Calais</t>
  </si>
  <si>
    <t>FRCLY</t>
  </si>
  <si>
    <t>Calvi</t>
  </si>
  <si>
    <t>FRQBR</t>
  </si>
  <si>
    <t>Camarsac</t>
  </si>
  <si>
    <t>FRQZX</t>
  </si>
  <si>
    <t>Camillac</t>
  </si>
  <si>
    <t>FRPHG</t>
  </si>
  <si>
    <t>Campagnac</t>
  </si>
  <si>
    <t>FRQMM</t>
  </si>
  <si>
    <t>Campagne</t>
  </si>
  <si>
    <t>FRUDP</t>
  </si>
  <si>
    <t>Camp-du-Castellet</t>
  </si>
  <si>
    <t>FRZXC</t>
  </si>
  <si>
    <t>Camplong-d'Aude</t>
  </si>
  <si>
    <t>FRLKJ</t>
  </si>
  <si>
    <t>Campouriez</t>
  </si>
  <si>
    <t>FRCEQ</t>
  </si>
  <si>
    <t>Cannes</t>
  </si>
  <si>
    <t>FRCCK</t>
  </si>
  <si>
    <t>Cantois</t>
  </si>
  <si>
    <t>FRC2P</t>
  </si>
  <si>
    <t>Cap Pertusato</t>
  </si>
  <si>
    <t>FRCBT</t>
  </si>
  <si>
    <t>Capbreton</t>
  </si>
  <si>
    <t>FRCDX</t>
  </si>
  <si>
    <t>Capendu</t>
  </si>
  <si>
    <t>FRCP3</t>
  </si>
  <si>
    <t>Capinghem</t>
  </si>
  <si>
    <t>FRCQQ</t>
  </si>
  <si>
    <t>Caplong</t>
  </si>
  <si>
    <t>FRUXL</t>
  </si>
  <si>
    <t>Carlux</t>
  </si>
  <si>
    <t>FRNAC</t>
  </si>
  <si>
    <t>Carnac</t>
  </si>
  <si>
    <t>FRVCS</t>
  </si>
  <si>
    <t>Carnas</t>
  </si>
  <si>
    <t>FRZZU</t>
  </si>
  <si>
    <t>Carnoules</t>
  </si>
  <si>
    <t>FRZMB</t>
  </si>
  <si>
    <t>Caromb</t>
  </si>
  <si>
    <t>FRCOZ</t>
  </si>
  <si>
    <t>Caronte</t>
  </si>
  <si>
    <t>Carteret</t>
  </si>
  <si>
    <t>FRCDH</t>
  </si>
  <si>
    <t>Castets-en-Dorthe</t>
  </si>
  <si>
    <t>FRCQG</t>
  </si>
  <si>
    <t>Caumont-sur-Garonne</t>
  </si>
  <si>
    <t>FRUNL</t>
  </si>
  <si>
    <t>Cauneille</t>
  </si>
  <si>
    <t>FRCQD</t>
  </si>
  <si>
    <t>Cendrecourt</t>
  </si>
  <si>
    <t>FRCJO</t>
  </si>
  <si>
    <t>Cepoy</t>
  </si>
  <si>
    <t>FRCCN</t>
  </si>
  <si>
    <t>FRER5</t>
  </si>
  <si>
    <t>Cers</t>
  </si>
  <si>
    <t>FRYXA</t>
  </si>
  <si>
    <t>FRCSM</t>
  </si>
  <si>
    <t>FRCSS</t>
  </si>
  <si>
    <t>FRCMC</t>
  </si>
  <si>
    <t>Chamblanc</t>
  </si>
  <si>
    <t>FRCYI</t>
  </si>
  <si>
    <t>Chamilly</t>
  </si>
  <si>
    <t>FRN7E</t>
  </si>
  <si>
    <t>Champ-sur-Layon</t>
  </si>
  <si>
    <t>FRNNH</t>
  </si>
  <si>
    <t>Channes</t>
  </si>
  <si>
    <t>FRC26</t>
  </si>
  <si>
    <t>Chanos-Curson</t>
  </si>
  <si>
    <t>FRTCJ</t>
  </si>
  <si>
    <t>Chantillon-Coligny</t>
  </si>
  <si>
    <t>FRAO7</t>
  </si>
  <si>
    <t>Chardonnay</t>
  </si>
  <si>
    <t>FRHRA</t>
  </si>
  <si>
    <t>Charentenay</t>
  </si>
  <si>
    <t>FRCHM</t>
  </si>
  <si>
    <t>FRCM4</t>
  </si>
  <si>
    <t>Charly-sur-Marne</t>
  </si>
  <si>
    <t>FRV88</t>
  </si>
  <si>
    <t>Charmes</t>
  </si>
  <si>
    <t>FRC69</t>
  </si>
  <si>
    <t>Charnay-en-Beaujolais</t>
  </si>
  <si>
    <t>FRRTV</t>
  </si>
  <si>
    <t>Charteves</t>
  </si>
  <si>
    <t>FR69R</t>
  </si>
  <si>
    <t>Chasselay</t>
  </si>
  <si>
    <t>FRCC4</t>
  </si>
  <si>
    <t>Chassey-le-Camp</t>
  </si>
  <si>
    <t>FRCQN</t>
  </si>
  <si>
    <t>FREFR</t>
  </si>
  <si>
    <t>Chateauneuf-de-Gadagne</t>
  </si>
  <si>
    <t>FRMHJ</t>
  </si>
  <si>
    <t>Chateauneuf-le-Rouge</t>
  </si>
  <si>
    <t>FRFBG</t>
  </si>
  <si>
    <t>Chateauneuf-sur-Loire</t>
  </si>
  <si>
    <t>FRRYG</t>
  </si>
  <si>
    <t>Chateau-Renard</t>
  </si>
  <si>
    <t>FRQWC</t>
  </si>
  <si>
    <t>Chateauvert</t>
  </si>
  <si>
    <t>FRCXA</t>
  </si>
  <si>
    <t>Chatillon-Saint-Jean</t>
  </si>
  <si>
    <t>FRCXS</t>
  </si>
  <si>
    <t>FRIY8</t>
  </si>
  <si>
    <t>Chauffour</t>
  </si>
  <si>
    <t>FRCMT</t>
  </si>
  <si>
    <t>Chaumont</t>
  </si>
  <si>
    <t>FRHAO</t>
  </si>
  <si>
    <t>Chaumousey</t>
  </si>
  <si>
    <t>FRC2H</t>
  </si>
  <si>
    <t>Chausey</t>
  </si>
  <si>
    <t>FRDC2</t>
  </si>
  <si>
    <t>Cheminas</t>
  </si>
  <si>
    <t>FRCS5</t>
  </si>
  <si>
    <t>Chenac-Saint-Seurin-d'Uzet</t>
  </si>
  <si>
    <t>FRHY9</t>
  </si>
  <si>
    <t>Cheny</t>
  </si>
  <si>
    <t>FRCER</t>
  </si>
  <si>
    <t>Cherbourg</t>
  </si>
  <si>
    <t>FRHEY</t>
  </si>
  <si>
    <t>Chessy</t>
  </si>
  <si>
    <t>FRGH7</t>
  </si>
  <si>
    <t>Cheverny</t>
  </si>
  <si>
    <t>FRHIY</t>
  </si>
  <si>
    <t>Chierry</t>
  </si>
  <si>
    <t>FRHPY</t>
  </si>
  <si>
    <t>Chipilly</t>
  </si>
  <si>
    <t>FROOZ</t>
  </si>
  <si>
    <t>Chooz</t>
  </si>
  <si>
    <t>FRLO9</t>
  </si>
  <si>
    <t>Chorey-les-Beaune</t>
  </si>
  <si>
    <t>FRG8R</t>
  </si>
  <si>
    <t>Chusclan</t>
  </si>
  <si>
    <t>FRXLZ</t>
  </si>
  <si>
    <t>Civrac-de-Blaye</t>
  </si>
  <si>
    <t>FRCNG</t>
  </si>
  <si>
    <t>Cognac</t>
  </si>
  <si>
    <t>FRONY</t>
  </si>
  <si>
    <t>Cognocoli</t>
  </si>
  <si>
    <t>FRAYR</t>
  </si>
  <si>
    <t>Colayrac</t>
  </si>
  <si>
    <t>FRZT7</t>
  </si>
  <si>
    <t>Collorgues</t>
  </si>
  <si>
    <t>FRCMR</t>
  </si>
  <si>
    <t>Colmar</t>
  </si>
  <si>
    <t>FRMJY</t>
  </si>
  <si>
    <t>Colombier</t>
  </si>
  <si>
    <t>FRQYV</t>
  </si>
  <si>
    <t>Colombiers</t>
  </si>
  <si>
    <t>FRRZW</t>
  </si>
  <si>
    <t>Combaillaux</t>
  </si>
  <si>
    <t>FRJMQ</t>
  </si>
  <si>
    <t>Combertault</t>
  </si>
  <si>
    <t>FRQPL</t>
  </si>
  <si>
    <t>Communay</t>
  </si>
  <si>
    <t>FRCMP</t>
  </si>
  <si>
    <t>FREZX</t>
  </si>
  <si>
    <t>Comps</t>
  </si>
  <si>
    <t>FRCOC</t>
  </si>
  <si>
    <t>Concarneau</t>
  </si>
  <si>
    <t>FRLKZ</t>
  </si>
  <si>
    <t>Concoeur-et-Corboin</t>
  </si>
  <si>
    <t>FRXCB</t>
  </si>
  <si>
    <t>Corcelles-en-Beaujolais</t>
  </si>
  <si>
    <t>FRZLL</t>
  </si>
  <si>
    <t>Corcelles-les-Arts</t>
  </si>
  <si>
    <t>FRCTX</t>
  </si>
  <si>
    <t>Corcelles-les-Citeaux</t>
  </si>
  <si>
    <t>FRZNN</t>
  </si>
  <si>
    <t>Corconne</t>
  </si>
  <si>
    <t>FRCXY</t>
  </si>
  <si>
    <t>Cordemais</t>
  </si>
  <si>
    <t>FRZMM</t>
  </si>
  <si>
    <t>Cormeilles</t>
  </si>
  <si>
    <t>FRZMY</t>
  </si>
  <si>
    <t>Cormeray</t>
  </si>
  <si>
    <t>FRQQQ</t>
  </si>
  <si>
    <t>Cormicy</t>
  </si>
  <si>
    <t>FRUML</t>
  </si>
  <si>
    <t>Courmelons</t>
  </si>
  <si>
    <t>FRCS3</t>
  </si>
  <si>
    <t>Courtisols</t>
  </si>
  <si>
    <t>FRZSD</t>
  </si>
  <si>
    <t>Coussay-les-Bois</t>
  </si>
  <si>
    <t>FRCT2</t>
  </si>
  <si>
    <t>Coustellet</t>
  </si>
  <si>
    <t>FRCZZ</t>
  </si>
  <si>
    <t>Cozes</t>
  </si>
  <si>
    <t>FRRAV</t>
  </si>
  <si>
    <t>Cravant</t>
  </si>
  <si>
    <t>FRRHP</t>
  </si>
  <si>
    <t>Creac'h-Point</t>
  </si>
  <si>
    <t>FRCR4</t>
  </si>
  <si>
    <t>FRCSD</t>
  </si>
  <si>
    <t>FRCYE</t>
  </si>
  <si>
    <t>FRRH9</t>
  </si>
  <si>
    <t>Crehange</t>
  </si>
  <si>
    <t>FRCRL</t>
  </si>
  <si>
    <t>Creil</t>
  </si>
  <si>
    <t>FRERW</t>
  </si>
  <si>
    <t>Creissan</t>
  </si>
  <si>
    <t>FRYEN</t>
  </si>
  <si>
    <t>Creney</t>
  </si>
  <si>
    <t>FRPEP</t>
  </si>
  <si>
    <t>Crespian</t>
  </si>
  <si>
    <t>FRHZK</t>
  </si>
  <si>
    <t>Crestet</t>
  </si>
  <si>
    <t>FRVH4</t>
  </si>
  <si>
    <t>Crezancy-en-Sancerre</t>
  </si>
  <si>
    <t>FROIO</t>
  </si>
  <si>
    <t>Crimolois</t>
  </si>
  <si>
    <t>FRMKX</t>
  </si>
  <si>
    <t>Crissay-sur-Mans</t>
  </si>
  <si>
    <t>FRCM3</t>
  </si>
  <si>
    <t>Criteuil-la-Magdeleine</t>
  </si>
  <si>
    <t>FRSS8</t>
  </si>
  <si>
    <t>Crosses</t>
  </si>
  <si>
    <t>FRQSM</t>
  </si>
  <si>
    <t>Crouttes-sur-Marne</t>
  </si>
  <si>
    <t>FRCKT</t>
  </si>
  <si>
    <t>Cruet</t>
  </si>
  <si>
    <t>FRCQR</t>
  </si>
  <si>
    <t>Cruscades</t>
  </si>
  <si>
    <t>FRXKY</t>
  </si>
  <si>
    <t>Cruzille</t>
  </si>
  <si>
    <t>FRKLY</t>
  </si>
  <si>
    <t>Cruzy</t>
  </si>
  <si>
    <t>FRYOG</t>
  </si>
  <si>
    <t>Cubry-les-Soing</t>
  </si>
  <si>
    <t>FRCCP</t>
  </si>
  <si>
    <t>Cubzac-les-Ponts</t>
  </si>
  <si>
    <t>FRHHY</t>
  </si>
  <si>
    <t>Cuchery</t>
  </si>
  <si>
    <t>FRGYY</t>
  </si>
  <si>
    <t>Cucugnan</t>
  </si>
  <si>
    <t>FRUFF</t>
  </si>
  <si>
    <t>Cuffies</t>
  </si>
  <si>
    <t>FRCGZ</t>
  </si>
  <si>
    <t>Cuneges</t>
  </si>
  <si>
    <t>FRCQE</t>
  </si>
  <si>
    <t>Cuqueron</t>
  </si>
  <si>
    <t>FRCV2</t>
  </si>
  <si>
    <t>Curtil-Vergy</t>
  </si>
  <si>
    <t>FRCA2</t>
  </si>
  <si>
    <t>Cuxac-d'Aude</t>
  </si>
  <si>
    <t>FRDAL</t>
  </si>
  <si>
    <t>Dallon</t>
  </si>
  <si>
    <t>FRDVT</t>
  </si>
  <si>
    <t>Darvault</t>
  </si>
  <si>
    <t>FRDOL</t>
  </si>
  <si>
    <t>Deauville</t>
  </si>
  <si>
    <t>FRDMV</t>
  </si>
  <si>
    <t>Demangevelle</t>
  </si>
  <si>
    <t>FRQVP</t>
  </si>
  <si>
    <t>Demigny</t>
  </si>
  <si>
    <t>FRDEN</t>
  </si>
  <si>
    <t>Denain</t>
  </si>
  <si>
    <t>FRZPP</t>
  </si>
  <si>
    <t>Deneee</t>
  </si>
  <si>
    <t>FRQLK</t>
  </si>
  <si>
    <t>Denice</t>
  </si>
  <si>
    <t>FRDDR</t>
  </si>
  <si>
    <t>Deyme</t>
  </si>
  <si>
    <t>FRDIL</t>
  </si>
  <si>
    <t>FRDPE</t>
  </si>
  <si>
    <t>Dieppe</t>
  </si>
  <si>
    <t>FREDU</t>
  </si>
  <si>
    <t>Dieulouard</t>
  </si>
  <si>
    <t>FRDIJ</t>
  </si>
  <si>
    <t>Dijon</t>
  </si>
  <si>
    <t>Dions</t>
  </si>
  <si>
    <t>FRDNJ</t>
  </si>
  <si>
    <t>FRDML</t>
  </si>
  <si>
    <t>Dom-le-Mesnil</t>
  </si>
  <si>
    <t>FRDON</t>
  </si>
  <si>
    <t>Donges</t>
  </si>
  <si>
    <t>FRDMS</t>
  </si>
  <si>
    <t>Dormans</t>
  </si>
  <si>
    <t>FRDRZ</t>
  </si>
  <si>
    <t>Douarnenez</t>
  </si>
  <si>
    <t>FRDKK</t>
  </si>
  <si>
    <t>Dunkerque</t>
  </si>
  <si>
    <t>Dunkirk</t>
  </si>
  <si>
    <t>FRECI</t>
  </si>
  <si>
    <t>FRUTI</t>
  </si>
  <si>
    <t>Ecutigny</t>
  </si>
  <si>
    <t>FREGG</t>
  </si>
  <si>
    <t>FR5EP</t>
  </si>
  <si>
    <t>FREP5</t>
  </si>
  <si>
    <t>Epineuil</t>
  </si>
  <si>
    <t>FREHU</t>
  </si>
  <si>
    <t>Ercheu</t>
  </si>
  <si>
    <t>FRER4</t>
  </si>
  <si>
    <t>Erome</t>
  </si>
  <si>
    <t>FRESB</t>
  </si>
  <si>
    <t>Esbly</t>
  </si>
  <si>
    <t>FRTJX</t>
  </si>
  <si>
    <t>Escautpont</t>
  </si>
  <si>
    <t>FREM2</t>
  </si>
  <si>
    <t>Essomes-sur-Marne</t>
  </si>
  <si>
    <t>FREXS</t>
  </si>
  <si>
    <t>Estaires</t>
  </si>
  <si>
    <t>FRETA</t>
  </si>
  <si>
    <t>Etalans</t>
  </si>
  <si>
    <t>FRESM</t>
  </si>
  <si>
    <t>Etalondes</t>
  </si>
  <si>
    <t>FREIO</t>
  </si>
  <si>
    <t>Etiolles</t>
  </si>
  <si>
    <t>FRPF4</t>
  </si>
  <si>
    <t>Etrigny</t>
  </si>
  <si>
    <t>FREVR</t>
  </si>
  <si>
    <t>Evry</t>
  </si>
  <si>
    <t>FREYZ</t>
  </si>
  <si>
    <t>Eyrein</t>
  </si>
  <si>
    <t>FRFEC</t>
  </si>
  <si>
    <t>FRF2V</t>
  </si>
  <si>
    <t>Fermanville</t>
  </si>
  <si>
    <t>FRFUL</t>
  </si>
  <si>
    <t>Feuilleres</t>
  </si>
  <si>
    <t>FRFEY</t>
  </si>
  <si>
    <t>Feyzin</t>
  </si>
  <si>
    <t>FRSNM</t>
  </si>
  <si>
    <t>Flammerans</t>
  </si>
  <si>
    <t>FRYSO</t>
  </si>
  <si>
    <t>Fleurey-sur-Ouche</t>
  </si>
  <si>
    <t>FRFNS</t>
  </si>
  <si>
    <t>Flins</t>
  </si>
  <si>
    <t>FRFIE</t>
  </si>
  <si>
    <t>Fontafie</t>
  </si>
  <si>
    <t>FRFOP</t>
  </si>
  <si>
    <t>Fontaine-le-Port</t>
  </si>
  <si>
    <t>FRFTB</t>
  </si>
  <si>
    <t>Fort-Batard</t>
  </si>
  <si>
    <t>FRFOS</t>
  </si>
  <si>
    <t>Fos-sur-Mer</t>
  </si>
  <si>
    <t>FRFUS</t>
  </si>
  <si>
    <t>Fouesnant</t>
  </si>
  <si>
    <t>FRFBI</t>
  </si>
  <si>
    <t>Fougeres-sur-Bievre</t>
  </si>
  <si>
    <t>FRFDR</t>
  </si>
  <si>
    <t>Fraisse-des-Corbieres</t>
  </si>
  <si>
    <t>FRFA3</t>
  </si>
  <si>
    <t>Francueil</t>
  </si>
  <si>
    <t>FRRNY</t>
  </si>
  <si>
    <t>Frangy</t>
  </si>
  <si>
    <t>FRFAU</t>
  </si>
  <si>
    <t>Fresnes-sur-Escaut</t>
  </si>
  <si>
    <t>FRF3M</t>
  </si>
  <si>
    <t>Fresnes-sur-Marne</t>
  </si>
  <si>
    <t>FRFBL</t>
  </si>
  <si>
    <t>Fublaines</t>
  </si>
  <si>
    <t>FRFMA</t>
  </si>
  <si>
    <t>Fumay</t>
  </si>
  <si>
    <t>FRGUR</t>
  </si>
  <si>
    <t>Gauriac</t>
  </si>
  <si>
    <t>FRGVL</t>
  </si>
  <si>
    <t>Gennevilliers</t>
  </si>
  <si>
    <t>FRGXY</t>
  </si>
  <si>
    <t>Gergy</t>
  </si>
  <si>
    <t>FRGHD</t>
  </si>
  <si>
    <t>Geudertheim</t>
  </si>
  <si>
    <t>FRGAO</t>
  </si>
  <si>
    <t>Gigny-sur-Saone</t>
  </si>
  <si>
    <t>FRG8V</t>
  </si>
  <si>
    <t>Glaire-et-Villette</t>
  </si>
  <si>
    <t>FRGJU</t>
  </si>
  <si>
    <t>Golfe-Juan</t>
  </si>
  <si>
    <t>FRGLO</t>
  </si>
  <si>
    <t>Gonfreville-l'Orcher</t>
  </si>
  <si>
    <t>FRGDS</t>
  </si>
  <si>
    <t>Grande-Synthe</t>
  </si>
  <si>
    <t>FRUEV</t>
  </si>
  <si>
    <t>Grand-Quevilly</t>
  </si>
  <si>
    <t>FRGFR</t>
  </si>
  <si>
    <t>Granville</t>
  </si>
  <si>
    <t>FRGRV</t>
  </si>
  <si>
    <t>Gravelines</t>
  </si>
  <si>
    <t>FRGV6</t>
  </si>
  <si>
    <t>Gravette</t>
  </si>
  <si>
    <t>FRGNY</t>
  </si>
  <si>
    <t>Grigny</t>
  </si>
  <si>
    <t>FRG2X</t>
  </si>
  <si>
    <t>Groix</t>
  </si>
  <si>
    <t>FRGBQ</t>
  </si>
  <si>
    <t>Guarbecque</t>
  </si>
  <si>
    <t>FRGDT</t>
  </si>
  <si>
    <t>Gudmont</t>
  </si>
  <si>
    <t>FRGEW</t>
  </si>
  <si>
    <t>Gueberschwihr</t>
  </si>
  <si>
    <t>FRGXE</t>
  </si>
  <si>
    <t>Guenrouet</t>
  </si>
  <si>
    <t>FRUVI</t>
  </si>
  <si>
    <t>Guerville</t>
  </si>
  <si>
    <t>FRUEU</t>
  </si>
  <si>
    <t>Gueux</t>
  </si>
  <si>
    <t>FRGCH</t>
  </si>
  <si>
    <t>Guichen</t>
  </si>
  <si>
    <t>FRUIM</t>
  </si>
  <si>
    <t>Guimaec</t>
  </si>
  <si>
    <t>FRUNS</t>
  </si>
  <si>
    <t>FRGMS</t>
  </si>
  <si>
    <t>Gujan-Mestras</t>
  </si>
  <si>
    <t>FRHS2</t>
  </si>
  <si>
    <t>Haisnes</t>
  </si>
  <si>
    <t>FRY78</t>
  </si>
  <si>
    <t>Hardricourt</t>
  </si>
  <si>
    <t>FRHRF</t>
  </si>
  <si>
    <t>Harfleur</t>
  </si>
  <si>
    <t>FRHRN</t>
  </si>
  <si>
    <t>Harnes</t>
  </si>
  <si>
    <t>FRH57</t>
  </si>
  <si>
    <t>Hartzviller</t>
  </si>
  <si>
    <t>FRHV2</t>
  </si>
  <si>
    <t>Hautvillers</t>
  </si>
  <si>
    <t>FRHET</t>
  </si>
  <si>
    <t>Hennebont</t>
  </si>
  <si>
    <t>FRH99</t>
  </si>
  <si>
    <t>FRHBV</t>
  </si>
  <si>
    <t>Heudebouville</t>
  </si>
  <si>
    <t>FRH67</t>
  </si>
  <si>
    <t>Hohwarth</t>
  </si>
  <si>
    <t>FRHOG</t>
  </si>
  <si>
    <t>Hombourg</t>
  </si>
  <si>
    <t>FRRFA</t>
  </si>
  <si>
    <t>Homps</t>
  </si>
  <si>
    <t>FRHON</t>
  </si>
  <si>
    <t>Honfleur</t>
  </si>
  <si>
    <t>FRJKI</t>
  </si>
  <si>
    <t>Hordain</t>
  </si>
  <si>
    <t>FRHSG</t>
  </si>
  <si>
    <t>Hossegor</t>
  </si>
  <si>
    <t>FRHUN</t>
  </si>
  <si>
    <t>Huningue</t>
  </si>
  <si>
    <t>FRHYR</t>
  </si>
  <si>
    <t>FRIXY</t>
  </si>
  <si>
    <t>Igney</t>
  </si>
  <si>
    <t>FRIDY</t>
  </si>
  <si>
    <t>FRLJG</t>
  </si>
  <si>
    <t>Illange</t>
  </si>
  <si>
    <t>FRIGS</t>
  </si>
  <si>
    <t>Ingrandes</t>
  </si>
  <si>
    <t>FRISM</t>
  </si>
  <si>
    <t>Isigny-sur-Mer</t>
  </si>
  <si>
    <t>FRISG</t>
  </si>
  <si>
    <t>Isle-Saint-Georges</t>
  </si>
  <si>
    <t>FRRGU</t>
  </si>
  <si>
    <t>Isle-sur-la-Sorgue</t>
  </si>
  <si>
    <t>FRIOU</t>
  </si>
  <si>
    <t>Issou</t>
  </si>
  <si>
    <t>FRIZO</t>
  </si>
  <si>
    <t>Izon</t>
  </si>
  <si>
    <t>FRJAV</t>
  </si>
  <si>
    <t>Javrezac</t>
  </si>
  <si>
    <t>FRUXE</t>
  </si>
  <si>
    <t>Joigny</t>
  </si>
  <si>
    <t>FRJUU</t>
  </si>
  <si>
    <t>Jouarre</t>
  </si>
  <si>
    <t>FRJLP</t>
  </si>
  <si>
    <t>Juan-les-Pins</t>
  </si>
  <si>
    <t>FRYAN</t>
  </si>
  <si>
    <t>Junay</t>
  </si>
  <si>
    <t>FRJUT</t>
  </si>
  <si>
    <t>Jussat</t>
  </si>
  <si>
    <t>FRBR5</t>
  </si>
  <si>
    <t>FRLBD</t>
  </si>
  <si>
    <t>FRBM3</t>
  </si>
  <si>
    <t>La Beaumette</t>
  </si>
  <si>
    <t>FRBQH</t>
  </si>
  <si>
    <t>FRCL2</t>
  </si>
  <si>
    <t>La Cerlangue</t>
  </si>
  <si>
    <t>FRM2S</t>
  </si>
  <si>
    <t>La Chapelle</t>
  </si>
  <si>
    <t>FRCS2</t>
  </si>
  <si>
    <t>La Chapelle-Saint-Sauveur</t>
  </si>
  <si>
    <t>FRPVF</t>
  </si>
  <si>
    <t>La Chapelle-Veille-Foret</t>
  </si>
  <si>
    <t>FRLCT</t>
  </si>
  <si>
    <t>La Ciotat</t>
  </si>
  <si>
    <t>FRRDM</t>
  </si>
  <si>
    <t>La Couarde-sur-Mer</t>
  </si>
  <si>
    <t>FRLZF</t>
  </si>
  <si>
    <t>FRGDM</t>
  </si>
  <si>
    <t>La Grande-Motte</t>
  </si>
  <si>
    <t>FRTUJ</t>
  </si>
  <si>
    <t>La Hautiere</t>
  </si>
  <si>
    <t>FRLMW</t>
  </si>
  <si>
    <t>La Maxe</t>
  </si>
  <si>
    <t>FRLMD</t>
  </si>
  <si>
    <t>FRL83</t>
  </si>
  <si>
    <t>La Moutonne</t>
  </si>
  <si>
    <t>FRLPE</t>
  </si>
  <si>
    <t>La Pallice</t>
  </si>
  <si>
    <t>FRJYS</t>
  </si>
  <si>
    <t>La Penne-sur-Ouveze</t>
  </si>
  <si>
    <t>FRG33</t>
  </si>
  <si>
    <t>La Riviere</t>
  </si>
  <si>
    <t>FRLRH</t>
  </si>
  <si>
    <t>La Rochelle</t>
  </si>
  <si>
    <t>FRYNE</t>
  </si>
  <si>
    <t>La Seyne-sur-Mer</t>
  </si>
  <si>
    <t>FRMHB</t>
  </si>
  <si>
    <t>FRTBE</t>
  </si>
  <si>
    <t>La Turballe</t>
  </si>
  <si>
    <t>FREGE</t>
  </si>
  <si>
    <t>Labege</t>
  </si>
  <si>
    <t>FREDT</t>
  </si>
  <si>
    <t>L'Aberildut</t>
  </si>
  <si>
    <t>FRLQG</t>
  </si>
  <si>
    <t>Lamagistere</t>
  </si>
  <si>
    <t>FRLP7</t>
  </si>
  <si>
    <t>Lamor-Plage</t>
  </si>
  <si>
    <t>FRLDN</t>
  </si>
  <si>
    <t>Landerneau</t>
  </si>
  <si>
    <t>FRANO</t>
  </si>
  <si>
    <t>Langon</t>
  </si>
  <si>
    <t>FRDUT</t>
  </si>
  <si>
    <t>Lanildut</t>
  </si>
  <si>
    <t>FRLAI</t>
  </si>
  <si>
    <t>Lannion</t>
  </si>
  <si>
    <t>FRRDT</t>
  </si>
  <si>
    <t>La-Redorte</t>
  </si>
  <si>
    <t>FRLA5</t>
  </si>
  <si>
    <t>Lauraguel</t>
  </si>
  <si>
    <t>FRLA6</t>
  </si>
  <si>
    <t>Lauret</t>
  </si>
  <si>
    <t>FRLA4</t>
  </si>
  <si>
    <t>Lauris</t>
  </si>
  <si>
    <t>FRNSD</t>
  </si>
  <si>
    <t>FRLAV</t>
  </si>
  <si>
    <t>FRZYL</t>
  </si>
  <si>
    <t>Lazenay</t>
  </si>
  <si>
    <t>FRBCJ</t>
  </si>
  <si>
    <t>FRBN4</t>
  </si>
  <si>
    <t>Le Bonhomme</t>
  </si>
  <si>
    <t>FROUQ</t>
  </si>
  <si>
    <t>Le Briou</t>
  </si>
  <si>
    <t>FRCIJ</t>
  </si>
  <si>
    <t>Le Cailar</t>
  </si>
  <si>
    <t>FRLC4</t>
  </si>
  <si>
    <t>Le Canet</t>
  </si>
  <si>
    <t>FRAGK</t>
  </si>
  <si>
    <t>Le Cap-d'Agde</t>
  </si>
  <si>
    <t>FREUA</t>
  </si>
  <si>
    <t>Le Cateau</t>
  </si>
  <si>
    <t>FRHTI</t>
  </si>
  <si>
    <t>Le Chatelier (Taden)</t>
  </si>
  <si>
    <t>FREHN</t>
  </si>
  <si>
    <t>Le Chesne</t>
  </si>
  <si>
    <t>FRLCR</t>
  </si>
  <si>
    <t>Le Creusot</t>
  </si>
  <si>
    <t>FROTY</t>
  </si>
  <si>
    <t>Le Crotoy</t>
  </si>
  <si>
    <t>FRLFR</t>
  </si>
  <si>
    <t>Le Fret</t>
  </si>
  <si>
    <t>FRLGR</t>
  </si>
  <si>
    <t>Le Grau-du-Roi</t>
  </si>
  <si>
    <t>FRLGU</t>
  </si>
  <si>
    <t>FRLEH</t>
  </si>
  <si>
    <t>Le Havre</t>
  </si>
  <si>
    <t>FRDXG</t>
  </si>
  <si>
    <t>Le Lion-d'Angers</t>
  </si>
  <si>
    <t>FRE7M</t>
  </si>
  <si>
    <t>Le Martelet</t>
  </si>
  <si>
    <t>FRLQA</t>
  </si>
  <si>
    <t>Le Mas-d'Agenais</t>
  </si>
  <si>
    <t>FRMZK</t>
  </si>
  <si>
    <t>Le Meriot</t>
  </si>
  <si>
    <t>FRLWM</t>
  </si>
  <si>
    <t>Le Moustoir</t>
  </si>
  <si>
    <t>FRLXA</t>
  </si>
  <si>
    <t>Le Perreux-sur-Marne</t>
  </si>
  <si>
    <t>FREQN</t>
  </si>
  <si>
    <t>Le Quesne</t>
  </si>
  <si>
    <t>FRBBB</t>
  </si>
  <si>
    <t>FRCGF</t>
  </si>
  <si>
    <t>Le Sourn</t>
  </si>
  <si>
    <t>FRHSN</t>
  </si>
  <si>
    <t>Le Theil-sur-Huisne</t>
  </si>
  <si>
    <t>FRTEW</t>
  </si>
  <si>
    <t>Le Thoronet</t>
  </si>
  <si>
    <t>FRLTR</t>
  </si>
  <si>
    <t>FRLVE</t>
  </si>
  <si>
    <t>Le Verdon-sur-Mer</t>
  </si>
  <si>
    <t>FRVM6</t>
  </si>
  <si>
    <t>Le Vivier-sur-Mer</t>
  </si>
  <si>
    <t>FRLF2</t>
  </si>
  <si>
    <t>FRUCM</t>
  </si>
  <si>
    <t>L'Eguille</t>
  </si>
  <si>
    <t>FREUI</t>
  </si>
  <si>
    <t>Lerouville</t>
  </si>
  <si>
    <t>FRGLA</t>
  </si>
  <si>
    <t>Les Angles</t>
  </si>
  <si>
    <t>FRLSB</t>
  </si>
  <si>
    <t>Les Billaux</t>
  </si>
  <si>
    <t>FRFTJ</t>
  </si>
  <si>
    <t>FRPH2</t>
  </si>
  <si>
    <t>Les Jonchets</t>
  </si>
  <si>
    <t>FRLSO</t>
  </si>
  <si>
    <t>Les Sables-d'Olonne</t>
  </si>
  <si>
    <t>FRLTF</t>
  </si>
  <si>
    <t>Les Trois-Fontaines</t>
  </si>
  <si>
    <t>FRLKL</t>
  </si>
  <si>
    <t>Lesconil</t>
  </si>
  <si>
    <t>FRLQD</t>
  </si>
  <si>
    <t>Lesdins</t>
  </si>
  <si>
    <t>FRUTE</t>
  </si>
  <si>
    <t>Leucate</t>
  </si>
  <si>
    <t>FRLEZ</t>
  </si>
  <si>
    <t>FRLIB</t>
  </si>
  <si>
    <t>Libourne</t>
  </si>
  <si>
    <t>FRL5T</t>
  </si>
  <si>
    <t>FRDLJ</t>
  </si>
  <si>
    <t>L'Ile d'Olonne</t>
  </si>
  <si>
    <t>FRILR</t>
  </si>
  <si>
    <t>L'Ile-Rousse</t>
  </si>
  <si>
    <t>FRLLE</t>
  </si>
  <si>
    <t>Lille</t>
  </si>
  <si>
    <t>FRLMY</t>
  </si>
  <si>
    <t>Limay</t>
  </si>
  <si>
    <t>FRLMZ</t>
  </si>
  <si>
    <t>Limetz-Villez</t>
  </si>
  <si>
    <t>FRL49</t>
  </si>
  <si>
    <t>FRLO7</t>
  </si>
  <si>
    <t>Loche</t>
  </si>
  <si>
    <t>FROQL</t>
  </si>
  <si>
    <t>FRLOC</t>
  </si>
  <si>
    <t>Loctudy</t>
  </si>
  <si>
    <t>FRLKR</t>
  </si>
  <si>
    <t>Loire</t>
  </si>
  <si>
    <t>FRLOW</t>
  </si>
  <si>
    <t>Loisy</t>
  </si>
  <si>
    <t>FRLOA</t>
  </si>
  <si>
    <t>Longueau</t>
  </si>
  <si>
    <t>FRLRT</t>
  </si>
  <si>
    <t>Lorient</t>
  </si>
  <si>
    <t>FROEI</t>
  </si>
  <si>
    <t>L'Oserie</t>
  </si>
  <si>
    <t>FRGT3</t>
  </si>
  <si>
    <t>Louailles</t>
  </si>
  <si>
    <t>FRLQT</t>
  </si>
  <si>
    <t>Louvieres</t>
  </si>
  <si>
    <t>FRQUO</t>
  </si>
  <si>
    <t>Lucciana</t>
  </si>
  <si>
    <t>FRLUQ</t>
  </si>
  <si>
    <t>Lugrin</t>
  </si>
  <si>
    <t>FRXRY</t>
  </si>
  <si>
    <t>Luneray</t>
  </si>
  <si>
    <t>FROSH</t>
  </si>
  <si>
    <t>Lutzelbourg</t>
  </si>
  <si>
    <t>FRZCY</t>
  </si>
  <si>
    <t>Luzancy</t>
  </si>
  <si>
    <t>FRLIO</t>
  </si>
  <si>
    <t>Lyon</t>
  </si>
  <si>
    <t>FRMCQ</t>
  </si>
  <si>
    <t>FRMAC</t>
  </si>
  <si>
    <t>FRMVG</t>
  </si>
  <si>
    <t>Magnanville</t>
  </si>
  <si>
    <t>FRM89</t>
  </si>
  <si>
    <t>FRMV2</t>
  </si>
  <si>
    <t>Malleval</t>
  </si>
  <si>
    <t>FRMMV</t>
  </si>
  <si>
    <t>Malmy</t>
  </si>
  <si>
    <t>FRMRN</t>
  </si>
  <si>
    <t>Marans</t>
  </si>
  <si>
    <t>FRULP</t>
  </si>
  <si>
    <t>Mareuil-le-Port</t>
  </si>
  <si>
    <t>FRUMX</t>
  </si>
  <si>
    <t>Mareuil-les-Meaux</t>
  </si>
  <si>
    <t>FRMR7</t>
  </si>
  <si>
    <t>Marolles</t>
  </si>
  <si>
    <t>FRMWR</t>
  </si>
  <si>
    <t>Marseillan</t>
  </si>
  <si>
    <t>FRMRS</t>
  </si>
  <si>
    <t>Marseille</t>
  </si>
  <si>
    <t>FRMQA</t>
  </si>
  <si>
    <t>Martot</t>
  </si>
  <si>
    <t>FRMT8</t>
  </si>
  <si>
    <t>Mas-Thibert</t>
  </si>
  <si>
    <t>FRMAU</t>
  </si>
  <si>
    <t>Maubeuge</t>
  </si>
  <si>
    <t>FRMGU</t>
  </si>
  <si>
    <t>Mauguio</t>
  </si>
  <si>
    <t>FRUVJ</t>
  </si>
  <si>
    <t>Mauves</t>
  </si>
  <si>
    <t>FRMEA</t>
  </si>
  <si>
    <t>Meaux</t>
  </si>
  <si>
    <t>FRMEL</t>
  </si>
  <si>
    <t>Melun</t>
  </si>
  <si>
    <t>FRETN</t>
  </si>
  <si>
    <t>Menton</t>
  </si>
  <si>
    <t>FRME4</t>
  </si>
  <si>
    <t>Merifons</t>
  </si>
  <si>
    <t>FRMR6</t>
  </si>
  <si>
    <t>Merignat</t>
  </si>
  <si>
    <t>FRMSI</t>
  </si>
  <si>
    <t>FRMZM</t>
  </si>
  <si>
    <t>Metz</t>
  </si>
  <si>
    <t>FRMZS</t>
  </si>
  <si>
    <t>FRWQA</t>
  </si>
  <si>
    <t>FRMQY</t>
  </si>
  <si>
    <t>Millery</t>
  </si>
  <si>
    <t>FRWWW</t>
  </si>
  <si>
    <t>Mirepeisset</t>
  </si>
  <si>
    <t>FRMRW</t>
  </si>
  <si>
    <t>Mireval</t>
  </si>
  <si>
    <t>FRDYJ</t>
  </si>
  <si>
    <t>Moidrey</t>
  </si>
  <si>
    <t>FRML9</t>
  </si>
  <si>
    <t>Molosmes</t>
  </si>
  <si>
    <t>FRZXN</t>
  </si>
  <si>
    <t>Monein</t>
  </si>
  <si>
    <t>FRXVF</t>
  </si>
  <si>
    <t>Monestier</t>
  </si>
  <si>
    <t>FRFBH</t>
  </si>
  <si>
    <t>Monfaucon</t>
  </si>
  <si>
    <t>FRYUP</t>
  </si>
  <si>
    <t>Monguilhem</t>
  </si>
  <si>
    <t>FRNLJ</t>
  </si>
  <si>
    <t>Monmelian</t>
  </si>
  <si>
    <t>FRUJK</t>
  </si>
  <si>
    <t>Monnieres</t>
  </si>
  <si>
    <t>FRPKM</t>
  </si>
  <si>
    <t>FRNYY</t>
  </si>
  <si>
    <t>Montallery</t>
  </si>
  <si>
    <t>FRMOS</t>
  </si>
  <si>
    <t>Montargis</t>
  </si>
  <si>
    <t>FRMBT</t>
  </si>
  <si>
    <t>Montbartier</t>
  </si>
  <si>
    <t>FRMTD</t>
  </si>
  <si>
    <t>FRMT6</t>
  </si>
  <si>
    <t>Montech</t>
  </si>
  <si>
    <t>FR49M</t>
  </si>
  <si>
    <t>Montfort</t>
  </si>
  <si>
    <t>FRMTX</t>
  </si>
  <si>
    <t>Montoir-de-Bretagne</t>
  </si>
  <si>
    <t>FRNZ3</t>
  </si>
  <si>
    <t>Monze</t>
  </si>
  <si>
    <t>FRILS</t>
  </si>
  <si>
    <t>Morainvilliers</t>
  </si>
  <si>
    <t>FRMC9</t>
  </si>
  <si>
    <t>Morance</t>
  </si>
  <si>
    <t>FRMXN</t>
  </si>
  <si>
    <t>Morlaix</t>
  </si>
  <si>
    <t>FRGSU</t>
  </si>
  <si>
    <t>Morsang-sur-Seine</t>
  </si>
  <si>
    <t>FRMJU</t>
  </si>
  <si>
    <t>Moulle</t>
  </si>
  <si>
    <t>FRYUS</t>
  </si>
  <si>
    <t>Mouy-sur-Seine</t>
  </si>
  <si>
    <t>FRMYK</t>
  </si>
  <si>
    <t>Moyencourt</t>
  </si>
  <si>
    <t>FRMDA</t>
  </si>
  <si>
    <t>Mudaison</t>
  </si>
  <si>
    <t>FRKLU</t>
  </si>
  <si>
    <t>Muides-sur-Loire</t>
  </si>
  <si>
    <t>FRTXM</t>
  </si>
  <si>
    <t>Mulcent</t>
  </si>
  <si>
    <t>FRMLH</t>
  </si>
  <si>
    <t>Mulhouse</t>
  </si>
  <si>
    <t>FRXRG</t>
  </si>
  <si>
    <t>Muro</t>
  </si>
  <si>
    <t>FRVJE</t>
  </si>
  <si>
    <t>Murviel</t>
  </si>
  <si>
    <t>FRMYW</t>
  </si>
  <si>
    <t>Mussey</t>
  </si>
  <si>
    <t>FRGJN</t>
  </si>
  <si>
    <t>Mutigny</t>
  </si>
  <si>
    <t>FRENC</t>
  </si>
  <si>
    <t>Nancy</t>
  </si>
  <si>
    <t>FRNTE</t>
  </si>
  <si>
    <t>Nantes</t>
  </si>
  <si>
    <t>FRNUS</t>
  </si>
  <si>
    <t>Nanteuil-sur-Aisne</t>
  </si>
  <si>
    <t>FRNMS</t>
  </si>
  <si>
    <t>Nemours</t>
  </si>
  <si>
    <t>FRNEF</t>
  </si>
  <si>
    <t>Neuf-Brisach</t>
  </si>
  <si>
    <t>FRNYI</t>
  </si>
  <si>
    <t>Neuilly-en-Sancerre</t>
  </si>
  <si>
    <t>FRNVS</t>
  </si>
  <si>
    <t>Nevers</t>
  </si>
  <si>
    <t>FRNCE</t>
  </si>
  <si>
    <t>Nice</t>
  </si>
  <si>
    <t>FRN25</t>
  </si>
  <si>
    <t>Nommay</t>
  </si>
  <si>
    <t>FRW2C</t>
  </si>
  <si>
    <t>Novillars</t>
  </si>
  <si>
    <t>FRXVY</t>
  </si>
  <si>
    <t>Noyen-sur-Seine</t>
  </si>
  <si>
    <t>FROYI</t>
  </si>
  <si>
    <t>Oigny-en-Valois</t>
  </si>
  <si>
    <t>FR43H</t>
  </si>
  <si>
    <t>Olonzac</t>
  </si>
  <si>
    <t>FRJFM</t>
  </si>
  <si>
    <t>Ondes</t>
  </si>
  <si>
    <t>FROHP</t>
  </si>
  <si>
    <t>Orchamps</t>
  </si>
  <si>
    <t>FROTM</t>
  </si>
  <si>
    <t>Ottmarsheim</t>
  </si>
  <si>
    <t>FROUI</t>
  </si>
  <si>
    <t>Ouistreham</t>
  </si>
  <si>
    <t>FRPAD</t>
  </si>
  <si>
    <t>Pagny-la-Ville</t>
  </si>
  <si>
    <t>FRPNU</t>
  </si>
  <si>
    <t>Paillencourt</t>
  </si>
  <si>
    <t>FRPBF</t>
  </si>
  <si>
    <t>Paimboeuf</t>
  </si>
  <si>
    <t>FRPAI</t>
  </si>
  <si>
    <t>Paimpol</t>
  </si>
  <si>
    <t>FRTIN</t>
  </si>
  <si>
    <t>Pantin</t>
  </si>
  <si>
    <t>FRPYX</t>
  </si>
  <si>
    <t>Pargny-sur-Saulx</t>
  </si>
  <si>
    <t>FRPAR</t>
  </si>
  <si>
    <t>Paris</t>
  </si>
  <si>
    <t>FRPAP</t>
  </si>
  <si>
    <t>Pauillac</t>
  </si>
  <si>
    <t>FRNRH</t>
  </si>
  <si>
    <t>Penmarc'H Point</t>
  </si>
  <si>
    <t>FRG63</t>
  </si>
  <si>
    <t>FRPWA</t>
  </si>
  <si>
    <t>Pernant</t>
  </si>
  <si>
    <t>FRPS9</t>
  </si>
  <si>
    <t>Perros</t>
  </si>
  <si>
    <t>FRPET</t>
  </si>
  <si>
    <t>Petit-Couronne</t>
  </si>
  <si>
    <t>FRRYY</t>
  </si>
  <si>
    <t>Pierry</t>
  </si>
  <si>
    <t>FRPJY</t>
  </si>
  <si>
    <t>Plagny</t>
  </si>
  <si>
    <t>Plassac</t>
  </si>
  <si>
    <t>FR33G</t>
  </si>
  <si>
    <t>FR4PS</t>
  </si>
  <si>
    <t>Plesse</t>
  </si>
  <si>
    <t>FRPHN</t>
  </si>
  <si>
    <t>Pleudihen-sur-Rance</t>
  </si>
  <si>
    <t>FRPHT</t>
  </si>
  <si>
    <t>Plichancourt</t>
  </si>
  <si>
    <t>FRPXZ</t>
  </si>
  <si>
    <t>Plobsheim</t>
  </si>
  <si>
    <t>FROFF</t>
  </si>
  <si>
    <t>Plogoff</t>
  </si>
  <si>
    <t>FRPD2</t>
  </si>
  <si>
    <t>Plombieres-les-Dijon</t>
  </si>
  <si>
    <t>FRRUR</t>
  </si>
  <si>
    <t>FRZEV</t>
  </si>
  <si>
    <t>Plozevet</t>
  </si>
  <si>
    <t>FRPGQ</t>
  </si>
  <si>
    <t>Pogny</t>
  </si>
  <si>
    <t>FRPQR</t>
  </si>
  <si>
    <t>Pontailler</t>
  </si>
  <si>
    <t>FRPAJ</t>
  </si>
  <si>
    <t>Pont-Arcy</t>
  </si>
  <si>
    <t>FRF29</t>
  </si>
  <si>
    <t>Pont-Aven</t>
  </si>
  <si>
    <t>FRP62</t>
  </si>
  <si>
    <t>Pont-A-Vendin</t>
  </si>
  <si>
    <t>FRPTV</t>
  </si>
  <si>
    <t>Pontavert</t>
  </si>
  <si>
    <t>FRPTI</t>
  </si>
  <si>
    <t>FRPVX</t>
  </si>
  <si>
    <t>Pont-de-Vaux</t>
  </si>
  <si>
    <t>FRPNH</t>
  </si>
  <si>
    <t>Pont-d'Ouche</t>
  </si>
  <si>
    <t>FRYJK</t>
  </si>
  <si>
    <t>Ponteilla</t>
  </si>
  <si>
    <t>FRKLO</t>
  </si>
  <si>
    <t>Ponte-Leccia</t>
  </si>
  <si>
    <t>FRPDF</t>
  </si>
  <si>
    <t>Ponteves</t>
  </si>
  <si>
    <t>FRPAB</t>
  </si>
  <si>
    <t>FRZXH</t>
  </si>
  <si>
    <t>Pontlevoy</t>
  </si>
  <si>
    <t>FRPQC</t>
  </si>
  <si>
    <t>FRPOX</t>
  </si>
  <si>
    <t>Pontrieux</t>
  </si>
  <si>
    <t>FRPSX</t>
  </si>
  <si>
    <t>Pont-Sainte-Maxence</t>
  </si>
  <si>
    <t>FRPRC</t>
  </si>
  <si>
    <t>Pornic</t>
  </si>
  <si>
    <t>FREMR</t>
  </si>
  <si>
    <t>Porquerolles</t>
  </si>
  <si>
    <t>FRPG5</t>
  </si>
  <si>
    <t>Port de Goulee</t>
  </si>
  <si>
    <t>FRPM6</t>
  </si>
  <si>
    <t>Port Manec'h</t>
  </si>
  <si>
    <t>FRPDB</t>
  </si>
  <si>
    <t>Port-de-Bouc</t>
  </si>
  <si>
    <t>FRRTB</t>
  </si>
  <si>
    <t>Port-en-Bessin-Huppain</t>
  </si>
  <si>
    <t>FRPH4</t>
  </si>
  <si>
    <t>Portiragnes</t>
  </si>
  <si>
    <t>FRPJE</t>
  </si>
  <si>
    <t>FRPRJ</t>
  </si>
  <si>
    <t>Port-Joinville</t>
  </si>
  <si>
    <t>FRNOU</t>
  </si>
  <si>
    <t>Port-la-Nouvelle</t>
  </si>
  <si>
    <t>FRPLW</t>
  </si>
  <si>
    <t>Port-Marly</t>
  </si>
  <si>
    <t>FRPNF</t>
  </si>
  <si>
    <t>Port-Navalo</t>
  </si>
  <si>
    <t>FRPVO</t>
  </si>
  <si>
    <t>Porto-Vecchio</t>
  </si>
  <si>
    <t>FRXER</t>
  </si>
  <si>
    <t>Port-Sainte-Marie</t>
  </si>
  <si>
    <t>FRPSL</t>
  </si>
  <si>
    <t>FRPOV</t>
  </si>
  <si>
    <t>Port-Vendres</t>
  </si>
  <si>
    <t>FRPQE</t>
  </si>
  <si>
    <t>Poses</t>
  </si>
  <si>
    <t>FRZXD</t>
  </si>
  <si>
    <t>Pougny</t>
  </si>
  <si>
    <t>FRPKL</t>
  </si>
  <si>
    <t>Pouille</t>
  </si>
  <si>
    <t>FRYUJ</t>
  </si>
  <si>
    <t>Pouillenay</t>
  </si>
  <si>
    <t>FRUJY</t>
  </si>
  <si>
    <t>Pouilly</t>
  </si>
  <si>
    <t>FRPKS</t>
  </si>
  <si>
    <t>Pouilly-sur-Loire</t>
  </si>
  <si>
    <t>FRZIC</t>
  </si>
  <si>
    <t>Pouldreuzic</t>
  </si>
  <si>
    <t>FRPUM</t>
  </si>
  <si>
    <t>FRPI9</t>
  </si>
  <si>
    <t>Prefailles</t>
  </si>
  <si>
    <t>FRHYJ</t>
  </si>
  <si>
    <t>Prinquiau</t>
  </si>
  <si>
    <t>FRPRP</t>
  </si>
  <si>
    <t>Propriano</t>
  </si>
  <si>
    <t>FRRZX</t>
  </si>
  <si>
    <t>Pujols-sur-Ciron</t>
  </si>
  <si>
    <t>FRDXZ</t>
  </si>
  <si>
    <t>Pupillin</t>
  </si>
  <si>
    <t>FRHEJ</t>
  </si>
  <si>
    <t>Puyguilhem</t>
  </si>
  <si>
    <t>FRARJ</t>
  </si>
  <si>
    <t>Puyricard</t>
  </si>
  <si>
    <t>FRQEN</t>
  </si>
  <si>
    <t>Quenne</t>
  </si>
  <si>
    <t>FRQUI</t>
  </si>
  <si>
    <t>Quiberon</t>
  </si>
  <si>
    <t>FRUIP</t>
  </si>
  <si>
    <t>Quimper</t>
  </si>
  <si>
    <t>FRQSC</t>
  </si>
  <si>
    <t>Quinsac</t>
  </si>
  <si>
    <t>FRABA</t>
  </si>
  <si>
    <t>Rabastens</t>
  </si>
  <si>
    <t>FRRAD</t>
  </si>
  <si>
    <t>Radicatel</t>
  </si>
  <si>
    <t>FRRLI</t>
  </si>
  <si>
    <t>Ramillies</t>
  </si>
  <si>
    <t>FRXXD</t>
  </si>
  <si>
    <t>Ravigny</t>
  </si>
  <si>
    <t>FRRQE</t>
  </si>
  <si>
    <t>FRAQX</t>
  </si>
  <si>
    <t>Redessan</t>
  </si>
  <si>
    <t>FRRDN</t>
  </si>
  <si>
    <t>Redon</t>
  </si>
  <si>
    <t>FRQXA</t>
  </si>
  <si>
    <t>Reichsfeld</t>
  </si>
  <si>
    <t>FRREI</t>
  </si>
  <si>
    <t>Reichstett</t>
  </si>
  <si>
    <t>FRQWM</t>
  </si>
  <si>
    <t>Reignier</t>
  </si>
  <si>
    <t>FRKRZ</t>
  </si>
  <si>
    <t>Reigny</t>
  </si>
  <si>
    <t>FRRHE</t>
  </si>
  <si>
    <t>Reims</t>
  </si>
  <si>
    <t>FR9SS</t>
  </si>
  <si>
    <t>Ressons-le-Long</t>
  </si>
  <si>
    <t>FRIHT</t>
  </si>
  <si>
    <t>Richemont</t>
  </si>
  <si>
    <t>FRIEC</t>
  </si>
  <si>
    <t>FRRN3</t>
  </si>
  <si>
    <t>Rions</t>
  </si>
  <si>
    <t>FRXXX</t>
  </si>
  <si>
    <t>FRRVC</t>
  </si>
  <si>
    <t>Rivecourt</t>
  </si>
  <si>
    <t>Riviere</t>
  </si>
  <si>
    <t>FRRCO</t>
  </si>
  <si>
    <t>Rochefort</t>
  </si>
  <si>
    <t>FRR26</t>
  </si>
  <si>
    <t>Roche-Saint-Secret</t>
  </si>
  <si>
    <t>FRYGP</t>
  </si>
  <si>
    <t>Rogny-les-Sept-Ecluses</t>
  </si>
  <si>
    <t>FRVFG</t>
  </si>
  <si>
    <t>Romeny-sur-Marne</t>
  </si>
  <si>
    <t>FRZOG</t>
  </si>
  <si>
    <t>Ronchin</t>
  </si>
  <si>
    <t>FRRON</t>
  </si>
  <si>
    <t>Roncq</t>
  </si>
  <si>
    <t>FRRSA</t>
  </si>
  <si>
    <t>Roquebrune-sur-Argens</t>
  </si>
  <si>
    <t>FRWIK</t>
  </si>
  <si>
    <t>Roquecourbe</t>
  </si>
  <si>
    <t>FRBKD</t>
  </si>
  <si>
    <t>Roquefort-des-Corbieres</t>
  </si>
  <si>
    <t>FRROS</t>
  </si>
  <si>
    <t>Roscoff</t>
  </si>
  <si>
    <t>FRRXL</t>
  </si>
  <si>
    <t>FRRSQ</t>
  </si>
  <si>
    <t>Rosult</t>
  </si>
  <si>
    <t>FRROU</t>
  </si>
  <si>
    <t>Roubaix</t>
  </si>
  <si>
    <t>FRURO</t>
  </si>
  <si>
    <t>Rouen</t>
  </si>
  <si>
    <t>FRRYN</t>
  </si>
  <si>
    <t>Royan</t>
  </si>
  <si>
    <t>FRRUN</t>
  </si>
  <si>
    <t>Rungis</t>
  </si>
  <si>
    <t>FRS5M</t>
  </si>
  <si>
    <t>FRSYY</t>
  </si>
  <si>
    <t>Sailly-sur-la-Lys</t>
  </si>
  <si>
    <t>FR4S4</t>
  </si>
  <si>
    <t>FRMMJ</t>
  </si>
  <si>
    <t>Saint-Androny</t>
  </si>
  <si>
    <t>FRQEY</t>
  </si>
  <si>
    <t>Saint-Antoine-du-Queyret</t>
  </si>
  <si>
    <t>FRBG2</t>
  </si>
  <si>
    <t>Saint-Bonnet-sur-Gironde</t>
  </si>
  <si>
    <t>FRICN</t>
  </si>
  <si>
    <t>FRSBK</t>
  </si>
  <si>
    <t>Saint-Brieuc</t>
  </si>
  <si>
    <t>FRSQS</t>
  </si>
  <si>
    <t>Saint-Christ-Briost</t>
  </si>
  <si>
    <t>FRDCJ</t>
  </si>
  <si>
    <t>FRPJH</t>
  </si>
  <si>
    <t>Saint-Christophe-la-Couperie</t>
  </si>
  <si>
    <t>FRRZT</t>
  </si>
  <si>
    <t>FRNLA</t>
  </si>
  <si>
    <t>Sainte-Anne-sur-Vilaine</t>
  </si>
  <si>
    <t>FRSGT</t>
  </si>
  <si>
    <t>Sainte-Gemme-sur-Loire</t>
  </si>
  <si>
    <t>FRMDW</t>
  </si>
  <si>
    <t>Sainte-Maure-de-Peyriac</t>
  </si>
  <si>
    <t>FRGON</t>
  </si>
  <si>
    <t>FRXGL</t>
  </si>
  <si>
    <t>Saint-Gilles</t>
  </si>
  <si>
    <t>FRNGI</t>
  </si>
  <si>
    <t>FRXGV</t>
  </si>
  <si>
    <t>Saint-Gilles-Croix-de-Vie</t>
  </si>
  <si>
    <t>FRUJI</t>
  </si>
  <si>
    <t>Saint-Gonnery</t>
  </si>
  <si>
    <t>FRKAQ</t>
  </si>
  <si>
    <t>FRGPI</t>
  </si>
  <si>
    <t>FRXDH</t>
  </si>
  <si>
    <t>FRSML</t>
  </si>
  <si>
    <t>Saint-Malo</t>
  </si>
  <si>
    <t>FRDAS</t>
  </si>
  <si>
    <t>Saint-Martin-d'Ablois</t>
  </si>
  <si>
    <t>FRDAD</t>
  </si>
  <si>
    <t>Saint-Martin-d'Ardeche</t>
  </si>
  <si>
    <t>FRTMG</t>
  </si>
  <si>
    <t>Saint-Martin-la-Garenne</t>
  </si>
  <si>
    <t>FRSNR</t>
  </si>
  <si>
    <t>Saint-Nazaire</t>
  </si>
  <si>
    <t>FRPC6</t>
  </si>
  <si>
    <t>Saint-Nicolas</t>
  </si>
  <si>
    <t>FRFS4</t>
  </si>
  <si>
    <t>Saint-Pair-sur-Mer</t>
  </si>
  <si>
    <t>FRSP5</t>
  </si>
  <si>
    <t>Saint-Paul</t>
  </si>
  <si>
    <t>FRPDU</t>
  </si>
  <si>
    <t>Saint-Pierre-d'Autils</t>
  </si>
  <si>
    <t>FRX28</t>
  </si>
  <si>
    <t>Saint-Pierre-de-Manneville</t>
  </si>
  <si>
    <t>FRSQR</t>
  </si>
  <si>
    <t>Saint-Pierre-Quiberon</t>
  </si>
  <si>
    <t>FRSTQ</t>
  </si>
  <si>
    <t>Saint-Quentin</t>
  </si>
  <si>
    <t>FRQLC</t>
  </si>
  <si>
    <t>Saint-Quentin-la-Motte-Croix-au-Bailly</t>
  </si>
  <si>
    <t>FRSRL</t>
  </si>
  <si>
    <t>FRSIR</t>
  </si>
  <si>
    <t>FRUJJ</t>
  </si>
  <si>
    <t>Saint-Satur</t>
  </si>
  <si>
    <t>FRSS2</t>
  </si>
  <si>
    <t>Saint-Saturnin</t>
  </si>
  <si>
    <t>FRTQJ</t>
  </si>
  <si>
    <t>Saint-Saturnin-d'Apt</t>
  </si>
  <si>
    <t>FRUJQ</t>
  </si>
  <si>
    <t>Saint-Sauveur-de-Meilhan</t>
  </si>
  <si>
    <t>FRIAV</t>
  </si>
  <si>
    <t>Saint-Savinien</t>
  </si>
  <si>
    <t>FRSSK</t>
  </si>
  <si>
    <t>FRUQJ</t>
  </si>
  <si>
    <t>Saint-Seuri-de-Bourg</t>
  </si>
  <si>
    <t>FRTIM</t>
  </si>
  <si>
    <t>Saint-Simon</t>
  </si>
  <si>
    <t>FRSTP</t>
  </si>
  <si>
    <t>Saint-Tropez</t>
  </si>
  <si>
    <t>FRUCS</t>
  </si>
  <si>
    <t>Saint-Urcisse</t>
  </si>
  <si>
    <t>FRTUA</t>
  </si>
  <si>
    <t>Saint-Usage</t>
  </si>
  <si>
    <t>FRXCS</t>
  </si>
  <si>
    <t>Saint-Vaize</t>
  </si>
  <si>
    <t>FRVTI</t>
  </si>
  <si>
    <t>Saint-Valentin</t>
  </si>
  <si>
    <t>FRSVS</t>
  </si>
  <si>
    <t>FRVNR</t>
  </si>
  <si>
    <t>Saint-Vallerin</t>
  </si>
  <si>
    <t>FRVA5</t>
  </si>
  <si>
    <t>Saint-Vallier</t>
  </si>
  <si>
    <t>FRSIT</t>
  </si>
  <si>
    <t>Saint-Vit</t>
  </si>
  <si>
    <t>FRSWD</t>
  </si>
  <si>
    <t>FRQSO</t>
  </si>
  <si>
    <t>Samois-sur-Seine</t>
  </si>
  <si>
    <t>FRSMW</t>
  </si>
  <si>
    <t>Samoreau</t>
  </si>
  <si>
    <t>FRSNQ</t>
  </si>
  <si>
    <t>FRSQV</t>
  </si>
  <si>
    <t>Sandrancourt</t>
  </si>
  <si>
    <t>FRQTS</t>
  </si>
  <si>
    <t>Santoche</t>
  </si>
  <si>
    <t>FRRRB</t>
  </si>
  <si>
    <t>Sarralbe</t>
  </si>
  <si>
    <t>FRSAR</t>
  </si>
  <si>
    <t>Sarreguemines</t>
  </si>
  <si>
    <t>FRUBS</t>
  </si>
  <si>
    <t>Saubusse</t>
  </si>
  <si>
    <t>FROYY</t>
  </si>
  <si>
    <t>Saudoy</t>
  </si>
  <si>
    <t>FRSYQ</t>
  </si>
  <si>
    <t>Sauvoy</t>
  </si>
  <si>
    <t>FRGHT</t>
  </si>
  <si>
    <t>Scharrachbergheim</t>
  </si>
  <si>
    <t>FREGR</t>
  </si>
  <si>
    <t>FRIKR</t>
  </si>
  <si>
    <t>Seguret</t>
  </si>
  <si>
    <t>FRM56</t>
  </si>
  <si>
    <t>FRS8C</t>
  </si>
  <si>
    <t>Sercus</t>
  </si>
  <si>
    <t>FRSET</t>
  </si>
  <si>
    <t>FRSUP</t>
  </si>
  <si>
    <t>Seurre</t>
  </si>
  <si>
    <t>FRYSU</t>
  </si>
  <si>
    <t>Seyssuel</t>
  </si>
  <si>
    <t>FRSQG</t>
  </si>
  <si>
    <t>Soing</t>
  </si>
  <si>
    <t>FRSLV</t>
  </si>
  <si>
    <t>Solesmes</t>
  </si>
  <si>
    <t>FRYSM</t>
  </si>
  <si>
    <t>Sorcy-Saint-Martin</t>
  </si>
  <si>
    <t>FRQGS</t>
  </si>
  <si>
    <t>Soulanges</t>
  </si>
  <si>
    <t>FRSPK</t>
  </si>
  <si>
    <t>Spycker</t>
  </si>
  <si>
    <t>FRSXB</t>
  </si>
  <si>
    <t>Strasbourg</t>
  </si>
  <si>
    <t>FRRH7</t>
  </si>
  <si>
    <t>Taponas</t>
  </si>
  <si>
    <t>FRTZZ</t>
  </si>
  <si>
    <t>Ternay</t>
  </si>
  <si>
    <t>FRUVV</t>
  </si>
  <si>
    <t>Tessy-sur-Vire</t>
  </si>
  <si>
    <t>FRTTG</t>
  </si>
  <si>
    <t>FRTVL</t>
  </si>
  <si>
    <t>Thionville</t>
  </si>
  <si>
    <t>FRTGH</t>
  </si>
  <si>
    <t>Thomery</t>
  </si>
  <si>
    <t>FRTMN</t>
  </si>
  <si>
    <t>Thun-Saint-Martin</t>
  </si>
  <si>
    <t>FRTIG</t>
  </si>
  <si>
    <t>Tigery</t>
  </si>
  <si>
    <t>FRJK9</t>
  </si>
  <si>
    <t>Toga</t>
  </si>
  <si>
    <t>FRTON</t>
  </si>
  <si>
    <t>Tonnay-Charente</t>
  </si>
  <si>
    <t>FRTUU</t>
  </si>
  <si>
    <t>Toucy</t>
  </si>
  <si>
    <t>FRRF3</t>
  </si>
  <si>
    <t>Toulenne</t>
  </si>
  <si>
    <t>FRTLN</t>
  </si>
  <si>
    <t>Toulon</t>
  </si>
  <si>
    <t>FRTOV</t>
  </si>
  <si>
    <t>Tourlaville</t>
  </si>
  <si>
    <t>FRAD5</t>
  </si>
  <si>
    <t>Tourouzelle</t>
  </si>
  <si>
    <t>FRXYR</t>
  </si>
  <si>
    <t>Tracy-sur-Loire</t>
  </si>
  <si>
    <t>FRTRE</t>
  </si>
  <si>
    <t>FRTR9</t>
  </si>
  <si>
    <t>Tregunc</t>
  </si>
  <si>
    <t>FRTRI</t>
  </si>
  <si>
    <t>Trignac</t>
  </si>
  <si>
    <t>FRTPO</t>
  </si>
  <si>
    <t>Trilport</t>
  </si>
  <si>
    <t>FRTJE</t>
  </si>
  <si>
    <t>Trouville-sur-Mer</t>
  </si>
  <si>
    <t>FRQYR</t>
  </si>
  <si>
    <t>Troyes</t>
  </si>
  <si>
    <t>FR8AY</t>
  </si>
  <si>
    <t>Uzemain</t>
  </si>
  <si>
    <t>FRVAF</t>
  </si>
  <si>
    <t>Valence</t>
  </si>
  <si>
    <t>FRVAL</t>
  </si>
  <si>
    <t>Valenciennes</t>
  </si>
  <si>
    <t>FREG5</t>
  </si>
  <si>
    <t>FRM52</t>
  </si>
  <si>
    <t>FRVNE</t>
  </si>
  <si>
    <t>Vannes</t>
  </si>
  <si>
    <t>FRVSQ</t>
  </si>
  <si>
    <t>Varesnes</t>
  </si>
  <si>
    <t>FRM57</t>
  </si>
  <si>
    <t>Vaux</t>
  </si>
  <si>
    <t>FRENB</t>
  </si>
  <si>
    <t>Venables</t>
  </si>
  <si>
    <t>FRVHM</t>
  </si>
  <si>
    <t>Vendenheim</t>
  </si>
  <si>
    <t>FRVTM</t>
  </si>
  <si>
    <t>Venteuil</t>
  </si>
  <si>
    <t>FRVRD</t>
  </si>
  <si>
    <t>Verdun</t>
  </si>
  <si>
    <t>FREEX</t>
  </si>
  <si>
    <t>Vereux</t>
  </si>
  <si>
    <t>FRVL4</t>
  </si>
  <si>
    <t>Verin</t>
  </si>
  <si>
    <t>FRVEJ</t>
  </si>
  <si>
    <t>Verjux</t>
  </si>
  <si>
    <t>FRVEO</t>
  </si>
  <si>
    <t>Vernaison</t>
  </si>
  <si>
    <t>FRVM5</t>
  </si>
  <si>
    <t>Verneuil</t>
  </si>
  <si>
    <t>FRVNZ</t>
  </si>
  <si>
    <t>Vernizy</t>
  </si>
  <si>
    <t>FRVQR</t>
  </si>
  <si>
    <t>FRVSS</t>
  </si>
  <si>
    <t>FRVGE</t>
  </si>
  <si>
    <t>Villegusien-le-Lac</t>
  </si>
  <si>
    <t>FRVUX</t>
  </si>
  <si>
    <t>Villenauxe</t>
  </si>
  <si>
    <t>FRV33</t>
  </si>
  <si>
    <t>Villeneuve-de-Blaye</t>
  </si>
  <si>
    <t>FRVVL</t>
  </si>
  <si>
    <t>FRVC4</t>
  </si>
  <si>
    <t>Villers-sous-Chatillon</t>
  </si>
  <si>
    <t>FR4VA</t>
  </si>
  <si>
    <t>Villesequelande</t>
  </si>
  <si>
    <t>FRLLW</t>
  </si>
  <si>
    <t>Villevallier</t>
  </si>
  <si>
    <t>FRVNH</t>
  </si>
  <si>
    <t>Vinchy</t>
  </si>
  <si>
    <t>FRJPL</t>
  </si>
  <si>
    <t>Virey</t>
  </si>
  <si>
    <t>FRNEH</t>
  </si>
  <si>
    <t>Vognes</t>
  </si>
  <si>
    <t>FRXSW</t>
  </si>
  <si>
    <t>Vonges</t>
  </si>
  <si>
    <t>FRUSU</t>
  </si>
  <si>
    <t>Vulaines-sur-Seine</t>
  </si>
  <si>
    <t>FRWNT</t>
  </si>
  <si>
    <t>FRWTT</t>
  </si>
  <si>
    <t>Watten</t>
  </si>
  <si>
    <t>GACLZ</t>
  </si>
  <si>
    <t>Cap Lopez</t>
  </si>
  <si>
    <t>GACCB</t>
  </si>
  <si>
    <t>Cocobeach</t>
  </si>
  <si>
    <t>GAEKU</t>
  </si>
  <si>
    <t>Equata</t>
  </si>
  <si>
    <t>GAETA</t>
  </si>
  <si>
    <t>Etame FPSO</t>
  </si>
  <si>
    <t>GAGAX</t>
  </si>
  <si>
    <t>Gamba</t>
  </si>
  <si>
    <t>GALBV</t>
  </si>
  <si>
    <t>Libreville</t>
  </si>
  <si>
    <t>GALUC</t>
  </si>
  <si>
    <t>Lucina</t>
  </si>
  <si>
    <t>GAMBY</t>
  </si>
  <si>
    <t>M'bya Terminal</t>
  </si>
  <si>
    <t>GANYA</t>
  </si>
  <si>
    <t>Nyanga</t>
  </si>
  <si>
    <t>GAOGU</t>
  </si>
  <si>
    <t>Oguandjo Terminal</t>
  </si>
  <si>
    <t>GAOWE</t>
  </si>
  <si>
    <t>Owendo</t>
  </si>
  <si>
    <t>GAPOG</t>
  </si>
  <si>
    <t>Port Gentil</t>
  </si>
  <si>
    <t>GATCT</t>
  </si>
  <si>
    <t>Tchatamba</t>
  </si>
  <si>
    <t>GBAOT</t>
  </si>
  <si>
    <t>Abbotsbury</t>
  </si>
  <si>
    <t>GBAOL</t>
  </si>
  <si>
    <t>GBABS</t>
  </si>
  <si>
    <t>GBABA</t>
  </si>
  <si>
    <t>Aberaeron</t>
  </si>
  <si>
    <t>GBARC</t>
  </si>
  <si>
    <t>Abercastle</t>
  </si>
  <si>
    <t>GBADR</t>
  </si>
  <si>
    <t>Aberdaron</t>
  </si>
  <si>
    <t>GBABD</t>
  </si>
  <si>
    <t>Aberdeen</t>
  </si>
  <si>
    <t>GBAYD</t>
  </si>
  <si>
    <t>Aberdour</t>
  </si>
  <si>
    <t>GBABV</t>
  </si>
  <si>
    <t>Aberdovey</t>
  </si>
  <si>
    <t>GBABF</t>
  </si>
  <si>
    <t>Aberdyfi (Aberdovey)</t>
  </si>
  <si>
    <t>GBAFW</t>
  </si>
  <si>
    <t>Aberffraw</t>
  </si>
  <si>
    <t>GBAEE</t>
  </si>
  <si>
    <t>Abergele</t>
  </si>
  <si>
    <t>GBAYW</t>
  </si>
  <si>
    <t>Aberystwyth</t>
  </si>
  <si>
    <t>GBACA</t>
  </si>
  <si>
    <t>Acharacle</t>
  </si>
  <si>
    <t>GBACE</t>
  </si>
  <si>
    <t>Achiltibuie</t>
  </si>
  <si>
    <t>GBAHN</t>
  </si>
  <si>
    <t>Achnacroish</t>
  </si>
  <si>
    <t>GBAMR</t>
  </si>
  <si>
    <t>Aird Ma Ruibhe</t>
  </si>
  <si>
    <t>GBADM</t>
  </si>
  <si>
    <t>Aird Mhor (Ardmhor)</t>
  </si>
  <si>
    <t>GBAIT</t>
  </si>
  <si>
    <t>Aith</t>
  </si>
  <si>
    <t>GBAOF</t>
  </si>
  <si>
    <t>Alba Oil Field</t>
  </si>
  <si>
    <t>GBALB</t>
  </si>
  <si>
    <t>Aldeburgh</t>
  </si>
  <si>
    <t>GBGSR</t>
  </si>
  <si>
    <t>Aldersgate</t>
  </si>
  <si>
    <t>GBALL</t>
  </si>
  <si>
    <t>Alloa</t>
  </si>
  <si>
    <t>GBALM</t>
  </si>
  <si>
    <t>Alnmouth</t>
  </si>
  <si>
    <t>GBALP</t>
  </si>
  <si>
    <t>Althorpe</t>
  </si>
  <si>
    <t>GBAVL</t>
  </si>
  <si>
    <t>Alveley</t>
  </si>
  <si>
    <t>GBAMB</t>
  </si>
  <si>
    <t>Amble</t>
  </si>
  <si>
    <t>GBAML</t>
  </si>
  <si>
    <t>Ambleside</t>
  </si>
  <si>
    <t>GBAMW</t>
  </si>
  <si>
    <t>Amlwch</t>
  </si>
  <si>
    <t>GBANA</t>
  </si>
  <si>
    <t>Anasuria</t>
  </si>
  <si>
    <t>GBANG</t>
  </si>
  <si>
    <t>Annalong</t>
  </si>
  <si>
    <t>GBANN</t>
  </si>
  <si>
    <t>Annan</t>
  </si>
  <si>
    <t>GBANS</t>
  </si>
  <si>
    <t>Anstruther</t>
  </si>
  <si>
    <t>GBAPI</t>
  </si>
  <si>
    <t>Appin</t>
  </si>
  <si>
    <t>GBAPS</t>
  </si>
  <si>
    <t>GBAPP</t>
  </si>
  <si>
    <t>Appledore</t>
  </si>
  <si>
    <t>GBARB</t>
  </si>
  <si>
    <t>Arbroath</t>
  </si>
  <si>
    <t>GBDBG</t>
  </si>
  <si>
    <t>Ardbeg</t>
  </si>
  <si>
    <t>GBAET</t>
  </si>
  <si>
    <t>Ardentinny</t>
  </si>
  <si>
    <t>GBADF</t>
  </si>
  <si>
    <t>Ardfern</t>
  </si>
  <si>
    <t>GBAGL</t>
  </si>
  <si>
    <t>Ardglass</t>
  </si>
  <si>
    <t>GBAGU</t>
  </si>
  <si>
    <t>Ardgour</t>
  </si>
  <si>
    <t>GBADK</t>
  </si>
  <si>
    <t>Ardkeen</t>
  </si>
  <si>
    <t>GBAMH</t>
  </si>
  <si>
    <t>Ardmaleish</t>
  </si>
  <si>
    <t>GBGIG</t>
  </si>
  <si>
    <t>Ardminish, Gigha Island</t>
  </si>
  <si>
    <t>GBAMN</t>
  </si>
  <si>
    <t>Ardnamurchan</t>
  </si>
  <si>
    <t>GBASG</t>
  </si>
  <si>
    <t>Ardrishaig</t>
  </si>
  <si>
    <t>GBARD</t>
  </si>
  <si>
    <t>GBARV</t>
  </si>
  <si>
    <t>Ardveenish</t>
  </si>
  <si>
    <t>GBMDI</t>
  </si>
  <si>
    <t>Ardwick</t>
  </si>
  <si>
    <t>GBDYN</t>
  </si>
  <si>
    <t>Ardyne</t>
  </si>
  <si>
    <t>GBGYL</t>
  </si>
  <si>
    <t>Argyll</t>
  </si>
  <si>
    <t>GBAGO</t>
  </si>
  <si>
    <t>Arinagour</t>
  </si>
  <si>
    <t>GBARG</t>
  </si>
  <si>
    <t>Arisaig</t>
  </si>
  <si>
    <t>GBALI</t>
  </si>
  <si>
    <t>Arlington</t>
  </si>
  <si>
    <t>GBAMD</t>
  </si>
  <si>
    <t>Armadale, Isle of Skye</t>
  </si>
  <si>
    <t>GBNAR</t>
  </si>
  <si>
    <t>Arran</t>
  </si>
  <si>
    <t>GBARR</t>
  </si>
  <si>
    <t>Arrington</t>
  </si>
  <si>
    <t>GBHA2</t>
  </si>
  <si>
    <t>Ashley</t>
  </si>
  <si>
    <t>GBASW</t>
  </si>
  <si>
    <t>Ashwell</t>
  </si>
  <si>
    <t>GBATA</t>
  </si>
  <si>
    <t>Athena FPSO</t>
  </si>
  <si>
    <t>GBAHH</t>
  </si>
  <si>
    <t>Auchterhouse</t>
  </si>
  <si>
    <t>GBAKL</t>
  </si>
  <si>
    <t>Auckengill</t>
  </si>
  <si>
    <t>GBAUL</t>
  </si>
  <si>
    <t>Aultbea</t>
  </si>
  <si>
    <t>GBAVC</t>
  </si>
  <si>
    <t>Avoch</t>
  </si>
  <si>
    <t>GBAVO</t>
  </si>
  <si>
    <t>Avonmouth</t>
  </si>
  <si>
    <t>GBAXO</t>
  </si>
  <si>
    <t>Axmouth</t>
  </si>
  <si>
    <t>GBAYF</t>
  </si>
  <si>
    <t>Aycliffe</t>
  </si>
  <si>
    <t>GBAYR</t>
  </si>
  <si>
    <t>Ayr</t>
  </si>
  <si>
    <t>GBACB</t>
  </si>
  <si>
    <t>Back</t>
  </si>
  <si>
    <t>GBBKC</t>
  </si>
  <si>
    <t>Backaland, Eday</t>
  </si>
  <si>
    <t>GBSGC</t>
  </si>
  <si>
    <t>Badminton</t>
  </si>
  <si>
    <t>GBION</t>
  </si>
  <si>
    <t>Baile Mor, Iona</t>
  </si>
  <si>
    <t>GBBBN</t>
  </si>
  <si>
    <t>Balbriggan</t>
  </si>
  <si>
    <t>GBBDX</t>
  </si>
  <si>
    <t>Baldirton</t>
  </si>
  <si>
    <t>GBBLI</t>
  </si>
  <si>
    <t>Balintore</t>
  </si>
  <si>
    <t>GBBNR</t>
  </si>
  <si>
    <t>Ballantrae</t>
  </si>
  <si>
    <t>GBBYP</t>
  </si>
  <si>
    <t>Ballintoy</t>
  </si>
  <si>
    <t>GBBYC</t>
  </si>
  <si>
    <t>Ballycastle</t>
  </si>
  <si>
    <t>GBDOR</t>
  </si>
  <si>
    <t>Ballydorn</t>
  </si>
  <si>
    <t>GBBHB</t>
  </si>
  <si>
    <t>Ballyhalbert</t>
  </si>
  <si>
    <t>GBBLR</t>
  </si>
  <si>
    <t>Ballylumford</t>
  </si>
  <si>
    <t>GBLMN</t>
  </si>
  <si>
    <t>Ballymartin</t>
  </si>
  <si>
    <t>GBLYW</t>
  </si>
  <si>
    <t>Ballywalter</t>
  </si>
  <si>
    <t>GBBMC</t>
  </si>
  <si>
    <t>Balmacara</t>
  </si>
  <si>
    <t>GBBSN</t>
  </si>
  <si>
    <t>Baltasound</t>
  </si>
  <si>
    <t>GBBAW</t>
  </si>
  <si>
    <t>Baltic Wharf</t>
  </si>
  <si>
    <t>GBBVR</t>
  </si>
  <si>
    <t>Balvicar</t>
  </si>
  <si>
    <t>GBBAB</t>
  </si>
  <si>
    <t>Banbury</t>
  </si>
  <si>
    <t>GBBFF</t>
  </si>
  <si>
    <t>Banff</t>
  </si>
  <si>
    <t>GBBOF</t>
  </si>
  <si>
    <t>GBBAN</t>
  </si>
  <si>
    <t>Bangor</t>
  </si>
  <si>
    <t>GBBNG</t>
  </si>
  <si>
    <t>GBRLG</t>
  </si>
  <si>
    <t>Bar Light</t>
  </si>
  <si>
    <t>GBBCE</t>
  </si>
  <si>
    <t>Barcaldine</t>
  </si>
  <si>
    <t>GBBDZ</t>
  </si>
  <si>
    <t>Bardsea</t>
  </si>
  <si>
    <t>GBBKG</t>
  </si>
  <si>
    <t>Barking/London</t>
  </si>
  <si>
    <t>GBBLZ</t>
  </si>
  <si>
    <t>Barlborough</t>
  </si>
  <si>
    <t>GBBMU</t>
  </si>
  <si>
    <t>Barmouth</t>
  </si>
  <si>
    <t>GBABW</t>
  </si>
  <si>
    <t>Barmouth (Abermaw)</t>
  </si>
  <si>
    <t>GBAXN</t>
  </si>
  <si>
    <t>Barnham</t>
  </si>
  <si>
    <t>GBBDB</t>
  </si>
  <si>
    <t>Barnoldby le Beck</t>
  </si>
  <si>
    <t>GBBSY</t>
  </si>
  <si>
    <t>Barnsley</t>
  </si>
  <si>
    <t>GBBND</t>
  </si>
  <si>
    <t>Barnstaple</t>
  </si>
  <si>
    <t>GBBBX</t>
  </si>
  <si>
    <t>Barnstone</t>
  </si>
  <si>
    <t>GBBRR</t>
  </si>
  <si>
    <t>Barra</t>
  </si>
  <si>
    <t>GBBIF</t>
  </si>
  <si>
    <t>Barrow in Furness</t>
  </si>
  <si>
    <t>GBBUO</t>
  </si>
  <si>
    <t>Barrow On Soar</t>
  </si>
  <si>
    <t>GBBWU</t>
  </si>
  <si>
    <t>Barrow upon Trent</t>
  </si>
  <si>
    <t>GBBHR</t>
  </si>
  <si>
    <t>Barrow-upon-Humber</t>
  </si>
  <si>
    <t>GBBAD</t>
  </si>
  <si>
    <t>Barry Dock</t>
  </si>
  <si>
    <t>GBBNM</t>
  </si>
  <si>
    <t>Barton</t>
  </si>
  <si>
    <t>GBBAZ</t>
  </si>
  <si>
    <t>Barton on Sea</t>
  </si>
  <si>
    <t>GBBNH</t>
  </si>
  <si>
    <t>Barton upon Humber</t>
  </si>
  <si>
    <t>GBBXF</t>
  </si>
  <si>
    <t>Bassingham</t>
  </si>
  <si>
    <t>GBBAT</t>
  </si>
  <si>
    <t>Battlesbridge</t>
  </si>
  <si>
    <t>GBCBX</t>
  </si>
  <si>
    <t>Baxenden</t>
  </si>
  <si>
    <t>GBBQX</t>
  </si>
  <si>
    <t>Beadnell</t>
  </si>
  <si>
    <t>GBBLU</t>
  </si>
  <si>
    <t>Beaulieu</t>
  </si>
  <si>
    <t>GBBMR</t>
  </si>
  <si>
    <t>Beaumaris</t>
  </si>
  <si>
    <t>GBBEC</t>
  </si>
  <si>
    <t>Beckingham</t>
  </si>
  <si>
    <t>GBBD2</t>
  </si>
  <si>
    <t>Bedhampton</t>
  </si>
  <si>
    <t>GBBTK</t>
  </si>
  <si>
    <t>Bedstone</t>
  </si>
  <si>
    <t>GBENH</t>
  </si>
  <si>
    <t>Beenham</t>
  </si>
  <si>
    <t>GBBXX</t>
  </si>
  <si>
    <t>Beer</t>
  </si>
  <si>
    <t>GBBSX</t>
  </si>
  <si>
    <t>Beesands</t>
  </si>
  <si>
    <t>GBBEL</t>
  </si>
  <si>
    <t>GBVVE</t>
  </si>
  <si>
    <t>Belgrave</t>
  </si>
  <si>
    <t>GBBMT</t>
  </si>
  <si>
    <t>Belmont, Unst</t>
  </si>
  <si>
    <t>GBBBP</t>
  </si>
  <si>
    <t>Bembridge</t>
  </si>
  <si>
    <t>GBBY2</t>
  </si>
  <si>
    <t>Bentley FPSO</t>
  </si>
  <si>
    <t>GBRNR</t>
  </si>
  <si>
    <t>Bernera (Lewis)</t>
  </si>
  <si>
    <t>GBRNN</t>
  </si>
  <si>
    <t>Bernera (N Uist)</t>
  </si>
  <si>
    <t>GBBEH</t>
  </si>
  <si>
    <t>Berry Head</t>
  </si>
  <si>
    <t>GBBWK</t>
  </si>
  <si>
    <t>Berwick-upon-Tweed</t>
  </si>
  <si>
    <t>GBBPF</t>
  </si>
  <si>
    <t>Beryl Platform</t>
  </si>
  <si>
    <t>GBBXB</t>
  </si>
  <si>
    <t>Bexhill</t>
  </si>
  <si>
    <t>GBBQQ</t>
  </si>
  <si>
    <t>Bickington</t>
  </si>
  <si>
    <t>GBBID</t>
  </si>
  <si>
    <t>Bideford</t>
  </si>
  <si>
    <t>GBUGH</t>
  </si>
  <si>
    <t>Billingborough</t>
  </si>
  <si>
    <t>GBBHW</t>
  </si>
  <si>
    <t>Billingham</t>
  </si>
  <si>
    <t>GBBGY</t>
  </si>
  <si>
    <t>Bingley</t>
  </si>
  <si>
    <t>GBBDA</t>
  </si>
  <si>
    <t>Birkdale</t>
  </si>
  <si>
    <t>GBBRK</t>
  </si>
  <si>
    <t>Birkenhead</t>
  </si>
  <si>
    <t>GBRSB</t>
  </si>
  <si>
    <t>Birsay</t>
  </si>
  <si>
    <t>GBBIP</t>
  </si>
  <si>
    <t>Bishop Auckland</t>
  </si>
  <si>
    <t>GBQWR</t>
  </si>
  <si>
    <t>Bishops Castle</t>
  </si>
  <si>
    <t>GBPQT</t>
  </si>
  <si>
    <t>Bishopsteignton</t>
  </si>
  <si>
    <t>GBBLB</t>
  </si>
  <si>
    <t>Blackburn</t>
  </si>
  <si>
    <t>GBBFP</t>
  </si>
  <si>
    <t>Blackford</t>
  </si>
  <si>
    <t>GBBKS</t>
  </si>
  <si>
    <t>Blackness</t>
  </si>
  <si>
    <t>GBBLK</t>
  </si>
  <si>
    <t>Blackpool</t>
  </si>
  <si>
    <t>GBBNX</t>
  </si>
  <si>
    <t>Blackwell</t>
  </si>
  <si>
    <t>GBBLJ</t>
  </si>
  <si>
    <t>Blairmore</t>
  </si>
  <si>
    <t>GBBLC</t>
  </si>
  <si>
    <t>Blakeney</t>
  </si>
  <si>
    <t>GBWJH</t>
  </si>
  <si>
    <t>Blewbury</t>
  </si>
  <si>
    <t>GBBLY</t>
  </si>
  <si>
    <t>Blyth</t>
  </si>
  <si>
    <t>GBYTH</t>
  </si>
  <si>
    <t>GBDMB</t>
  </si>
  <si>
    <t>Boddam</t>
  </si>
  <si>
    <t>GBBFO</t>
  </si>
  <si>
    <t>Bodffordd</t>
  </si>
  <si>
    <t>GBBSI</t>
  </si>
  <si>
    <t>Bognor Regis</t>
  </si>
  <si>
    <t>GBLTD</t>
  </si>
  <si>
    <t>Bolt Head</t>
  </si>
  <si>
    <t>GBBLT</t>
  </si>
  <si>
    <t>Bolton</t>
  </si>
  <si>
    <t>GBBON</t>
  </si>
  <si>
    <t>Bo'ness</t>
  </si>
  <si>
    <t>GBBOE</t>
  </si>
  <si>
    <t>Bootle</t>
  </si>
  <si>
    <t>GBBSS</t>
  </si>
  <si>
    <t>Borrowstowness</t>
  </si>
  <si>
    <t>GBBOT</t>
  </si>
  <si>
    <t>Borth-y-Gest</t>
  </si>
  <si>
    <t>GBBSC</t>
  </si>
  <si>
    <t>Boscastle</t>
  </si>
  <si>
    <t>GBOHM</t>
  </si>
  <si>
    <t>Bosham</t>
  </si>
  <si>
    <t>GBBSL</t>
  </si>
  <si>
    <t>Bosley</t>
  </si>
  <si>
    <t>GBBOS</t>
  </si>
  <si>
    <t>Boston</t>
  </si>
  <si>
    <t>GBBOL</t>
  </si>
  <si>
    <t>Botley</t>
  </si>
  <si>
    <t>GBBMX</t>
  </si>
  <si>
    <t>Boulmer</t>
  </si>
  <si>
    <t>GBBOH</t>
  </si>
  <si>
    <t>Bournemouth</t>
  </si>
  <si>
    <t>GBBSM</t>
  </si>
  <si>
    <t>Bourton</t>
  </si>
  <si>
    <t>GBBOW</t>
  </si>
  <si>
    <t>Bowling</t>
  </si>
  <si>
    <t>GBRCD</t>
  </si>
  <si>
    <t>Bracadale</t>
  </si>
  <si>
    <t>GBBRF</t>
  </si>
  <si>
    <t>Bradford</t>
  </si>
  <si>
    <t>GBSDT</t>
  </si>
  <si>
    <t>Bradstone</t>
  </si>
  <si>
    <t>GBDWL</t>
  </si>
  <si>
    <t>Bradwell Waterside</t>
  </si>
  <si>
    <t>GBBFB</t>
  </si>
  <si>
    <t>Braefoot Bay</t>
  </si>
  <si>
    <t>GBREV</t>
  </si>
  <si>
    <t>Braevig</t>
  </si>
  <si>
    <t>GBMDE</t>
  </si>
  <si>
    <t>Bramdean</t>
  </si>
  <si>
    <t>GBBHJ</t>
  </si>
  <si>
    <t>Bramshall</t>
  </si>
  <si>
    <t>GBBCS</t>
  </si>
  <si>
    <t>Brancaster Staithe</t>
  </si>
  <si>
    <t>GBBBE</t>
  </si>
  <si>
    <t>Branscombe</t>
  </si>
  <si>
    <t>GBBWM</t>
  </si>
  <si>
    <t>Bray</t>
  </si>
  <si>
    <t>GBRST</t>
  </si>
  <si>
    <t>Breasclete</t>
  </si>
  <si>
    <t>GBBBB</t>
  </si>
  <si>
    <t>Breaston</t>
  </si>
  <si>
    <t>GBENT</t>
  </si>
  <si>
    <t>Brent</t>
  </si>
  <si>
    <t>GBBWX</t>
  </si>
  <si>
    <t>Brettenham</t>
  </si>
  <si>
    <t>GBBRW</t>
  </si>
  <si>
    <t>Bridgwater</t>
  </si>
  <si>
    <t>GBBRT</t>
  </si>
  <si>
    <t>Bridlington</t>
  </si>
  <si>
    <t>GBBRP</t>
  </si>
  <si>
    <t>Bridport</t>
  </si>
  <si>
    <t>GBBFE</t>
  </si>
  <si>
    <t>Brierfield</t>
  </si>
  <si>
    <t>GBBXS</t>
  </si>
  <si>
    <t>Brighstone</t>
  </si>
  <si>
    <t>GBBLS</t>
  </si>
  <si>
    <t>Brightlingsea</t>
  </si>
  <si>
    <t>GBBSH</t>
  </si>
  <si>
    <t>Brighton</t>
  </si>
  <si>
    <t>GBBRS</t>
  </si>
  <si>
    <t>Bristol</t>
  </si>
  <si>
    <t>GBBIK</t>
  </si>
  <si>
    <t>Briston</t>
  </si>
  <si>
    <t>GBBFY</t>
  </si>
  <si>
    <t>Briton Ferry</t>
  </si>
  <si>
    <t>GBBRX</t>
  </si>
  <si>
    <t>Brixham</t>
  </si>
  <si>
    <t>GBBDF</t>
  </si>
  <si>
    <t>Broadford, Isle of Skye</t>
  </si>
  <si>
    <t>GBBYN</t>
  </si>
  <si>
    <t>Broadmayne</t>
  </si>
  <si>
    <t>GBBPE</t>
  </si>
  <si>
    <t>Broadmoor</t>
  </si>
  <si>
    <t>GBBDT</t>
  </si>
  <si>
    <t>Broadstairs</t>
  </si>
  <si>
    <t>GBBDI</t>
  </si>
  <si>
    <t>Brodick, Isle of Arran</t>
  </si>
  <si>
    <t>GBBHK</t>
  </si>
  <si>
    <t>Bromborough</t>
  </si>
  <si>
    <t>GBBRJ</t>
  </si>
  <si>
    <t>Brora</t>
  </si>
  <si>
    <t>GBBXT</t>
  </si>
  <si>
    <t>Brotton</t>
  </si>
  <si>
    <t>GBOGH</t>
  </si>
  <si>
    <t>Brough</t>
  </si>
  <si>
    <t>GBBFU</t>
  </si>
  <si>
    <t>Broughton In Furness</t>
  </si>
  <si>
    <t>GBBCH</t>
  </si>
  <si>
    <t>Bruichladdich</t>
  </si>
  <si>
    <t>GBBRU</t>
  </si>
  <si>
    <t>Bruray, Out Skerries</t>
  </si>
  <si>
    <t>GBBZR</t>
  </si>
  <si>
    <t>Bryher</t>
  </si>
  <si>
    <t>GBBYI</t>
  </si>
  <si>
    <t>Brynsiencyn</t>
  </si>
  <si>
    <t>GBBE2</t>
  </si>
  <si>
    <t>Bubwith</t>
  </si>
  <si>
    <t>GBUCN</t>
  </si>
  <si>
    <t>Buchan</t>
  </si>
  <si>
    <t>GBBKD</t>
  </si>
  <si>
    <t>Buckden</t>
  </si>
  <si>
    <t>GBNY2</t>
  </si>
  <si>
    <t>GBBUC</t>
  </si>
  <si>
    <t>Buckie</t>
  </si>
  <si>
    <t>GBBCR</t>
  </si>
  <si>
    <t>Buck's Cross</t>
  </si>
  <si>
    <t>GBBUD</t>
  </si>
  <si>
    <t>Bude</t>
  </si>
  <si>
    <t>GBBUA</t>
  </si>
  <si>
    <t>Budleigh Salterton</t>
  </si>
  <si>
    <t>GBBWV</t>
  </si>
  <si>
    <t>Budock Water</t>
  </si>
  <si>
    <t>GBUNS</t>
  </si>
  <si>
    <t>Bunessan</t>
  </si>
  <si>
    <t>GBBNB</t>
  </si>
  <si>
    <t>Bunnahabhain</t>
  </si>
  <si>
    <t>GBOOR</t>
  </si>
  <si>
    <t>Buntingford</t>
  </si>
  <si>
    <t>GBRGH</t>
  </si>
  <si>
    <t>Burgh</t>
  </si>
  <si>
    <t>GBBUH</t>
  </si>
  <si>
    <t>Burghead</t>
  </si>
  <si>
    <t>GBBOC</t>
  </si>
  <si>
    <t>Burnham on Crouch</t>
  </si>
  <si>
    <t>GBBRN</t>
  </si>
  <si>
    <t>Burnley</t>
  </si>
  <si>
    <t>GBBMO</t>
  </si>
  <si>
    <t>Burnmouth</t>
  </si>
  <si>
    <t>GBBTL</t>
  </si>
  <si>
    <t>Burntisland</t>
  </si>
  <si>
    <t>GBBVO</t>
  </si>
  <si>
    <t>Burravoe</t>
  </si>
  <si>
    <t>GBBUF</t>
  </si>
  <si>
    <t>Burray</t>
  </si>
  <si>
    <t>GBBWR</t>
  </si>
  <si>
    <t>Burrow</t>
  </si>
  <si>
    <t>GBBPT</t>
  </si>
  <si>
    <t>Burry Port</t>
  </si>
  <si>
    <t>GBKBK</t>
  </si>
  <si>
    <t>Burstwick</t>
  </si>
  <si>
    <t>GBBBK</t>
  </si>
  <si>
    <t>Burton Bradstock</t>
  </si>
  <si>
    <t>GBBUS</t>
  </si>
  <si>
    <t>Burton upon Stather</t>
  </si>
  <si>
    <t>GBBWC</t>
  </si>
  <si>
    <t>Burwick</t>
  </si>
  <si>
    <t>GBBUY</t>
  </si>
  <si>
    <t>Bury</t>
  </si>
  <si>
    <t>GBBTZ</t>
  </si>
  <si>
    <t>Butterwick</t>
  </si>
  <si>
    <t>GBCGZ</t>
  </si>
  <si>
    <t>Cadgwith</t>
  </si>
  <si>
    <t>GBCSU</t>
  </si>
  <si>
    <t>Cadishead</t>
  </si>
  <si>
    <t>GBCNV</t>
  </si>
  <si>
    <t>Caernarfon</t>
  </si>
  <si>
    <t>GBCBL</t>
  </si>
  <si>
    <t>Cairnbulg</t>
  </si>
  <si>
    <t>GBCYN</t>
  </si>
  <si>
    <t>Cairnryan</t>
  </si>
  <si>
    <t>GBCSC</t>
  </si>
  <si>
    <t>Caister on Sea</t>
  </si>
  <si>
    <t>GBCAA</t>
  </si>
  <si>
    <t>Caldecote</t>
  </si>
  <si>
    <t>GBCBE</t>
  </si>
  <si>
    <t>Camber</t>
  </si>
  <si>
    <t>GBCBT</t>
  </si>
  <si>
    <t>Campbeltown</t>
  </si>
  <si>
    <t>GBCAU</t>
  </si>
  <si>
    <t>Camusnagaul</t>
  </si>
  <si>
    <t>GBCNA</t>
  </si>
  <si>
    <t>Canna, Inner Hebrides</t>
  </si>
  <si>
    <t>GBCAN</t>
  </si>
  <si>
    <t>Canvey Island</t>
  </si>
  <si>
    <t>GBCCL</t>
  </si>
  <si>
    <t>Cape Cornwall</t>
  </si>
  <si>
    <t>GBCPF</t>
  </si>
  <si>
    <t>Captain Field</t>
  </si>
  <si>
    <t>GBCAB</t>
  </si>
  <si>
    <t>Carbost</t>
  </si>
  <si>
    <t>GBCDF</t>
  </si>
  <si>
    <t>Cardiff</t>
  </si>
  <si>
    <t>GBCAR</t>
  </si>
  <si>
    <t>Cardigan (Aberteifi)</t>
  </si>
  <si>
    <t>GBC5T</t>
  </si>
  <si>
    <t>Cardington</t>
  </si>
  <si>
    <t>GBCAX</t>
  </si>
  <si>
    <t>Carlisle</t>
  </si>
  <si>
    <t>GBRLW</t>
  </si>
  <si>
    <t>Carloway</t>
  </si>
  <si>
    <t>GBCRV</t>
  </si>
  <si>
    <t>Carlton Colville</t>
  </si>
  <si>
    <t>GBCAH</t>
  </si>
  <si>
    <t>Carnlough</t>
  </si>
  <si>
    <t>GBCRA</t>
  </si>
  <si>
    <t>Carradale</t>
  </si>
  <si>
    <t>GBCFG</t>
  </si>
  <si>
    <t>Carrickfergus</t>
  </si>
  <si>
    <t>GBCRT</t>
  </si>
  <si>
    <t>Carrington</t>
  </si>
  <si>
    <t>GBRRO</t>
  </si>
  <si>
    <t>Carron</t>
  </si>
  <si>
    <t>GBCET</t>
  </si>
  <si>
    <t>Carsethorn</t>
  </si>
  <si>
    <t>GBCBA</t>
  </si>
  <si>
    <t>Castlebay</t>
  </si>
  <si>
    <t>GBCTF</t>
  </si>
  <si>
    <t>Castleford</t>
  </si>
  <si>
    <t>GBCSW</t>
  </si>
  <si>
    <t>Castletown</t>
  </si>
  <si>
    <t>GBCCE</t>
  </si>
  <si>
    <t>Catterline</t>
  </si>
  <si>
    <t>GBCNX</t>
  </si>
  <si>
    <t>Cawsand</t>
  </si>
  <si>
    <t>GBCTP</t>
  </si>
  <si>
    <t>Caythorpe</t>
  </si>
  <si>
    <t>GBCAG</t>
  </si>
  <si>
    <t>Ceann a Gharaidh, Eriskay</t>
  </si>
  <si>
    <t>GBCMA</t>
  </si>
  <si>
    <t>Cefn-Mawr</t>
  </si>
  <si>
    <t>GBCEI</t>
  </si>
  <si>
    <t>Ceinewydd (New Quay)</t>
  </si>
  <si>
    <t>GBCEL</t>
  </si>
  <si>
    <t>Cellardyke</t>
  </si>
  <si>
    <t>GBCEB</t>
  </si>
  <si>
    <t>Cemaes Bay</t>
  </si>
  <si>
    <t>GBCNM</t>
  </si>
  <si>
    <t>Central Mainland (Shetland)</t>
  </si>
  <si>
    <t>GBCPD</t>
  </si>
  <si>
    <t>Chapel Saint Leonards</t>
  </si>
  <si>
    <t>GBCHD</t>
  </si>
  <si>
    <t>Charleston</t>
  </si>
  <si>
    <t>GBCHF</t>
  </si>
  <si>
    <t>Charlestown</t>
  </si>
  <si>
    <t>GBCWN</t>
  </si>
  <si>
    <t>GBCHJ</t>
  </si>
  <si>
    <t>Charmouth</t>
  </si>
  <si>
    <t>GBCTM</t>
  </si>
  <si>
    <t>GBCHT</t>
  </si>
  <si>
    <t>Chepstow</t>
  </si>
  <si>
    <t>GBCEG</t>
  </si>
  <si>
    <t>GBCSR</t>
  </si>
  <si>
    <t>GBCST</t>
  </si>
  <si>
    <t>Chichester</t>
  </si>
  <si>
    <t>GBCKR</t>
  </si>
  <si>
    <t>Chickerell</t>
  </si>
  <si>
    <t>GBCDK</t>
  </si>
  <si>
    <t>Chideock</t>
  </si>
  <si>
    <t>GBCII</t>
  </si>
  <si>
    <t>Chillington</t>
  </si>
  <si>
    <t>GBCHR</t>
  </si>
  <si>
    <t>Chorley</t>
  </si>
  <si>
    <t>GBCCH</t>
  </si>
  <si>
    <t>Christchurch</t>
  </si>
  <si>
    <t>GBCUB</t>
  </si>
  <si>
    <t>Church Bay, Rathlin Island</t>
  </si>
  <si>
    <t>GBRAS</t>
  </si>
  <si>
    <t>Clachan, Raasay</t>
  </si>
  <si>
    <t>GBCLS</t>
  </si>
  <si>
    <t>Clacton-on-Sea</t>
  </si>
  <si>
    <t>GBCLJ</t>
  </si>
  <si>
    <t>Claonaig</t>
  </si>
  <si>
    <t>GBCYG</t>
  </si>
  <si>
    <t>Claydon</t>
  </si>
  <si>
    <t>GBQZL</t>
  </si>
  <si>
    <t>Clevedon</t>
  </si>
  <si>
    <t>GBCLF</t>
  </si>
  <si>
    <t>Cliffe</t>
  </si>
  <si>
    <t>GBCGP</t>
  </si>
  <si>
    <t>Cloghan Point/Carrickfergus</t>
  </si>
  <si>
    <t>GBCVL</t>
  </si>
  <si>
    <t>GBCZV</t>
  </si>
  <si>
    <t>Clunbury</t>
  </si>
  <si>
    <t>GBCLY</t>
  </si>
  <si>
    <t>Clydebank</t>
  </si>
  <si>
    <t>GBCYP</t>
  </si>
  <si>
    <t>Clydeport</t>
  </si>
  <si>
    <t>GBCYD</t>
  </si>
  <si>
    <t>Clynderwen</t>
  </si>
  <si>
    <t>GBCNZ</t>
  </si>
  <si>
    <t>Cockenzie</t>
  </si>
  <si>
    <t>GBCKM</t>
  </si>
  <si>
    <t>Cockermouth</t>
  </si>
  <si>
    <t>GBCQQ</t>
  </si>
  <si>
    <t>Cockwood</t>
  </si>
  <si>
    <t>GBCOL</t>
  </si>
  <si>
    <t>Colchester</t>
  </si>
  <si>
    <t>GBCGB</t>
  </si>
  <si>
    <t>Coldingham</t>
  </si>
  <si>
    <t>GBCLR</t>
  </si>
  <si>
    <t>Coleraine</t>
  </si>
  <si>
    <t>GBCVA</t>
  </si>
  <si>
    <t>Colintraive</t>
  </si>
  <si>
    <t>GBOLL</t>
  </si>
  <si>
    <t>Coll</t>
  </si>
  <si>
    <t>GBCAF</t>
  </si>
  <si>
    <t>Collafirth</t>
  </si>
  <si>
    <t>GBCIT</t>
  </si>
  <si>
    <t>Collieston</t>
  </si>
  <si>
    <t>GBCYY</t>
  </si>
  <si>
    <t>Colwyn Bay (Bae Colwyn)</t>
  </si>
  <si>
    <t>GBCBM</t>
  </si>
  <si>
    <t>Combe Martin</t>
  </si>
  <si>
    <t>GBCGY</t>
  </si>
  <si>
    <t>Congresbury</t>
  </si>
  <si>
    <t>GBCIS</t>
  </si>
  <si>
    <t>GBCQY</t>
  </si>
  <si>
    <t>Connahs Quay</t>
  </si>
  <si>
    <t>GBCOQ</t>
  </si>
  <si>
    <t>Connah's Quay</t>
  </si>
  <si>
    <t>GBCZZ</t>
  </si>
  <si>
    <t>Constantine</t>
  </si>
  <si>
    <t>GBCVW</t>
  </si>
  <si>
    <t>Convoys Wharf</t>
  </si>
  <si>
    <t>GBCWA</t>
  </si>
  <si>
    <t>Conwy (Conway)</t>
  </si>
  <si>
    <t>GBCFM</t>
  </si>
  <si>
    <t>Corfe Mullen</t>
  </si>
  <si>
    <t>GBCOR</t>
  </si>
  <si>
    <t>Corpach</t>
  </si>
  <si>
    <t>GBORR</t>
  </si>
  <si>
    <t>Corran</t>
  </si>
  <si>
    <t>GBCOY</t>
  </si>
  <si>
    <t>Coryton</t>
  </si>
  <si>
    <t>GBCVE</t>
  </si>
  <si>
    <t>Cove</t>
  </si>
  <si>
    <t>GBACV</t>
  </si>
  <si>
    <t>Cove (Aberdeen)</t>
  </si>
  <si>
    <t>GBCVI</t>
  </si>
  <si>
    <t>Cove (Leith)</t>
  </si>
  <si>
    <t>GBCGT</t>
  </si>
  <si>
    <t>Covent Garden</t>
  </si>
  <si>
    <t>GBCVT</t>
  </si>
  <si>
    <t>Coventry</t>
  </si>
  <si>
    <t>GBCOV</t>
  </si>
  <si>
    <t>Coverack</t>
  </si>
  <si>
    <t>GBCOW</t>
  </si>
  <si>
    <t>Cowes</t>
  </si>
  <si>
    <t>GBCGJ</t>
  </si>
  <si>
    <t>Craighouse, Isle of Jura</t>
  </si>
  <si>
    <t>GBCNU</t>
  </si>
  <si>
    <t>Craignure</t>
  </si>
  <si>
    <t>GBCRJ</t>
  </si>
  <si>
    <t>Crail</t>
  </si>
  <si>
    <t>GBCMD</t>
  </si>
  <si>
    <t>Cramond</t>
  </si>
  <si>
    <t>GBCBO</t>
  </si>
  <si>
    <t>Cranborne</t>
  </si>
  <si>
    <t>GBCRX</t>
  </si>
  <si>
    <t>Craster</t>
  </si>
  <si>
    <t>GBCKS</t>
  </si>
  <si>
    <t>Creeksea</t>
  </si>
  <si>
    <t>GBCCC</t>
  </si>
  <si>
    <t>Criccieth</t>
  </si>
  <si>
    <t>GBCFE</t>
  </si>
  <si>
    <t>Crieff</t>
  </si>
  <si>
    <t>GBCNC</t>
  </si>
  <si>
    <t>Crinan</t>
  </si>
  <si>
    <t>GBCRN</t>
  </si>
  <si>
    <t>Cromarty</t>
  </si>
  <si>
    <t>GBCMP</t>
  </si>
  <si>
    <t>Crombie</t>
  </si>
  <si>
    <t>GBCRR</t>
  </si>
  <si>
    <t>GBCR5</t>
  </si>
  <si>
    <t>Cropton</t>
  </si>
  <si>
    <t>GBCKK</t>
  </si>
  <si>
    <t>Crosskirk</t>
  </si>
  <si>
    <t>GBJHW</t>
  </si>
  <si>
    <t>Crown Dry-Dock</t>
  </si>
  <si>
    <t>GBCUA</t>
  </si>
  <si>
    <t>Cuan Ferry, Seil</t>
  </si>
  <si>
    <t>GBCKN</t>
  </si>
  <si>
    <t>Culkein</t>
  </si>
  <si>
    <t>GBCLM</t>
  </si>
  <si>
    <t>Culkein/Drumbeg</t>
  </si>
  <si>
    <t>GBCUN</t>
  </si>
  <si>
    <t>Cullen</t>
  </si>
  <si>
    <t>GBCUV</t>
  </si>
  <si>
    <t>Cullivoe, Yell</t>
  </si>
  <si>
    <t>GBCMS</t>
  </si>
  <si>
    <t>Cumbrae Slip, Great Cumbrae</t>
  </si>
  <si>
    <t>GBCUM</t>
  </si>
  <si>
    <t>Cumbraes</t>
  </si>
  <si>
    <t>GBCUJ</t>
  </si>
  <si>
    <t>Cumbria</t>
  </si>
  <si>
    <t>GBCU8</t>
  </si>
  <si>
    <t>Curbar</t>
  </si>
  <si>
    <t>GBCUR</t>
  </si>
  <si>
    <t>Curlew</t>
  </si>
  <si>
    <t>GBCUS</t>
  </si>
  <si>
    <t>Cushendall</t>
  </si>
  <si>
    <t>GBCUE</t>
  </si>
  <si>
    <t>Cushendun</t>
  </si>
  <si>
    <t>GBDAG</t>
  </si>
  <si>
    <t>Dagenham</t>
  </si>
  <si>
    <t>GBDIG</t>
  </si>
  <si>
    <t>Dalbeattie</t>
  </si>
  <si>
    <t>GBDOS</t>
  </si>
  <si>
    <t>Dale Roads</t>
  </si>
  <si>
    <t>GBDYB</t>
  </si>
  <si>
    <t>Dalgety Bay</t>
  </si>
  <si>
    <t>GBDAL</t>
  </si>
  <si>
    <t>Dalton in Furness</t>
  </si>
  <si>
    <t>GBDWI</t>
  </si>
  <si>
    <t>Dalwhinnie</t>
  </si>
  <si>
    <t>GBDS2</t>
  </si>
  <si>
    <t>Daresbury</t>
  </si>
  <si>
    <t>GBDRL</t>
  </si>
  <si>
    <t>Darlington</t>
  </si>
  <si>
    <t>GBDFD</t>
  </si>
  <si>
    <t>Dartford</t>
  </si>
  <si>
    <t>GBDTM</t>
  </si>
  <si>
    <t>Dartmouth</t>
  </si>
  <si>
    <t>GBDEX</t>
  </si>
  <si>
    <t>Deal</t>
  </si>
  <si>
    <t>GBDNQ</t>
  </si>
  <si>
    <t>Dean Quarry</t>
  </si>
  <si>
    <t>GBEER</t>
  </si>
  <si>
    <t>Deerness</t>
  </si>
  <si>
    <t>GBDEB</t>
  </si>
  <si>
    <t>Denby</t>
  </si>
  <si>
    <t>GBDET</t>
  </si>
  <si>
    <t>Denton</t>
  </si>
  <si>
    <t>GBDXY</t>
  </si>
  <si>
    <t>GBDER</t>
  </si>
  <si>
    <t>Dereham</t>
  </si>
  <si>
    <t>GBDVP</t>
  </si>
  <si>
    <t>GBDWY</t>
  </si>
  <si>
    <t>Dewsbury</t>
  </si>
  <si>
    <t>GBDIN</t>
  </si>
  <si>
    <t>Dingle</t>
  </si>
  <si>
    <t>GBDIW</t>
  </si>
  <si>
    <t>GBDHD</t>
  </si>
  <si>
    <t>Donaghadee</t>
  </si>
  <si>
    <t>GBDVR</t>
  </si>
  <si>
    <t>Dover</t>
  </si>
  <si>
    <t>GBDRX</t>
  </si>
  <si>
    <t>Drax</t>
  </si>
  <si>
    <t>GBDMO</t>
  </si>
  <si>
    <t>Dromore</t>
  </si>
  <si>
    <t>GBDUT</t>
  </si>
  <si>
    <t>Drumintee</t>
  </si>
  <si>
    <t>GBDBY</t>
  </si>
  <si>
    <t>Dulas Bay</t>
  </si>
  <si>
    <t>GBDUM</t>
  </si>
  <si>
    <t>Dumfries</t>
  </si>
  <si>
    <t>GBDBR</t>
  </si>
  <si>
    <t>Dunbar</t>
  </si>
  <si>
    <t>GBDUE</t>
  </si>
  <si>
    <t>Dunbeath</t>
  </si>
  <si>
    <t>GBDUC</t>
  </si>
  <si>
    <t>Dunchurch</t>
  </si>
  <si>
    <t>GBDUN</t>
  </si>
  <si>
    <t>Dundee</t>
  </si>
  <si>
    <t>GBDSS</t>
  </si>
  <si>
    <t>Dungeness</t>
  </si>
  <si>
    <t>GBDNU</t>
  </si>
  <si>
    <t>Dunoon</t>
  </si>
  <si>
    <t>GBDNF</t>
  </si>
  <si>
    <t>Dunrossness and Fair Isle</t>
  </si>
  <si>
    <t>GBDSK</t>
  </si>
  <si>
    <t>Dunseverick</t>
  </si>
  <si>
    <t>GBDTE</t>
  </si>
  <si>
    <t>Dunstable</t>
  </si>
  <si>
    <t>GBDTF</t>
  </si>
  <si>
    <t>Dunstaffnage</t>
  </si>
  <si>
    <t>GBDNE</t>
  </si>
  <si>
    <t>Dunster</t>
  </si>
  <si>
    <t>GBDTN</t>
  </si>
  <si>
    <t>Dunston</t>
  </si>
  <si>
    <t>GBDRE</t>
  </si>
  <si>
    <t>Dunure</t>
  </si>
  <si>
    <t>GBDVN</t>
  </si>
  <si>
    <t>Dunvegan</t>
  </si>
  <si>
    <t>GBDNW</t>
  </si>
  <si>
    <t>Dunwich</t>
  </si>
  <si>
    <t>GBDRH</t>
  </si>
  <si>
    <t>Durham</t>
  </si>
  <si>
    <t>GBDDT</t>
  </si>
  <si>
    <t>Durward Dauntless</t>
  </si>
  <si>
    <t>GBDYS</t>
  </si>
  <si>
    <t>Dysart</t>
  </si>
  <si>
    <t>GBRRR</t>
  </si>
  <si>
    <t>Eardiston</t>
  </si>
  <si>
    <t>GBECO</t>
  </si>
  <si>
    <t>Earls Colne</t>
  </si>
  <si>
    <t>GBEAA</t>
  </si>
  <si>
    <t>Easdale, Seil</t>
  </si>
  <si>
    <t>GBESG</t>
  </si>
  <si>
    <t>Easington</t>
  </si>
  <si>
    <t>GBEHY</t>
  </si>
  <si>
    <t>East Hyde</t>
  </si>
  <si>
    <t>GBEME</t>
  </si>
  <si>
    <t>East Mersea</t>
  </si>
  <si>
    <t>GBESW</t>
  </si>
  <si>
    <t>East Wellow</t>
  </si>
  <si>
    <t>GBEWT</t>
  </si>
  <si>
    <t>East Wittering</t>
  </si>
  <si>
    <t>GBEBO</t>
  </si>
  <si>
    <t>Eastbourne</t>
  </si>
  <si>
    <t>GBEAM</t>
  </si>
  <si>
    <t>Eastham</t>
  </si>
  <si>
    <t>GBECS</t>
  </si>
  <si>
    <t>Eccles</t>
  </si>
  <si>
    <t>GBLEW</t>
  </si>
  <si>
    <t>Edgeware</t>
  </si>
  <si>
    <t>GBEDI</t>
  </si>
  <si>
    <t>Edinburgh</t>
  </si>
  <si>
    <t>GBEGI</t>
  </si>
  <si>
    <t>Egilsay</t>
  </si>
  <si>
    <t>GBIGG</t>
  </si>
  <si>
    <t>Eigg</t>
  </si>
  <si>
    <t>GBESK</t>
  </si>
  <si>
    <t>Eishken</t>
  </si>
  <si>
    <t>GBEKN</t>
  </si>
  <si>
    <t>Eisken</t>
  </si>
  <si>
    <t>GBEGO</t>
  </si>
  <si>
    <t>Elgol, Isle of Skye</t>
  </si>
  <si>
    <t>GBELI</t>
  </si>
  <si>
    <t>Elie</t>
  </si>
  <si>
    <t>GBEIN</t>
  </si>
  <si>
    <t>Eling</t>
  </si>
  <si>
    <t>GBELB</t>
  </si>
  <si>
    <t>Ellenabeich, Seil</t>
  </si>
  <si>
    <t>GBELL</t>
  </si>
  <si>
    <t>Ellesmere Port</t>
  </si>
  <si>
    <t>GBEWL</t>
  </si>
  <si>
    <t>Elmswell</t>
  </si>
  <si>
    <t>GBELS</t>
  </si>
  <si>
    <t>Elsham</t>
  </si>
  <si>
    <t>GBERI</t>
  </si>
  <si>
    <t>Erith</t>
  </si>
  <si>
    <t>GBRBL</t>
  </si>
  <si>
    <t>Erribol</t>
  </si>
  <si>
    <t>GBESS</t>
  </si>
  <si>
    <t>Eshaness</t>
  </si>
  <si>
    <t>GBETT</t>
  </si>
  <si>
    <t>Etrick Field</t>
  </si>
  <si>
    <t>GBEVT</t>
  </si>
  <si>
    <t>Evanton</t>
  </si>
  <si>
    <t>GBEXE</t>
  </si>
  <si>
    <t>Exeter</t>
  </si>
  <si>
    <t>GBEXM</t>
  </si>
  <si>
    <t>GBEYM</t>
  </si>
  <si>
    <t>Eyemouth</t>
  </si>
  <si>
    <t>GBFAI</t>
  </si>
  <si>
    <t>Fairisle</t>
  </si>
  <si>
    <t>GBFEE</t>
  </si>
  <si>
    <t>Fairlie</t>
  </si>
  <si>
    <t>GBFAL</t>
  </si>
  <si>
    <t>GBFLT</t>
  </si>
  <si>
    <t>Farlington</t>
  </si>
  <si>
    <t>GBFAS</t>
  </si>
  <si>
    <t>Faslane</t>
  </si>
  <si>
    <t>GBFAV</t>
  </si>
  <si>
    <t>Faversham</t>
  </si>
  <si>
    <t>GBFAW</t>
  </si>
  <si>
    <t>Fawley</t>
  </si>
  <si>
    <t>GBFEI</t>
  </si>
  <si>
    <t>Felbrigg</t>
  </si>
  <si>
    <t>GBFXT</t>
  </si>
  <si>
    <t>Felixstowe</t>
  </si>
  <si>
    <t>GBFEO</t>
  </si>
  <si>
    <t>Feolin Ferry</t>
  </si>
  <si>
    <t>GBFRD</t>
  </si>
  <si>
    <t>Ferndale</t>
  </si>
  <si>
    <t>GBFRX</t>
  </si>
  <si>
    <t>Ferrybridge</t>
  </si>
  <si>
    <t>GBFYD</t>
  </si>
  <si>
    <t>Ferryside</t>
  </si>
  <si>
    <t>GBFIN</t>
  </si>
  <si>
    <t>Findhorn</t>
  </si>
  <si>
    <t>GBFID</t>
  </si>
  <si>
    <t>Findochty</t>
  </si>
  <si>
    <t>GBFRH</t>
  </si>
  <si>
    <t>Fingringhoe</t>
  </si>
  <si>
    <t>GBFNT</t>
  </si>
  <si>
    <t>Finnart</t>
  </si>
  <si>
    <t>GBFIO</t>
  </si>
  <si>
    <t>Fionnphort, Isle of Mull</t>
  </si>
  <si>
    <t>GBFBU</t>
  </si>
  <si>
    <t>Fishbourne</t>
  </si>
  <si>
    <t>GBFIH</t>
  </si>
  <si>
    <t>Fisherrow/Musselburgh</t>
  </si>
  <si>
    <t>GBFIS</t>
  </si>
  <si>
    <t>Fishguard</t>
  </si>
  <si>
    <t>GBFNH</t>
  </si>
  <si>
    <t>Fishnish, Isle of Mull</t>
  </si>
  <si>
    <t>GBFBH</t>
  </si>
  <si>
    <t>Flamborough</t>
  </si>
  <si>
    <t>GBFLN</t>
  </si>
  <si>
    <t>Flaxton</t>
  </si>
  <si>
    <t>GBFLE</t>
  </si>
  <si>
    <t>Fleetwood</t>
  </si>
  <si>
    <t>GBFLW</t>
  </si>
  <si>
    <t>Flixborough</t>
  </si>
  <si>
    <t>GBFLK</t>
  </si>
  <si>
    <t>Flookburgh</t>
  </si>
  <si>
    <t>GBFLH</t>
  </si>
  <si>
    <t>Flotta</t>
  </si>
  <si>
    <t>GBFLU</t>
  </si>
  <si>
    <t>Flushing</t>
  </si>
  <si>
    <t>GBFNV</t>
  </si>
  <si>
    <t>Foinaven</t>
  </si>
  <si>
    <t>GBFOI</t>
  </si>
  <si>
    <t>Foindlemore - Loch Glendhu</t>
  </si>
  <si>
    <t>GBFOL</t>
  </si>
  <si>
    <t>Folkestone</t>
  </si>
  <si>
    <t>GBFRM</t>
  </si>
  <si>
    <t>Formby</t>
  </si>
  <si>
    <t>GBFWM</t>
  </si>
  <si>
    <t>GBFOR</t>
  </si>
  <si>
    <t>Forth</t>
  </si>
  <si>
    <t>GBFTR</t>
  </si>
  <si>
    <t>Fortrose</t>
  </si>
  <si>
    <t>GBFDK</t>
  </si>
  <si>
    <t>Fosdyke</t>
  </si>
  <si>
    <t>GBDFN</t>
  </si>
  <si>
    <t>Foston</t>
  </si>
  <si>
    <t>GBLIF</t>
  </si>
  <si>
    <t>GBFOY</t>
  </si>
  <si>
    <t>Fowey</t>
  </si>
  <si>
    <t>GBFRB</t>
  </si>
  <si>
    <t>Fraserburgh</t>
  </si>
  <si>
    <t>GBFRW</t>
  </si>
  <si>
    <t>GBFWE</t>
  </si>
  <si>
    <t>Freshwater East</t>
  </si>
  <si>
    <t>GBNFR</t>
  </si>
  <si>
    <t>Friden</t>
  </si>
  <si>
    <t>GBFRI</t>
  </si>
  <si>
    <t>Frinton-on-Sea</t>
  </si>
  <si>
    <t>GBFOW</t>
  </si>
  <si>
    <t>Frisby on the Wreake</t>
  </si>
  <si>
    <t>GBFMF</t>
  </si>
  <si>
    <t>Fulmar Field</t>
  </si>
  <si>
    <t>GBFUR</t>
  </si>
  <si>
    <t>Furnace</t>
  </si>
  <si>
    <t>GBGAW</t>
  </si>
  <si>
    <t>Gaerwen</t>
  </si>
  <si>
    <t>GBGAI</t>
  </si>
  <si>
    <t>Gainsborough</t>
  </si>
  <si>
    <t>GBGAR</t>
  </si>
  <si>
    <t>Gairloch</t>
  </si>
  <si>
    <t>GBGAS</t>
  </si>
  <si>
    <t>Galmisdale, Eigg</t>
  </si>
  <si>
    <t>GBGDN</t>
  </si>
  <si>
    <t>Gardenstown</t>
  </si>
  <si>
    <t>GBGLH</t>
  </si>
  <si>
    <t>Gareloch</t>
  </si>
  <si>
    <t>GBGAD</t>
  </si>
  <si>
    <t>Garelochhead</t>
  </si>
  <si>
    <t>GBGIS</t>
  </si>
  <si>
    <t>Garlieston</t>
  </si>
  <si>
    <t>GBRRB</t>
  </si>
  <si>
    <t>Garrabost</t>
  </si>
  <si>
    <t>GBCSN</t>
  </si>
  <si>
    <t>Garston</t>
  </si>
  <si>
    <t>GBGTN</t>
  </si>
  <si>
    <t>GBGAT</t>
  </si>
  <si>
    <t>Gateshead</t>
  </si>
  <si>
    <t>GBGIL</t>
  </si>
  <si>
    <t>Gillingham</t>
  </si>
  <si>
    <t>GBILL</t>
  </si>
  <si>
    <t>Gills</t>
  </si>
  <si>
    <t>GBGIR</t>
  </si>
  <si>
    <t>Girvan</t>
  </si>
  <si>
    <t>GBGLW</t>
  </si>
  <si>
    <t>Glasgow</t>
  </si>
  <si>
    <t>GBGLD</t>
  </si>
  <si>
    <t>Glasson Dock</t>
  </si>
  <si>
    <t>GBGLA</t>
  </si>
  <si>
    <t>Glenarm</t>
  </si>
  <si>
    <t>GBGNL</t>
  </si>
  <si>
    <t>Glenelg</t>
  </si>
  <si>
    <t>GBGLC</t>
  </si>
  <si>
    <t>Glenluce</t>
  </si>
  <si>
    <t>GBGMA</t>
  </si>
  <si>
    <t>Glenmallan</t>
  </si>
  <si>
    <t>GBGSA</t>
  </si>
  <si>
    <t>Glensanda</t>
  </si>
  <si>
    <t>GBGLG</t>
  </si>
  <si>
    <t>Glenuig</t>
  </si>
  <si>
    <t>GBGLO</t>
  </si>
  <si>
    <t>Gloucester</t>
  </si>
  <si>
    <t>GBGLP</t>
  </si>
  <si>
    <t>Golspie</t>
  </si>
  <si>
    <t>GBGOO</t>
  </si>
  <si>
    <t>Goole</t>
  </si>
  <si>
    <t>GBGBS</t>
  </si>
  <si>
    <t>Goring-by-Sea</t>
  </si>
  <si>
    <t>GBGOR</t>
  </si>
  <si>
    <t>Gorran Haven</t>
  </si>
  <si>
    <t>GBGOS</t>
  </si>
  <si>
    <t>Gosport</t>
  </si>
  <si>
    <t>GBGUD</t>
  </si>
  <si>
    <t>Gourdon</t>
  </si>
  <si>
    <t>GBGUR</t>
  </si>
  <si>
    <t>Gourock</t>
  </si>
  <si>
    <t>GBGIV</t>
  </si>
  <si>
    <t>Govilon</t>
  </si>
  <si>
    <t>GBWWL</t>
  </si>
  <si>
    <t>Gowdall</t>
  </si>
  <si>
    <t>GBHXL</t>
  </si>
  <si>
    <t>Goxhill</t>
  </si>
  <si>
    <t>GBGOX</t>
  </si>
  <si>
    <t>GBGAE</t>
  </si>
  <si>
    <t>Graemsay</t>
  </si>
  <si>
    <t>GBGRG</t>
  </si>
  <si>
    <t>Grangemouth</t>
  </si>
  <si>
    <t>GBGRN</t>
  </si>
  <si>
    <t>Granton</t>
  </si>
  <si>
    <t>GBGVS</t>
  </si>
  <si>
    <t>Gravesend</t>
  </si>
  <si>
    <t>GBGYS</t>
  </si>
  <si>
    <t>Grays</t>
  </si>
  <si>
    <t>GBGRH</t>
  </si>
  <si>
    <t>Great Harwood</t>
  </si>
  <si>
    <t>GBMSI</t>
  </si>
  <si>
    <t>Great Massingham</t>
  </si>
  <si>
    <t>GBGOA</t>
  </si>
  <si>
    <t>Great Oakley</t>
  </si>
  <si>
    <t>GBGWG</t>
  </si>
  <si>
    <t>Great Wakering</t>
  </si>
  <si>
    <t>GBGTY</t>
  </si>
  <si>
    <t>Great Yarmouth</t>
  </si>
  <si>
    <t>GBHP2</t>
  </si>
  <si>
    <t>Greatham</t>
  </si>
  <si>
    <t>GBGNC</t>
  </si>
  <si>
    <t>Greencastle</t>
  </si>
  <si>
    <t>GBGRK</t>
  </si>
  <si>
    <t>GBNO2</t>
  </si>
  <si>
    <t>Gretton</t>
  </si>
  <si>
    <t>GBGMY</t>
  </si>
  <si>
    <t>Grimsay</t>
  </si>
  <si>
    <t>GBGSY</t>
  </si>
  <si>
    <t>Grimsby</t>
  </si>
  <si>
    <t>GBGRO</t>
  </si>
  <si>
    <t>Groomsport</t>
  </si>
  <si>
    <t>GBGRW</t>
  </si>
  <si>
    <t>Grove Port</t>
  </si>
  <si>
    <t>GBGRJ</t>
  </si>
  <si>
    <t>Grovehurst Jetty/Sittingbourne</t>
  </si>
  <si>
    <t>GBGRU</t>
  </si>
  <si>
    <t>Grutness</t>
  </si>
  <si>
    <t>GBGDB</t>
  </si>
  <si>
    <t>Guardbridge</t>
  </si>
  <si>
    <t>GBGVL</t>
  </si>
  <si>
    <t>Gulval</t>
  </si>
  <si>
    <t>GBGUW</t>
  </si>
  <si>
    <t>Gunness Wharf</t>
  </si>
  <si>
    <t>GBGNQ</t>
  </si>
  <si>
    <t>Gunthorpe</t>
  </si>
  <si>
    <t>GBGUT</t>
  </si>
  <si>
    <t>Gutcher, Yell</t>
  </si>
  <si>
    <t>GBGWK</t>
  </si>
  <si>
    <t>Gweek</t>
  </si>
  <si>
    <t>GBHNU</t>
  </si>
  <si>
    <t>Hainault</t>
  </si>
  <si>
    <t>GBHKI</t>
  </si>
  <si>
    <t>Halkirk</t>
  </si>
  <si>
    <t>GBHVO</t>
  </si>
  <si>
    <t>Ham Voe, Foula</t>
  </si>
  <si>
    <t>GBHNS</t>
  </si>
  <si>
    <t>Hamars Ness, Fetlar</t>
  </si>
  <si>
    <t>GBHAM</t>
  </si>
  <si>
    <t>Hamble</t>
  </si>
  <si>
    <t>GBHMV</t>
  </si>
  <si>
    <t>Hamnavoe, Burra Isle</t>
  </si>
  <si>
    <t>GBAEW</t>
  </si>
  <si>
    <t>Hanwell</t>
  </si>
  <si>
    <t>GBHRF</t>
  </si>
  <si>
    <t>Harefield</t>
  </si>
  <si>
    <t>GBHRL</t>
  </si>
  <si>
    <t>Harlow</t>
  </si>
  <si>
    <t>GBHAA</t>
  </si>
  <si>
    <t>Harraby</t>
  </si>
  <si>
    <t>GBHTP</t>
  </si>
  <si>
    <t>Hartlepool</t>
  </si>
  <si>
    <t>GBYLY</t>
  </si>
  <si>
    <t>Hartley</t>
  </si>
  <si>
    <t>GBHRW</t>
  </si>
  <si>
    <t>Harwich</t>
  </si>
  <si>
    <t>GBHDN</t>
  </si>
  <si>
    <t>Haslingden</t>
  </si>
  <si>
    <t>GBHTG</t>
  </si>
  <si>
    <t>GBHAY</t>
  </si>
  <si>
    <t>Hayle</t>
  </si>
  <si>
    <t>GBHYG</t>
  </si>
  <si>
    <t>Hayling Island</t>
  </si>
  <si>
    <t>GBHEQ</t>
  </si>
  <si>
    <t>Heaton</t>
  </si>
  <si>
    <t>GBHEB</t>
  </si>
  <si>
    <t>Hebburn</t>
  </si>
  <si>
    <t>GBHXX</t>
  </si>
  <si>
    <t>Hedon</t>
  </si>
  <si>
    <t>GBHLN</t>
  </si>
  <si>
    <t>Helensburgh</t>
  </si>
  <si>
    <t>GBHDR</t>
  </si>
  <si>
    <t>Helford River</t>
  </si>
  <si>
    <t>GBHMA</t>
  </si>
  <si>
    <t>Helmsdale</t>
  </si>
  <si>
    <t>GBEMN</t>
  </si>
  <si>
    <t>Hempton</t>
  </si>
  <si>
    <t>GBHMY</t>
  </si>
  <si>
    <t>Hemsby</t>
  </si>
  <si>
    <t>GBHRN</t>
  </si>
  <si>
    <t>Herne Bay</t>
  </si>
  <si>
    <t>GBHSE</t>
  </si>
  <si>
    <t>Hessle/Hull</t>
  </si>
  <si>
    <t>GBHBK</t>
  </si>
  <si>
    <t>Hest Bank</t>
  </si>
  <si>
    <t>GBHTT</t>
  </si>
  <si>
    <t>Hetton</t>
  </si>
  <si>
    <t>GBHYR</t>
  </si>
  <si>
    <t>Heybridge</t>
  </si>
  <si>
    <t>GBHYM</t>
  </si>
  <si>
    <t>Heysham</t>
  </si>
  <si>
    <t>GBHGW</t>
  </si>
  <si>
    <t>Hightown</t>
  </si>
  <si>
    <t>GBTNN</t>
  </si>
  <si>
    <t>Hilton</t>
  </si>
  <si>
    <t>GBHDB</t>
  </si>
  <si>
    <t>Hilton/Derby</t>
  </si>
  <si>
    <t>GBHHN</t>
  </si>
  <si>
    <t>Holehaven</t>
  </si>
  <si>
    <t>GBHDS</t>
  </si>
  <si>
    <t>Holland on Sea</t>
  </si>
  <si>
    <t>GBHOM</t>
  </si>
  <si>
    <t>Holm</t>
  </si>
  <si>
    <t>GBHYI</t>
  </si>
  <si>
    <t>Holy Island</t>
  </si>
  <si>
    <t>GBHLO</t>
  </si>
  <si>
    <t>Holy Loch</t>
  </si>
  <si>
    <t>GBHLY</t>
  </si>
  <si>
    <t>Holyhead</t>
  </si>
  <si>
    <t>GBYLW</t>
  </si>
  <si>
    <t>Holywood</t>
  </si>
  <si>
    <t>GBOOT</t>
  </si>
  <si>
    <t>Hooton</t>
  </si>
  <si>
    <t>GBHPC</t>
  </si>
  <si>
    <t>Hope Cove</t>
  </si>
  <si>
    <t>GBHOP</t>
  </si>
  <si>
    <t>Hopeman</t>
  </si>
  <si>
    <t>GBHOS</t>
  </si>
  <si>
    <t>Hoswick</t>
  </si>
  <si>
    <t>GBHGY</t>
  </si>
  <si>
    <t>Hougharry and Loch Eport</t>
  </si>
  <si>
    <t>GBHPT</t>
  </si>
  <si>
    <t>Hound Point</t>
  </si>
  <si>
    <t>GBHOV</t>
  </si>
  <si>
    <t>Housa Voe, Papa Stour</t>
  </si>
  <si>
    <t>GBHUT</t>
  </si>
  <si>
    <t>Houton</t>
  </si>
  <si>
    <t>GBNFK</t>
  </si>
  <si>
    <t>Hoverton</t>
  </si>
  <si>
    <t>GBHDD</t>
  </si>
  <si>
    <t>Howdendyke</t>
  </si>
  <si>
    <t>GBHOJ</t>
  </si>
  <si>
    <t>Howdon</t>
  </si>
  <si>
    <t>GBHWV</t>
  </si>
  <si>
    <t>Howwood</t>
  </si>
  <si>
    <t>GBHDF</t>
  </si>
  <si>
    <t>Huddersfield</t>
  </si>
  <si>
    <t>GBHWZ</t>
  </si>
  <si>
    <t>Hugh Town</t>
  </si>
  <si>
    <t>GBHUL</t>
  </si>
  <si>
    <t>Hull</t>
  </si>
  <si>
    <t>GBHLU</t>
  </si>
  <si>
    <t>Hunslet/Leeds</t>
  </si>
  <si>
    <t>GBHNT</t>
  </si>
  <si>
    <t>Hunstanton</t>
  </si>
  <si>
    <t>GBHST</t>
  </si>
  <si>
    <t>Hunterston</t>
  </si>
  <si>
    <t>GBHUX</t>
  </si>
  <si>
    <t>Hutton</t>
  </si>
  <si>
    <t>GBWWW</t>
  </si>
  <si>
    <t>Hutton Cranswick</t>
  </si>
  <si>
    <t>GBHTH</t>
  </si>
  <si>
    <t>Hythe</t>
  </si>
  <si>
    <t>GBILF</t>
  </si>
  <si>
    <t>Ilfracombe</t>
  </si>
  <si>
    <t>GBIMM</t>
  </si>
  <si>
    <t>Immingham</t>
  </si>
  <si>
    <t>GBICH</t>
  </si>
  <si>
    <t>Inchture</t>
  </si>
  <si>
    <t>GBIGT</t>
  </si>
  <si>
    <t>Ingatestone</t>
  </si>
  <si>
    <t>GBIGM</t>
  </si>
  <si>
    <t>Ingoldmells</t>
  </si>
  <si>
    <t>GBINS</t>
  </si>
  <si>
    <t>Instow</t>
  </si>
  <si>
    <t>GBIAY</t>
  </si>
  <si>
    <t>Inverallochy</t>
  </si>
  <si>
    <t>GBIVR</t>
  </si>
  <si>
    <t>Inveraray</t>
  </si>
  <si>
    <t>GBIVG</t>
  </si>
  <si>
    <t>Invergordon</t>
  </si>
  <si>
    <t>GBINR</t>
  </si>
  <si>
    <t>Inverie</t>
  </si>
  <si>
    <t>GBINK</t>
  </si>
  <si>
    <t>Inverkeithing</t>
  </si>
  <si>
    <t>GBIVK</t>
  </si>
  <si>
    <t>Inverkip</t>
  </si>
  <si>
    <t>GBINV</t>
  </si>
  <si>
    <t>Inverness</t>
  </si>
  <si>
    <t>GBIPS</t>
  </si>
  <si>
    <t>GBIRB</t>
  </si>
  <si>
    <t>Irby</t>
  </si>
  <si>
    <t>GBIRV</t>
  </si>
  <si>
    <t>GBIMG</t>
  </si>
  <si>
    <t>Islandmagee</t>
  </si>
  <si>
    <t>GBISY</t>
  </si>
  <si>
    <t>Islay</t>
  </si>
  <si>
    <t>GBIOG</t>
  </si>
  <si>
    <t>Isle of Grain</t>
  </si>
  <si>
    <t>GBIOS</t>
  </si>
  <si>
    <t>Isle of Sheppey</t>
  </si>
  <si>
    <t>GBWHH</t>
  </si>
  <si>
    <t>Isle of Whithorn</t>
  </si>
  <si>
    <t>GBITC</t>
  </si>
  <si>
    <t>Itchenor</t>
  </si>
  <si>
    <t>GBJAR</t>
  </si>
  <si>
    <t>Jarrow</t>
  </si>
  <si>
    <t>GBJOG</t>
  </si>
  <si>
    <t>John O'Groats</t>
  </si>
  <si>
    <t>GBJHV</t>
  </si>
  <si>
    <t>Johnshaven</t>
  </si>
  <si>
    <t>GBJTB</t>
  </si>
  <si>
    <t>Johnstonebridge</t>
  </si>
  <si>
    <t>GBJUR</t>
  </si>
  <si>
    <t>Jura</t>
  </si>
  <si>
    <t>GBKAL</t>
  </si>
  <si>
    <t>Kallin (Ceallan), Isle of Grimsay</t>
  </si>
  <si>
    <t>GBKEA</t>
  </si>
  <si>
    <t>Keadby</t>
  </si>
  <si>
    <t>GBKEI</t>
  </si>
  <si>
    <t>Keighley</t>
  </si>
  <si>
    <t>GBKES</t>
  </si>
  <si>
    <t>Keiss</t>
  </si>
  <si>
    <t>GBKMI</t>
  </si>
  <si>
    <t>Kemsing</t>
  </si>
  <si>
    <t>GBKCG</t>
  </si>
  <si>
    <t>Kennacraig</t>
  </si>
  <si>
    <t>GBKTT</t>
  </si>
  <si>
    <t>Ketteringham</t>
  </si>
  <si>
    <t>GBKET</t>
  </si>
  <si>
    <t>Kettletoft, Sanday</t>
  </si>
  <si>
    <t>GBKEV</t>
  </si>
  <si>
    <t>Keyhaven</t>
  </si>
  <si>
    <t>GBKOA</t>
  </si>
  <si>
    <t>Kilchoan</t>
  </si>
  <si>
    <t>GBKIC</t>
  </si>
  <si>
    <t>Kilcreggan</t>
  </si>
  <si>
    <t>GBKLY</t>
  </si>
  <si>
    <t>Kilgetty</t>
  </si>
  <si>
    <t>GBKLK</t>
  </si>
  <si>
    <t>Kilkeel</t>
  </si>
  <si>
    <t>GBKGH</t>
  </si>
  <si>
    <t>Killingholme</t>
  </si>
  <si>
    <t>GBKIO</t>
  </si>
  <si>
    <t>Killough</t>
  </si>
  <si>
    <t>GBKPS</t>
  </si>
  <si>
    <t>Killroot Power Station Jetty</t>
  </si>
  <si>
    <t>GBKYH</t>
  </si>
  <si>
    <t>Killyleagh</t>
  </si>
  <si>
    <t>GBKLR</t>
  </si>
  <si>
    <t>Kilroot</t>
  </si>
  <si>
    <t>GBKIM</t>
  </si>
  <si>
    <t>Kimmeridge</t>
  </si>
  <si>
    <t>GBKDE</t>
  </si>
  <si>
    <t>Kincardine</t>
  </si>
  <si>
    <t>GBKHN</t>
  </si>
  <si>
    <t>Kinghorn</t>
  </si>
  <si>
    <t>GBKLN</t>
  </si>
  <si>
    <t>King's Lynn</t>
  </si>
  <si>
    <t>GBKIB</t>
  </si>
  <si>
    <t>Kingsbridge</t>
  </si>
  <si>
    <t>GBKNK</t>
  </si>
  <si>
    <t>Kingsnorth</t>
  </si>
  <si>
    <t>GBKWE</t>
  </si>
  <si>
    <t>Kingswear</t>
  </si>
  <si>
    <t>GBKOH</t>
  </si>
  <si>
    <t>Kinloch, Rum</t>
  </si>
  <si>
    <t>GBKBE</t>
  </si>
  <si>
    <t>Kinlochbervie</t>
  </si>
  <si>
    <t>GBKNC</t>
  </si>
  <si>
    <t>Kinlochleven</t>
  </si>
  <si>
    <t>GBKIP</t>
  </si>
  <si>
    <t>Kippford</t>
  </si>
  <si>
    <t>GBKCN</t>
  </si>
  <si>
    <t>Kircubbin</t>
  </si>
  <si>
    <t>GBKKL</t>
  </si>
  <si>
    <t>Kirkby Lonsdale</t>
  </si>
  <si>
    <t>GBKKD</t>
  </si>
  <si>
    <t>Kirkcaldy</t>
  </si>
  <si>
    <t>GBKKN</t>
  </si>
  <si>
    <t>Kirkconnel</t>
  </si>
  <si>
    <t>GBKBT</t>
  </si>
  <si>
    <t>Kirkcudbright</t>
  </si>
  <si>
    <t>GBKIH</t>
  </si>
  <si>
    <t>Kirkham</t>
  </si>
  <si>
    <t>GBKKH</t>
  </si>
  <si>
    <t>Kirkheaton</t>
  </si>
  <si>
    <t>GBKWL</t>
  </si>
  <si>
    <t>Kirkwall</t>
  </si>
  <si>
    <t>GBKRM</t>
  </si>
  <si>
    <t>Kirtomy</t>
  </si>
  <si>
    <t>GBKIS</t>
  </si>
  <si>
    <t>Kishorn</t>
  </si>
  <si>
    <t>GBKSF</t>
  </si>
  <si>
    <t>Knutsford</t>
  </si>
  <si>
    <t>GBKYL</t>
  </si>
  <si>
    <t>Kyle of Lochalsh</t>
  </si>
  <si>
    <t>GBKYN</t>
  </si>
  <si>
    <t>Kyleakin</t>
  </si>
  <si>
    <t>GBKYE</t>
  </si>
  <si>
    <t>Kyles of Bute</t>
  </si>
  <si>
    <t>GBKYU</t>
  </si>
  <si>
    <t>Kylesku</t>
  </si>
  <si>
    <t>GBLDC</t>
  </si>
  <si>
    <t>Ladock</t>
  </si>
  <si>
    <t>GBLRG</t>
  </si>
  <si>
    <t>Lairg</t>
  </si>
  <si>
    <t>GBLBH</t>
  </si>
  <si>
    <t>Lamb Head</t>
  </si>
  <si>
    <t>GBLAH</t>
  </si>
  <si>
    <t>Lamlash</t>
  </si>
  <si>
    <t>GBLAN</t>
  </si>
  <si>
    <t>Lancaster</t>
  </si>
  <si>
    <t>GBLAO</t>
  </si>
  <si>
    <t>Landore</t>
  </si>
  <si>
    <t>GBLEQ</t>
  </si>
  <si>
    <t>Land's End</t>
  </si>
  <si>
    <t>GBLSH</t>
  </si>
  <si>
    <t>Langstone</t>
  </si>
  <si>
    <t>GBLGO</t>
  </si>
  <si>
    <t>Largo</t>
  </si>
  <si>
    <t>GBLGS</t>
  </si>
  <si>
    <t>Largs</t>
  </si>
  <si>
    <t>GBLAR</t>
  </si>
  <si>
    <t>Larne</t>
  </si>
  <si>
    <t>GBLWL</t>
  </si>
  <si>
    <t>Latheronwheel</t>
  </si>
  <si>
    <t>GBLAV</t>
  </si>
  <si>
    <t>Lavenham</t>
  </si>
  <si>
    <t>GBLAX</t>
  </si>
  <si>
    <t>Laxo</t>
  </si>
  <si>
    <t>GBLDA</t>
  </si>
  <si>
    <t>Leadon</t>
  </si>
  <si>
    <t>GBLBA</t>
  </si>
  <si>
    <t>Leeds</t>
  </si>
  <si>
    <t>GBLCS</t>
  </si>
  <si>
    <t>Leicester</t>
  </si>
  <si>
    <t>GBLOS</t>
  </si>
  <si>
    <t>Leigh-on-Sea</t>
  </si>
  <si>
    <t>GBIRE</t>
  </si>
  <si>
    <t>Leire</t>
  </si>
  <si>
    <t>GBLEI</t>
  </si>
  <si>
    <t>Leith</t>
  </si>
  <si>
    <t>GBLER</t>
  </si>
  <si>
    <t>Lerwick</t>
  </si>
  <si>
    <t>GBLVK</t>
  </si>
  <si>
    <t>Levenwick</t>
  </si>
  <si>
    <t>GBLVR</t>
  </si>
  <si>
    <t>Leverburgh, Harris</t>
  </si>
  <si>
    <t>GBLYL</t>
  </si>
  <si>
    <t>Leyland</t>
  </si>
  <si>
    <t>GBLMK</t>
  </si>
  <si>
    <t>Limekilns</t>
  </si>
  <si>
    <t>GBLCN</t>
  </si>
  <si>
    <t>Lincoln</t>
  </si>
  <si>
    <t>GBLSM</t>
  </si>
  <si>
    <t>Lismore Island</t>
  </si>
  <si>
    <t>GBLHV</t>
  </si>
  <si>
    <t>Little Haven</t>
  </si>
  <si>
    <t>GBLHT</t>
  </si>
  <si>
    <t>Little Hulton</t>
  </si>
  <si>
    <t>GBLOK</t>
  </si>
  <si>
    <t>Little Oakley</t>
  </si>
  <si>
    <t>GBLLU</t>
  </si>
  <si>
    <t>Littlebourne</t>
  </si>
  <si>
    <t>GBLTL</t>
  </si>
  <si>
    <t>Littlebrook</t>
  </si>
  <si>
    <t>GBLIT</t>
  </si>
  <si>
    <t>Littlehampton</t>
  </si>
  <si>
    <t>GBLIV</t>
  </si>
  <si>
    <t>GBLIB</t>
  </si>
  <si>
    <t>Liverpool Bay Terminal</t>
  </si>
  <si>
    <t>GBLAB</t>
  </si>
  <si>
    <t>Llanaber</t>
  </si>
  <si>
    <t>GBLLD</t>
  </si>
  <si>
    <t>Llanddulas</t>
  </si>
  <si>
    <t>GBLDV</t>
  </si>
  <si>
    <t>Llandovery</t>
  </si>
  <si>
    <t>GBLND</t>
  </si>
  <si>
    <t>Llandow</t>
  </si>
  <si>
    <t>GBLDO</t>
  </si>
  <si>
    <t>Llandudno</t>
  </si>
  <si>
    <t>GBLLN</t>
  </si>
  <si>
    <t>Llanelli</t>
  </si>
  <si>
    <t>GBLNG</t>
  </si>
  <si>
    <t>Llangadog</t>
  </si>
  <si>
    <t>GBLNL</t>
  </si>
  <si>
    <t>Llangollen</t>
  </si>
  <si>
    <t>GBLLZ</t>
  </si>
  <si>
    <t>Llanidloes</t>
  </si>
  <si>
    <t>GBLLO</t>
  </si>
  <si>
    <t>Llanon</t>
  </si>
  <si>
    <t>GBLMT</t>
  </si>
  <si>
    <t>Llansamlet</t>
  </si>
  <si>
    <t>GBLFF</t>
  </si>
  <si>
    <t>Llansteffan</t>
  </si>
  <si>
    <t>GBLLS</t>
  </si>
  <si>
    <t>Llanstephan</t>
  </si>
  <si>
    <t>GBLBE</t>
  </si>
  <si>
    <t>Loch Buie (Mull)</t>
  </si>
  <si>
    <t>GBLCC</t>
  </si>
  <si>
    <t>Loch Carnan</t>
  </si>
  <si>
    <t>GBLCG</t>
  </si>
  <si>
    <t>Loch Long</t>
  </si>
  <si>
    <t>GBLRP</t>
  </si>
  <si>
    <t>Loch Ryan Pt</t>
  </si>
  <si>
    <t>GBLSC</t>
  </si>
  <si>
    <t>Loch Scridain (Isle Mull)</t>
  </si>
  <si>
    <t>GBLHS</t>
  </si>
  <si>
    <t>Loch Striven</t>
  </si>
  <si>
    <t>GBLCD</t>
  </si>
  <si>
    <t>Loch Torridon</t>
  </si>
  <si>
    <t>GBLOL</t>
  </si>
  <si>
    <t>Lochaline</t>
  </si>
  <si>
    <t>GBLCA</t>
  </si>
  <si>
    <t>Lochawe</t>
  </si>
  <si>
    <t>GBLBD</t>
  </si>
  <si>
    <t>Lochboisdale (Loch Baghasdail), South Uist</t>
  </si>
  <si>
    <t>GBLCR</t>
  </si>
  <si>
    <t>Lochcarron</t>
  </si>
  <si>
    <t>GBLNA</t>
  </si>
  <si>
    <t>Lochearnhead</t>
  </si>
  <si>
    <t>GBLOV</t>
  </si>
  <si>
    <t>Lochinver</t>
  </si>
  <si>
    <t>GBLMA</t>
  </si>
  <si>
    <t>Lochmaddy</t>
  </si>
  <si>
    <t>GBLRZ</t>
  </si>
  <si>
    <t>Lochranza, Isle of Arran</t>
  </si>
  <si>
    <t>GBOCH</t>
  </si>
  <si>
    <t>Lochs</t>
  </si>
  <si>
    <t>GBLOZ</t>
  </si>
  <si>
    <t>Lode</t>
  </si>
  <si>
    <t>GBLON</t>
  </si>
  <si>
    <t>London</t>
  </si>
  <si>
    <t>GBLGP</t>
  </si>
  <si>
    <t>London Gateway Port</t>
  </si>
  <si>
    <t>GBLTP</t>
  </si>
  <si>
    <t>London Thamesport</t>
  </si>
  <si>
    <t>GBLDY</t>
  </si>
  <si>
    <t>Londonderry</t>
  </si>
  <si>
    <t>GBLEA</t>
  </si>
  <si>
    <t>Long Eaton</t>
  </si>
  <si>
    <t>GBLHP</t>
  </si>
  <si>
    <t>Longhope</t>
  </si>
  <si>
    <t>GBLHO</t>
  </si>
  <si>
    <t>Longhope, Hoy</t>
  </si>
  <si>
    <t>GBAQW</t>
  </si>
  <si>
    <t>Longsight</t>
  </si>
  <si>
    <t>GBLOE</t>
  </si>
  <si>
    <t>Looe</t>
  </si>
  <si>
    <t>GBLSS</t>
  </si>
  <si>
    <t>Lossiemouth</t>
  </si>
  <si>
    <t>GBLTS</t>
  </si>
  <si>
    <t>Loth, Sanday</t>
  </si>
  <si>
    <t>GBLOU</t>
  </si>
  <si>
    <t>Loughborough</t>
  </si>
  <si>
    <t>GBLOW</t>
  </si>
  <si>
    <t>Lowestoft</t>
  </si>
  <si>
    <t>GBLXY</t>
  </si>
  <si>
    <t>Loxley</t>
  </si>
  <si>
    <t>GBLUG</t>
  </si>
  <si>
    <t>Lugton</t>
  </si>
  <si>
    <t>GBLL3</t>
  </si>
  <si>
    <t>Lullington</t>
  </si>
  <si>
    <t>GBLUL</t>
  </si>
  <si>
    <t>Lulworth Camp</t>
  </si>
  <si>
    <t>GBLWC</t>
  </si>
  <si>
    <t>Lulworth Cove</t>
  </si>
  <si>
    <t>GBLXG</t>
  </si>
  <si>
    <t>Luxborough</t>
  </si>
  <si>
    <t>GBLUX</t>
  </si>
  <si>
    <t>Luxulyan</t>
  </si>
  <si>
    <t>GBLYB</t>
  </si>
  <si>
    <t>Lybster</t>
  </si>
  <si>
    <t>GBYOS</t>
  </si>
  <si>
    <t>Lydd on Sea</t>
  </si>
  <si>
    <t>GBLYD</t>
  </si>
  <si>
    <t>Lydney</t>
  </si>
  <si>
    <t>GBLYR</t>
  </si>
  <si>
    <t>Lyme Regis</t>
  </si>
  <si>
    <t>GBLYM</t>
  </si>
  <si>
    <t>Lymington</t>
  </si>
  <si>
    <t>GBLYS</t>
  </si>
  <si>
    <t>Lyness</t>
  </si>
  <si>
    <t>GBLNM</t>
  </si>
  <si>
    <t>Lynmouth</t>
  </si>
  <si>
    <t>GBLYT</t>
  </si>
  <si>
    <t>Lynton</t>
  </si>
  <si>
    <t>GBLCM</t>
  </si>
  <si>
    <t>Lytchett Minster</t>
  </si>
  <si>
    <t>GBMTP</t>
  </si>
  <si>
    <t>Mablethorpe</t>
  </si>
  <si>
    <t>GBMCL</t>
  </si>
  <si>
    <t>Macclesfield</t>
  </si>
  <si>
    <t>GBMCD</t>
  </si>
  <si>
    <t>Macduff</t>
  </si>
  <si>
    <t>GBMYW</t>
  </si>
  <si>
    <t>Maesycwmmer</t>
  </si>
  <si>
    <t>GBMGH</t>
  </si>
  <si>
    <t>Maghera</t>
  </si>
  <si>
    <t>GBMGO</t>
  </si>
  <si>
    <t>Magheramorne</t>
  </si>
  <si>
    <t>GBMGP</t>
  </si>
  <si>
    <t>Magilligan Point Ferry Terminal, Lough Foyle</t>
  </si>
  <si>
    <t>GBMAI</t>
  </si>
  <si>
    <t>Maidens</t>
  </si>
  <si>
    <t>GBMSD</t>
  </si>
  <si>
    <t>Maitresse Island</t>
  </si>
  <si>
    <t>GBMAL</t>
  </si>
  <si>
    <t>Maldon</t>
  </si>
  <si>
    <t>GBMLG</t>
  </si>
  <si>
    <t>Mallaig</t>
  </si>
  <si>
    <t>GBMNC</t>
  </si>
  <si>
    <t>Manchester</t>
  </si>
  <si>
    <t>GBMSC</t>
  </si>
  <si>
    <t>Manchester Ship Canal, Salford</t>
  </si>
  <si>
    <t>GBMAW</t>
  </si>
  <si>
    <t>Marchwood</t>
  </si>
  <si>
    <t>GBMGT</t>
  </si>
  <si>
    <t>Margate</t>
  </si>
  <si>
    <t>GBMBT</t>
  </si>
  <si>
    <t>Market Bosworth</t>
  </si>
  <si>
    <t>GBMHT</t>
  </si>
  <si>
    <t>Martlesham Heath</t>
  </si>
  <si>
    <t>GBMRB</t>
  </si>
  <si>
    <t>Maryfield, Bressay</t>
  </si>
  <si>
    <t>GBMRY</t>
  </si>
  <si>
    <t>Maryport</t>
  </si>
  <si>
    <t>GBMYS</t>
  </si>
  <si>
    <t>Maylandsea</t>
  </si>
  <si>
    <t>GBMES</t>
  </si>
  <si>
    <t>Medstead</t>
  </si>
  <si>
    <t>GBMFY</t>
  </si>
  <si>
    <t>Meikle Ferry</t>
  </si>
  <si>
    <t>GBMML</t>
  </si>
  <si>
    <t>Melmerby</t>
  </si>
  <si>
    <t>GBMEB</t>
  </si>
  <si>
    <t>Menai Bridge</t>
  </si>
  <si>
    <t>GBMHJ</t>
  </si>
  <si>
    <t>Meppershall</t>
  </si>
  <si>
    <t>GBMTH</t>
  </si>
  <si>
    <t>Methil</t>
  </si>
  <si>
    <t>GBMVG</t>
  </si>
  <si>
    <t>Mevagissey</t>
  </si>
  <si>
    <t>GBRGN</t>
  </si>
  <si>
    <t>Mid Glamorgan</t>
  </si>
  <si>
    <t>GBMYE</t>
  </si>
  <si>
    <t>Mid Yell</t>
  </si>
  <si>
    <t>GBMDL</t>
  </si>
  <si>
    <t>Middleham</t>
  </si>
  <si>
    <t>GBMID</t>
  </si>
  <si>
    <t>Middlesbrough</t>
  </si>
  <si>
    <t>GBMDW</t>
  </si>
  <si>
    <t>Middlewich</t>
  </si>
  <si>
    <t>GBMLF</t>
  </si>
  <si>
    <t>Milford Haven</t>
  </si>
  <si>
    <t>GBMFS</t>
  </si>
  <si>
    <t>Milford-on-Sea</t>
  </si>
  <si>
    <t>GBMLM</t>
  </si>
  <si>
    <t>Millom</t>
  </si>
  <si>
    <t>GBMLP</t>
  </si>
  <si>
    <t>Millport, Great Cumbrae</t>
  </si>
  <si>
    <t>GBMHD</t>
  </si>
  <si>
    <t>Minehead</t>
  </si>
  <si>
    <t>GBM89</t>
  </si>
  <si>
    <t>Miserden</t>
  </si>
  <si>
    <t>GBMIS</t>
  </si>
  <si>
    <t>Mistley</t>
  </si>
  <si>
    <t>GBMNS</t>
  </si>
  <si>
    <t>Moaness, Hoy</t>
  </si>
  <si>
    <t>GBMRR</t>
  </si>
  <si>
    <t>Moelfre Roads</t>
  </si>
  <si>
    <t>GBMON</t>
  </si>
  <si>
    <t>Montrose</t>
  </si>
  <si>
    <t>GBMVC</t>
  </si>
  <si>
    <t>Moreton Valence</t>
  </si>
  <si>
    <t>GBMFN</t>
  </si>
  <si>
    <t>Morfa Nefyn</t>
  </si>
  <si>
    <t>GBMRS</t>
  </si>
  <si>
    <t>Morston</t>
  </si>
  <si>
    <t>GBMMR</t>
  </si>
  <si>
    <t>Mossmoran</t>
  </si>
  <si>
    <t>GBCHE</t>
  </si>
  <si>
    <t>Mostyn</t>
  </si>
  <si>
    <t>GBMSH</t>
  </si>
  <si>
    <t>Mousehole</t>
  </si>
  <si>
    <t>GBMUA</t>
  </si>
  <si>
    <t>Muasdale</t>
  </si>
  <si>
    <t>GBMLI</t>
  </si>
  <si>
    <t>Mullion</t>
  </si>
  <si>
    <t>GBMYL</t>
  </si>
  <si>
    <t>Mylor</t>
  </si>
  <si>
    <t>GBNAI</t>
  </si>
  <si>
    <t>Nairn</t>
  </si>
  <si>
    <t>GBNTW</t>
  </si>
  <si>
    <t>Nantwich</t>
  </si>
  <si>
    <t>GBNEH</t>
  </si>
  <si>
    <t>Neap House</t>
  </si>
  <si>
    <t>GBNEA</t>
  </si>
  <si>
    <t>Neath</t>
  </si>
  <si>
    <t>GBNEF</t>
  </si>
  <si>
    <t>Nefyn</t>
  </si>
  <si>
    <t>GBNSN</t>
  </si>
  <si>
    <t>Neilston</t>
  </si>
  <si>
    <t>GBNLN</t>
  </si>
  <si>
    <t>GBNSA</t>
  </si>
  <si>
    <t>Ness</t>
  </si>
  <si>
    <t>GBNBI</t>
  </si>
  <si>
    <t>Nethy Bridge</t>
  </si>
  <si>
    <t>GBNHO</t>
  </si>
  <si>
    <t>New Holland</t>
  </si>
  <si>
    <t>GBNWK</t>
  </si>
  <si>
    <t>Newark</t>
  </si>
  <si>
    <t>GBNGI</t>
  </si>
  <si>
    <t>Newbiggin</t>
  </si>
  <si>
    <t>GBNBC</t>
  </si>
  <si>
    <t>Newbiggin by the Sea</t>
  </si>
  <si>
    <t>GBNBU</t>
  </si>
  <si>
    <t>Newburgh</t>
  </si>
  <si>
    <t>GBNCS</t>
  </si>
  <si>
    <t>GBNCY</t>
  </si>
  <si>
    <t>Newcastle Emlyn</t>
  </si>
  <si>
    <t>GBNCL</t>
  </si>
  <si>
    <t>Newcastle upon Tyne</t>
  </si>
  <si>
    <t>GBNHV</t>
  </si>
  <si>
    <t>Newhaven</t>
  </si>
  <si>
    <t>GBNWF</t>
  </si>
  <si>
    <t>Newhaven/Edinburgh</t>
  </si>
  <si>
    <t>GBNYL</t>
  </si>
  <si>
    <t>Newlyn</t>
  </si>
  <si>
    <t>GBNPT</t>
  </si>
  <si>
    <t>Newport</t>
  </si>
  <si>
    <t>GBNPO</t>
  </si>
  <si>
    <t>GBNRY</t>
  </si>
  <si>
    <t>Newry</t>
  </si>
  <si>
    <t>GBNBS</t>
  </si>
  <si>
    <t>Newton by the Sea</t>
  </si>
  <si>
    <t>GBNTF</t>
  </si>
  <si>
    <t>Newton Ferrers</t>
  </si>
  <si>
    <t>GBNWN</t>
  </si>
  <si>
    <t>GBNYD</t>
  </si>
  <si>
    <t>Neyland</t>
  </si>
  <si>
    <t>GBNGG</t>
  </si>
  <si>
    <t>Nigg</t>
  </si>
  <si>
    <t>GBNMY</t>
  </si>
  <si>
    <t>Normans Bay</t>
  </si>
  <si>
    <t>GBNNR</t>
  </si>
  <si>
    <t>Normanton le Heath</t>
  </si>
  <si>
    <t>GBNBW</t>
  </si>
  <si>
    <t>North Berwick</t>
  </si>
  <si>
    <t>GBNHC</t>
  </si>
  <si>
    <t>North Cove</t>
  </si>
  <si>
    <t>GBNRF</t>
  </si>
  <si>
    <t>North Ferriby</t>
  </si>
  <si>
    <t>GBNFC</t>
  </si>
  <si>
    <t>North Finchley</t>
  </si>
  <si>
    <t>GBNHS</t>
  </si>
  <si>
    <t>North Harris</t>
  </si>
  <si>
    <t>GBNOH</t>
  </si>
  <si>
    <t>North Haven, Fair Isle</t>
  </si>
  <si>
    <t>GBNTL</t>
  </si>
  <si>
    <t>North Lochs</t>
  </si>
  <si>
    <t>GBNMT</t>
  </si>
  <si>
    <t>North Marston</t>
  </si>
  <si>
    <t>GBNOQ</t>
  </si>
  <si>
    <t>North Queensferry</t>
  </si>
  <si>
    <t>GBNRR</t>
  </si>
  <si>
    <t>North Roe to Hillswick</t>
  </si>
  <si>
    <t>GBNRO</t>
  </si>
  <si>
    <t>North Ronaldsay</t>
  </si>
  <si>
    <t>GBNSH</t>
  </si>
  <si>
    <t>North Shields</t>
  </si>
  <si>
    <t>GBNSD</t>
  </si>
  <si>
    <t>North Sunderland</t>
  </si>
  <si>
    <t>GBNTZ</t>
  </si>
  <si>
    <t>North Tawton</t>
  </si>
  <si>
    <t>GBNUI</t>
  </si>
  <si>
    <t>North Uist</t>
  </si>
  <si>
    <t>GBNRM</t>
  </si>
  <si>
    <t>North Walsham</t>
  </si>
  <si>
    <t>GBWOL</t>
  </si>
  <si>
    <t>North Woolwich</t>
  </si>
  <si>
    <t>GBNRB</t>
  </si>
  <si>
    <t>Northbay</t>
  </si>
  <si>
    <t>GBNFT</t>
  </si>
  <si>
    <t>Northfleet</t>
  </si>
  <si>
    <t>GBNME</t>
  </si>
  <si>
    <t>Northmavine</t>
  </si>
  <si>
    <t>GBNTH</t>
  </si>
  <si>
    <t>Northwich</t>
  </si>
  <si>
    <t>GBNOT</t>
  </si>
  <si>
    <t>Norton</t>
  </si>
  <si>
    <t>GB7TR</t>
  </si>
  <si>
    <t>GBNCN</t>
  </si>
  <si>
    <t>Norton Canes</t>
  </si>
  <si>
    <t>GBNRW</t>
  </si>
  <si>
    <t>Norwich</t>
  </si>
  <si>
    <t>GBNTG</t>
  </si>
  <si>
    <t>Nottingham</t>
  </si>
  <si>
    <t>GBOAK</t>
  </si>
  <si>
    <t>Oakhamness</t>
  </si>
  <si>
    <t>GBOBA</t>
  </si>
  <si>
    <t>Oban</t>
  </si>
  <si>
    <t>GBODD</t>
  </si>
  <si>
    <t>Oddsta, Fetlar</t>
  </si>
  <si>
    <t>GBODL</t>
  </si>
  <si>
    <t>Old Dalby</t>
  </si>
  <si>
    <t>GBODO</t>
  </si>
  <si>
    <t>Old Dornie</t>
  </si>
  <si>
    <t>GBOKK</t>
  </si>
  <si>
    <t>Old Kilpatrick</t>
  </si>
  <si>
    <t>GBODH</t>
  </si>
  <si>
    <t>Oldham</t>
  </si>
  <si>
    <t>GBORH</t>
  </si>
  <si>
    <t>Orford</t>
  </si>
  <si>
    <t>GBORK</t>
  </si>
  <si>
    <t>Orkney</t>
  </si>
  <si>
    <t>GBOWW</t>
  </si>
  <si>
    <t>Oswaldtwistle</t>
  </si>
  <si>
    <t>GBOTR</t>
  </si>
  <si>
    <t>Otternish, North Uist</t>
  </si>
  <si>
    <t>GBOBR</t>
  </si>
  <si>
    <t>Oulton Broad</t>
  </si>
  <si>
    <t>GBPAT</t>
  </si>
  <si>
    <t>GBPAD</t>
  </si>
  <si>
    <t>GBPAG</t>
  </si>
  <si>
    <t>Paglesham</t>
  </si>
  <si>
    <t>GBPAL</t>
  </si>
  <si>
    <t>Palnackie</t>
  </si>
  <si>
    <t>GBPPW</t>
  </si>
  <si>
    <t>Papa Westray</t>
  </si>
  <si>
    <t>GBPAR</t>
  </si>
  <si>
    <t>Par</t>
  </si>
  <si>
    <t>GBPST</t>
  </si>
  <si>
    <t>Parkeston Quay</t>
  </si>
  <si>
    <t>GBPTT</t>
  </si>
  <si>
    <t>Partington</t>
  </si>
  <si>
    <t>GBPNA</t>
  </si>
  <si>
    <t>Patna</t>
  </si>
  <si>
    <t>GBPHV</t>
  </si>
  <si>
    <t>Peacehaven</t>
  </si>
  <si>
    <t>GBPMY</t>
  </si>
  <si>
    <t>Pembrey</t>
  </si>
  <si>
    <t>GBPBD</t>
  </si>
  <si>
    <t>Pembridge</t>
  </si>
  <si>
    <t>GBPEM</t>
  </si>
  <si>
    <t>Pembroke</t>
  </si>
  <si>
    <t>GBPED</t>
  </si>
  <si>
    <t>Pembroke Dock</t>
  </si>
  <si>
    <t>GBPNH</t>
  </si>
  <si>
    <t>Penarth</t>
  </si>
  <si>
    <t>GBPNB</t>
  </si>
  <si>
    <t>Penberth</t>
  </si>
  <si>
    <t>GBPDD</t>
  </si>
  <si>
    <t>Pen-Clawdd</t>
  </si>
  <si>
    <t>GBPNE</t>
  </si>
  <si>
    <t>Pendeen</t>
  </si>
  <si>
    <t>GBPKD</t>
  </si>
  <si>
    <t>Penkridge</t>
  </si>
  <si>
    <t>GBPMM</t>
  </si>
  <si>
    <t>Penmaenmawr</t>
  </si>
  <si>
    <t>GBENN</t>
  </si>
  <si>
    <t>Pennan</t>
  </si>
  <si>
    <t>GBPRY</t>
  </si>
  <si>
    <t>Penryn</t>
  </si>
  <si>
    <t>GBPAE</t>
  </si>
  <si>
    <t>Pentraeth</t>
  </si>
  <si>
    <t>GBPEN</t>
  </si>
  <si>
    <t>Penzance</t>
  </si>
  <si>
    <t>GBPER</t>
  </si>
  <si>
    <t>GBPHD</t>
  </si>
  <si>
    <t>Peterhead</t>
  </si>
  <si>
    <t>GBPTC</t>
  </si>
  <si>
    <t>Pettycur</t>
  </si>
  <si>
    <t>GBPKR</t>
  </si>
  <si>
    <t>Pickering</t>
  </si>
  <si>
    <t>GBPIE</t>
  </si>
  <si>
    <t>Pierowall, Westray</t>
  </si>
  <si>
    <t>GBPPG</t>
  </si>
  <si>
    <t>Pipe Gate</t>
  </si>
  <si>
    <t>GBPI7</t>
  </si>
  <si>
    <t>Pitney</t>
  </si>
  <si>
    <t>GBPWM</t>
  </si>
  <si>
    <t>Pittenweem</t>
  </si>
  <si>
    <t>GBPLO</t>
  </si>
  <si>
    <t>Plockton</t>
  </si>
  <si>
    <t>GBPLY</t>
  </si>
  <si>
    <t>Plymouth</t>
  </si>
  <si>
    <t>GBPKL</t>
  </si>
  <si>
    <t>Pocklington</t>
  </si>
  <si>
    <t>GBPOI</t>
  </si>
  <si>
    <t>Point, Island of Lismore</t>
  </si>
  <si>
    <t>GBPLP</t>
  </si>
  <si>
    <t>Polperro</t>
  </si>
  <si>
    <t>GBPLR</t>
  </si>
  <si>
    <t>Polruan</t>
  </si>
  <si>
    <t>GBPDL</t>
  </si>
  <si>
    <t>Pontardulais</t>
  </si>
  <si>
    <t>GBPOO</t>
  </si>
  <si>
    <t>Poole</t>
  </si>
  <si>
    <t>GBPWE</t>
  </si>
  <si>
    <t>Poolewe</t>
  </si>
  <si>
    <t>GBPRZ</t>
  </si>
  <si>
    <t>Porlock</t>
  </si>
  <si>
    <t>GBPAP</t>
  </si>
  <si>
    <t>Port Appin</t>
  </si>
  <si>
    <t>GBPAK</t>
  </si>
  <si>
    <t>Port Askaig</t>
  </si>
  <si>
    <t>GBPOC</t>
  </si>
  <si>
    <t>Port Clarence</t>
  </si>
  <si>
    <t>GBPDI</t>
  </si>
  <si>
    <t>Port Dinorwic</t>
  </si>
  <si>
    <t>GBPEG</t>
  </si>
  <si>
    <t>Port Edgar</t>
  </si>
  <si>
    <t>GBPLN</t>
  </si>
  <si>
    <t>Port Ellen</t>
  </si>
  <si>
    <t>GBRTL</t>
  </si>
  <si>
    <t>Port Erroll</t>
  </si>
  <si>
    <t>GBPGV</t>
  </si>
  <si>
    <t>Port Gaverne</t>
  </si>
  <si>
    <t>GBPGG</t>
  </si>
  <si>
    <t>Port Glasgow</t>
  </si>
  <si>
    <t>GBPGD</t>
  </si>
  <si>
    <t>Port Gordon</t>
  </si>
  <si>
    <t>GBISA</t>
  </si>
  <si>
    <t>Port Isaac</t>
  </si>
  <si>
    <t>GBPOG</t>
  </si>
  <si>
    <t>Port Logan</t>
  </si>
  <si>
    <t>GBPMR</t>
  </si>
  <si>
    <t>Port Mor, Muck</t>
  </si>
  <si>
    <t>GBPPE</t>
  </si>
  <si>
    <t>Port Penrhyn</t>
  </si>
  <si>
    <t>GBPSM</t>
  </si>
  <si>
    <t>Port Saint Mary</t>
  </si>
  <si>
    <t>GBPSE</t>
  </si>
  <si>
    <t>Port Seton</t>
  </si>
  <si>
    <t>GBPSU</t>
  </si>
  <si>
    <t>Port Sunlight</t>
  </si>
  <si>
    <t>GBPTB</t>
  </si>
  <si>
    <t>Port Talbot</t>
  </si>
  <si>
    <t>GBPWI</t>
  </si>
  <si>
    <t>Port William</t>
  </si>
  <si>
    <t>GBPFY</t>
  </si>
  <si>
    <t>Portaferry</t>
  </si>
  <si>
    <t>GBPVD</t>
  </si>
  <si>
    <t>Portavadie</t>
  </si>
  <si>
    <t>GBPVG</t>
  </si>
  <si>
    <t>Portavogie</t>
  </si>
  <si>
    <t>GBPBA</t>
  </si>
  <si>
    <t>Portballintrae</t>
  </si>
  <si>
    <t>GBPRU</t>
  </si>
  <si>
    <t>Portbury</t>
  </si>
  <si>
    <t>GBPOR</t>
  </si>
  <si>
    <t>Porth</t>
  </si>
  <si>
    <t>GBPCO</t>
  </si>
  <si>
    <t>Porth Colmon</t>
  </si>
  <si>
    <t>GBPCW</t>
  </si>
  <si>
    <t>Porthcawl</t>
  </si>
  <si>
    <t>GBPGI</t>
  </si>
  <si>
    <t>Porthgain</t>
  </si>
  <si>
    <t>GBPTG</t>
  </si>
  <si>
    <t>Porthgwarra</t>
  </si>
  <si>
    <t>GBPLV</t>
  </si>
  <si>
    <t>Porthleven</t>
  </si>
  <si>
    <t>GBPTD</t>
  </si>
  <si>
    <t>Porthmadog</t>
  </si>
  <si>
    <t>GBPOH</t>
  </si>
  <si>
    <t>Porthoustock</t>
  </si>
  <si>
    <t>GBPRP</t>
  </si>
  <si>
    <t>Portincaple</t>
  </si>
  <si>
    <t>GBPTH</t>
  </si>
  <si>
    <t>Portishead</t>
  </si>
  <si>
    <t>GBPKN</t>
  </si>
  <si>
    <t>Portknockie</t>
  </si>
  <si>
    <t>GBPTL</t>
  </si>
  <si>
    <t>GBPRL</t>
  </si>
  <si>
    <t>Portloe</t>
  </si>
  <si>
    <t>GBPMD</t>
  </si>
  <si>
    <t>Portmadoc</t>
  </si>
  <si>
    <t>GBPMK</t>
  </si>
  <si>
    <t>Portmahomack</t>
  </si>
  <si>
    <t>GBPRN</t>
  </si>
  <si>
    <t>Portnaguran and Ness</t>
  </si>
  <si>
    <t>GBPNV</t>
  </si>
  <si>
    <t>Portnahaven</t>
  </si>
  <si>
    <t>GBPNG</t>
  </si>
  <si>
    <t>Portnalong</t>
  </si>
  <si>
    <t>GBPPK</t>
  </si>
  <si>
    <t>Portpatrick</t>
  </si>
  <si>
    <t>GBPRJ</t>
  </si>
  <si>
    <t>Portreath</t>
  </si>
  <si>
    <t>GBPRT</t>
  </si>
  <si>
    <t>Portree</t>
  </si>
  <si>
    <t>GBPTR</t>
  </si>
  <si>
    <t>Portrush</t>
  </si>
  <si>
    <t>GBPSC</t>
  </si>
  <si>
    <t>Portscatho</t>
  </si>
  <si>
    <t>GBPKA</t>
  </si>
  <si>
    <t>Portskerra</t>
  </si>
  <si>
    <t>GBPTS</t>
  </si>
  <si>
    <t>Portslade</t>
  </si>
  <si>
    <t>GBPME</t>
  </si>
  <si>
    <t>GBPSY</t>
  </si>
  <si>
    <t>Portsoy</t>
  </si>
  <si>
    <t>GBPSW</t>
  </si>
  <si>
    <t>Portstewart</t>
  </si>
  <si>
    <t>GBGL9</t>
  </si>
  <si>
    <t>Poulton</t>
  </si>
  <si>
    <t>GBOYL</t>
  </si>
  <si>
    <t>Poyle</t>
  </si>
  <si>
    <t>GBPBM</t>
  </si>
  <si>
    <t>Prenton/Birkenhead</t>
  </si>
  <si>
    <t>GBPRE</t>
  </si>
  <si>
    <t>Preston</t>
  </si>
  <si>
    <t>GBPFT</t>
  </si>
  <si>
    <t>Purfleet</t>
  </si>
  <si>
    <t>GBPWL</t>
  </si>
  <si>
    <t>Pwllheli</t>
  </si>
  <si>
    <t>GBQDL</t>
  </si>
  <si>
    <t>Quedgeley</t>
  </si>
  <si>
    <t>GBQUB</t>
  </si>
  <si>
    <t>Queenborough</t>
  </si>
  <si>
    <t>GBRMB</t>
  </si>
  <si>
    <t>Ramsbottom</t>
  </si>
  <si>
    <t>GBRSY</t>
  </si>
  <si>
    <t>Ramsey</t>
  </si>
  <si>
    <t>GBRMG</t>
  </si>
  <si>
    <t>Ramsgate</t>
  </si>
  <si>
    <t>GBRAP</t>
  </si>
  <si>
    <t>Rapness, Westray</t>
  </si>
  <si>
    <t>GBRGL</t>
  </si>
  <si>
    <t>Ravenglass</t>
  </si>
  <si>
    <t>GBRAV</t>
  </si>
  <si>
    <t>Ravensthorpe Dewsbury</t>
  </si>
  <si>
    <t>GBRBD</t>
  </si>
  <si>
    <t>Rawcliffe Bridge</t>
  </si>
  <si>
    <t>GBRDN</t>
  </si>
  <si>
    <t>Reading</t>
  </si>
  <si>
    <t>GBREA</t>
  </si>
  <si>
    <t>Reay</t>
  </si>
  <si>
    <t>GBRED</t>
  </si>
  <si>
    <t>Red Bay</t>
  </si>
  <si>
    <t>GBRER</t>
  </si>
  <si>
    <t>Redcar</t>
  </si>
  <si>
    <t>GBREB</t>
  </si>
  <si>
    <t>Redcliff Bay</t>
  </si>
  <si>
    <t>GBRDS</t>
  </si>
  <si>
    <t>Reddish</t>
  </si>
  <si>
    <t>GBREM</t>
  </si>
  <si>
    <t>Reedham</t>
  </si>
  <si>
    <t>GBRPH</t>
  </si>
  <si>
    <t>Reepham</t>
  </si>
  <si>
    <t>GBREJ</t>
  </si>
  <si>
    <t>Rejerrah</t>
  </si>
  <si>
    <t>GBREN</t>
  </si>
  <si>
    <t>Renfrew</t>
  </si>
  <si>
    <t>GBRYL</t>
  </si>
  <si>
    <t>Reynoldston</t>
  </si>
  <si>
    <t>GBRNE</t>
  </si>
  <si>
    <t>Rhosneigr</t>
  </si>
  <si>
    <t>GBRHS</t>
  </si>
  <si>
    <t>GBRHU</t>
  </si>
  <si>
    <t>Rhu</t>
  </si>
  <si>
    <t>GBRCB</t>
  </si>
  <si>
    <t>Rhu Coigach - Badluachrach</t>
  </si>
  <si>
    <t>GBRHB</t>
  </si>
  <si>
    <t>Rhubodach, Isle of Bute</t>
  </si>
  <si>
    <t>GBRHY</t>
  </si>
  <si>
    <t>Rhyl</t>
  </si>
  <si>
    <t>GBRIC</t>
  </si>
  <si>
    <t>Richborough</t>
  </si>
  <si>
    <t>GBRID</t>
  </si>
  <si>
    <t>Ridham Dock</t>
  </si>
  <si>
    <t>GBRRD</t>
  </si>
  <si>
    <t>River Dart</t>
  </si>
  <si>
    <t>GBRVF</t>
  </si>
  <si>
    <t>River Fowey</t>
  </si>
  <si>
    <t>GBRBB</t>
  </si>
  <si>
    <t>Robin Hoods Bay</t>
  </si>
  <si>
    <t>GBRCS</t>
  </si>
  <si>
    <t>Rochester</t>
  </si>
  <si>
    <t>GBRFD</t>
  </si>
  <si>
    <t>Rochford</t>
  </si>
  <si>
    <t>GBROC</t>
  </si>
  <si>
    <t>Rock</t>
  </si>
  <si>
    <t>GBRFR</t>
  </si>
  <si>
    <t>Rock Ferry</t>
  </si>
  <si>
    <t>GBRTY</t>
  </si>
  <si>
    <t>Rosehearty</t>
  </si>
  <si>
    <t>GBRME</t>
  </si>
  <si>
    <t>Rosemarkie</t>
  </si>
  <si>
    <t>GBRSH</t>
  </si>
  <si>
    <t>Rosneath</t>
  </si>
  <si>
    <t>GBRDA</t>
  </si>
  <si>
    <t>Rossendale</t>
  </si>
  <si>
    <t>GBROR</t>
  </si>
  <si>
    <t>Rostrevor</t>
  </si>
  <si>
    <t>GBROY</t>
  </si>
  <si>
    <t>Rosyth</t>
  </si>
  <si>
    <t>GBRTH</t>
  </si>
  <si>
    <t>Rotherham</t>
  </si>
  <si>
    <t>GBRAY</t>
  </si>
  <si>
    <t>Rothesay, Isle of Bute</t>
  </si>
  <si>
    <t>GBROU</t>
  </si>
  <si>
    <t>Rousay</t>
  </si>
  <si>
    <t>GBROW</t>
  </si>
  <si>
    <t>Rowhedge</t>
  </si>
  <si>
    <t>GBRUM</t>
  </si>
  <si>
    <t>Ruan Minor</t>
  </si>
  <si>
    <t>GBRDH</t>
  </si>
  <si>
    <t>Rudh Re - Red Point</t>
  </si>
  <si>
    <t>GBRUN</t>
  </si>
  <si>
    <t>Runcorn</t>
  </si>
  <si>
    <t>GBRYD</t>
  </si>
  <si>
    <t>Ryde</t>
  </si>
  <si>
    <t>GBRYE</t>
  </si>
  <si>
    <t>Rye</t>
  </si>
  <si>
    <t>GBABJ</t>
  </si>
  <si>
    <t>Saint Abbs</t>
  </si>
  <si>
    <t>GBSAG</t>
  </si>
  <si>
    <t>Saint Agnes</t>
  </si>
  <si>
    <t>GBSNW</t>
  </si>
  <si>
    <t>Saint Andrews</t>
  </si>
  <si>
    <t>GBTBR</t>
  </si>
  <si>
    <t>Saint Brelade</t>
  </si>
  <si>
    <t>GBCNP</t>
  </si>
  <si>
    <t>Saint Catherine's Point</t>
  </si>
  <si>
    <t>GBSZC</t>
  </si>
  <si>
    <t>Saint Clement</t>
  </si>
  <si>
    <t>GBSCM</t>
  </si>
  <si>
    <t>Saint Combs and Charleston</t>
  </si>
  <si>
    <t>GBSVS</t>
  </si>
  <si>
    <t>Saint David's</t>
  </si>
  <si>
    <t>GBTLE</t>
  </si>
  <si>
    <t>Saint Helens</t>
  </si>
  <si>
    <t>GBSHY</t>
  </si>
  <si>
    <t>GBSJU</t>
  </si>
  <si>
    <t>Saint Just</t>
  </si>
  <si>
    <t>GBSKV</t>
  </si>
  <si>
    <t>Saint Keverne</t>
  </si>
  <si>
    <t>GBLDS</t>
  </si>
  <si>
    <t>Saint Leonards-on-Sea</t>
  </si>
  <si>
    <t>GBSGP</t>
  </si>
  <si>
    <t>Saint Margaret's Hope</t>
  </si>
  <si>
    <t>GBSMH</t>
  </si>
  <si>
    <t>Saint Margaret's Hope, South Ronaldsay</t>
  </si>
  <si>
    <t>GBSQK</t>
  </si>
  <si>
    <t>Saint Martins</t>
  </si>
  <si>
    <t>GBSVZ</t>
  </si>
  <si>
    <t>Saint Mary's</t>
  </si>
  <si>
    <t>GBSMA</t>
  </si>
  <si>
    <t>Saint Marys Bay</t>
  </si>
  <si>
    <t>GBSMV</t>
  </si>
  <si>
    <t>Saint Mawes</t>
  </si>
  <si>
    <t>GBSMM</t>
  </si>
  <si>
    <t>Saint Michael's Mount</t>
  </si>
  <si>
    <t>GBSNV</t>
  </si>
  <si>
    <t>Saint Minver</t>
  </si>
  <si>
    <t>GBSMC</t>
  </si>
  <si>
    <t>Saint Monance (Saint Monans)</t>
  </si>
  <si>
    <t>GBUEN</t>
  </si>
  <si>
    <t>Saint Ouen</t>
  </si>
  <si>
    <t>GBPPO</t>
  </si>
  <si>
    <t>Saint Peter Port</t>
  </si>
  <si>
    <t>GBSTQ</t>
  </si>
  <si>
    <t>Saint Quivox</t>
  </si>
  <si>
    <t>GBSMP</t>
  </si>
  <si>
    <t>Saint Sampson (Golant)</t>
  </si>
  <si>
    <t>GBASA</t>
  </si>
  <si>
    <t>Saint-Anne's-on-Sea</t>
  </si>
  <si>
    <t>GBSCB</t>
  </si>
  <si>
    <t>Salcombe</t>
  </si>
  <si>
    <t>GBAEN</t>
  </si>
  <si>
    <t>Salen</t>
  </si>
  <si>
    <t>GBSFY</t>
  </si>
  <si>
    <t>Salford</t>
  </si>
  <si>
    <t>GBSED</t>
  </si>
  <si>
    <t>Salt End</t>
  </si>
  <si>
    <t>GBSLC</t>
  </si>
  <si>
    <t>Saltcoats</t>
  </si>
  <si>
    <t>GBSTH</t>
  </si>
  <si>
    <t>Salthouse</t>
  </si>
  <si>
    <t>GBSNJ</t>
  </si>
  <si>
    <t>Sand</t>
  </si>
  <si>
    <t>GBNDY</t>
  </si>
  <si>
    <t>Sanday</t>
  </si>
  <si>
    <t>GBSAD</t>
  </si>
  <si>
    <t>Sandford</t>
  </si>
  <si>
    <t>GBSPI</t>
  </si>
  <si>
    <t>Sandhaven and Pitullie</t>
  </si>
  <si>
    <t>GBSNK</t>
  </si>
  <si>
    <t>Sandness</t>
  </si>
  <si>
    <t>GBSDO</t>
  </si>
  <si>
    <t>Sandown</t>
  </si>
  <si>
    <t>GBSDS</t>
  </si>
  <si>
    <t>Sandside</t>
  </si>
  <si>
    <t>GBSDW</t>
  </si>
  <si>
    <t>Sandwich</t>
  </si>
  <si>
    <t>GBSWC</t>
  </si>
  <si>
    <t>Sandwick</t>
  </si>
  <si>
    <t>GBSRX</t>
  </si>
  <si>
    <t>Sark</t>
  </si>
  <si>
    <t>GBSAU</t>
  </si>
  <si>
    <t>Saundersfoot</t>
  </si>
  <si>
    <t>GBSCG</t>
  </si>
  <si>
    <t>Scalasaig, Colonsay</t>
  </si>
  <si>
    <t>GBSWY</t>
  </si>
  <si>
    <t>Scalloway</t>
  </si>
  <si>
    <t>GBSCC</t>
  </si>
  <si>
    <t>Scalpay, Outer Hebridies</t>
  </si>
  <si>
    <t>GBSCF</t>
  </si>
  <si>
    <t>Scapa</t>
  </si>
  <si>
    <t>GBSFW</t>
  </si>
  <si>
    <t>Scapa Flow</t>
  </si>
  <si>
    <t>GBSCA</t>
  </si>
  <si>
    <t>Scarborough</t>
  </si>
  <si>
    <t>GBSF5</t>
  </si>
  <si>
    <t>Scarcliffe</t>
  </si>
  <si>
    <t>GBSFK</t>
  </si>
  <si>
    <t>Scarfskerry</t>
  </si>
  <si>
    <t>GBSCN</t>
  </si>
  <si>
    <t>Scarinish, Tiree</t>
  </si>
  <si>
    <t>GBSCO</t>
  </si>
  <si>
    <t>Sconser, Isle of Skye</t>
  </si>
  <si>
    <t>GBRIE</t>
  </si>
  <si>
    <t>Scourie</t>
  </si>
  <si>
    <t>GBSCR</t>
  </si>
  <si>
    <t>Scrabster</t>
  </si>
  <si>
    <t>GBSCP</t>
  </si>
  <si>
    <t>Scunthorpe</t>
  </si>
  <si>
    <t>GBSFR</t>
  </si>
  <si>
    <t>Seaford</t>
  </si>
  <si>
    <t>GBSEF</t>
  </si>
  <si>
    <t>Seaforth</t>
  </si>
  <si>
    <t>GBSEA</t>
  </si>
  <si>
    <t>Seaham</t>
  </si>
  <si>
    <t>GBSHU</t>
  </si>
  <si>
    <t>Seahouses</t>
  </si>
  <si>
    <t>GBXSS</t>
  </si>
  <si>
    <t>Seal Sands</t>
  </si>
  <si>
    <t>GBEON</t>
  </si>
  <si>
    <t>Seaton</t>
  </si>
  <si>
    <t>GBSVW</t>
  </si>
  <si>
    <t>Seaview</t>
  </si>
  <si>
    <t>GBSLB</t>
  </si>
  <si>
    <t>Selby</t>
  </si>
  <si>
    <t>GBSSY</t>
  </si>
  <si>
    <t>Selsey</t>
  </si>
  <si>
    <t>GBSNC</t>
  </si>
  <si>
    <t>Sennen Cove</t>
  </si>
  <si>
    <t>GBSVI</t>
  </si>
  <si>
    <t>Sevington</t>
  </si>
  <si>
    <t>GBSHN</t>
  </si>
  <si>
    <t>Shandon</t>
  </si>
  <si>
    <t>GBSAI</t>
  </si>
  <si>
    <t>Shanklin</t>
  </si>
  <si>
    <t>GBSPY</t>
  </si>
  <si>
    <t>Shapinsay</t>
  </si>
  <si>
    <t>GBSSS</t>
  </si>
  <si>
    <t>Sharpness</t>
  </si>
  <si>
    <t>GBSEZ</t>
  </si>
  <si>
    <t>Sheen</t>
  </si>
  <si>
    <t>GBSHS</t>
  </si>
  <si>
    <t>Sheerness</t>
  </si>
  <si>
    <t>GBSHE</t>
  </si>
  <si>
    <t>Sheffield</t>
  </si>
  <si>
    <t>GBEIL</t>
  </si>
  <si>
    <t>Sheildaig</t>
  </si>
  <si>
    <t>GBSDQ</t>
  </si>
  <si>
    <t>Sheldon</t>
  </si>
  <si>
    <t>GBSHV</t>
  </si>
  <si>
    <t>Shell Haven</t>
  </si>
  <si>
    <t>GBSGM</t>
  </si>
  <si>
    <t>Sheringham</t>
  </si>
  <si>
    <t>GBTLD</t>
  </si>
  <si>
    <t>Shetland</t>
  </si>
  <si>
    <t>GBSHX</t>
  </si>
  <si>
    <t>Shieldaig</t>
  </si>
  <si>
    <t>GBIFN</t>
  </si>
  <si>
    <t>Shifnal</t>
  </si>
  <si>
    <t>GBSYL</t>
  </si>
  <si>
    <t>Shinness</t>
  </si>
  <si>
    <t>GBSSK</t>
  </si>
  <si>
    <t>Shiskine</t>
  </si>
  <si>
    <t>GBEEN</t>
  </si>
  <si>
    <t>Shobdon</t>
  </si>
  <si>
    <t>GBSHO</t>
  </si>
  <si>
    <t>Shoreham</t>
  </si>
  <si>
    <t>GBESH</t>
  </si>
  <si>
    <t>Shoreham-by-Sea</t>
  </si>
  <si>
    <t>GBSHT</t>
  </si>
  <si>
    <t>Shotton</t>
  </si>
  <si>
    <t>GBOHT</t>
  </si>
  <si>
    <t>Shotts</t>
  </si>
  <si>
    <t>GBSES</t>
  </si>
  <si>
    <t>Sidlesham</t>
  </si>
  <si>
    <t>GBSDM</t>
  </si>
  <si>
    <t>Sidmouth</t>
  </si>
  <si>
    <t>GBSIL</t>
  </si>
  <si>
    <t>Silloth</t>
  </si>
  <si>
    <t>GBSVT</t>
  </si>
  <si>
    <t>Silvertown</t>
  </si>
  <si>
    <t>GBSMW</t>
  </si>
  <si>
    <t>Simonswood</t>
  </si>
  <si>
    <t>GBSZB</t>
  </si>
  <si>
    <t>Sizewell Beach</t>
  </si>
  <si>
    <t>GBSKE</t>
  </si>
  <si>
    <t>Skegness</t>
  </si>
  <si>
    <t>GBSKZ</t>
  </si>
  <si>
    <t>Skeld</t>
  </si>
  <si>
    <t>GBSKR</t>
  </si>
  <si>
    <t>Skerray</t>
  </si>
  <si>
    <t>GBATS</t>
  </si>
  <si>
    <t>Sleat</t>
  </si>
  <si>
    <t>GBSJJ</t>
  </si>
  <si>
    <t>Small Heath</t>
  </si>
  <si>
    <t>GBSID</t>
  </si>
  <si>
    <t>Snape Bridge</t>
  </si>
  <si>
    <t>GBSZT</t>
  </si>
  <si>
    <t>Snizort</t>
  </si>
  <si>
    <t>GBSDL</t>
  </si>
  <si>
    <t>Snodland</t>
  </si>
  <si>
    <t>GBSLV</t>
  </si>
  <si>
    <t>Solva (Solfach)</t>
  </si>
  <si>
    <t>GBSPT</t>
  </si>
  <si>
    <t>Sompting</t>
  </si>
  <si>
    <t>GBSUT</t>
  </si>
  <si>
    <t>South Arne</t>
  </si>
  <si>
    <t>GBLUI</t>
  </si>
  <si>
    <t>South Cuan, Luing</t>
  </si>
  <si>
    <t>GBTRS</t>
  </si>
  <si>
    <t>South Harris</t>
  </si>
  <si>
    <t>GBSHG</t>
  </si>
  <si>
    <t>South Hayling</t>
  </si>
  <si>
    <t>GBOTC</t>
  </si>
  <si>
    <t>South Lochs</t>
  </si>
  <si>
    <t>GBSOQ</t>
  </si>
  <si>
    <t>South Queensferry</t>
  </si>
  <si>
    <t>GBSRY</t>
  </si>
  <si>
    <t>South Ronaldsay</t>
  </si>
  <si>
    <t>GBSSH</t>
  </si>
  <si>
    <t>South Shields</t>
  </si>
  <si>
    <t>GBUTS</t>
  </si>
  <si>
    <t>South Strome</t>
  </si>
  <si>
    <t>GBTHT</t>
  </si>
  <si>
    <t>South Uist and Eriskay</t>
  </si>
  <si>
    <t>GBSOU</t>
  </si>
  <si>
    <t>GBSEC</t>
  </si>
  <si>
    <t>Southend</t>
  </si>
  <si>
    <t>GBSND</t>
  </si>
  <si>
    <t>GBSAA</t>
  </si>
  <si>
    <t>Southend-on-Sea</t>
  </si>
  <si>
    <t>GBSRQ</t>
  </si>
  <si>
    <t>Southerness</t>
  </si>
  <si>
    <t>GBSRT</t>
  </si>
  <si>
    <t>Southport</t>
  </si>
  <si>
    <t>GBSHK</t>
  </si>
  <si>
    <t>Southwick</t>
  </si>
  <si>
    <t>GBSWD</t>
  </si>
  <si>
    <t>Southwold</t>
  </si>
  <si>
    <t>GBSUH</t>
  </si>
  <si>
    <t>Spurn Head</t>
  </si>
  <si>
    <t>GBAIS</t>
  </si>
  <si>
    <t>St Agnes</t>
  </si>
  <si>
    <t>GBSPQ</t>
  </si>
  <si>
    <t>Stackpole Quay</t>
  </si>
  <si>
    <t>GBSTZ</t>
  </si>
  <si>
    <t>Staithes</t>
  </si>
  <si>
    <t>GBSRI</t>
  </si>
  <si>
    <t>Stalbridge</t>
  </si>
  <si>
    <t>GBERE</t>
  </si>
  <si>
    <t>Stamford Bridge</t>
  </si>
  <si>
    <t>GBTND</t>
  </si>
  <si>
    <t>Standlake</t>
  </si>
  <si>
    <t>GBSOW</t>
  </si>
  <si>
    <t>Stanlow</t>
  </si>
  <si>
    <t>GBTED</t>
  </si>
  <si>
    <t>Stanstead</t>
  </si>
  <si>
    <t>GBSBA</t>
  </si>
  <si>
    <t>Stapleford Abbots</t>
  </si>
  <si>
    <t>GBSXE</t>
  </si>
  <si>
    <t>Staxigoe</t>
  </si>
  <si>
    <t>GBST2</t>
  </si>
  <si>
    <t>Stechford</t>
  </si>
  <si>
    <t>GBSYY</t>
  </si>
  <si>
    <t>Steynton</t>
  </si>
  <si>
    <t>GBSGT</t>
  </si>
  <si>
    <t>Stillington</t>
  </si>
  <si>
    <t>GBSCH</t>
  </si>
  <si>
    <t>Stockinish</t>
  </si>
  <si>
    <t>GBSCT</t>
  </si>
  <si>
    <t>GBSTT</t>
  </si>
  <si>
    <t>Stockton-on-Tees</t>
  </si>
  <si>
    <t>GBSOT</t>
  </si>
  <si>
    <t>Stoke on Trent</t>
  </si>
  <si>
    <t>GBSVN</t>
  </si>
  <si>
    <t>Stonehaven</t>
  </si>
  <si>
    <t>GBYVZ</t>
  </si>
  <si>
    <t>Stonehouse</t>
  </si>
  <si>
    <t>GBSTO</t>
  </si>
  <si>
    <t>Stornoway</t>
  </si>
  <si>
    <t>GBSBI</t>
  </si>
  <si>
    <t>Stowbridge</t>
  </si>
  <si>
    <t>GBSJL</t>
  </si>
  <si>
    <t>Strangford</t>
  </si>
  <si>
    <t>GBSTR</t>
  </si>
  <si>
    <t>Stranraer</t>
  </si>
  <si>
    <t>GBSAV</t>
  </si>
  <si>
    <t>Stratford-upon-Avon</t>
  </si>
  <si>
    <t>GBSRH</t>
  </si>
  <si>
    <t>Strathaird</t>
  </si>
  <si>
    <t>GBSRC</t>
  </si>
  <si>
    <t>Strathcarron</t>
  </si>
  <si>
    <t>GBHTA</t>
  </si>
  <si>
    <t>Streatham</t>
  </si>
  <si>
    <t>GBSRZ</t>
  </si>
  <si>
    <t>Strete</t>
  </si>
  <si>
    <t>GBSOA</t>
  </si>
  <si>
    <t>Stroma</t>
  </si>
  <si>
    <t>GBSNS</t>
  </si>
  <si>
    <t>Stromness</t>
  </si>
  <si>
    <t>GBSFU</t>
  </si>
  <si>
    <t>Stuartfield</t>
  </si>
  <si>
    <t>GBSJY</t>
  </si>
  <si>
    <t>Studland</t>
  </si>
  <si>
    <t>GBURT</t>
  </si>
  <si>
    <t>Sturton by Stow</t>
  </si>
  <si>
    <t>GBSUL</t>
  </si>
  <si>
    <t>Sullom Voe</t>
  </si>
  <si>
    <t>GBSMU</t>
  </si>
  <si>
    <t>Summercourt</t>
  </si>
  <si>
    <t>GBSUN</t>
  </si>
  <si>
    <t>Sunderland</t>
  </si>
  <si>
    <t>GBPSB</t>
  </si>
  <si>
    <t>Sutton Bridge</t>
  </si>
  <si>
    <t>GBSWE</t>
  </si>
  <si>
    <t>Swanage</t>
  </si>
  <si>
    <t>GBSWA</t>
  </si>
  <si>
    <t>Swansea</t>
  </si>
  <si>
    <t>GBSWN</t>
  </si>
  <si>
    <t>Swinton</t>
  </si>
  <si>
    <t>GBSYM</t>
  </si>
  <si>
    <t>Symbister</t>
  </si>
  <si>
    <t>GBTAD</t>
  </si>
  <si>
    <t>Taddiport</t>
  </si>
  <si>
    <t>GBTEZ</t>
  </si>
  <si>
    <t>Talbot Green</t>
  </si>
  <si>
    <t>GBTLN</t>
  </si>
  <si>
    <t>Talmine</t>
  </si>
  <si>
    <t>GBTAM</t>
  </si>
  <si>
    <t>Tameside</t>
  </si>
  <si>
    <t>GBTAR</t>
  </si>
  <si>
    <t>Tarbert</t>
  </si>
  <si>
    <t>GBTAB</t>
  </si>
  <si>
    <t>GBTAI</t>
  </si>
  <si>
    <t>Tayinloan</t>
  </si>
  <si>
    <t>GBTAY</t>
  </si>
  <si>
    <t>Tayport</t>
  </si>
  <si>
    <t>GBTLI</t>
  </si>
  <si>
    <t>Tayvallich</t>
  </si>
  <si>
    <t>GBTEE</t>
  </si>
  <si>
    <t>Teesport</t>
  </si>
  <si>
    <t>GBTNM</t>
  </si>
  <si>
    <t>Teignmouth</t>
  </si>
  <si>
    <t>GBENB</t>
  </si>
  <si>
    <t>Tenbury</t>
  </si>
  <si>
    <t>GBTEN</t>
  </si>
  <si>
    <t>Tenby (Dinbych-y-pysgod)</t>
  </si>
  <si>
    <t>GBRIG</t>
  </si>
  <si>
    <t>Tendring</t>
  </si>
  <si>
    <t>GBTTL</t>
  </si>
  <si>
    <t>Tetney Terminal</t>
  </si>
  <si>
    <t>GBKHA</t>
  </si>
  <si>
    <t>Thakeham</t>
  </si>
  <si>
    <t>GBTHS</t>
  </si>
  <si>
    <t>Thames Haven</t>
  </si>
  <si>
    <t>GBTHP</t>
  </si>
  <si>
    <t>Thamesport</t>
  </si>
  <si>
    <t>GBFTI</t>
  </si>
  <si>
    <t>The Forties</t>
  </si>
  <si>
    <t>GBTHF</t>
  </si>
  <si>
    <t>Thistle Field</t>
  </si>
  <si>
    <t>GBTRL</t>
  </si>
  <si>
    <t>GBNLE</t>
  </si>
  <si>
    <t>Thornley</t>
  </si>
  <si>
    <t>GBTPB</t>
  </si>
  <si>
    <t>Thorpe Bay</t>
  </si>
  <si>
    <t>GBNSS</t>
  </si>
  <si>
    <t>Thorpeness</t>
  </si>
  <si>
    <t>GBRSL</t>
  </si>
  <si>
    <t>Thundersley</t>
  </si>
  <si>
    <t>GBFUU</t>
  </si>
  <si>
    <t>Thurnscoe</t>
  </si>
  <si>
    <t>GBTHR</t>
  </si>
  <si>
    <t>Thurso</t>
  </si>
  <si>
    <t>GBTIG</t>
  </si>
  <si>
    <t>Tighnabruaich</t>
  </si>
  <si>
    <t>GBTIL</t>
  </si>
  <si>
    <t>Tilbury</t>
  </si>
  <si>
    <t>GBTFO</t>
  </si>
  <si>
    <t>Tilford</t>
  </si>
  <si>
    <t>GBTNG</t>
  </si>
  <si>
    <t>Tingwall</t>
  </si>
  <si>
    <t>GBTWL</t>
  </si>
  <si>
    <t>GBTVD</t>
  </si>
  <si>
    <t>Tividale</t>
  </si>
  <si>
    <t>GBTOB</t>
  </si>
  <si>
    <t>Tobermory</t>
  </si>
  <si>
    <t>GBTBN</t>
  </si>
  <si>
    <t>Toberonochy</t>
  </si>
  <si>
    <t>GBTFT</t>
  </si>
  <si>
    <t>Toft</t>
  </si>
  <si>
    <t>GBTOL</t>
  </si>
  <si>
    <t>Tollesbury</t>
  </si>
  <si>
    <t>GBTGU</t>
  </si>
  <si>
    <t>Tongue</t>
  </si>
  <si>
    <t>GBTHM</t>
  </si>
  <si>
    <t>Topsham</t>
  </si>
  <si>
    <t>GBTBY</t>
  </si>
  <si>
    <t>Torbay/Paignton</t>
  </si>
  <si>
    <t>GBTPO</t>
  </si>
  <si>
    <t>Torpoint</t>
  </si>
  <si>
    <t>GBTOR</t>
  </si>
  <si>
    <t>Torquay</t>
  </si>
  <si>
    <t>GBTRD</t>
  </si>
  <si>
    <t>Torridon</t>
  </si>
  <si>
    <t>GBTRA</t>
  </si>
  <si>
    <t>Tranmere</t>
  </si>
  <si>
    <t>GBTRR</t>
  </si>
  <si>
    <t>Trearddur</t>
  </si>
  <si>
    <t>GBTFR</t>
  </si>
  <si>
    <t>Trefforest</t>
  </si>
  <si>
    <t>GBTRO</t>
  </si>
  <si>
    <t>Trefor</t>
  </si>
  <si>
    <t>GBTSO</t>
  </si>
  <si>
    <t>Tresco</t>
  </si>
  <si>
    <t>GBTOI</t>
  </si>
  <si>
    <t>Triton</t>
  </si>
  <si>
    <t>GBTRN</t>
  </si>
  <si>
    <t>Troon</t>
  </si>
  <si>
    <t>GBTRU</t>
  </si>
  <si>
    <t>Truro</t>
  </si>
  <si>
    <t>GBTDI</t>
  </si>
  <si>
    <t>Tudweiliog</t>
  </si>
  <si>
    <t>GBTYD</t>
  </si>
  <si>
    <t>Tyddewi (St David's)</t>
  </si>
  <si>
    <t>GBTYN</t>
  </si>
  <si>
    <t>Tyne</t>
  </si>
  <si>
    <t>GBTYM</t>
  </si>
  <si>
    <t>Tynemouth</t>
  </si>
  <si>
    <t>GBUIG</t>
  </si>
  <si>
    <t>Uig</t>
  </si>
  <si>
    <t>GBULL</t>
  </si>
  <si>
    <t>Ullapool</t>
  </si>
  <si>
    <t>GBULS</t>
  </si>
  <si>
    <t>Ulsta, Yell</t>
  </si>
  <si>
    <t>GBULF</t>
  </si>
  <si>
    <t>Ulva Ferry</t>
  </si>
  <si>
    <t>GBUPH</t>
  </si>
  <si>
    <t>Upholland</t>
  </si>
  <si>
    <t>GBUPR</t>
  </si>
  <si>
    <t>Upnor</t>
  </si>
  <si>
    <t>GBUFY</t>
  </si>
  <si>
    <t>Upper Froyle</t>
  </si>
  <si>
    <t>GBUPI</t>
  </si>
  <si>
    <t>Uppingham</t>
  </si>
  <si>
    <t>GBUYE</t>
  </si>
  <si>
    <t>Uyeasound, Unst</t>
  </si>
  <si>
    <t>GBVGI</t>
  </si>
  <si>
    <t>Varg field</t>
  </si>
  <si>
    <t>GBVEN</t>
  </si>
  <si>
    <t>Ventnor</t>
  </si>
  <si>
    <t>GBVID</t>
  </si>
  <si>
    <t>Vidlin</t>
  </si>
  <si>
    <t>GBVOE</t>
  </si>
  <si>
    <t>Voe</t>
  </si>
  <si>
    <t>GBWAB</t>
  </si>
  <si>
    <t>Wadebridge</t>
  </si>
  <si>
    <t>GBWFD</t>
  </si>
  <si>
    <t>Wakefield</t>
  </si>
  <si>
    <t>GBWLK</t>
  </si>
  <si>
    <t>Walker</t>
  </si>
  <si>
    <t>GBWLA</t>
  </si>
  <si>
    <t>Wallasea</t>
  </si>
  <si>
    <t>GBQGT</t>
  </si>
  <si>
    <t>Wallesbourne Hastings</t>
  </si>
  <si>
    <t>GBLOY</t>
  </si>
  <si>
    <t>Walls</t>
  </si>
  <si>
    <t>GBWLZ</t>
  </si>
  <si>
    <t>GBWTW</t>
  </si>
  <si>
    <t>Wallsend</t>
  </si>
  <si>
    <t>GBWMF</t>
  </si>
  <si>
    <t>Walmer</t>
  </si>
  <si>
    <t>GBWGW</t>
  </si>
  <si>
    <t>Walsgrave on Sowe</t>
  </si>
  <si>
    <t>GBWNZ</t>
  </si>
  <si>
    <t>Walton-on-the-Naze</t>
  </si>
  <si>
    <t>GBWRE</t>
  </si>
  <si>
    <t>Wardle</t>
  </si>
  <si>
    <t>GBWRH</t>
  </si>
  <si>
    <t>Wareham</t>
  </si>
  <si>
    <t>GBWKO</t>
  </si>
  <si>
    <t>Warkworth</t>
  </si>
  <si>
    <t>GBWND</t>
  </si>
  <si>
    <t>Warndon</t>
  </si>
  <si>
    <t>GBWPT</t>
  </si>
  <si>
    <t>Warrenpoint</t>
  </si>
  <si>
    <t>GBWRN</t>
  </si>
  <si>
    <t>Warrington</t>
  </si>
  <si>
    <t>GBWAT</t>
  </si>
  <si>
    <t>Watchet</t>
  </si>
  <si>
    <t>GBFUC</t>
  </si>
  <si>
    <t>Waterfoot</t>
  </si>
  <si>
    <t>GBWFT</t>
  </si>
  <si>
    <t>GBWAF</t>
  </si>
  <si>
    <t>Watford</t>
  </si>
  <si>
    <t>GBWLS</t>
  </si>
  <si>
    <t>Wells</t>
  </si>
  <si>
    <t>GBWNS</t>
  </si>
  <si>
    <t>Wells-next-the-Sea</t>
  </si>
  <si>
    <t>GBWBY</t>
  </si>
  <si>
    <t>GBWMB</t>
  </si>
  <si>
    <t>Wemyss Bay</t>
  </si>
  <si>
    <t>GBWAX</t>
  </si>
  <si>
    <t>West Auckland</t>
  </si>
  <si>
    <t>GBWYX</t>
  </si>
  <si>
    <t>West Bay</t>
  </si>
  <si>
    <t>GBWBF</t>
  </si>
  <si>
    <t>West Burrafirth</t>
  </si>
  <si>
    <t>GBCWH</t>
  </si>
  <si>
    <t>West Chiltington</t>
  </si>
  <si>
    <t>GBWGD</t>
  </si>
  <si>
    <t>West Grinstead</t>
  </si>
  <si>
    <t>GBARP</t>
  </si>
  <si>
    <t>West Harptree</t>
  </si>
  <si>
    <t>GBWKI</t>
  </si>
  <si>
    <t>West Kirby</t>
  </si>
  <si>
    <t>GBWRB</t>
  </si>
  <si>
    <t>West Loch Tarbert</t>
  </si>
  <si>
    <t>GBWMD</t>
  </si>
  <si>
    <t>West Mainland</t>
  </si>
  <si>
    <t>GBWMS</t>
  </si>
  <si>
    <t>West Mersea</t>
  </si>
  <si>
    <t>GBLWT</t>
  </si>
  <si>
    <t>West Thurrock</t>
  </si>
  <si>
    <t>GBWWE</t>
  </si>
  <si>
    <t>West Wemyss</t>
  </si>
  <si>
    <t>GBWYS</t>
  </si>
  <si>
    <t>Westbury on Severn</t>
  </si>
  <si>
    <t>GBWTE</t>
  </si>
  <si>
    <t>Westerleigh</t>
  </si>
  <si>
    <t>GBWXW</t>
  </si>
  <si>
    <t>Westgate</t>
  </si>
  <si>
    <t>GBWSP</t>
  </si>
  <si>
    <t>Weston Point</t>
  </si>
  <si>
    <t>GBWSM</t>
  </si>
  <si>
    <t>Weston-Super-Mare</t>
  </si>
  <si>
    <t>GBZOY</t>
  </si>
  <si>
    <t>Westonzoyland</t>
  </si>
  <si>
    <t>GBWRY</t>
  </si>
  <si>
    <t>Westray</t>
  </si>
  <si>
    <t>GBRWS</t>
  </si>
  <si>
    <t>Wetheringsett</t>
  </si>
  <si>
    <t>GBWEY</t>
  </si>
  <si>
    <t>GBWLG</t>
  </si>
  <si>
    <t>Whaligoe</t>
  </si>
  <si>
    <t>GBWNL</t>
  </si>
  <si>
    <t>Whinnyfold</t>
  </si>
  <si>
    <t>GBWTB</t>
  </si>
  <si>
    <t>GBWCB</t>
  </si>
  <si>
    <t>Whitcombe</t>
  </si>
  <si>
    <t>GBWHB</t>
  </si>
  <si>
    <t>Whitebooth Roads</t>
  </si>
  <si>
    <t>GBWHL</t>
  </si>
  <si>
    <t>Whitehall Village, Stronsay</t>
  </si>
  <si>
    <t>GBWHV</t>
  </si>
  <si>
    <t>Whitehaven</t>
  </si>
  <si>
    <t>GBWHE</t>
  </si>
  <si>
    <t>Whitehead</t>
  </si>
  <si>
    <t>GBHTS</t>
  </si>
  <si>
    <t>Whitehills</t>
  </si>
  <si>
    <t>GBYNT</t>
  </si>
  <si>
    <t>Whitney</t>
  </si>
  <si>
    <t>GBWTS</t>
  </si>
  <si>
    <t>Whitstable</t>
  </si>
  <si>
    <t>GBWIC</t>
  </si>
  <si>
    <t>Wick</t>
  </si>
  <si>
    <t>GBWKM</t>
  </si>
  <si>
    <t>Wickham</t>
  </si>
  <si>
    <t>GBWDN</t>
  </si>
  <si>
    <t>Widnes</t>
  </si>
  <si>
    <t>GBWGN</t>
  </si>
  <si>
    <t>Wigan</t>
  </si>
  <si>
    <t>GBWIG</t>
  </si>
  <si>
    <t>Wigtown</t>
  </si>
  <si>
    <t>GBESD</t>
  </si>
  <si>
    <t>Willesden</t>
  </si>
  <si>
    <t>GBWL2</t>
  </si>
  <si>
    <t>Willingham</t>
  </si>
  <si>
    <t>GBINT</t>
  </si>
  <si>
    <t>Wintringham</t>
  </si>
  <si>
    <t>GBWIS</t>
  </si>
  <si>
    <t>Wisbech</t>
  </si>
  <si>
    <t>GBWEX</t>
  </si>
  <si>
    <t>Withernsea</t>
  </si>
  <si>
    <t>GBWIV</t>
  </si>
  <si>
    <t>Wivenhoe</t>
  </si>
  <si>
    <t>GBWUF</t>
  </si>
  <si>
    <t>Wolvey</t>
  </si>
  <si>
    <t>GBWOR</t>
  </si>
  <si>
    <t>Workington</t>
  </si>
  <si>
    <t>GBWOT</t>
  </si>
  <si>
    <t>Worthing</t>
  </si>
  <si>
    <t>GBWYC</t>
  </si>
  <si>
    <t>Wychbold</t>
  </si>
  <si>
    <t>GBWYK</t>
  </si>
  <si>
    <t>Wyke Regis</t>
  </si>
  <si>
    <t>GBWYR</t>
  </si>
  <si>
    <t>Wyre</t>
  </si>
  <si>
    <t>GBYAP</t>
  </si>
  <si>
    <t>Yapton</t>
  </si>
  <si>
    <t>GBYMO</t>
  </si>
  <si>
    <t>GBYFR</t>
  </si>
  <si>
    <t>Yell and Fetlar</t>
  </si>
  <si>
    <t>GBYLL</t>
  </si>
  <si>
    <t>Yelland</t>
  </si>
  <si>
    <t>GBYKE</t>
  </si>
  <si>
    <t>Yoker</t>
  </si>
  <si>
    <t>GBYRK</t>
  </si>
  <si>
    <t>York</t>
  </si>
  <si>
    <t>GDGRE</t>
  </si>
  <si>
    <t>Grenville</t>
  </si>
  <si>
    <t>GDHIL</t>
  </si>
  <si>
    <t>Hillsborough, Carriacou Is</t>
  </si>
  <si>
    <t>GDSTG</t>
  </si>
  <si>
    <t>Saint George's</t>
  </si>
  <si>
    <t>GEBUS</t>
  </si>
  <si>
    <t>Batumi</t>
  </si>
  <si>
    <t>GEIES</t>
  </si>
  <si>
    <t>Khashmi</t>
  </si>
  <si>
    <t>GEKUL</t>
  </si>
  <si>
    <t>Kulevi</t>
  </si>
  <si>
    <t>GEPTI</t>
  </si>
  <si>
    <t>Poti</t>
  </si>
  <si>
    <t>GEABK</t>
  </si>
  <si>
    <t>Sukhumi</t>
  </si>
  <si>
    <t>GESPS</t>
  </si>
  <si>
    <t>Sup'sa</t>
  </si>
  <si>
    <t>GFCAY</t>
  </si>
  <si>
    <t>Cayenne</t>
  </si>
  <si>
    <t>GFDDC</t>
  </si>
  <si>
    <t>GFQKR</t>
  </si>
  <si>
    <t>Kourou</t>
  </si>
  <si>
    <t>GGACI</t>
  </si>
  <si>
    <t>Alderney</t>
  </si>
  <si>
    <t>GGGCI</t>
  </si>
  <si>
    <t>Guernsey</t>
  </si>
  <si>
    <t>GGSPT</t>
  </si>
  <si>
    <t>GHADA</t>
  </si>
  <si>
    <t>Ada</t>
  </si>
  <si>
    <t>GHAUR</t>
  </si>
  <si>
    <t>Aura</t>
  </si>
  <si>
    <t>GHAXI</t>
  </si>
  <si>
    <t>Axim</t>
  </si>
  <si>
    <t>GHCCT</t>
  </si>
  <si>
    <t>Cape Coast</t>
  </si>
  <si>
    <t>GHJUB</t>
  </si>
  <si>
    <t>Jubilee FPSO</t>
  </si>
  <si>
    <t>GHKIT</t>
  </si>
  <si>
    <t>Keta</t>
  </si>
  <si>
    <t>GHSPD</t>
  </si>
  <si>
    <t>Saltpond</t>
  </si>
  <si>
    <t>GHSEK</t>
  </si>
  <si>
    <t>Sekondi</t>
  </si>
  <si>
    <t>GHSHA</t>
  </si>
  <si>
    <t>Shama</t>
  </si>
  <si>
    <t>GHTKD</t>
  </si>
  <si>
    <t>Takoradi</t>
  </si>
  <si>
    <t>GHTEM</t>
  </si>
  <si>
    <t>Tema</t>
  </si>
  <si>
    <t>GHWEA</t>
  </si>
  <si>
    <t>Winneba</t>
  </si>
  <si>
    <t>GIGIB</t>
  </si>
  <si>
    <t>Gibraltar</t>
  </si>
  <si>
    <t>GLJEG</t>
  </si>
  <si>
    <t>Aasiaat (Egedesminde)</t>
  </si>
  <si>
    <t>GLDAN</t>
  </si>
  <si>
    <t>Daneborg</t>
  </si>
  <si>
    <t>GLOBY</t>
  </si>
  <si>
    <t>Illorqortoormiut (Scoresbysund)</t>
  </si>
  <si>
    <t>GLJAV</t>
  </si>
  <si>
    <t>Ilulissat (Jakobshavn)</t>
  </si>
  <si>
    <t>GLIUT</t>
  </si>
  <si>
    <t>Ivigtut</t>
  </si>
  <si>
    <t>GLFHN</t>
  </si>
  <si>
    <t>GLKAN</t>
  </si>
  <si>
    <t>Kangerlussuaq Havn</t>
  </si>
  <si>
    <t>GLJGR</t>
  </si>
  <si>
    <t>Kangilinguit (Gronnedal)</t>
  </si>
  <si>
    <t>GLKUL</t>
  </si>
  <si>
    <t>Kullorsuaq</t>
  </si>
  <si>
    <t>GLKUS</t>
  </si>
  <si>
    <t>Kulusuk</t>
  </si>
  <si>
    <t>GLKUN</t>
  </si>
  <si>
    <t>Kuummiut</t>
  </si>
  <si>
    <t>GLMML</t>
  </si>
  <si>
    <t>Maarmorliik</t>
  </si>
  <si>
    <t>GLJSU</t>
  </si>
  <si>
    <t>Maniitsoq (Sukkertoppen)</t>
  </si>
  <si>
    <t>GLMRG</t>
  </si>
  <si>
    <t>Mesters Vig</t>
  </si>
  <si>
    <t>GLNAL</t>
  </si>
  <si>
    <t>Nalunaq Gold Mine</t>
  </si>
  <si>
    <t>GLJNN</t>
  </si>
  <si>
    <t>Nanortalik</t>
  </si>
  <si>
    <t>GLUAK</t>
  </si>
  <si>
    <t>Narsarsuaq</t>
  </si>
  <si>
    <t>GLGOH</t>
  </si>
  <si>
    <t>Nuuk (Godthaab)</t>
  </si>
  <si>
    <t>GLJFR</t>
  </si>
  <si>
    <t>Paamiut (Fredrikshaab)</t>
  </si>
  <si>
    <t>GLTHU</t>
  </si>
  <si>
    <t>Pituffik</t>
  </si>
  <si>
    <t>GLNAQ</t>
  </si>
  <si>
    <t>Qaanaaq</t>
  </si>
  <si>
    <t>GLJJU</t>
  </si>
  <si>
    <t>Qaqortoq (Julianehaab)</t>
  </si>
  <si>
    <t>GLJCH</t>
  </si>
  <si>
    <t>Qasigiannguit (Christianshaab)</t>
  </si>
  <si>
    <t>GLJGO</t>
  </si>
  <si>
    <t>Qeqertarsuaq (Godhavn)</t>
  </si>
  <si>
    <t>GLSEQ</t>
  </si>
  <si>
    <t>Seqi Olivine Mine</t>
  </si>
  <si>
    <t>GLJHS</t>
  </si>
  <si>
    <t>Sisimiut (Holsteinsborg)</t>
  </si>
  <si>
    <t>GLAGM</t>
  </si>
  <si>
    <t>Tasiilaq</t>
  </si>
  <si>
    <t>GLTNT</t>
  </si>
  <si>
    <t>Tiniteqilaaq</t>
  </si>
  <si>
    <t>GLTOV</t>
  </si>
  <si>
    <t>Toqqusaq</t>
  </si>
  <si>
    <t>GLUMD</t>
  </si>
  <si>
    <t>Uummannaq</t>
  </si>
  <si>
    <t>GMBJL</t>
  </si>
  <si>
    <t>Banjul</t>
  </si>
  <si>
    <t>GNBTY</t>
  </si>
  <si>
    <t>Benty</t>
  </si>
  <si>
    <t>GNCKY</t>
  </si>
  <si>
    <t>Conakry</t>
  </si>
  <si>
    <t>GNSBY</t>
  </si>
  <si>
    <t>Moresby</t>
  </si>
  <si>
    <t>GNKMR</t>
  </si>
  <si>
    <t>Port-Kamsar</t>
  </si>
  <si>
    <t>GPBMH</t>
  </si>
  <si>
    <t>Baie-Mahault</t>
  </si>
  <si>
    <t>GPBBR</t>
  </si>
  <si>
    <t>Basse-Terre</t>
  </si>
  <si>
    <t>GPCBE</t>
  </si>
  <si>
    <t>Capesterre-Belle-Eau</t>
  </si>
  <si>
    <t>GPFAE</t>
  </si>
  <si>
    <t>Folle-Anse</t>
  </si>
  <si>
    <t>GPGRB</t>
  </si>
  <si>
    <t>Grand-Bourg</t>
  </si>
  <si>
    <t>GPJAR</t>
  </si>
  <si>
    <t>Jarry</t>
  </si>
  <si>
    <t>GPGOS</t>
  </si>
  <si>
    <t>Le Gosier</t>
  </si>
  <si>
    <t>GPPTP</t>
  </si>
  <si>
    <t>GPPTL</t>
  </si>
  <si>
    <t>Port-Louis</t>
  </si>
  <si>
    <t>GPSFC</t>
  </si>
  <si>
    <t>GQATE</t>
  </si>
  <si>
    <t>Aseng FPSO</t>
  </si>
  <si>
    <t>GQBSG</t>
  </si>
  <si>
    <t>Bata</t>
  </si>
  <si>
    <t>GQBUL</t>
  </si>
  <si>
    <t>Butuku-Luba</t>
  </si>
  <si>
    <t>GQCOG</t>
  </si>
  <si>
    <t>Cogo</t>
  </si>
  <si>
    <t>GQLUB</t>
  </si>
  <si>
    <t>Luba</t>
  </si>
  <si>
    <t>GQPET</t>
  </si>
  <si>
    <t>Punta Europa Terminal</t>
  </si>
  <si>
    <t>GQSER</t>
  </si>
  <si>
    <t>Serpentina Terminal</t>
  </si>
  <si>
    <t>GQZAF</t>
  </si>
  <si>
    <t>Zafiro Terminal</t>
  </si>
  <si>
    <t>GRACL</t>
  </si>
  <si>
    <t>Achladi</t>
  </si>
  <si>
    <t>GRADL</t>
  </si>
  <si>
    <t>Adamas Milos</t>
  </si>
  <si>
    <t>GRAEG</t>
  </si>
  <si>
    <t>Aegina</t>
  </si>
  <si>
    <t>GRAGN</t>
  </si>
  <si>
    <t>Agathonisi</t>
  </si>
  <si>
    <t>GRAEF</t>
  </si>
  <si>
    <t>Agia Efimia</t>
  </si>
  <si>
    <t>GRAKM</t>
  </si>
  <si>
    <t>Agia Kyriaki (Trikeri Magnisia)</t>
  </si>
  <si>
    <t>GRAMR</t>
  </si>
  <si>
    <t>Agia Marina Aiginas</t>
  </si>
  <si>
    <t>GRAGM</t>
  </si>
  <si>
    <t>Agia Marina Fthiotidas</t>
  </si>
  <si>
    <t>GRGMA</t>
  </si>
  <si>
    <t>Agia Marina Grammatikou Attikis</t>
  </si>
  <si>
    <t>GRAML</t>
  </si>
  <si>
    <t>Agia Marina Lerou</t>
  </si>
  <si>
    <t>GRAPE</t>
  </si>
  <si>
    <t>GRROU</t>
  </si>
  <si>
    <t>Agia Roumeli</t>
  </si>
  <si>
    <t>GRAGT</t>
  </si>
  <si>
    <t>Agio Theodoroi</t>
  </si>
  <si>
    <t>GRAGK</t>
  </si>
  <si>
    <t>Agiokampos Larissas</t>
  </si>
  <si>
    <t>GRAGO</t>
  </si>
  <si>
    <t>GRAGE</t>
  </si>
  <si>
    <t>Agios Georgios</t>
  </si>
  <si>
    <t>GRAKI</t>
  </si>
  <si>
    <t>GRAKO</t>
  </si>
  <si>
    <t>GRAGF</t>
  </si>
  <si>
    <t>Agios Nikolaos Fokidas</t>
  </si>
  <si>
    <t>GRANI</t>
  </si>
  <si>
    <t>GRASF</t>
  </si>
  <si>
    <t>Agios Stefanos Corfu</t>
  </si>
  <si>
    <t>GRAGG</t>
  </si>
  <si>
    <t>Agistri Aiginas</t>
  </si>
  <si>
    <t>GRANL</t>
  </si>
  <si>
    <t>Agnontas Skopelos</t>
  </si>
  <si>
    <t>GRAGA</t>
  </si>
  <si>
    <t>GRAID</t>
  </si>
  <si>
    <t>Aidipsou</t>
  </si>
  <si>
    <t>GRAIG</t>
  </si>
  <si>
    <t>Aigiali Amorgou</t>
  </si>
  <si>
    <t>GRAEN</t>
  </si>
  <si>
    <t>GRAKH</t>
  </si>
  <si>
    <t>Akhillion</t>
  </si>
  <si>
    <t>GRAKT</t>
  </si>
  <si>
    <t>Aktio Vonitsas</t>
  </si>
  <si>
    <t>GRAXD</t>
  </si>
  <si>
    <t>GRLVR</t>
  </si>
  <si>
    <t>Aliverio</t>
  </si>
  <si>
    <t>GRALO</t>
  </si>
  <si>
    <t>GRATS</t>
  </si>
  <si>
    <t>Altsi</t>
  </si>
  <si>
    <t>GRAPL</t>
  </si>
  <si>
    <t>GRAMF</t>
  </si>
  <si>
    <t>GRAMI</t>
  </si>
  <si>
    <t>GRANA</t>
  </si>
  <si>
    <t>GRANT</t>
  </si>
  <si>
    <t>GRAND</t>
  </si>
  <si>
    <t>Andros</t>
  </si>
  <si>
    <t>GRATK</t>
  </si>
  <si>
    <t>Antikyra</t>
  </si>
  <si>
    <t>GRANP</t>
  </si>
  <si>
    <t>Antiparos</t>
  </si>
  <si>
    <t>GRARX</t>
  </si>
  <si>
    <t>Araxos</t>
  </si>
  <si>
    <t>GRARM</t>
  </si>
  <si>
    <t>GRARD</t>
  </si>
  <si>
    <t>Arkioi Dodekanissou</t>
  </si>
  <si>
    <t>GRARK</t>
  </si>
  <si>
    <t>GRTEM</t>
  </si>
  <si>
    <t>Artemis</t>
  </si>
  <si>
    <t>GRASS</t>
  </si>
  <si>
    <t>GRAPV</t>
  </si>
  <si>
    <t>GRSOS</t>
  </si>
  <si>
    <t>Assos</t>
  </si>
  <si>
    <t>GRAST</t>
  </si>
  <si>
    <t>GRARS</t>
  </si>
  <si>
    <t>GRJTY</t>
  </si>
  <si>
    <t>GRATA</t>
  </si>
  <si>
    <t>GRATN</t>
  </si>
  <si>
    <t>Athinios Thira Santorini</t>
  </si>
  <si>
    <t>GRCLK</t>
  </si>
  <si>
    <t>Chalkida</t>
  </si>
  <si>
    <t>GRCHQ</t>
  </si>
  <si>
    <t>Chania</t>
  </si>
  <si>
    <t>GRJKH</t>
  </si>
  <si>
    <t>GRDAF</t>
  </si>
  <si>
    <t>GRDOS</t>
  </si>
  <si>
    <t>Delos</t>
  </si>
  <si>
    <t>GRDIA</t>
  </si>
  <si>
    <t>GRDIK</t>
  </si>
  <si>
    <t>Diakofti Kythiron</t>
  </si>
  <si>
    <t>GRDMB</t>
  </si>
  <si>
    <t>Dombraina Boiotias</t>
  </si>
  <si>
    <t>GRDON</t>
  </si>
  <si>
    <t>Donousa Kykladon</t>
  </si>
  <si>
    <t>GRDPA</t>
  </si>
  <si>
    <t>Drapetzona</t>
  </si>
  <si>
    <t>GRDRE</t>
  </si>
  <si>
    <t>Drepano Riou</t>
  </si>
  <si>
    <t>GREDI</t>
  </si>
  <si>
    <t>Edipsos</t>
  </si>
  <si>
    <t>GREGI</t>
  </si>
  <si>
    <t>Eginion</t>
  </si>
  <si>
    <t>GRELN</t>
  </si>
  <si>
    <t>Elafonissos Lakonias</t>
  </si>
  <si>
    <t>GRXZX</t>
  </si>
  <si>
    <t>GRELT</t>
  </si>
  <si>
    <t>Eleftheres</t>
  </si>
  <si>
    <t>GREEU</t>
  </si>
  <si>
    <t>Eleusina</t>
  </si>
  <si>
    <t>GRFLS</t>
  </si>
  <si>
    <t>Eleusis</t>
  </si>
  <si>
    <t>GREPI</t>
  </si>
  <si>
    <t>Epidavros</t>
  </si>
  <si>
    <t>GRETK</t>
  </si>
  <si>
    <t>Eratini</t>
  </si>
  <si>
    <t>GRERK</t>
  </si>
  <si>
    <t>Ereikousses Diapontioi Islands</t>
  </si>
  <si>
    <t>GRERE</t>
  </si>
  <si>
    <t>GRERM</t>
  </si>
  <si>
    <t>GRERY</t>
  </si>
  <si>
    <t>Erythres</t>
  </si>
  <si>
    <t>GREYD</t>
  </si>
  <si>
    <t>Eydilos</t>
  </si>
  <si>
    <t>GRFNR</t>
  </si>
  <si>
    <t>Faneromeni Salaminas</t>
  </si>
  <si>
    <t>GRFAM</t>
  </si>
  <si>
    <t>Farmakonissi Dodekanissos</t>
  </si>
  <si>
    <t>GRFIS</t>
  </si>
  <si>
    <t>GRFOL</t>
  </si>
  <si>
    <t>GRFOU</t>
  </si>
  <si>
    <t>GRSAT</t>
  </si>
  <si>
    <t>Frikes Ithakis</t>
  </si>
  <si>
    <t>GRGAL</t>
  </si>
  <si>
    <t>Galatas Troizinas</t>
  </si>
  <si>
    <t>GRGLX</t>
  </si>
  <si>
    <t>Galaxidi</t>
  </si>
  <si>
    <t>GRGAD</t>
  </si>
  <si>
    <t>Gavdos Chanea</t>
  </si>
  <si>
    <t>GRGAV</t>
  </si>
  <si>
    <t>GRGLO</t>
  </si>
  <si>
    <t>Glossa</t>
  </si>
  <si>
    <t>GRGLY</t>
  </si>
  <si>
    <t>Glyfa Fthiotidas</t>
  </si>
  <si>
    <t>GRGYT</t>
  </si>
  <si>
    <t>Gythion</t>
  </si>
  <si>
    <t>GRHAL</t>
  </si>
  <si>
    <t>Halki Dodekanison</t>
  </si>
  <si>
    <t>GRHRK</t>
  </si>
  <si>
    <t>Herakleia Kykladon</t>
  </si>
  <si>
    <t>GRHER</t>
  </si>
  <si>
    <t>Heraklion (Iraklion)</t>
  </si>
  <si>
    <t>GRHYD</t>
  </si>
  <si>
    <t>Hydra (Idhra)</t>
  </si>
  <si>
    <t>GRIER</t>
  </si>
  <si>
    <t>GRIES</t>
  </si>
  <si>
    <t>Ierissos</t>
  </si>
  <si>
    <t>GRIGO</t>
  </si>
  <si>
    <t>GRINO</t>
  </si>
  <si>
    <t>Inousses</t>
  </si>
  <si>
    <t>GRIOS</t>
  </si>
  <si>
    <t>Ios</t>
  </si>
  <si>
    <t>GRITM</t>
  </si>
  <si>
    <t>GRITA</t>
  </si>
  <si>
    <t>Itea</t>
  </si>
  <si>
    <t>GRITH</t>
  </si>
  <si>
    <t>Ithaki (Ithaca)</t>
  </si>
  <si>
    <t>GRKLM</t>
  </si>
  <si>
    <t>Kalamaki</t>
  </si>
  <si>
    <t>GRKLX</t>
  </si>
  <si>
    <t>GRKAI</t>
  </si>
  <si>
    <t>Kalamos Island (Lefkada)</t>
  </si>
  <si>
    <t>GRKLD</t>
  </si>
  <si>
    <t>Kalathos Rodou</t>
  </si>
  <si>
    <t>GRKLL</t>
  </si>
  <si>
    <t>Kalilimenes</t>
  </si>
  <si>
    <t>GRKMI</t>
  </si>
  <si>
    <t>GRKRE</t>
  </si>
  <si>
    <t>Kamares Sifnos</t>
  </si>
  <si>
    <t>GRKAP</t>
  </si>
  <si>
    <t>Kapsalion (Kythira)</t>
  </si>
  <si>
    <t>GRKRM</t>
  </si>
  <si>
    <t>Kardamaina Kos</t>
  </si>
  <si>
    <t>GRKDM</t>
  </si>
  <si>
    <t>GRKAG</t>
  </si>
  <si>
    <t>Karkinagri Ikarias</t>
  </si>
  <si>
    <t>GRAOK</t>
  </si>
  <si>
    <t>GRKST</t>
  </si>
  <si>
    <t>Karystos</t>
  </si>
  <si>
    <t>GRKSP</t>
  </si>
  <si>
    <t>Kassiopi Corfu</t>
  </si>
  <si>
    <t>GRKSJ</t>
  </si>
  <si>
    <t>Kassos</t>
  </si>
  <si>
    <t>GRKIS</t>
  </si>
  <si>
    <t>Kastelli Kissamou</t>
  </si>
  <si>
    <t>GRKAS</t>
  </si>
  <si>
    <t>GRKSI</t>
  </si>
  <si>
    <t>Kastos Island</t>
  </si>
  <si>
    <t>GRKAK</t>
  </si>
  <si>
    <t>Katakolon</t>
  </si>
  <si>
    <t>GRKTP</t>
  </si>
  <si>
    <t>GRKEI</t>
  </si>
  <si>
    <t>GRKAH</t>
  </si>
  <si>
    <t>GRKVA</t>
  </si>
  <si>
    <t>GRKEA</t>
  </si>
  <si>
    <t>GRKEF</t>
  </si>
  <si>
    <t>Kefalos Ko</t>
  </si>
  <si>
    <t>GRKER</t>
  </si>
  <si>
    <t>Keramoti</t>
  </si>
  <si>
    <t>GRKTS</t>
  </si>
  <si>
    <t>GRCFU</t>
  </si>
  <si>
    <t>GRCSF</t>
  </si>
  <si>
    <t>GRKIO</t>
  </si>
  <si>
    <t>Kiato</t>
  </si>
  <si>
    <t>GRKYM</t>
  </si>
  <si>
    <t>GRKIM</t>
  </si>
  <si>
    <t>GRKMS</t>
  </si>
  <si>
    <t>GRKIP</t>
  </si>
  <si>
    <t>Kiparissia</t>
  </si>
  <si>
    <t>GRKLI</t>
  </si>
  <si>
    <t>Klima</t>
  </si>
  <si>
    <t>GRKIN</t>
  </si>
  <si>
    <t>Koilas Ermionidos</t>
  </si>
  <si>
    <t>GRKNS</t>
  </si>
  <si>
    <t>Kontias Limnou</t>
  </si>
  <si>
    <t>GRKPS</t>
  </si>
  <si>
    <t>GRKRT</t>
  </si>
  <si>
    <t>GRKGS</t>
  </si>
  <si>
    <t>Kos</t>
  </si>
  <si>
    <t>GRKEM</t>
  </si>
  <si>
    <t>Kosta Ermionidas</t>
  </si>
  <si>
    <t>GRKOF</t>
  </si>
  <si>
    <t>Koufonissia Kykladon</t>
  </si>
  <si>
    <t>GRKYL</t>
  </si>
  <si>
    <t>GRKYT</t>
  </si>
  <si>
    <t>Kythnos</t>
  </si>
  <si>
    <t>GRPTL</t>
  </si>
  <si>
    <t>GRPKK</t>
  </si>
  <si>
    <t>Lakkion</t>
  </si>
  <si>
    <t>GRLRY</t>
  </si>
  <si>
    <t>Larymna</t>
  </si>
  <si>
    <t>GRLAV</t>
  </si>
  <si>
    <t>Laurium (Lavrion)</t>
  </si>
  <si>
    <t>GRLEV</t>
  </si>
  <si>
    <t>GRLEF</t>
  </si>
  <si>
    <t>Lefkandi</t>
  </si>
  <si>
    <t>GRLFK</t>
  </si>
  <si>
    <t>GRLND</t>
  </si>
  <si>
    <t>GRLRS</t>
  </si>
  <si>
    <t>Leros</t>
  </si>
  <si>
    <t>GRLII</t>
  </si>
  <si>
    <t>Limni</t>
  </si>
  <si>
    <t>GRLIA</t>
  </si>
  <si>
    <t>Linaria</t>
  </si>
  <si>
    <t>GRLDR</t>
  </si>
  <si>
    <t>Lindos Rodou</t>
  </si>
  <si>
    <t>GRLIN</t>
  </si>
  <si>
    <t>Linoperamata Hrakliou</t>
  </si>
  <si>
    <t>GRLIP</t>
  </si>
  <si>
    <t>GRLIX</t>
  </si>
  <si>
    <t>Lixuri</t>
  </si>
  <si>
    <t>GRLTR</t>
  </si>
  <si>
    <t>Loutro Chanion</t>
  </si>
  <si>
    <t>GRM8L</t>
  </si>
  <si>
    <t>GRMGL</t>
  </si>
  <si>
    <t>GRMSA</t>
  </si>
  <si>
    <t>Malessina</t>
  </si>
  <si>
    <t>GRMRM</t>
  </si>
  <si>
    <t>Marmari</t>
  </si>
  <si>
    <t>GRMXK</t>
  </si>
  <si>
    <t>Mastichari Kos</t>
  </si>
  <si>
    <t>GRMTR</t>
  </si>
  <si>
    <t>Mathraki Diapontioi Island</t>
  </si>
  <si>
    <t>GRMEG</t>
  </si>
  <si>
    <t>GRMGN</t>
  </si>
  <si>
    <t>GRMEN</t>
  </si>
  <si>
    <t>Menidi</t>
  </si>
  <si>
    <t>GRMEL</t>
  </si>
  <si>
    <t>GRMHI</t>
  </si>
  <si>
    <t>Mesta Hiou</t>
  </si>
  <si>
    <t>GRMET</t>
  </si>
  <si>
    <t>Methoni</t>
  </si>
  <si>
    <t>GRMYR</t>
  </si>
  <si>
    <t>GRMOL</t>
  </si>
  <si>
    <t>Molyvos</t>
  </si>
  <si>
    <t>GRMON</t>
  </si>
  <si>
    <t>GRMVO</t>
  </si>
  <si>
    <t>GRMDR</t>
  </si>
  <si>
    <t>GRMOU</t>
  </si>
  <si>
    <t>GRJMK</t>
  </si>
  <si>
    <t>Mykonos</t>
  </si>
  <si>
    <t>GRMYL</t>
  </si>
  <si>
    <t>Mylaki</t>
  </si>
  <si>
    <t>GRMYB</t>
  </si>
  <si>
    <t>Myrtos Beach</t>
  </si>
  <si>
    <t>GRMJT</t>
  </si>
  <si>
    <t>Mytilene</t>
  </si>
  <si>
    <t>GRNAF</t>
  </si>
  <si>
    <t>GRNAS</t>
  </si>
  <si>
    <t>Naoussa Parou</t>
  </si>
  <si>
    <t>GRNPK</t>
  </si>
  <si>
    <t>GRJNX</t>
  </si>
  <si>
    <t>GRNAR</t>
  </si>
  <si>
    <t>GRNKA</t>
  </si>
  <si>
    <t>GRNKV</t>
  </si>
  <si>
    <t>GRNMA</t>
  </si>
  <si>
    <t>GRNPY</t>
  </si>
  <si>
    <t>GRNST</t>
  </si>
  <si>
    <t>GRNEA</t>
  </si>
  <si>
    <t>Neapolis</t>
  </si>
  <si>
    <t>GRKAR</t>
  </si>
  <si>
    <t>GRNID</t>
  </si>
  <si>
    <t>GRNIS</t>
  </si>
  <si>
    <t>Nisiros</t>
  </si>
  <si>
    <t>GROIK</t>
  </si>
  <si>
    <t>Oia Kyklades</t>
  </si>
  <si>
    <t>GRORE</t>
  </si>
  <si>
    <t>Orei</t>
  </si>
  <si>
    <t>GRPNT</t>
  </si>
  <si>
    <t>GRORO</t>
  </si>
  <si>
    <t>Oropos</t>
  </si>
  <si>
    <t>GROTH</t>
  </si>
  <si>
    <t>GROUR</t>
  </si>
  <si>
    <t>GRPME</t>
  </si>
  <si>
    <t>Pachi</t>
  </si>
  <si>
    <t>GRPEP</t>
  </si>
  <si>
    <t>GRPFA</t>
  </si>
  <si>
    <t>GRPCH</t>
  </si>
  <si>
    <t>Paleochora</t>
  </si>
  <si>
    <t>GRPSF</t>
  </si>
  <si>
    <t>Paleohora Sfakion</t>
  </si>
  <si>
    <t>GRPAO</t>
  </si>
  <si>
    <t>GRPAR</t>
  </si>
  <si>
    <t>GRPAS</t>
  </si>
  <si>
    <t>GRPMS</t>
  </si>
  <si>
    <t>GRGPA</t>
  </si>
  <si>
    <t>Patras</t>
  </si>
  <si>
    <t>GRPAX</t>
  </si>
  <si>
    <t>Paxi</t>
  </si>
  <si>
    <t>GRPEL</t>
  </si>
  <si>
    <t>GRPER</t>
  </si>
  <si>
    <t>Perama</t>
  </si>
  <si>
    <t>GRPGM</t>
  </si>
  <si>
    <t>Perama Geras Mytilinis</t>
  </si>
  <si>
    <t>GRPRR</t>
  </si>
  <si>
    <t>Perea</t>
  </si>
  <si>
    <t>GRPSK</t>
  </si>
  <si>
    <t>Pessada Kefallinnias</t>
  </si>
  <si>
    <t>GRPEB</t>
  </si>
  <si>
    <t>Petani Beach</t>
  </si>
  <si>
    <t>GRPLV</t>
  </si>
  <si>
    <t>GRPRE</t>
  </si>
  <si>
    <t>Petries Evvoias</t>
  </si>
  <si>
    <t>GRPYV</t>
  </si>
  <si>
    <t>Peyki Evvoias</t>
  </si>
  <si>
    <t>GRPSE</t>
  </si>
  <si>
    <t>Phserimos Dodekanisou</t>
  </si>
  <si>
    <t>GRPIR</t>
  </si>
  <si>
    <t>Piraeus</t>
  </si>
  <si>
    <t>GRPIS</t>
  </si>
  <si>
    <t>Pissaetos Ithakis</t>
  </si>
  <si>
    <t>GRPIT</t>
  </si>
  <si>
    <t>Pitra</t>
  </si>
  <si>
    <t>GRPIA</t>
  </si>
  <si>
    <t>Platania</t>
  </si>
  <si>
    <t>GRPTI</t>
  </si>
  <si>
    <t>Plataria</t>
  </si>
  <si>
    <t>GRP5T</t>
  </si>
  <si>
    <t>Platy</t>
  </si>
  <si>
    <t>GRPLG</t>
  </si>
  <si>
    <t>Platygiali Etoloakarnanias</t>
  </si>
  <si>
    <t>GRPLM</t>
  </si>
  <si>
    <t>GRPTK</t>
  </si>
  <si>
    <t>GRPLC</t>
  </si>
  <si>
    <t>Polychnitos Lesvou</t>
  </si>
  <si>
    <t>GRPKE</t>
  </si>
  <si>
    <t>Poros Kefallinias</t>
  </si>
  <si>
    <t>GRPTR</t>
  </si>
  <si>
    <t>Poros Trizinias</t>
  </si>
  <si>
    <t>GRVTH</t>
  </si>
  <si>
    <t>GRPHE</t>
  </si>
  <si>
    <t>Porto Heli</t>
  </si>
  <si>
    <t>GRPOA</t>
  </si>
  <si>
    <t>Potamos Antikithera</t>
  </si>
  <si>
    <t>GRPVK</t>
  </si>
  <si>
    <t>Preveza/Lefkas</t>
  </si>
  <si>
    <t>GRPPI</t>
  </si>
  <si>
    <t>Prinos Thassou</t>
  </si>
  <si>
    <t>GRDSD</t>
  </si>
  <si>
    <t>GRPRO</t>
  </si>
  <si>
    <t>GRPSA</t>
  </si>
  <si>
    <t>GRPAA</t>
  </si>
  <si>
    <t>GRPTE</t>
  </si>
  <si>
    <t>Pteleos</t>
  </si>
  <si>
    <t>GRPLI</t>
  </si>
  <si>
    <t>Pyli</t>
  </si>
  <si>
    <t>GRPYL</t>
  </si>
  <si>
    <t>GRPYR</t>
  </si>
  <si>
    <t>Pyrgos</t>
  </si>
  <si>
    <t>GRPYT</t>
  </si>
  <si>
    <t>GRRAF</t>
  </si>
  <si>
    <t>Rafina</t>
  </si>
  <si>
    <t>GRRET</t>
  </si>
  <si>
    <t>GRREV</t>
  </si>
  <si>
    <t>Revithoussa</t>
  </si>
  <si>
    <t>GRRHO</t>
  </si>
  <si>
    <t>GRRIO</t>
  </si>
  <si>
    <t>Rio</t>
  </si>
  <si>
    <t>GRRIZ</t>
  </si>
  <si>
    <t>GRSGT</t>
  </si>
  <si>
    <t>Sagiada Thesprotias</t>
  </si>
  <si>
    <t>GRSGB</t>
  </si>
  <si>
    <t>GRSTN</t>
  </si>
  <si>
    <t>Saint Nicolas</t>
  </si>
  <si>
    <t>GRSAL</t>
  </si>
  <si>
    <t>GRSNK</t>
  </si>
  <si>
    <t>Salonika</t>
  </si>
  <si>
    <t>GRSAI</t>
  </si>
  <si>
    <t>GRSMI</t>
  </si>
  <si>
    <t>Samos</t>
  </si>
  <si>
    <t>GRSAM</t>
  </si>
  <si>
    <t>GRSHC</t>
  </si>
  <si>
    <t>Schinousa Kykladon</t>
  </si>
  <si>
    <t>GRZAQ</t>
  </si>
  <si>
    <t>GRSER</t>
  </si>
  <si>
    <t>GRSHI</t>
  </si>
  <si>
    <t>Shinari Zakynthou</t>
  </si>
  <si>
    <t>GRSGR</t>
  </si>
  <si>
    <t>Sigri Lesvou</t>
  </si>
  <si>
    <t>GRSGI</t>
  </si>
  <si>
    <t>Sigrion</t>
  </si>
  <si>
    <t>GRSII</t>
  </si>
  <si>
    <t>Sikinos</t>
  </si>
  <si>
    <t>GRSIK</t>
  </si>
  <si>
    <t>Sikionia</t>
  </si>
  <si>
    <t>GRJSH</t>
  </si>
  <si>
    <t>GRSKD</t>
  </si>
  <si>
    <t>Skafidia</t>
  </si>
  <si>
    <t>GRSKM</t>
  </si>
  <si>
    <t>GRSKA</t>
  </si>
  <si>
    <t>GRJSI</t>
  </si>
  <si>
    <t>GRSKU</t>
  </si>
  <si>
    <t>GRSKO</t>
  </si>
  <si>
    <t>Skopelos</t>
  </si>
  <si>
    <t>GRSFN</t>
  </si>
  <si>
    <t>GRSOG</t>
  </si>
  <si>
    <t>Sougia Chanion</t>
  </si>
  <si>
    <t>GRSOR</t>
  </si>
  <si>
    <t>Soupri</t>
  </si>
  <si>
    <t>GRSLA</t>
  </si>
  <si>
    <t>Souvala</t>
  </si>
  <si>
    <t>GRSPE</t>
  </si>
  <si>
    <t>GRSCR</t>
  </si>
  <si>
    <t>Stavrochorion</t>
  </si>
  <si>
    <t>GRSHA</t>
  </si>
  <si>
    <t>Stavros Halkidikis</t>
  </si>
  <si>
    <t>GRSTI</t>
  </si>
  <si>
    <t>Stratoni</t>
  </si>
  <si>
    <t>GRSYS</t>
  </si>
  <si>
    <t>GRSUD</t>
  </si>
  <si>
    <t>Suda Bay</t>
  </si>
  <si>
    <t>GRSYM</t>
  </si>
  <si>
    <t>Symi</t>
  </si>
  <si>
    <t>GRJSY</t>
  </si>
  <si>
    <t>Syra (Syros)</t>
  </si>
  <si>
    <t>GRTVR</t>
  </si>
  <si>
    <t>GRTSO</t>
  </si>
  <si>
    <t>Thasos</t>
  </si>
  <si>
    <t>GRSKG</t>
  </si>
  <si>
    <t>GRTKO</t>
  </si>
  <si>
    <t>Thessi Kyrillo</t>
  </si>
  <si>
    <t>GRJTR</t>
  </si>
  <si>
    <t>GRTRS</t>
  </si>
  <si>
    <t>GRTHM</t>
  </si>
  <si>
    <t>Thymaina Island</t>
  </si>
  <si>
    <t>GRTIL</t>
  </si>
  <si>
    <t>Tilos</t>
  </si>
  <si>
    <t>GRTIN</t>
  </si>
  <si>
    <t>GRTLA</t>
  </si>
  <si>
    <t>Tolo Argolidos</t>
  </si>
  <si>
    <t>GRTRK</t>
  </si>
  <si>
    <t>Trikeri</t>
  </si>
  <si>
    <t>GRTRY</t>
  </si>
  <si>
    <t>Trypiti Chalkidikis</t>
  </si>
  <si>
    <t>GRTSI</t>
  </si>
  <si>
    <t>GRVSS</t>
  </si>
  <si>
    <t>Vassiliki Leykadas</t>
  </si>
  <si>
    <t>GRVAB</t>
  </si>
  <si>
    <t>Vatika Bay</t>
  </si>
  <si>
    <t>GRVLC</t>
  </si>
  <si>
    <t>Volissos (Limnia) Chios</t>
  </si>
  <si>
    <t>GRVOL</t>
  </si>
  <si>
    <t>GRVLM</t>
  </si>
  <si>
    <t>GRVRI</t>
  </si>
  <si>
    <t>GRXKB</t>
  </si>
  <si>
    <t>GRYLI</t>
  </si>
  <si>
    <t>Yali Island</t>
  </si>
  <si>
    <t>GRYAL</t>
  </si>
  <si>
    <t>Yaltra</t>
  </si>
  <si>
    <t>GRYER</t>
  </si>
  <si>
    <t>GRZTH</t>
  </si>
  <si>
    <t>GSGRV</t>
  </si>
  <si>
    <t>Grytviken</t>
  </si>
  <si>
    <t>GSLEH</t>
  </si>
  <si>
    <t>Leith Harbour</t>
  </si>
  <si>
    <t>GTCHR</t>
  </si>
  <si>
    <t>Champerico</t>
  </si>
  <si>
    <t>GTE8C</t>
  </si>
  <si>
    <t>El Carmen</t>
  </si>
  <si>
    <t>GTELE</t>
  </si>
  <si>
    <t>El Estor</t>
  </si>
  <si>
    <t>GTLAA</t>
  </si>
  <si>
    <t>La Aurora</t>
  </si>
  <si>
    <t>GTLIV</t>
  </si>
  <si>
    <t>GTPBR</t>
  </si>
  <si>
    <t>Puerto Barrios</t>
  </si>
  <si>
    <t>GTPRQ</t>
  </si>
  <si>
    <t>Puerto Quetzal</t>
  </si>
  <si>
    <t>GTSTC</t>
  </si>
  <si>
    <t>GTRIO</t>
  </si>
  <si>
    <t>GTSNJ</t>
  </si>
  <si>
    <t>San Jose</t>
  </si>
  <si>
    <t>GTTUC</t>
  </si>
  <si>
    <t>Tecun Uman</t>
  </si>
  <si>
    <t>GTVIN</t>
  </si>
  <si>
    <t>Villa Nueva</t>
  </si>
  <si>
    <t>GUAPR</t>
  </si>
  <si>
    <t>Apra (Agana)</t>
  </si>
  <si>
    <t>GUBRR</t>
  </si>
  <si>
    <t>Barrigada</t>
  </si>
  <si>
    <t>GUGUM</t>
  </si>
  <si>
    <t>Guam</t>
  </si>
  <si>
    <t>GWBNT</t>
  </si>
  <si>
    <t>Binta</t>
  </si>
  <si>
    <t>GWOXB</t>
  </si>
  <si>
    <t>Bissau</t>
  </si>
  <si>
    <t>GWBOL</t>
  </si>
  <si>
    <t>Bolama</t>
  </si>
  <si>
    <t>GWBQE</t>
  </si>
  <si>
    <t>Bubaque</t>
  </si>
  <si>
    <t>GWCAC</t>
  </si>
  <si>
    <t>Cacheu</t>
  </si>
  <si>
    <t>GWCJA</t>
  </si>
  <si>
    <t>Canjaja</t>
  </si>
  <si>
    <t>GWFAR</t>
  </si>
  <si>
    <t>Farim</t>
  </si>
  <si>
    <t>GYANT</t>
  </si>
  <si>
    <t>Adventure</t>
  </si>
  <si>
    <t>GYGFO</t>
  </si>
  <si>
    <t>Bartica</t>
  </si>
  <si>
    <t>GYEVR</t>
  </si>
  <si>
    <t>Everton</t>
  </si>
  <si>
    <t>GYGEO</t>
  </si>
  <si>
    <t>Georgetown</t>
  </si>
  <si>
    <t>GYLDN</t>
  </si>
  <si>
    <t>Linden</t>
  </si>
  <si>
    <t>GYNAM</t>
  </si>
  <si>
    <t>New Amsterdam</t>
  </si>
  <si>
    <t>HKABD</t>
  </si>
  <si>
    <t>HKALC</t>
  </si>
  <si>
    <t>Ap Lei Chau</t>
  </si>
  <si>
    <t>HKCWB</t>
  </si>
  <si>
    <t>Causeway Bay</t>
  </si>
  <si>
    <t>HKHKC</t>
  </si>
  <si>
    <t>Ha Kwai Chung</t>
  </si>
  <si>
    <t>HKHKG</t>
  </si>
  <si>
    <t>Hong Kong</t>
  </si>
  <si>
    <t>HKKWN</t>
  </si>
  <si>
    <t>Kowloon</t>
  </si>
  <si>
    <t>HKLAM</t>
  </si>
  <si>
    <t>Lamma Island</t>
  </si>
  <si>
    <t>HKTOL</t>
  </si>
  <si>
    <t>Tolo Harbour</t>
  </si>
  <si>
    <t>HKTST</t>
  </si>
  <si>
    <t>Tsim Sha Tsui</t>
  </si>
  <si>
    <t>HKVIC</t>
  </si>
  <si>
    <t>HKWNI</t>
  </si>
  <si>
    <t>Wan Chai</t>
  </si>
  <si>
    <t>HKYUE</t>
  </si>
  <si>
    <t>Yuen Long</t>
  </si>
  <si>
    <t>HMHEA</t>
  </si>
  <si>
    <t>Heard Island</t>
  </si>
  <si>
    <t>HMMCD</t>
  </si>
  <si>
    <t>McDonald Island</t>
  </si>
  <si>
    <t>HNAMP</t>
  </si>
  <si>
    <t>Amapala</t>
  </si>
  <si>
    <t>HNGJA</t>
  </si>
  <si>
    <t>Guanaja</t>
  </si>
  <si>
    <t>HNHNN</t>
  </si>
  <si>
    <t>Henecan</t>
  </si>
  <si>
    <t>HNLCE</t>
  </si>
  <si>
    <t>La Ceiba</t>
  </si>
  <si>
    <t>HNOMO</t>
  </si>
  <si>
    <t>Omoa</t>
  </si>
  <si>
    <t>HNPCA</t>
  </si>
  <si>
    <t>Puerto Castilla</t>
  </si>
  <si>
    <t>HNPCR</t>
  </si>
  <si>
    <t>HNRTB</t>
  </si>
  <si>
    <t>HNSLO</t>
  </si>
  <si>
    <t>HNSAP</t>
  </si>
  <si>
    <t>San Pedro Sula</t>
  </si>
  <si>
    <t>HNTGU</t>
  </si>
  <si>
    <t>Tegucigalpa</t>
  </si>
  <si>
    <t>HNTEA</t>
  </si>
  <si>
    <t>Tela</t>
  </si>
  <si>
    <t>HNTJI</t>
  </si>
  <si>
    <t>Trujillo</t>
  </si>
  <si>
    <t>HRALJ</t>
  </si>
  <si>
    <t>Aljmas</t>
  </si>
  <si>
    <t>HRATL</t>
  </si>
  <si>
    <t>Antenal</t>
  </si>
  <si>
    <t>HRBAK</t>
  </si>
  <si>
    <t>Bakar</t>
  </si>
  <si>
    <t>HRBAS</t>
  </si>
  <si>
    <t>Baska</t>
  </si>
  <si>
    <t>HRBAT</t>
  </si>
  <si>
    <t>Batina</t>
  </si>
  <si>
    <t>HRBLC</t>
  </si>
  <si>
    <t>Belisce</t>
  </si>
  <si>
    <t>HRBNM</t>
  </si>
  <si>
    <t>Biograd na Moru</t>
  </si>
  <si>
    <t>HRBLE</t>
  </si>
  <si>
    <t>Blace</t>
  </si>
  <si>
    <t>HRBOL</t>
  </si>
  <si>
    <t>Bol</t>
  </si>
  <si>
    <t>HRBOR</t>
  </si>
  <si>
    <t>Borovo</t>
  </si>
  <si>
    <t>HRBRV</t>
  </si>
  <si>
    <t>Borovo Selo</t>
  </si>
  <si>
    <t>HRBZA</t>
  </si>
  <si>
    <t>Bozava</t>
  </si>
  <si>
    <t>HRBRB</t>
  </si>
  <si>
    <t>Brbinj/Lucina</t>
  </si>
  <si>
    <t>HRBRI</t>
  </si>
  <si>
    <t>Brioni</t>
  </si>
  <si>
    <t>HRCVT</t>
  </si>
  <si>
    <t>Cavtat</t>
  </si>
  <si>
    <t>HRCRS</t>
  </si>
  <si>
    <t>Cres</t>
  </si>
  <si>
    <t>HRCRA</t>
  </si>
  <si>
    <t>Crikvenica</t>
  </si>
  <si>
    <t>HRDLJ</t>
  </si>
  <si>
    <t>Dalj</t>
  </si>
  <si>
    <t>HRDAL</t>
  </si>
  <si>
    <t>Dalmacia</t>
  </si>
  <si>
    <t>HRDNC</t>
  </si>
  <si>
    <t>Donje Celo</t>
  </si>
  <si>
    <t>HRDRK</t>
  </si>
  <si>
    <t>Drvenik</t>
  </si>
  <si>
    <t>HRDBV</t>
  </si>
  <si>
    <t>Dubrovnik</t>
  </si>
  <si>
    <t>HRRES</t>
  </si>
  <si>
    <t>Duga Resa</t>
  </si>
  <si>
    <t>HRDUR</t>
  </si>
  <si>
    <t>Dugi Rat</t>
  </si>
  <si>
    <t>HRERD</t>
  </si>
  <si>
    <t>Erdut</t>
  </si>
  <si>
    <t>HRFNA</t>
  </si>
  <si>
    <t>Fazana</t>
  </si>
  <si>
    <t>HRFIL</t>
  </si>
  <si>
    <t>Filipjakov</t>
  </si>
  <si>
    <t>HRGNA</t>
  </si>
  <si>
    <t>Gazenica</t>
  </si>
  <si>
    <t>HRHVA</t>
  </si>
  <si>
    <t>Hvar</t>
  </si>
  <si>
    <t>HRILO</t>
  </si>
  <si>
    <t>Ilok</t>
  </si>
  <si>
    <t>HRIST</t>
  </si>
  <si>
    <t>Ist</t>
  </si>
  <si>
    <t>HRJAB</t>
  </si>
  <si>
    <t>Jablanac</t>
  </si>
  <si>
    <t>HRJDR</t>
  </si>
  <si>
    <t>Jadrija</t>
  </si>
  <si>
    <t>HRJSA</t>
  </si>
  <si>
    <t>Jelsa</t>
  </si>
  <si>
    <t>HRKAL</t>
  </si>
  <si>
    <t>Kali</t>
  </si>
  <si>
    <t>HRKFR</t>
  </si>
  <si>
    <t>Kanfanar</t>
  </si>
  <si>
    <t>HRKPR</t>
  </si>
  <si>
    <t>Kaprije</t>
  </si>
  <si>
    <t>HRKAB</t>
  </si>
  <si>
    <t>Karlobag</t>
  </si>
  <si>
    <t>HRKJV</t>
  </si>
  <si>
    <t>Kijevo</t>
  </si>
  <si>
    <t>HRKLK</t>
  </si>
  <si>
    <t>Klek</t>
  </si>
  <si>
    <t>HRKMN</t>
  </si>
  <si>
    <t>Klimno</t>
  </si>
  <si>
    <t>HRKZA</t>
  </si>
  <si>
    <t>Kneza</t>
  </si>
  <si>
    <t>HRKMZ</t>
  </si>
  <si>
    <t>Komiza</t>
  </si>
  <si>
    <t>HRKOR</t>
  </si>
  <si>
    <t>Korcula</t>
  </si>
  <si>
    <t>HRKRM</t>
  </si>
  <si>
    <t>Koromacno</t>
  </si>
  <si>
    <t>HRKOS</t>
  </si>
  <si>
    <t>Kostrena</t>
  </si>
  <si>
    <t>HRKRA</t>
  </si>
  <si>
    <t>Kraljevica</t>
  </si>
  <si>
    <t>HRKRK</t>
  </si>
  <si>
    <t>Krk</t>
  </si>
  <si>
    <t>HRKUK</t>
  </si>
  <si>
    <t>Kukljica</t>
  </si>
  <si>
    <t>HRLAM</t>
  </si>
  <si>
    <t>Lamjane</t>
  </si>
  <si>
    <t>HRLST</t>
  </si>
  <si>
    <t>Lastovo</t>
  </si>
  <si>
    <t>HRLKR</t>
  </si>
  <si>
    <t>Lokrum</t>
  </si>
  <si>
    <t>HRLPR</t>
  </si>
  <si>
    <t>Lopar</t>
  </si>
  <si>
    <t>HRLPD</t>
  </si>
  <si>
    <t>Lopud</t>
  </si>
  <si>
    <t>HRMAK</t>
  </si>
  <si>
    <t>Makarska</t>
  </si>
  <si>
    <t>HRMIZ</t>
  </si>
  <si>
    <t>Mali Iz</t>
  </si>
  <si>
    <t>HRLSZ</t>
  </si>
  <si>
    <t>Mali Losinj</t>
  </si>
  <si>
    <t>HRMAL</t>
  </si>
  <si>
    <t>Malinska</t>
  </si>
  <si>
    <t>HRMTA</t>
  </si>
  <si>
    <t>Martinscica</t>
  </si>
  <si>
    <t>HRMAS</t>
  </si>
  <si>
    <t>Maslenica</t>
  </si>
  <si>
    <t>HRMRG</t>
  </si>
  <si>
    <t>Merag</t>
  </si>
  <si>
    <t>HRMET</t>
  </si>
  <si>
    <t>Metkovic</t>
  </si>
  <si>
    <t>HRMIL</t>
  </si>
  <si>
    <t>Milna</t>
  </si>
  <si>
    <t>HRMNK</t>
  </si>
  <si>
    <t>Misnjak</t>
  </si>
  <si>
    <t>HRMHV</t>
  </si>
  <si>
    <t>Mohovo</t>
  </si>
  <si>
    <t>HRMOM</t>
  </si>
  <si>
    <t>Momjan</t>
  </si>
  <si>
    <t>HRMOD</t>
  </si>
  <si>
    <t>Moscenicka Draga</t>
  </si>
  <si>
    <t>HRMRJ</t>
  </si>
  <si>
    <t>Muna na Zirju</t>
  </si>
  <si>
    <t>HRMUR</t>
  </si>
  <si>
    <t>Murter</t>
  </si>
  <si>
    <t>HRNRZ</t>
  </si>
  <si>
    <t>Nerezine</t>
  </si>
  <si>
    <t>HRNOV</t>
  </si>
  <si>
    <t>Novaglia</t>
  </si>
  <si>
    <t>HRNVL</t>
  </si>
  <si>
    <t>Novalja</t>
  </si>
  <si>
    <t>HRNVD</t>
  </si>
  <si>
    <t>Novi Vinodolski</t>
  </si>
  <si>
    <t>HRNVG</t>
  </si>
  <si>
    <t>Novigrad</t>
  </si>
  <si>
    <t>HRONJ</t>
  </si>
  <si>
    <t>Obonjan</t>
  </si>
  <si>
    <t>HROMS</t>
  </si>
  <si>
    <t>Omis</t>
  </si>
  <si>
    <t>HROMI</t>
  </si>
  <si>
    <t>Omisalj</t>
  </si>
  <si>
    <t>HROPA</t>
  </si>
  <si>
    <t>Opatija</t>
  </si>
  <si>
    <t>HROPT</t>
  </si>
  <si>
    <t>Opatovac</t>
  </si>
  <si>
    <t>HRORB</t>
  </si>
  <si>
    <t>Orebic</t>
  </si>
  <si>
    <t>HROSI</t>
  </si>
  <si>
    <t>Osijek</t>
  </si>
  <si>
    <t>HRPAG</t>
  </si>
  <si>
    <t>Pag</t>
  </si>
  <si>
    <t>HRPAS</t>
  </si>
  <si>
    <t>Pasman</t>
  </si>
  <si>
    <t>HRPLE</t>
  </si>
  <si>
    <t>Ploce</t>
  </si>
  <si>
    <t>HRPLM</t>
  </si>
  <si>
    <t>Plomin</t>
  </si>
  <si>
    <t>HRPLA</t>
  </si>
  <si>
    <t>Polace</t>
  </si>
  <si>
    <t>HRPMN</t>
  </si>
  <si>
    <t>Pomena</t>
  </si>
  <si>
    <t>HRPOR</t>
  </si>
  <si>
    <t>Porec</t>
  </si>
  <si>
    <t>HRPRZ</t>
  </si>
  <si>
    <t>Porozina</t>
  </si>
  <si>
    <t>HRPRP</t>
  </si>
  <si>
    <t>Prapratno</t>
  </si>
  <si>
    <t>HRPRE</t>
  </si>
  <si>
    <t>Preko</t>
  </si>
  <si>
    <t>HRPRI</t>
  </si>
  <si>
    <t>Primosten</t>
  </si>
  <si>
    <t>HRPRN</t>
  </si>
  <si>
    <t>Prizna</t>
  </si>
  <si>
    <t>HRPRV</t>
  </si>
  <si>
    <t>Prvic</t>
  </si>
  <si>
    <t>HRPRS</t>
  </si>
  <si>
    <t>Prvic Sepurine</t>
  </si>
  <si>
    <t>HRPCA</t>
  </si>
  <si>
    <t>Pucisca</t>
  </si>
  <si>
    <t>HRPUY</t>
  </si>
  <si>
    <t>Pula</t>
  </si>
  <si>
    <t>HRPNT</t>
  </si>
  <si>
    <t>Punat</t>
  </si>
  <si>
    <t>HRRAB</t>
  </si>
  <si>
    <t>Rab</t>
  </si>
  <si>
    <t>HRRBC</t>
  </si>
  <si>
    <t>Rabac</t>
  </si>
  <si>
    <t>HRRAS</t>
  </si>
  <si>
    <t>Rasa</t>
  </si>
  <si>
    <t>HRRJK</t>
  </si>
  <si>
    <t>Rijeka</t>
  </si>
  <si>
    <t>HRXXX</t>
  </si>
  <si>
    <t>HRRGC</t>
  </si>
  <si>
    <t>Rogac</t>
  </si>
  <si>
    <t>HRRGN</t>
  </si>
  <si>
    <t>Rogoznica</t>
  </si>
  <si>
    <t>HRROV</t>
  </si>
  <si>
    <t>Rovinj</t>
  </si>
  <si>
    <t>HRRVC</t>
  </si>
  <si>
    <t>Rugvica</t>
  </si>
  <si>
    <t>HRSAL</t>
  </si>
  <si>
    <t>Sali</t>
  </si>
  <si>
    <t>HRSRG</t>
  </si>
  <si>
    <t>Sarengrad</t>
  </si>
  <si>
    <t>HRSLC</t>
  </si>
  <si>
    <t>Selce</t>
  </si>
  <si>
    <t>HRSEN</t>
  </si>
  <si>
    <t>Senj</t>
  </si>
  <si>
    <t>HRSIB</t>
  </si>
  <si>
    <t>Sibenik</t>
  </si>
  <si>
    <t>HRSIL</t>
  </si>
  <si>
    <t>Silba</t>
  </si>
  <si>
    <t>HRSLO</t>
  </si>
  <si>
    <t>Silo</t>
  </si>
  <si>
    <t>HRSIS</t>
  </si>
  <si>
    <t>Sisak</t>
  </si>
  <si>
    <t>HRSRD</t>
  </si>
  <si>
    <t>Skradin</t>
  </si>
  <si>
    <t>HRSLA</t>
  </si>
  <si>
    <t>Slano</t>
  </si>
  <si>
    <t>HRSLT</t>
  </si>
  <si>
    <t>Slatine</t>
  </si>
  <si>
    <t>HRSBD</t>
  </si>
  <si>
    <t>Slavonski Brod</t>
  </si>
  <si>
    <t>HRSBR</t>
  </si>
  <si>
    <t>Sobra</t>
  </si>
  <si>
    <t>HRSPU</t>
  </si>
  <si>
    <t>Split</t>
  </si>
  <si>
    <t>HRSPL</t>
  </si>
  <si>
    <t>Splitska</t>
  </si>
  <si>
    <t>HRSGD</t>
  </si>
  <si>
    <t>Stari Grad</t>
  </si>
  <si>
    <t>HRSGR</t>
  </si>
  <si>
    <t>Starigrad</t>
  </si>
  <si>
    <t>HRSTM</t>
  </si>
  <si>
    <t>Stomorska</t>
  </si>
  <si>
    <t>HRSTO</t>
  </si>
  <si>
    <t>Ston</t>
  </si>
  <si>
    <t>HRSUR</t>
  </si>
  <si>
    <t>Sucurac</t>
  </si>
  <si>
    <t>HRSUC</t>
  </si>
  <si>
    <t>Sucuraj</t>
  </si>
  <si>
    <t>HRSDR</t>
  </si>
  <si>
    <t>Sudurad</t>
  </si>
  <si>
    <t>HRSMN</t>
  </si>
  <si>
    <t>Sumartin</t>
  </si>
  <si>
    <t>HRSUP</t>
  </si>
  <si>
    <t>Supetar</t>
  </si>
  <si>
    <t>HRSSK</t>
  </si>
  <si>
    <t>Susak</t>
  </si>
  <si>
    <t>HRSUS</t>
  </si>
  <si>
    <t>HRSTP</t>
  </si>
  <si>
    <t>Sustjepan</t>
  </si>
  <si>
    <t>HRSUT</t>
  </si>
  <si>
    <t>Sutivan</t>
  </si>
  <si>
    <t>HRSVJ</t>
  </si>
  <si>
    <t>Sveti Juraj</t>
  </si>
  <si>
    <t>HRSVK</t>
  </si>
  <si>
    <t>Sveti Kajo</t>
  </si>
  <si>
    <t>HRTNO</t>
  </si>
  <si>
    <t>Tisno</t>
  </si>
  <si>
    <t>HRTKN</t>
  </si>
  <si>
    <t>Tkon</t>
  </si>
  <si>
    <t>HRTRI</t>
  </si>
  <si>
    <t>Tribunj</t>
  </si>
  <si>
    <t>HRTRO</t>
  </si>
  <si>
    <t>Trogir</t>
  </si>
  <si>
    <t>HRTRJ</t>
  </si>
  <si>
    <t>Trpanj</t>
  </si>
  <si>
    <t>HRTRK</t>
  </si>
  <si>
    <t>Trstenik</t>
  </si>
  <si>
    <t>HRTNR</t>
  </si>
  <si>
    <t>Tunarica</t>
  </si>
  <si>
    <t>HRTUR</t>
  </si>
  <si>
    <t>Turanj</t>
  </si>
  <si>
    <t>HRUBL</t>
  </si>
  <si>
    <t>Ubli</t>
  </si>
  <si>
    <t>HRUMG</t>
  </si>
  <si>
    <t>Umag</t>
  </si>
  <si>
    <t>HRUNJ</t>
  </si>
  <si>
    <t>Unije</t>
  </si>
  <si>
    <t>HRUVM</t>
  </si>
  <si>
    <t>Uvala Mir</t>
  </si>
  <si>
    <t>HRVLB</t>
  </si>
  <si>
    <t>Valbiska</t>
  </si>
  <si>
    <t>HRVLK</t>
  </si>
  <si>
    <t>Vela Luka</t>
  </si>
  <si>
    <t>HRVIZ</t>
  </si>
  <si>
    <t>Veli Iz</t>
  </si>
  <si>
    <t>HRVLN</t>
  </si>
  <si>
    <t>Veli Losinj</t>
  </si>
  <si>
    <t>HR9SA</t>
  </si>
  <si>
    <t>Velika Mlaka</t>
  </si>
  <si>
    <t>HRVGN</t>
  </si>
  <si>
    <t>Viganj</t>
  </si>
  <si>
    <t>HRVIS</t>
  </si>
  <si>
    <t>Vis</t>
  </si>
  <si>
    <t>HRVDC</t>
  </si>
  <si>
    <t>Vodice</t>
  </si>
  <si>
    <t>HRVRA</t>
  </si>
  <si>
    <t>Vranjic</t>
  </si>
  <si>
    <t>HRVRK</t>
  </si>
  <si>
    <t>Vrbnik</t>
  </si>
  <si>
    <t>HRVRS</t>
  </si>
  <si>
    <t>Vrboska</t>
  </si>
  <si>
    <t>HRVRG</t>
  </si>
  <si>
    <t>Vrgada</t>
  </si>
  <si>
    <t>HRVRR</t>
  </si>
  <si>
    <t>Vrsar</t>
  </si>
  <si>
    <t>HRVUK</t>
  </si>
  <si>
    <t>Vukovar</t>
  </si>
  <si>
    <t>HRZAD</t>
  </si>
  <si>
    <t>Zadar</t>
  </si>
  <si>
    <t>HRZGL</t>
  </si>
  <si>
    <t>Zigljen</t>
  </si>
  <si>
    <t>HRZLR</t>
  </si>
  <si>
    <t>Zlarin</t>
  </si>
  <si>
    <t>HRZUT</t>
  </si>
  <si>
    <t>Zut Marina</t>
  </si>
  <si>
    <t>HTSMC</t>
  </si>
  <si>
    <t>Baie de Saint-Marc</t>
  </si>
  <si>
    <t>HTCAP</t>
  </si>
  <si>
    <t>HTCRC</t>
  </si>
  <si>
    <t>Caracol</t>
  </si>
  <si>
    <t>HTFOM</t>
  </si>
  <si>
    <t>Fond Mombin</t>
  </si>
  <si>
    <t>HTFLI</t>
  </si>
  <si>
    <t>Fort Liberte</t>
  </si>
  <si>
    <t>HTGVS</t>
  </si>
  <si>
    <t>HTJAK</t>
  </si>
  <si>
    <t>Jacmel</t>
  </si>
  <si>
    <t>HTJEE</t>
  </si>
  <si>
    <t>HTLFF</t>
  </si>
  <si>
    <t>Laffiteau</t>
  </si>
  <si>
    <t>HTACA</t>
  </si>
  <si>
    <t>Les Cayes</t>
  </si>
  <si>
    <t>HTMIR</t>
  </si>
  <si>
    <t>Miragoane</t>
  </si>
  <si>
    <t>HTPEG</t>
  </si>
  <si>
    <t>HTPAP</t>
  </si>
  <si>
    <t>Port-au-Prince</t>
  </si>
  <si>
    <t>HUADY</t>
  </si>
  <si>
    <t>Adony</t>
  </si>
  <si>
    <t>HUAFU</t>
  </si>
  <si>
    <t>HUALS</t>
  </si>
  <si>
    <t>HUASZ</t>
  </si>
  <si>
    <t>Alsozsolca</t>
  </si>
  <si>
    <t>HUAKT</t>
  </si>
  <si>
    <t>HUZAR</t>
  </si>
  <si>
    <t>Aszar</t>
  </si>
  <si>
    <t>HUBRS</t>
  </si>
  <si>
    <t>HUBZO</t>
  </si>
  <si>
    <t>HUBDA</t>
  </si>
  <si>
    <t>Berhida</t>
  </si>
  <si>
    <t>HUBZE</t>
  </si>
  <si>
    <t>Berzence</t>
  </si>
  <si>
    <t>HUBUD</t>
  </si>
  <si>
    <t>Budapest</t>
  </si>
  <si>
    <t>HUCPE</t>
  </si>
  <si>
    <t>Csepel</t>
  </si>
  <si>
    <t>HUCMR</t>
  </si>
  <si>
    <t>HUDEB</t>
  </si>
  <si>
    <t>Debrecen</t>
  </si>
  <si>
    <t>HUDPA</t>
  </si>
  <si>
    <t>Dunapataj</t>
  </si>
  <si>
    <t>HUDRE</t>
  </si>
  <si>
    <t>Dunaremete</t>
  </si>
  <si>
    <t>HUDUU</t>
  </si>
  <si>
    <t>HUDVE</t>
  </si>
  <si>
    <t>Dunavecse</t>
  </si>
  <si>
    <t>HUEBS</t>
  </si>
  <si>
    <t>Ebes</t>
  </si>
  <si>
    <t>HUERC</t>
  </si>
  <si>
    <t>Ercsi</t>
  </si>
  <si>
    <t>HUERD</t>
  </si>
  <si>
    <t>Erdobenye</t>
  </si>
  <si>
    <t>HUEST</t>
  </si>
  <si>
    <t>Esztergom</t>
  </si>
  <si>
    <t>HUFVS</t>
  </si>
  <si>
    <t>Ferencvaros</t>
  </si>
  <si>
    <t>HUOOD</t>
  </si>
  <si>
    <t>HUGNY</t>
  </si>
  <si>
    <t>HUGYO</t>
  </si>
  <si>
    <t>Gyor</t>
  </si>
  <si>
    <t>HUHAL</t>
  </si>
  <si>
    <t>HUHRT</t>
  </si>
  <si>
    <t>Harta</t>
  </si>
  <si>
    <t>HUHYF</t>
  </si>
  <si>
    <t>Hegyfalu</t>
  </si>
  <si>
    <t>HUJKZ</t>
  </si>
  <si>
    <t>HUKCO</t>
  </si>
  <si>
    <t>Kalocsa</t>
  </si>
  <si>
    <t>HUKAR</t>
  </si>
  <si>
    <t>Karcag</t>
  </si>
  <si>
    <t>HUXEL</t>
  </si>
  <si>
    <t>Kecel</t>
  </si>
  <si>
    <t>HUKKU</t>
  </si>
  <si>
    <t>Kekkut</t>
  </si>
  <si>
    <t>HUKET</t>
  </si>
  <si>
    <t>Ketegyhaza</t>
  </si>
  <si>
    <t>HUKIA</t>
  </si>
  <si>
    <t>HUKOM</t>
  </si>
  <si>
    <t>HUKOR</t>
  </si>
  <si>
    <t>HULAB</t>
  </si>
  <si>
    <t>HULMY</t>
  </si>
  <si>
    <t>HUMTY</t>
  </si>
  <si>
    <t>HUMKN</t>
  </si>
  <si>
    <t>HUMCQ</t>
  </si>
  <si>
    <t>Miskolc</t>
  </si>
  <si>
    <t>HUMOH</t>
  </si>
  <si>
    <t>HUNGB</t>
  </si>
  <si>
    <t>Nagybajom</t>
  </si>
  <si>
    <t>HUNZA</t>
  </si>
  <si>
    <t>Nagyrada</t>
  </si>
  <si>
    <t>HUNSZ</t>
  </si>
  <si>
    <t>HUPAL</t>
  </si>
  <si>
    <t>HUXXX</t>
  </si>
  <si>
    <t>HURSP</t>
  </si>
  <si>
    <t>HUSZE</t>
  </si>
  <si>
    <t>Szeged</t>
  </si>
  <si>
    <t>HUSZD</t>
  </si>
  <si>
    <t>Szentendre</t>
  </si>
  <si>
    <t>HUPES</t>
  </si>
  <si>
    <t>HUSZM</t>
  </si>
  <si>
    <t>HUTHT</t>
  </si>
  <si>
    <t>Tahitotfalu</t>
  </si>
  <si>
    <t>HUTOJ</t>
  </si>
  <si>
    <t>Tokaj</t>
  </si>
  <si>
    <t>HUUPS</t>
  </si>
  <si>
    <t>HUVIG</t>
  </si>
  <si>
    <t>HUZTK</t>
  </si>
  <si>
    <t>Zlate Klasy</t>
  </si>
  <si>
    <t>HUZSI</t>
  </si>
  <si>
    <t>Zsira</t>
  </si>
  <si>
    <t>IDADB</t>
  </si>
  <si>
    <t>Adang Bay</t>
  </si>
  <si>
    <t>IDAKE</t>
  </si>
  <si>
    <t>Akeselaka</t>
  </si>
  <si>
    <t>IDAMA</t>
  </si>
  <si>
    <t>Amamapare, Ij</t>
  </si>
  <si>
    <t>IDAMQ</t>
  </si>
  <si>
    <t>Ambon, Molucas</t>
  </si>
  <si>
    <t>IDAPN</t>
  </si>
  <si>
    <t>Ampana</t>
  </si>
  <si>
    <t>IDAMP</t>
  </si>
  <si>
    <t>Ampenan, Bali</t>
  </si>
  <si>
    <t>IDANG</t>
  </si>
  <si>
    <t>Angar</t>
  </si>
  <si>
    <t>IDANO</t>
  </si>
  <si>
    <t>Anoa Natuna Pt.</t>
  </si>
  <si>
    <t>IDANR</t>
  </si>
  <si>
    <t>Anyer Kidul</t>
  </si>
  <si>
    <t>IDAJN</t>
  </si>
  <si>
    <t>Arjuna, Java</t>
  </si>
  <si>
    <t>IDARB</t>
  </si>
  <si>
    <t>Aroe Bay</t>
  </si>
  <si>
    <t>IDAUN</t>
  </si>
  <si>
    <t>Arun</t>
  </si>
  <si>
    <t>IDASI</t>
  </si>
  <si>
    <t>Asike</t>
  </si>
  <si>
    <t>IDBPN</t>
  </si>
  <si>
    <t>Balikpapan</t>
  </si>
  <si>
    <t>IDBLH</t>
  </si>
  <si>
    <t>Balohan</t>
  </si>
  <si>
    <t>IDBAL</t>
  </si>
  <si>
    <t>Balongan Terminal</t>
  </si>
  <si>
    <t>IDBGG</t>
  </si>
  <si>
    <t>Banggai</t>
  </si>
  <si>
    <t>IDBDJ</t>
  </si>
  <si>
    <t>Banjarmasin</t>
  </si>
  <si>
    <t>IDBJU</t>
  </si>
  <si>
    <t>Banjuwangi, Java</t>
  </si>
  <si>
    <t>IDBTN</t>
  </si>
  <si>
    <t>Banten</t>
  </si>
  <si>
    <t>IDBUR</t>
  </si>
  <si>
    <t>Batu Ampal</t>
  </si>
  <si>
    <t>IDBAK</t>
  </si>
  <si>
    <t>Batu Kilat</t>
  </si>
  <si>
    <t>IDBTW</t>
  </si>
  <si>
    <t>Batulicin</t>
  </si>
  <si>
    <t>IDBEK</t>
  </si>
  <si>
    <t>Bekapai Terminal</t>
  </si>
  <si>
    <t>IDBNT</t>
  </si>
  <si>
    <t>Belanak Terminal</t>
  </si>
  <si>
    <t>IDBLW</t>
  </si>
  <si>
    <t>Belawan, Sumatra</t>
  </si>
  <si>
    <t>IDBET</t>
  </si>
  <si>
    <t>Belida Terminal</t>
  </si>
  <si>
    <t>IDBLV</t>
  </si>
  <si>
    <t>Beliling</t>
  </si>
  <si>
    <t>IDBLT</t>
  </si>
  <si>
    <t>Belitung</t>
  </si>
  <si>
    <t>IDBEN</t>
  </si>
  <si>
    <t>Benete</t>
  </si>
  <si>
    <t>IDBKS</t>
  </si>
  <si>
    <t>Bengkulu, Sumatra</t>
  </si>
  <si>
    <t>IDBOA</t>
  </si>
  <si>
    <t>Benoa</t>
  </si>
  <si>
    <t>IDBIK</t>
  </si>
  <si>
    <t>Biak, Irian Jaya</t>
  </si>
  <si>
    <t>IDBMT</t>
  </si>
  <si>
    <t>Bima Terminal, Jv</t>
  </si>
  <si>
    <t>IDBMU</t>
  </si>
  <si>
    <t>Bima, Sb</t>
  </si>
  <si>
    <t>IDBIR</t>
  </si>
  <si>
    <t>Biringkassi</t>
  </si>
  <si>
    <t>IDBIT</t>
  </si>
  <si>
    <t>Bitung, Sulawesi</t>
  </si>
  <si>
    <t>IDBLL</t>
  </si>
  <si>
    <t>Blang Lancang, St</t>
  </si>
  <si>
    <t>IDBLI</t>
  </si>
  <si>
    <t>Blinju, Banka</t>
  </si>
  <si>
    <t>IDBNG</t>
  </si>
  <si>
    <t>Bonggala</t>
  </si>
  <si>
    <t>IDBXT</t>
  </si>
  <si>
    <t>Bontang, Kl</t>
  </si>
  <si>
    <t>IDBUA</t>
  </si>
  <si>
    <t>Bula</t>
  </si>
  <si>
    <t>IDBUG</t>
  </si>
  <si>
    <t>Buleleng, Bali</t>
  </si>
  <si>
    <t>IDBYQ</t>
  </si>
  <si>
    <t>Bunyu</t>
  </si>
  <si>
    <t>IDCSA</t>
  </si>
  <si>
    <t>Cape Sago</t>
  </si>
  <si>
    <t>IDCEB</t>
  </si>
  <si>
    <t>Celukan Bawang, Bl</t>
  </si>
  <si>
    <t>IDCER</t>
  </si>
  <si>
    <t>Cereweh</t>
  </si>
  <si>
    <t>IDSZA</t>
  </si>
  <si>
    <t>Cikande</t>
  </si>
  <si>
    <t>IDCXP</t>
  </si>
  <si>
    <t>Cilacap (Tjilatjap)</t>
  </si>
  <si>
    <t>IDCBN</t>
  </si>
  <si>
    <t>Cirebon (Tjeribon)</t>
  </si>
  <si>
    <t>IDCIW</t>
  </si>
  <si>
    <t>Ciwandan</t>
  </si>
  <si>
    <t>IDDAS</t>
  </si>
  <si>
    <t>Dabo, Singkep Isl</t>
  </si>
  <si>
    <t>IDDMA</t>
  </si>
  <si>
    <t>Demta</t>
  </si>
  <si>
    <t>IDDIV</t>
  </si>
  <si>
    <t>Diviematra</t>
  </si>
  <si>
    <t>IDDJA</t>
  </si>
  <si>
    <t>Djankar</t>
  </si>
  <si>
    <t>IDDOB</t>
  </si>
  <si>
    <t>Dobo</t>
  </si>
  <si>
    <t>IDDOG</t>
  </si>
  <si>
    <t>Donggi</t>
  </si>
  <si>
    <t>IDDUM</t>
  </si>
  <si>
    <t>Dumai, Sumatra</t>
  </si>
  <si>
    <t>IDSDA</t>
  </si>
  <si>
    <t>Durian</t>
  </si>
  <si>
    <t>IDELA</t>
  </si>
  <si>
    <t>Elat</t>
  </si>
  <si>
    <t>IDEXS</t>
  </si>
  <si>
    <t>Exspan</t>
  </si>
  <si>
    <t>IDFKQ</t>
  </si>
  <si>
    <t>Fak Fak, Irian Jaya</t>
  </si>
  <si>
    <t>IDGRG</t>
  </si>
  <si>
    <t>Gagak Rimang Fso</t>
  </si>
  <si>
    <t>IDGEE</t>
  </si>
  <si>
    <t>Gee Island</t>
  </si>
  <si>
    <t>IDGIL</t>
  </si>
  <si>
    <t>Gilimanuk, Bali</t>
  </si>
  <si>
    <t>IDGTO</t>
  </si>
  <si>
    <t>Gorontalo, Sulawesi</t>
  </si>
  <si>
    <t>IDGRE</t>
  </si>
  <si>
    <t>Gresik, Java</t>
  </si>
  <si>
    <t>IDGNS</t>
  </si>
  <si>
    <t>Gunung Sitoli, St</t>
  </si>
  <si>
    <t>IDINA</t>
  </si>
  <si>
    <t>Inanwatan</t>
  </si>
  <si>
    <t>IDIBT</t>
  </si>
  <si>
    <t>Indonesia Bulk Terminal</t>
  </si>
  <si>
    <t>IDJBK</t>
  </si>
  <si>
    <t>Jababeka</t>
  </si>
  <si>
    <t>IDJBT</t>
  </si>
  <si>
    <t>Jabung Terminal</t>
  </si>
  <si>
    <t>IDUTC</t>
  </si>
  <si>
    <t>Jakarta UTC1</t>
  </si>
  <si>
    <t>IDUTE</t>
  </si>
  <si>
    <t>Jakarta UTC3</t>
  </si>
  <si>
    <t>IDJKT</t>
  </si>
  <si>
    <t>Jakarta, Java</t>
  </si>
  <si>
    <t>IDDJB</t>
  </si>
  <si>
    <t>Jambi, Sumatra</t>
  </si>
  <si>
    <t>IDDJJ</t>
  </si>
  <si>
    <t>Jayapura, Irian Jaya</t>
  </si>
  <si>
    <t>IDJEP</t>
  </si>
  <si>
    <t>Jepara</t>
  </si>
  <si>
    <t>IDJIP</t>
  </si>
  <si>
    <t>Jogja Inland Port</t>
  </si>
  <si>
    <t>IDJOR</t>
  </si>
  <si>
    <t>Jorong Anchorage</t>
  </si>
  <si>
    <t>IDKAH</t>
  </si>
  <si>
    <t>Kahayan Bay</t>
  </si>
  <si>
    <t>IDKHY</t>
  </si>
  <si>
    <t>Kahyangan</t>
  </si>
  <si>
    <t>IDKNT</t>
  </si>
  <si>
    <t>Kakap Natuna Terminal</t>
  </si>
  <si>
    <t>IDKBH</t>
  </si>
  <si>
    <t>Kalabahi</t>
  </si>
  <si>
    <t>IDKSO</t>
  </si>
  <si>
    <t>Kalbut Situbondo</t>
  </si>
  <si>
    <t>IDKAM</t>
  </si>
  <si>
    <t>Kambunong, Celebes</t>
  </si>
  <si>
    <t>IDKPL</t>
  </si>
  <si>
    <t>Kampung Laut</t>
  </si>
  <si>
    <t>IDKRG</t>
  </si>
  <si>
    <t>Kariangau</t>
  </si>
  <si>
    <t>IDOKA</t>
  </si>
  <si>
    <t>IDKAR</t>
  </si>
  <si>
    <t>Karosa, Sulawesi</t>
  </si>
  <si>
    <t>IDKAS</t>
  </si>
  <si>
    <t>Kasim, Ij</t>
  </si>
  <si>
    <t>IDKSE</t>
  </si>
  <si>
    <t>Kassue</t>
  </si>
  <si>
    <t>IDKAU</t>
  </si>
  <si>
    <t>Kau</t>
  </si>
  <si>
    <t>IDKEM</t>
  </si>
  <si>
    <t>Kempo, Sb</t>
  </si>
  <si>
    <t>IDKDI</t>
  </si>
  <si>
    <t>Kendari, Sulawesi</t>
  </si>
  <si>
    <t>IDKDW</t>
  </si>
  <si>
    <t>Kendawangan</t>
  </si>
  <si>
    <t>IDKTG</t>
  </si>
  <si>
    <t>Ketapang, Kl</t>
  </si>
  <si>
    <t>IDKID</t>
  </si>
  <si>
    <t>Kidjang, Bintan</t>
  </si>
  <si>
    <t>IDKOJ</t>
  </si>
  <si>
    <t>Koja</t>
  </si>
  <si>
    <t>IDKOK</t>
  </si>
  <si>
    <t>Kokas</t>
  </si>
  <si>
    <t>IDKOL</t>
  </si>
  <si>
    <t>Kolaka</t>
  </si>
  <si>
    <t>IDKMD</t>
  </si>
  <si>
    <t>Komodo</t>
  </si>
  <si>
    <t>IDKPN</t>
  </si>
  <si>
    <t>Kotapinang, Baru</t>
  </si>
  <si>
    <t>IDKGH</t>
  </si>
  <si>
    <t>Krueng Geukueh</t>
  </si>
  <si>
    <t>IDENO</t>
  </si>
  <si>
    <t>Kuala Enok</t>
  </si>
  <si>
    <t>IDKKA</t>
  </si>
  <si>
    <t>Kuala Kapuas, Kl</t>
  </si>
  <si>
    <t>IDKUA</t>
  </si>
  <si>
    <t>Kualalangsa</t>
  </si>
  <si>
    <t>IDKTJ</t>
  </si>
  <si>
    <t>Kualatanjung</t>
  </si>
  <si>
    <t>IDKUM</t>
  </si>
  <si>
    <t>Kumai</t>
  </si>
  <si>
    <t>IDKKB</t>
  </si>
  <si>
    <t>Kunak, Borneo</t>
  </si>
  <si>
    <t>IDKOE</t>
  </si>
  <si>
    <t>Kupang, Timor</t>
  </si>
  <si>
    <t>IDLBO</t>
  </si>
  <si>
    <t>Labuan Bajo</t>
  </si>
  <si>
    <t>IDLAH</t>
  </si>
  <si>
    <t>Labuha, Molucas</t>
  </si>
  <si>
    <t>IDLAT</t>
  </si>
  <si>
    <t>Lalang Terminal, St</t>
  </si>
  <si>
    <t>IDLVN</t>
  </si>
  <si>
    <t>Langsa Venture FPSO</t>
  </si>
  <si>
    <t>IDLAS</t>
  </si>
  <si>
    <t>Langsa, Sumatra</t>
  </si>
  <si>
    <t>IDLLA</t>
  </si>
  <si>
    <t>Lawe-Lawe, Kl</t>
  </si>
  <si>
    <t>IDLSW</t>
  </si>
  <si>
    <t>Lhokseumawe</t>
  </si>
  <si>
    <t>IDLIF</t>
  </si>
  <si>
    <t>Lifamatola</t>
  </si>
  <si>
    <t>IDLBM</t>
  </si>
  <si>
    <t>Lobam</t>
  </si>
  <si>
    <t>IDLKI</t>
  </si>
  <si>
    <t>Loki</t>
  </si>
  <si>
    <t>IDLOM</t>
  </si>
  <si>
    <t>Lombok</t>
  </si>
  <si>
    <t>IDLUW</t>
  </si>
  <si>
    <t>Luwuk</t>
  </si>
  <si>
    <t>IDMDR</t>
  </si>
  <si>
    <t>Madura Terminal</t>
  </si>
  <si>
    <t>IDMAJ</t>
  </si>
  <si>
    <t>Majene, Sv</t>
  </si>
  <si>
    <t>IDMAK</t>
  </si>
  <si>
    <t>Makassar</t>
  </si>
  <si>
    <t>IDMLI</t>
  </si>
  <si>
    <t>Malili, Sulawesi</t>
  </si>
  <si>
    <t>IDMJU</t>
  </si>
  <si>
    <t>Mamuju</t>
  </si>
  <si>
    <t>IDMDC</t>
  </si>
  <si>
    <t>Manado</t>
  </si>
  <si>
    <t>IDMGB</t>
  </si>
  <si>
    <t>Manggis</t>
  </si>
  <si>
    <t>IDMKJ</t>
  </si>
  <si>
    <t>Mangkajang</t>
  </si>
  <si>
    <t>IDMAL</t>
  </si>
  <si>
    <t>Mangole</t>
  </si>
  <si>
    <t>IDMKW</t>
  </si>
  <si>
    <t>Manokwari, Irian Jaya</t>
  </si>
  <si>
    <t>IDMNT</t>
  </si>
  <si>
    <t>Mantang, Riau</t>
  </si>
  <si>
    <t>IDMAI</t>
  </si>
  <si>
    <t>Mapia Island</t>
  </si>
  <si>
    <t>IDMAR</t>
  </si>
  <si>
    <t>Marabahan</t>
  </si>
  <si>
    <t>IDMOF</t>
  </si>
  <si>
    <t>Maumere, Flores</t>
  </si>
  <si>
    <t>IDMES</t>
  </si>
  <si>
    <t>Medan, Sumatra</t>
  </si>
  <si>
    <t>IDMRK</t>
  </si>
  <si>
    <t>Merak, Java</t>
  </si>
  <si>
    <t>IDMRB</t>
  </si>
  <si>
    <t>Merantibunting, Sumatra</t>
  </si>
  <si>
    <t>IDMKQ</t>
  </si>
  <si>
    <t>Merauke, Irian Jaya</t>
  </si>
  <si>
    <t>IDMEQ</t>
  </si>
  <si>
    <t>Meulaboh, Sumatra</t>
  </si>
  <si>
    <t>IDMIT</t>
  </si>
  <si>
    <t>Misool Terminal</t>
  </si>
  <si>
    <t>IDMOR</t>
  </si>
  <si>
    <t>Mornopo</t>
  </si>
  <si>
    <t>IDMOW</t>
  </si>
  <si>
    <t>Morowali</t>
  </si>
  <si>
    <t>IDMBK</t>
  </si>
  <si>
    <t>Muara Bangkong</t>
  </si>
  <si>
    <t>IDMUB</t>
  </si>
  <si>
    <t>Muara Berau</t>
  </si>
  <si>
    <t>IDMUD</t>
  </si>
  <si>
    <t>Muara Djawa</t>
  </si>
  <si>
    <t>IDMPN</t>
  </si>
  <si>
    <t>Muara Pantai</t>
  </si>
  <si>
    <t>IDMUP</t>
  </si>
  <si>
    <t>Muara Pegah</t>
  </si>
  <si>
    <t>IDMSK</t>
  </si>
  <si>
    <t>Muara Sabak</t>
  </si>
  <si>
    <t>IDMSB</t>
  </si>
  <si>
    <t>Muara Siberut</t>
  </si>
  <si>
    <t>IDMUW</t>
  </si>
  <si>
    <t>Muara Teweh</t>
  </si>
  <si>
    <t>IDMUO</t>
  </si>
  <si>
    <t>Muntok, Banka</t>
  </si>
  <si>
    <t>IDMRI</t>
  </si>
  <si>
    <t>Musi River, Sumatra</t>
  </si>
  <si>
    <t>IDMTU</t>
  </si>
  <si>
    <t>Muturi</t>
  </si>
  <si>
    <t>IDNIP</t>
  </si>
  <si>
    <t>Nipah</t>
  </si>
  <si>
    <t>IDNPL</t>
  </si>
  <si>
    <t>North Pulau Laut</t>
  </si>
  <si>
    <t>IDNNX</t>
  </si>
  <si>
    <t>Nunukan</t>
  </si>
  <si>
    <t>IDOBI</t>
  </si>
  <si>
    <t>Obi Island</t>
  </si>
  <si>
    <t>IDOJA</t>
  </si>
  <si>
    <t>Olah Jasa Andal/Jakarta</t>
  </si>
  <si>
    <t>IDOLO</t>
  </si>
  <si>
    <t>Olee Lheue</t>
  </si>
  <si>
    <t>IDPDG</t>
  </si>
  <si>
    <t>Padang</t>
  </si>
  <si>
    <t>IDPAG</t>
  </si>
  <si>
    <t>Pagatan, Kalimantan</t>
  </si>
  <si>
    <t>IDPGA</t>
  </si>
  <si>
    <t>Pagerungan</t>
  </si>
  <si>
    <t>IDPGM</t>
  </si>
  <si>
    <t>Pagimana</t>
  </si>
  <si>
    <t>IDPPO</t>
  </si>
  <si>
    <t>Palapo, Sulawesi</t>
  </si>
  <si>
    <t>IDPLM</t>
  </si>
  <si>
    <t>Palembang, Sumatra</t>
  </si>
  <si>
    <t>IDPAL</t>
  </si>
  <si>
    <t>Palu</t>
  </si>
  <si>
    <t>IDPNN</t>
  </si>
  <si>
    <t>Pamanukan, Java</t>
  </si>
  <si>
    <t>IDPRN</t>
  </si>
  <si>
    <t>Panarukan, Java</t>
  </si>
  <si>
    <t>IDPJM</t>
  </si>
  <si>
    <t>Pandjung Mani</t>
  </si>
  <si>
    <t>IDPGX</t>
  </si>
  <si>
    <t>Pangkal Balam, Banka</t>
  </si>
  <si>
    <t>IDPKR</t>
  </si>
  <si>
    <t>Pangkalan Brandan, Sumatra</t>
  </si>
  <si>
    <t>IDPKS</t>
  </si>
  <si>
    <t>Pangkalan Susu, Sumatra</t>
  </si>
  <si>
    <t>IDPKN</t>
  </si>
  <si>
    <t>Pangkalanbuun</t>
  </si>
  <si>
    <t>IDPGK</t>
  </si>
  <si>
    <t>Pangkalpinang, Banka</t>
  </si>
  <si>
    <t>IDPNJ</t>
  </si>
  <si>
    <t>Panjang</t>
  </si>
  <si>
    <t>IDPTL</t>
  </si>
  <si>
    <t>Pantoloan, Sv</t>
  </si>
  <si>
    <t>IDPAS</t>
  </si>
  <si>
    <t>Pasir Panjang</t>
  </si>
  <si>
    <t>IDPAZ</t>
  </si>
  <si>
    <t>Pasuruan, Java</t>
  </si>
  <si>
    <t>IDPEX</t>
  </si>
  <si>
    <t>Pekalongan, Java</t>
  </si>
  <si>
    <t>IDPBB</t>
  </si>
  <si>
    <t>Pelabuhan Badas</t>
  </si>
  <si>
    <t>IDFTG</t>
  </si>
  <si>
    <t>Pelabuhan Futong Terminal</t>
  </si>
  <si>
    <t>IDPNG</t>
  </si>
  <si>
    <t>Penuba</t>
  </si>
  <si>
    <t>IDPER</t>
  </si>
  <si>
    <t>Perawang</t>
  </si>
  <si>
    <t>IDPWG</t>
  </si>
  <si>
    <t>IDPIR</t>
  </si>
  <si>
    <t>Piru</t>
  </si>
  <si>
    <t>IDPLA</t>
  </si>
  <si>
    <t>Plaju, Sumatra</t>
  </si>
  <si>
    <t>IDPOL</t>
  </si>
  <si>
    <t>Poleng</t>
  </si>
  <si>
    <t>IDPMK</t>
  </si>
  <si>
    <t>Pomako</t>
  </si>
  <si>
    <t>IDPUM</t>
  </si>
  <si>
    <t>Pomalaa, Sulawesi</t>
  </si>
  <si>
    <t>IDPNK</t>
  </si>
  <si>
    <t>Pontianak, Kalimantan</t>
  </si>
  <si>
    <t>IDPMG</t>
  </si>
  <si>
    <t>Port Meneng</t>
  </si>
  <si>
    <t>IDSGO</t>
  </si>
  <si>
    <t>Port Segoro Fajar Satryo/Jakarta</t>
  </si>
  <si>
    <t>IDPSJ</t>
  </si>
  <si>
    <t>Poso, Sulawesi</t>
  </si>
  <si>
    <t>IDPOT</t>
  </si>
  <si>
    <t>Poto Tano</t>
  </si>
  <si>
    <t>IDPRO</t>
  </si>
  <si>
    <t>Probolinggo, Java</t>
  </si>
  <si>
    <t>IDPNT</t>
  </si>
  <si>
    <t>Prointal, Jv</t>
  </si>
  <si>
    <t>IDPPS</t>
  </si>
  <si>
    <t>Pulangpisau</t>
  </si>
  <si>
    <t>IDPBJ</t>
  </si>
  <si>
    <t>Pulau Bunyu</t>
  </si>
  <si>
    <t>IDPUT</t>
  </si>
  <si>
    <t>Pulau Laut</t>
  </si>
  <si>
    <t>IDPSS</t>
  </si>
  <si>
    <t>Pulau Sambu, Riau</t>
  </si>
  <si>
    <t>IDRNI</t>
  </si>
  <si>
    <t>Ranai</t>
  </si>
  <si>
    <t>IDRGT</t>
  </si>
  <si>
    <t>Rengat, Sumatra</t>
  </si>
  <si>
    <t>IDREO</t>
  </si>
  <si>
    <t>Reo</t>
  </si>
  <si>
    <t>IDSBG</t>
  </si>
  <si>
    <t>Sabang, Sumatra</t>
  </si>
  <si>
    <t>IDSAD</t>
  </si>
  <si>
    <t>Sadau, Borneo</t>
  </si>
  <si>
    <t>IDSWT</t>
  </si>
  <si>
    <t>Salawati Terminal</t>
  </si>
  <si>
    <t>IDSRI</t>
  </si>
  <si>
    <t>Samarinda, Kalimantan</t>
  </si>
  <si>
    <t>IDSBS</t>
  </si>
  <si>
    <t>Sambas, Kalimantan</t>
  </si>
  <si>
    <t>IDSMQ</t>
  </si>
  <si>
    <t>Sampit, Kalimantan</t>
  </si>
  <si>
    <t>IDSAN</t>
  </si>
  <si>
    <t>Sanang, Celebes</t>
  </si>
  <si>
    <t>IDSGU</t>
  </si>
  <si>
    <t>Sanggau</t>
  </si>
  <si>
    <t>IDSKI</t>
  </si>
  <si>
    <t>Sangkulirang, Kalimantan</t>
  </si>
  <si>
    <t>IDSAT</t>
  </si>
  <si>
    <t>Santan Terminal, Kl</t>
  </si>
  <si>
    <t>IDSAP</t>
  </si>
  <si>
    <t>Sape</t>
  </si>
  <si>
    <t>IDSAS</t>
  </si>
  <si>
    <t>Sasayap</t>
  </si>
  <si>
    <t>IDSTU</t>
  </si>
  <si>
    <t>Satui</t>
  </si>
  <si>
    <t>IDSEB</t>
  </si>
  <si>
    <t>Sebangan Bay, Kalimantan</t>
  </si>
  <si>
    <t>IDSKP</t>
  </si>
  <si>
    <t>Sekupang</t>
  </si>
  <si>
    <t>IDSPA</t>
  </si>
  <si>
    <t>Selat Pandjang, Sumatra</t>
  </si>
  <si>
    <t>IDSMB</t>
  </si>
  <si>
    <t>Semangka Bay, St</t>
  </si>
  <si>
    <t>IDSRG</t>
  </si>
  <si>
    <t>Semarang</t>
  </si>
  <si>
    <t>IDSZH</t>
  </si>
  <si>
    <t>Senipah</t>
  </si>
  <si>
    <t>IDSPH</t>
  </si>
  <si>
    <t>Senipah Terminal</t>
  </si>
  <si>
    <t>IDSEP</t>
  </si>
  <si>
    <t>Sepanjang Terminal</t>
  </si>
  <si>
    <t>IDSTN</t>
  </si>
  <si>
    <t>Setagin</t>
  </si>
  <si>
    <t>IDSIA</t>
  </si>
  <si>
    <t>Siak Yechil, Riau</t>
  </si>
  <si>
    <t>IDSLG</t>
  </si>
  <si>
    <t>Sibolga, Sumatra</t>
  </si>
  <si>
    <t>IDSID</t>
  </si>
  <si>
    <t>Sidangoli</t>
  </si>
  <si>
    <t>IDSDJ</t>
  </si>
  <si>
    <t>Sidoarjo</t>
  </si>
  <si>
    <t>IDSNG</t>
  </si>
  <si>
    <t>Sinabang</t>
  </si>
  <si>
    <t>IDSKW</t>
  </si>
  <si>
    <t>Singkawang, Kalimantan</t>
  </si>
  <si>
    <t>IDSKK</t>
  </si>
  <si>
    <t>Soengei Kolak</t>
  </si>
  <si>
    <t>IDSOQ</t>
  </si>
  <si>
    <t>Sorong</t>
  </si>
  <si>
    <t>IDSUA</t>
  </si>
  <si>
    <t>Suaran</t>
  </si>
  <si>
    <t>IDSBM</t>
  </si>
  <si>
    <t>Subaim</t>
  </si>
  <si>
    <t>IDSUK</t>
  </si>
  <si>
    <t>Sukabumi</t>
  </si>
  <si>
    <t>IDSWQ</t>
  </si>
  <si>
    <t>Sumbawa</t>
  </si>
  <si>
    <t>IDSUM</t>
  </si>
  <si>
    <t>Sumenep</t>
  </si>
  <si>
    <t>IDSUP</t>
  </si>
  <si>
    <t>Sumenep, Madura</t>
  </si>
  <si>
    <t>IDSUG</t>
  </si>
  <si>
    <t>Sungai Gerong, Sumatra</t>
  </si>
  <si>
    <t>IDSUQ</t>
  </si>
  <si>
    <t>Sungai Guntung, Sumatra</t>
  </si>
  <si>
    <t>IDSEQ</t>
  </si>
  <si>
    <t>Sungai Pakning, Sumatra</t>
  </si>
  <si>
    <t>IDSUN</t>
  </si>
  <si>
    <t>Sunut</t>
  </si>
  <si>
    <t>IDSUB</t>
  </si>
  <si>
    <t>Surabaya</t>
  </si>
  <si>
    <t>IDSUS</t>
  </si>
  <si>
    <t>Susoh, Sumatra</t>
  </si>
  <si>
    <t>IDSSO</t>
  </si>
  <si>
    <t>Susu</t>
  </si>
  <si>
    <t>IDTAB</t>
  </si>
  <si>
    <t>Taboneo</t>
  </si>
  <si>
    <t>IDTAX</t>
  </si>
  <si>
    <t>Taliabu Island Apt, Moluccas</t>
  </si>
  <si>
    <t>IDTAL</t>
  </si>
  <si>
    <t>Tanah Laut</t>
  </si>
  <si>
    <t>IDPDJ</t>
  </si>
  <si>
    <t>Tandjang</t>
  </si>
  <si>
    <t>IDTBT</t>
  </si>
  <si>
    <t>Tandjung Batu, Riau</t>
  </si>
  <si>
    <t>IDTJB</t>
  </si>
  <si>
    <t>Tanjung Balai</t>
  </si>
  <si>
    <t>IDTBU</t>
  </si>
  <si>
    <t>Tanjung Buli</t>
  </si>
  <si>
    <t>IDTME</t>
  </si>
  <si>
    <t>Tanjung Merangas</t>
  </si>
  <si>
    <t>IDTJQ</t>
  </si>
  <si>
    <t>Tanjung Pandan</t>
  </si>
  <si>
    <t>IDTPN</t>
  </si>
  <si>
    <t>Tanjung Pemancingan</t>
  </si>
  <si>
    <t>IDTNJ</t>
  </si>
  <si>
    <t>Tanjung Pinang, Riau</t>
  </si>
  <si>
    <t>IDTSE</t>
  </si>
  <si>
    <t>Tanjung Sekong, Jv</t>
  </si>
  <si>
    <t>IDTAN</t>
  </si>
  <si>
    <t>Tanjunguban</t>
  </si>
  <si>
    <t>IDTRH</t>
  </si>
  <si>
    <t>Tarahan</t>
  </si>
  <si>
    <t>IDTRK</t>
  </si>
  <si>
    <t>Tarakan, Kalimantan</t>
  </si>
  <si>
    <t>IDTAR</t>
  </si>
  <si>
    <t>Tarjun</t>
  </si>
  <si>
    <t>IDTEG</t>
  </si>
  <si>
    <t>Tegal, Java</t>
  </si>
  <si>
    <t>IDTKA</t>
  </si>
  <si>
    <t>Telok Ayer, Kalimantan</t>
  </si>
  <si>
    <t>IDTMO</t>
  </si>
  <si>
    <t>Telok Melano</t>
  </si>
  <si>
    <t>IDTBG</t>
  </si>
  <si>
    <t>Teluk Betung, Sumatra</t>
  </si>
  <si>
    <t>IDTBR</t>
  </si>
  <si>
    <t>Telukbayur</t>
  </si>
  <si>
    <t>IDTER</t>
  </si>
  <si>
    <t>Terempa</t>
  </si>
  <si>
    <t>IDTTE</t>
  </si>
  <si>
    <t>Ternate, Halmahera</t>
  </si>
  <si>
    <t>IDTMK</t>
  </si>
  <si>
    <t>Timika</t>
  </si>
  <si>
    <t>IDTBO</t>
  </si>
  <si>
    <t>Tobelo</t>
  </si>
  <si>
    <t>IDTBL</t>
  </si>
  <si>
    <t>Toboali</t>
  </si>
  <si>
    <t>IDTLI</t>
  </si>
  <si>
    <t>Tolitoli</t>
  </si>
  <si>
    <t>IDTUA</t>
  </si>
  <si>
    <t>Tual</t>
  </si>
  <si>
    <t>IDTBN</t>
  </si>
  <si>
    <t>Tuban, Jv</t>
  </si>
  <si>
    <t>IDUDG</t>
  </si>
  <si>
    <t>Udang Natuna Terminal</t>
  </si>
  <si>
    <t>IDUPG</t>
  </si>
  <si>
    <t>Ujung Pandang, Sulawesi</t>
  </si>
  <si>
    <t>IDWGP</t>
  </si>
  <si>
    <t>Waingapu, Sumba</t>
  </si>
  <si>
    <t>IDWAI</t>
  </si>
  <si>
    <t>Wainibe</t>
  </si>
  <si>
    <t>IDWSS</t>
  </si>
  <si>
    <t>Wamsasi</t>
  </si>
  <si>
    <t>IDWAN</t>
  </si>
  <si>
    <t>Wanam</t>
  </si>
  <si>
    <t>IDWED</t>
  </si>
  <si>
    <t>Weda</t>
  </si>
  <si>
    <t>IDWID</t>
  </si>
  <si>
    <t>Widuri</t>
  </si>
  <si>
    <t>IEALQ</t>
  </si>
  <si>
    <t>Alexandra Quay</t>
  </si>
  <si>
    <t>IEARO</t>
  </si>
  <si>
    <t>Alexandra Road Oil</t>
  </si>
  <si>
    <t>IEATN</t>
  </si>
  <si>
    <t>Annacotty</t>
  </si>
  <si>
    <t>IEARD</t>
  </si>
  <si>
    <t>Ardmore</t>
  </si>
  <si>
    <t>IEARK</t>
  </si>
  <si>
    <t>Arklow</t>
  </si>
  <si>
    <t>IEARH</t>
  </si>
  <si>
    <t>Arklow Head (Ie009)</t>
  </si>
  <si>
    <t>IEAUG</t>
  </si>
  <si>
    <t>Aughinish Island</t>
  </si>
  <si>
    <t>IEBIF</t>
  </si>
  <si>
    <t>B &amp; I Ferryport</t>
  </si>
  <si>
    <t>IEBIT</t>
  </si>
  <si>
    <t>B &amp; I Terminal</t>
  </si>
  <si>
    <t>IEBBG</t>
  </si>
  <si>
    <t>IEBLL</t>
  </si>
  <si>
    <t>IEBNA</t>
  </si>
  <si>
    <t>IEBVD</t>
  </si>
  <si>
    <t>Ballydavid</t>
  </si>
  <si>
    <t>IEBGY</t>
  </si>
  <si>
    <t>Ballynacargy</t>
  </si>
  <si>
    <t>IEBTM</t>
  </si>
  <si>
    <t>Baltimore</t>
  </si>
  <si>
    <t>IEBNG</t>
  </si>
  <si>
    <t>IEBYT</t>
  </si>
  <si>
    <t>IEBTH</t>
  </si>
  <si>
    <t>Bantry Harbour</t>
  </si>
  <si>
    <t>IEBHT</t>
  </si>
  <si>
    <t>Blanchardstown</t>
  </si>
  <si>
    <t>IEEBF</t>
  </si>
  <si>
    <t>Broadford</t>
  </si>
  <si>
    <t>IEBUC</t>
  </si>
  <si>
    <t>Buncrana</t>
  </si>
  <si>
    <t>IEBUR</t>
  </si>
  <si>
    <t>Burtonport</t>
  </si>
  <si>
    <t>IECHE</t>
  </si>
  <si>
    <t>Cahirciveen</t>
  </si>
  <si>
    <t>IECAR</t>
  </si>
  <si>
    <t>IECRS</t>
  </si>
  <si>
    <t>Carrick-on-Suir</t>
  </si>
  <si>
    <t>IECFI</t>
  </si>
  <si>
    <t>Castlefinn</t>
  </si>
  <si>
    <t>IETLK</t>
  </si>
  <si>
    <t>Castlenock</t>
  </si>
  <si>
    <t>IECTB</t>
  </si>
  <si>
    <t>Castletown Bearhaven</t>
  </si>
  <si>
    <t>IECLC</t>
  </si>
  <si>
    <t>Clarecastle</t>
  </si>
  <si>
    <t>IECLI</t>
  </si>
  <si>
    <t>Clifden</t>
  </si>
  <si>
    <t>IECLG</t>
  </si>
  <si>
    <t>Clogherhead</t>
  </si>
  <si>
    <t>IECCT</t>
  </si>
  <si>
    <t>Coastal Control Terminal</t>
  </si>
  <si>
    <t>IECOB</t>
  </si>
  <si>
    <t>Cobh</t>
  </si>
  <si>
    <t>IEFGY</t>
  </si>
  <si>
    <t>Coolock</t>
  </si>
  <si>
    <t>IEORK</t>
  </si>
  <si>
    <t>Cork</t>
  </si>
  <si>
    <t>IECRO</t>
  </si>
  <si>
    <t>Crookhaven</t>
  </si>
  <si>
    <t>IEDIN</t>
  </si>
  <si>
    <t>IECFN</t>
  </si>
  <si>
    <t>Donegal</t>
  </si>
  <si>
    <t>IEDRO</t>
  </si>
  <si>
    <t>Drogheda</t>
  </si>
  <si>
    <t>IEDMF</t>
  </si>
  <si>
    <t>Drogheda Maxol Facility</t>
  </si>
  <si>
    <t>IEDPP</t>
  </si>
  <si>
    <t>Drogheda Premiere Periclase</t>
  </si>
  <si>
    <t>IEDUB</t>
  </si>
  <si>
    <t>IEDFT</t>
  </si>
  <si>
    <t>Dublin-Dublin Ferryport Terminals</t>
  </si>
  <si>
    <t>IEDFA</t>
  </si>
  <si>
    <t>Dublin-Ferryport Terminal 1</t>
  </si>
  <si>
    <t>IEDFB</t>
  </si>
  <si>
    <t>Dublin-Ferryport Terminal 2</t>
  </si>
  <si>
    <t>IEDFC</t>
  </si>
  <si>
    <t>Dublin-Ferryport Terminal 3</t>
  </si>
  <si>
    <t>IEMTL</t>
  </si>
  <si>
    <t>Dublin-Marine Terminal</t>
  </si>
  <si>
    <t>IEDLG</t>
  </si>
  <si>
    <t>Dun Laoghaire</t>
  </si>
  <si>
    <t>IEDCN</t>
  </si>
  <si>
    <t>Duncannon/Saint Helens</t>
  </si>
  <si>
    <t>IEDDK</t>
  </si>
  <si>
    <t>Dundalk</t>
  </si>
  <si>
    <t>IEDFY</t>
  </si>
  <si>
    <t>Dunfanaghy</t>
  </si>
  <si>
    <t>IEDGV</t>
  </si>
  <si>
    <t>Dungarvan</t>
  </si>
  <si>
    <t>IEDNM</t>
  </si>
  <si>
    <t>Dunmore East</t>
  </si>
  <si>
    <t>IEEKY</t>
  </si>
  <si>
    <t>Easkey/Rathlee</t>
  </si>
  <si>
    <t>IEDWE</t>
  </si>
  <si>
    <t>Ennistymon</t>
  </si>
  <si>
    <t>IEESB</t>
  </si>
  <si>
    <t>ESB Poolbeg-Dublin</t>
  </si>
  <si>
    <t>IEFEN</t>
  </si>
  <si>
    <t>Fenit</t>
  </si>
  <si>
    <t>IEFTD</t>
  </si>
  <si>
    <t>Fethard/Slade</t>
  </si>
  <si>
    <t>IEFID</t>
  </si>
  <si>
    <t>Fiddown</t>
  </si>
  <si>
    <t>IEFIN</t>
  </si>
  <si>
    <t>Fintona</t>
  </si>
  <si>
    <t>IEFPD</t>
  </si>
  <si>
    <t>Flogas Products Drogheda</t>
  </si>
  <si>
    <t>IEFRW</t>
  </si>
  <si>
    <t>Ford's Wharf (Topaz Energy Terminal)</t>
  </si>
  <si>
    <t>IEFOV</t>
  </si>
  <si>
    <t>Foynes</t>
  </si>
  <si>
    <t>IEFCW</t>
  </si>
  <si>
    <t>Frank Cassin Wharf</t>
  </si>
  <si>
    <t>IEGWY</t>
  </si>
  <si>
    <t>Galway</t>
  </si>
  <si>
    <t>IEGGA</t>
  </si>
  <si>
    <t>Glengarriff</t>
  </si>
  <si>
    <t>IEGRT</t>
  </si>
  <si>
    <t>Gortahork</t>
  </si>
  <si>
    <t>IEGOW</t>
  </si>
  <si>
    <t>Gowran</t>
  </si>
  <si>
    <t>IEGRN</t>
  </si>
  <si>
    <t>Greenore</t>
  </si>
  <si>
    <t>IEHAU</t>
  </si>
  <si>
    <t>Haulbowline</t>
  </si>
  <si>
    <t>IEHOW</t>
  </si>
  <si>
    <t>Howth</t>
  </si>
  <si>
    <t>IEKIC</t>
  </si>
  <si>
    <t>Kilcoole</t>
  </si>
  <si>
    <t>IERRR</t>
  </si>
  <si>
    <t>Kildorrery</t>
  </si>
  <si>
    <t>IEKLA</t>
  </si>
  <si>
    <t>Killala</t>
  </si>
  <si>
    <t>IEKBS</t>
  </si>
  <si>
    <t>Killybegs</t>
  </si>
  <si>
    <t>IEKKA</t>
  </si>
  <si>
    <t>Kilmokea</t>
  </si>
  <si>
    <t>IEKLR</t>
  </si>
  <si>
    <t>Kilrush</t>
  </si>
  <si>
    <t>IEKNG</t>
  </si>
  <si>
    <t>Kinnegad</t>
  </si>
  <si>
    <t>IEKLN</t>
  </si>
  <si>
    <t>Kinsale</t>
  </si>
  <si>
    <t>IELMK</t>
  </si>
  <si>
    <t>Limerick</t>
  </si>
  <si>
    <t>IELAR</t>
  </si>
  <si>
    <t>Lurganm Armagh</t>
  </si>
  <si>
    <t>IEMAG</t>
  </si>
  <si>
    <t>IEMRT</t>
  </si>
  <si>
    <t>Magheraroarty</t>
  </si>
  <si>
    <t>IEMAP</t>
  </si>
  <si>
    <t>Marino Point</t>
  </si>
  <si>
    <t>IEMAR</t>
  </si>
  <si>
    <t>Marshmeadows/New Ross</t>
  </si>
  <si>
    <t>IEMOT</t>
  </si>
  <si>
    <t>Moneypoint</t>
  </si>
  <si>
    <t>IEMOV</t>
  </si>
  <si>
    <t>Moville</t>
  </si>
  <si>
    <t>IENRS</t>
  </si>
  <si>
    <t>New Ross</t>
  </si>
  <si>
    <t>IENRR</t>
  </si>
  <si>
    <t>New Ross-Raheen/Roberscon</t>
  </si>
  <si>
    <t>IENET</t>
  </si>
  <si>
    <t>IENAY</t>
  </si>
  <si>
    <t>Newtonabbey</t>
  </si>
  <si>
    <t>IENEX</t>
  </si>
  <si>
    <t>IEPAT</t>
  </si>
  <si>
    <t>Pandoro Terminal</t>
  </si>
  <si>
    <t>IEPAP</t>
  </si>
  <si>
    <t>Parnell Place</t>
  </si>
  <si>
    <t>IEPAW</t>
  </si>
  <si>
    <t>Passage West</t>
  </si>
  <si>
    <t>IERTN</t>
  </si>
  <si>
    <t>Ramelton</t>
  </si>
  <si>
    <t>IERDM</t>
  </si>
  <si>
    <t>Rathdrum</t>
  </si>
  <si>
    <t>IERAT</t>
  </si>
  <si>
    <t>Rathmullan</t>
  </si>
  <si>
    <t>IERIN</t>
  </si>
  <si>
    <t>Ringaskiddy</t>
  </si>
  <si>
    <t>IERDT</t>
  </si>
  <si>
    <t>Ringaskiddy Deepwater Terminal</t>
  </si>
  <si>
    <t>IERPT</t>
  </si>
  <si>
    <t>Ringaskiddy Passenger Terminal</t>
  </si>
  <si>
    <t>IERVM</t>
  </si>
  <si>
    <t>River Moy</t>
  </si>
  <si>
    <t>IERAV</t>
  </si>
  <si>
    <t>Rossaveel</t>
  </si>
  <si>
    <t>IERSM</t>
  </si>
  <si>
    <t>IEROE</t>
  </si>
  <si>
    <t>Rosslare</t>
  </si>
  <si>
    <t>IEROS</t>
  </si>
  <si>
    <t>Rosslare Harbour</t>
  </si>
  <si>
    <t>IERUS</t>
  </si>
  <si>
    <t>Rushbrooke</t>
  </si>
  <si>
    <t>IESNN</t>
  </si>
  <si>
    <t>IESKL</t>
  </si>
  <si>
    <t>Skull</t>
  </si>
  <si>
    <t>IESLI</t>
  </si>
  <si>
    <t>Sligo</t>
  </si>
  <si>
    <t>IESNR</t>
  </si>
  <si>
    <t>Stokestown/New Ross</t>
  </si>
  <si>
    <t>IETAR</t>
  </si>
  <si>
    <t>IETIV</t>
  </si>
  <si>
    <t>Tivoli</t>
  </si>
  <si>
    <t>IETOB</t>
  </si>
  <si>
    <t>Tober</t>
  </si>
  <si>
    <t>IETRP</t>
  </si>
  <si>
    <t>Tom Roes Point Terminal/Drogheda</t>
  </si>
  <si>
    <t>IETQY</t>
  </si>
  <si>
    <t>Town Quays/Drogheda</t>
  </si>
  <si>
    <t>IETRA</t>
  </si>
  <si>
    <t>Tralee</t>
  </si>
  <si>
    <t>IETME</t>
  </si>
  <si>
    <t>Tramore</t>
  </si>
  <si>
    <t>IEWAT</t>
  </si>
  <si>
    <t>Waterford</t>
  </si>
  <si>
    <t>IEWCQ</t>
  </si>
  <si>
    <t>Waterford City Quays</t>
  </si>
  <si>
    <t>IEWGI</t>
  </si>
  <si>
    <t>Waterford Great Island (ESB)</t>
  </si>
  <si>
    <t>IEWES</t>
  </si>
  <si>
    <t>IEWEX</t>
  </si>
  <si>
    <t>Wexford</t>
  </si>
  <si>
    <t>IEWHI</t>
  </si>
  <si>
    <t>Whitegate</t>
  </si>
  <si>
    <t>IEWIC</t>
  </si>
  <si>
    <t>Wicklow</t>
  </si>
  <si>
    <t>IEWIL</t>
  </si>
  <si>
    <t>Wilton</t>
  </si>
  <si>
    <t>IEYOU</t>
  </si>
  <si>
    <t>Youghal</t>
  </si>
  <si>
    <t>ILACR</t>
  </si>
  <si>
    <t>Acre</t>
  </si>
  <si>
    <t>ILAKK</t>
  </si>
  <si>
    <t>Akko</t>
  </si>
  <si>
    <t>ILASH</t>
  </si>
  <si>
    <t>Ashdod</t>
  </si>
  <si>
    <t>ILAKL</t>
  </si>
  <si>
    <t>Ashkelon</t>
  </si>
  <si>
    <t>ILBGV</t>
  </si>
  <si>
    <t>Binyamina-Giv'at Ada</t>
  </si>
  <si>
    <t>ILETH</t>
  </si>
  <si>
    <t>Elat (Eilath)</t>
  </si>
  <si>
    <t>IL8UH</t>
  </si>
  <si>
    <t>Gush Halav</t>
  </si>
  <si>
    <t>ILHAD</t>
  </si>
  <si>
    <t>Hadera</t>
  </si>
  <si>
    <t>ILHFA</t>
  </si>
  <si>
    <t>Haifa</t>
  </si>
  <si>
    <t>ILMSP</t>
  </si>
  <si>
    <t>Haifa Israel Shipyards Port</t>
  </si>
  <si>
    <t>ILJUL</t>
  </si>
  <si>
    <t>Julis</t>
  </si>
  <si>
    <t>ILKY7</t>
  </si>
  <si>
    <t>Karmei Yosef</t>
  </si>
  <si>
    <t>ILM8A</t>
  </si>
  <si>
    <t>Magshimim</t>
  </si>
  <si>
    <t>ILAS2</t>
  </si>
  <si>
    <t>Mishor Adumim</t>
  </si>
  <si>
    <t>ILNAB</t>
  </si>
  <si>
    <t>Nabulus</t>
  </si>
  <si>
    <t>ILNAT</t>
  </si>
  <si>
    <t>Netanya</t>
  </si>
  <si>
    <t>ILOFR</t>
  </si>
  <si>
    <t>Ofra</t>
  </si>
  <si>
    <t>ILTLV</t>
  </si>
  <si>
    <t>Tel Aviv-Yafo</t>
  </si>
  <si>
    <t>ILTIB</t>
  </si>
  <si>
    <t>Tiberias</t>
  </si>
  <si>
    <t>IMCTN</t>
  </si>
  <si>
    <t>IMDGS</t>
  </si>
  <si>
    <t>Douglas</t>
  </si>
  <si>
    <t>IMPEL</t>
  </si>
  <si>
    <t>Peel</t>
  </si>
  <si>
    <t>IMRAM</t>
  </si>
  <si>
    <t>IMSAN</t>
  </si>
  <si>
    <t>Santon</t>
  </si>
  <si>
    <t>INACH</t>
  </si>
  <si>
    <t>Achra</t>
  </si>
  <si>
    <t>INALA</t>
  </si>
  <si>
    <t>Alang SBY</t>
  </si>
  <si>
    <t>INABG</t>
  </si>
  <si>
    <t>Alibag</t>
  </si>
  <si>
    <t>INALF</t>
  </si>
  <si>
    <t>Alleppey</t>
  </si>
  <si>
    <t>INAIS</t>
  </si>
  <si>
    <t>Amini Island</t>
  </si>
  <si>
    <t>INAMI</t>
  </si>
  <si>
    <t>Andorth Is</t>
  </si>
  <si>
    <t>INADI</t>
  </si>
  <si>
    <t>Androth Is</t>
  </si>
  <si>
    <t>INANG</t>
  </si>
  <si>
    <t>Anijengo</t>
  </si>
  <si>
    <t>INANL</t>
  </si>
  <si>
    <t>Arnala</t>
  </si>
  <si>
    <t>INAZK</t>
  </si>
  <si>
    <t>Azhikkal</t>
  </si>
  <si>
    <t>INBDG</t>
  </si>
  <si>
    <t>Badagara</t>
  </si>
  <si>
    <t>INBBP</t>
  </si>
  <si>
    <t>Bahabal Pur</t>
  </si>
  <si>
    <t>INBDR</t>
  </si>
  <si>
    <t>Baindur</t>
  </si>
  <si>
    <t>INBND</t>
  </si>
  <si>
    <t>Banddar</t>
  </si>
  <si>
    <t>INBDA</t>
  </si>
  <si>
    <t>Bandra</t>
  </si>
  <si>
    <t>INBPT</t>
  </si>
  <si>
    <t>Bangarapet</t>
  </si>
  <si>
    <t>INBKT</t>
  </si>
  <si>
    <t>Bankot</t>
  </si>
  <si>
    <t>INBSN</t>
  </si>
  <si>
    <t>Bassain</t>
  </si>
  <si>
    <t>INBAW</t>
  </si>
  <si>
    <t>Bawal</t>
  </si>
  <si>
    <t>INBED</t>
  </si>
  <si>
    <t>Bedi</t>
  </si>
  <si>
    <t>INBLP</t>
  </si>
  <si>
    <t>Belapur</t>
  </si>
  <si>
    <t>INBLK</t>
  </si>
  <si>
    <t>Belekeri</t>
  </si>
  <si>
    <t>INBET</t>
  </si>
  <si>
    <t>Betul</t>
  </si>
  <si>
    <t>INBEY</t>
  </si>
  <si>
    <t>Beypore</t>
  </si>
  <si>
    <t>INBYT</t>
  </si>
  <si>
    <t>Beyt</t>
  </si>
  <si>
    <t>INBDH</t>
  </si>
  <si>
    <t>Bhadohi</t>
  </si>
  <si>
    <t>INBGW</t>
  </si>
  <si>
    <t>Bhagwa</t>
  </si>
  <si>
    <t>INBRU</t>
  </si>
  <si>
    <t>Bharuch</t>
  </si>
  <si>
    <t>INBTK</t>
  </si>
  <si>
    <t>Bhatkal</t>
  </si>
  <si>
    <t>INBHU</t>
  </si>
  <si>
    <t>Bhavnagar</t>
  </si>
  <si>
    <t>INBHM</t>
  </si>
  <si>
    <t>Bheemunipatnam</t>
  </si>
  <si>
    <t>INBWN</t>
  </si>
  <si>
    <t>Bhiwandi</t>
  </si>
  <si>
    <t>INBLM</t>
  </si>
  <si>
    <t>Bilimora</t>
  </si>
  <si>
    <t>INBTR</t>
  </si>
  <si>
    <t>Bitra Is</t>
  </si>
  <si>
    <t>INBRM</t>
  </si>
  <si>
    <t>Borliai-Mandla</t>
  </si>
  <si>
    <t>INBRY</t>
  </si>
  <si>
    <t>Borya</t>
  </si>
  <si>
    <t>INBRH</t>
  </si>
  <si>
    <t>Broach</t>
  </si>
  <si>
    <t>INBUD</t>
  </si>
  <si>
    <t>Budge-Budge</t>
  </si>
  <si>
    <t>INBSR</t>
  </si>
  <si>
    <t>Bulsar</t>
  </si>
  <si>
    <t>INCAP</t>
  </si>
  <si>
    <t>Calingapatam</t>
  </si>
  <si>
    <t>INCAM</t>
  </si>
  <si>
    <t>Cambay</t>
  </si>
  <si>
    <t>INCNN</t>
  </si>
  <si>
    <t>Cannanore</t>
  </si>
  <si>
    <t>INCAR</t>
  </si>
  <si>
    <t>Carijam</t>
  </si>
  <si>
    <t>INCBL</t>
  </si>
  <si>
    <t>Chandbali</t>
  </si>
  <si>
    <t>INCHR</t>
  </si>
  <si>
    <t>Chapora</t>
  </si>
  <si>
    <t>INMAA</t>
  </si>
  <si>
    <t>Chennai (ex Madras)</t>
  </si>
  <si>
    <t>INCTI</t>
  </si>
  <si>
    <t>Chetlat Is</t>
  </si>
  <si>
    <t>INCHI</t>
  </si>
  <si>
    <t>Chikaballur</t>
  </si>
  <si>
    <t>INCOK</t>
  </si>
  <si>
    <t>Cochin</t>
  </si>
  <si>
    <t>INCOL</t>
  </si>
  <si>
    <t>Colochel</t>
  </si>
  <si>
    <t>INCOO</t>
  </si>
  <si>
    <t>Coondapur (Ganguly)</t>
  </si>
  <si>
    <t>INCRN</t>
  </si>
  <si>
    <t>Cornwallis</t>
  </si>
  <si>
    <t>INCDL</t>
  </si>
  <si>
    <t>Cuddalore</t>
  </si>
  <si>
    <t>INDHP</t>
  </si>
  <si>
    <t>Dabhol Port</t>
  </si>
  <si>
    <t>INDRL</t>
  </si>
  <si>
    <t>Dabolim</t>
  </si>
  <si>
    <t>INDHU</t>
  </si>
  <si>
    <t>Dahanu</t>
  </si>
  <si>
    <t>INDAH</t>
  </si>
  <si>
    <t>Dahej</t>
  </si>
  <si>
    <t>INDAM</t>
  </si>
  <si>
    <t>Daman</t>
  </si>
  <si>
    <t>INDTW</t>
  </si>
  <si>
    <t>Dantiwara</t>
  </si>
  <si>
    <t>INDEG</t>
  </si>
  <si>
    <t>Deogad</t>
  </si>
  <si>
    <t>INDMA</t>
  </si>
  <si>
    <t>Dhamara</t>
  </si>
  <si>
    <t>INDMQ</t>
  </si>
  <si>
    <t>Dhamra Port</t>
  </si>
  <si>
    <t>INDSK</t>
  </si>
  <si>
    <t>Dhanu-shkodi</t>
  </si>
  <si>
    <t>INDMT</t>
  </si>
  <si>
    <t>Dharamtar</t>
  </si>
  <si>
    <t>INDHR</t>
  </si>
  <si>
    <t>Dholera</t>
  </si>
  <si>
    <t>INDIG</t>
  </si>
  <si>
    <t>Dighi (Pune)</t>
  </si>
  <si>
    <t>INDIU</t>
  </si>
  <si>
    <t>Diu</t>
  </si>
  <si>
    <t>INDIV</t>
  </si>
  <si>
    <t>Div</t>
  </si>
  <si>
    <t>INDWA</t>
  </si>
  <si>
    <t>Dwarka</t>
  </si>
  <si>
    <t>INDRK</t>
  </si>
  <si>
    <t>Dwarka (Rupen)</t>
  </si>
  <si>
    <t>INESH</t>
  </si>
  <si>
    <t>Elphinstone Harbour</t>
  </si>
  <si>
    <t>INENR</t>
  </si>
  <si>
    <t>Ennore</t>
  </si>
  <si>
    <t>INEKM</t>
  </si>
  <si>
    <t>Ernakulam</t>
  </si>
  <si>
    <t>INERO</t>
  </si>
  <si>
    <t>Erode</t>
  </si>
  <si>
    <t>INGAN</t>
  </si>
  <si>
    <t>Gandhar</t>
  </si>
  <si>
    <t>INGGV</t>
  </si>
  <si>
    <t>Gangavaram</t>
  </si>
  <si>
    <t>INGRR</t>
  </si>
  <si>
    <t>Garden Reach</t>
  </si>
  <si>
    <t>INGAU</t>
  </si>
  <si>
    <t>Gauhati (Panidi)</t>
  </si>
  <si>
    <t>INGHA</t>
  </si>
  <si>
    <t>Ghogha</t>
  </si>
  <si>
    <t>INGGA</t>
  </si>
  <si>
    <t>Gogha</t>
  </si>
  <si>
    <t>INGPR</t>
  </si>
  <si>
    <t>Gopalpur</t>
  </si>
  <si>
    <t>INGND</t>
  </si>
  <si>
    <t>Greater Nodia</t>
  </si>
  <si>
    <t>INGNO</t>
  </si>
  <si>
    <t>Greater Noida</t>
  </si>
  <si>
    <t>INHAL</t>
  </si>
  <si>
    <t>Haldia</t>
  </si>
  <si>
    <t>INHGT</t>
  </si>
  <si>
    <t>Hangarkatta</t>
  </si>
  <si>
    <t>INHRN</t>
  </si>
  <si>
    <t>Harnai</t>
  </si>
  <si>
    <t>INHZA</t>
  </si>
  <si>
    <t>Hazira Port/Surat</t>
  </si>
  <si>
    <t>INHIP</t>
  </si>
  <si>
    <t>Himachal Pradesh</t>
  </si>
  <si>
    <t>INHON</t>
  </si>
  <si>
    <t>Honavar</t>
  </si>
  <si>
    <t>INHWR</t>
  </si>
  <si>
    <t>Honawar</t>
  </si>
  <si>
    <t>INJBD</t>
  </si>
  <si>
    <t>Jafarabad</t>
  </si>
  <si>
    <t>INJGD</t>
  </si>
  <si>
    <t>Jaigad</t>
  </si>
  <si>
    <t>INKKU</t>
  </si>
  <si>
    <t>Jaipur-Kanakpura</t>
  </si>
  <si>
    <t>INJTP</t>
  </si>
  <si>
    <t>Jaitapur</t>
  </si>
  <si>
    <t>INJAK</t>
  </si>
  <si>
    <t>Jakhau</t>
  </si>
  <si>
    <t>INIXJ</t>
  </si>
  <si>
    <t>Jammu</t>
  </si>
  <si>
    <t>INNSA</t>
  </si>
  <si>
    <t>Jawaharlal Nehru (Nhava Sheva)</t>
  </si>
  <si>
    <t>INJDG</t>
  </si>
  <si>
    <t>Jodhpur</t>
  </si>
  <si>
    <t>INJDA</t>
  </si>
  <si>
    <t>Jodia</t>
  </si>
  <si>
    <t>INKDI</t>
  </si>
  <si>
    <t>Kadmat Is</t>
  </si>
  <si>
    <t>INKAK</t>
  </si>
  <si>
    <t>Kakinada</t>
  </si>
  <si>
    <t>INKAL</t>
  </si>
  <si>
    <t>Kallai</t>
  </si>
  <si>
    <t>INKPI</t>
  </si>
  <si>
    <t>Kalpeni Island</t>
  </si>
  <si>
    <t>INKLY</t>
  </si>
  <si>
    <t>Kalyan</t>
  </si>
  <si>
    <t>INIXY</t>
  </si>
  <si>
    <t>Kandla</t>
  </si>
  <si>
    <t>INKND</t>
  </si>
  <si>
    <t>Kankudy</t>
  </si>
  <si>
    <t>INKKM</t>
  </si>
  <si>
    <t>Kanyakumari</t>
  </si>
  <si>
    <t>INKRK</t>
  </si>
  <si>
    <t>Karaikal</t>
  </si>
  <si>
    <t>INKRN</t>
  </si>
  <si>
    <t>Karanja</t>
  </si>
  <si>
    <t>INKAR</t>
  </si>
  <si>
    <t>Karur</t>
  </si>
  <si>
    <t>INKRW</t>
  </si>
  <si>
    <t>Karwar</t>
  </si>
  <si>
    <t>INKSG</t>
  </si>
  <si>
    <t>Kasargod</t>
  </si>
  <si>
    <t>INKAT</t>
  </si>
  <si>
    <t>Kattupalli</t>
  </si>
  <si>
    <t>INKTP</t>
  </si>
  <si>
    <t>Kattupalli Port</t>
  </si>
  <si>
    <t>INKVT</t>
  </si>
  <si>
    <t>Kavaram Is</t>
  </si>
  <si>
    <t>INKVI</t>
  </si>
  <si>
    <t>Kavi</t>
  </si>
  <si>
    <t>INKSH</t>
  </si>
  <si>
    <t>Kelshi</t>
  </si>
  <si>
    <t>INKIW</t>
  </si>
  <si>
    <t>Kelwa</t>
  </si>
  <si>
    <t>INKBT</t>
  </si>
  <si>
    <t>Khambhat</t>
  </si>
  <si>
    <t>INKHO</t>
  </si>
  <si>
    <t>Khodiyar</t>
  </si>
  <si>
    <t>INKKR</t>
  </si>
  <si>
    <t>Kilakari</t>
  </si>
  <si>
    <t>INKTI</t>
  </si>
  <si>
    <t>Kiltan Is</t>
  </si>
  <si>
    <t>INKRP</t>
  </si>
  <si>
    <t>Kiranpani</t>
  </si>
  <si>
    <t>INKOD</t>
  </si>
  <si>
    <t>Kodinar</t>
  </si>
  <si>
    <t>INKTW</t>
  </si>
  <si>
    <t>Koheshwar</t>
  </si>
  <si>
    <t>INKOI</t>
  </si>
  <si>
    <t>Koilthottum</t>
  </si>
  <si>
    <t>INKOK</t>
  </si>
  <si>
    <t>Koka</t>
  </si>
  <si>
    <t>INCCU</t>
  </si>
  <si>
    <t>Kolkata (ex Calcutta)</t>
  </si>
  <si>
    <t>INKON</t>
  </si>
  <si>
    <t>Konarak</t>
  </si>
  <si>
    <t>INKDP</t>
  </si>
  <si>
    <t>Kondiapetnam</t>
  </si>
  <si>
    <t>INKTD</t>
  </si>
  <si>
    <t>Kotda</t>
  </si>
  <si>
    <t>INKVL</t>
  </si>
  <si>
    <t>Kovalam</t>
  </si>
  <si>
    <t>INCCJ</t>
  </si>
  <si>
    <t>Kozhikode (ex Calicut)</t>
  </si>
  <si>
    <t>INKRI</t>
  </si>
  <si>
    <t>Krishnapatnam</t>
  </si>
  <si>
    <t>INKSP</t>
  </si>
  <si>
    <t>Kulasekarapanam</t>
  </si>
  <si>
    <t>INKMB</t>
  </si>
  <si>
    <t>Kumbharu</t>
  </si>
  <si>
    <t>INLNG</t>
  </si>
  <si>
    <t>Lapanga</t>
  </si>
  <si>
    <t>INLPR</t>
  </si>
  <si>
    <t>Leapuram</t>
  </si>
  <si>
    <t>INIXM</t>
  </si>
  <si>
    <t>Madurai</t>
  </si>
  <si>
    <t>INMDA</t>
  </si>
  <si>
    <t>Magdalla</t>
  </si>
  <si>
    <t>INMAH</t>
  </si>
  <si>
    <t>Mahe</t>
  </si>
  <si>
    <t>INMHA</t>
  </si>
  <si>
    <t>Mahuva</t>
  </si>
  <si>
    <t>INMRK</t>
  </si>
  <si>
    <t>Malappuram</t>
  </si>
  <si>
    <t>INMLP</t>
  </si>
  <si>
    <t>Mallipuram</t>
  </si>
  <si>
    <t>INMAL</t>
  </si>
  <si>
    <t>Malpe</t>
  </si>
  <si>
    <t>INMLW</t>
  </si>
  <si>
    <t>Malwan</t>
  </si>
  <si>
    <t>INMDP</t>
  </si>
  <si>
    <t>Mandapam</t>
  </si>
  <si>
    <t>INMDV</t>
  </si>
  <si>
    <t>INMNW</t>
  </si>
  <si>
    <t>Mandwa</t>
  </si>
  <si>
    <t>INIXE</t>
  </si>
  <si>
    <t>Mangalore</t>
  </si>
  <si>
    <t>INMGR</t>
  </si>
  <si>
    <t>Mangrol</t>
  </si>
  <si>
    <t>INMNR</t>
  </si>
  <si>
    <t>Manori</t>
  </si>
  <si>
    <t>INMRM</t>
  </si>
  <si>
    <t>Marmagao (Marmugao)</t>
  </si>
  <si>
    <t>INMLI</t>
  </si>
  <si>
    <t>Maroli</t>
  </si>
  <si>
    <t>INMAP</t>
  </si>
  <si>
    <t>Masulipatnam</t>
  </si>
  <si>
    <t>INMYB</t>
  </si>
  <si>
    <t>Mayabandar</t>
  </si>
  <si>
    <t>INMDW</t>
  </si>
  <si>
    <t>Meadows</t>
  </si>
  <si>
    <t>INMTW</t>
  </si>
  <si>
    <t>Metwad</t>
  </si>
  <si>
    <t>INMCI</t>
  </si>
  <si>
    <t>Minicoi I</t>
  </si>
  <si>
    <t>INMRI</t>
  </si>
  <si>
    <t>Mithivirdi</t>
  </si>
  <si>
    <t>INMRA</t>
  </si>
  <si>
    <t>INMOB</t>
  </si>
  <si>
    <t>Morbi</t>
  </si>
  <si>
    <t>INMDK</t>
  </si>
  <si>
    <t>INBOM</t>
  </si>
  <si>
    <t>Mumbai (ex Bombay)</t>
  </si>
  <si>
    <t>INMUN</t>
  </si>
  <si>
    <t>Mundra</t>
  </si>
  <si>
    <t>INMUG</t>
  </si>
  <si>
    <t>Munger</t>
  </si>
  <si>
    <t>INMUR</t>
  </si>
  <si>
    <t>Murad</t>
  </si>
  <si>
    <t>INNPT</t>
  </si>
  <si>
    <t>Nagappattinam</t>
  </si>
  <si>
    <t>INNGC</t>
  </si>
  <si>
    <t>Nagercoil</t>
  </si>
  <si>
    <t>INNAN</t>
  </si>
  <si>
    <t>Nancowrie</t>
  </si>
  <si>
    <t>INNDG</t>
  </si>
  <si>
    <t>Nandgaon</t>
  </si>
  <si>
    <t>INNVB</t>
  </si>
  <si>
    <t>Navabunder</t>
  </si>
  <si>
    <t>INNVP</t>
  </si>
  <si>
    <t>Navaspur</t>
  </si>
  <si>
    <t>INNAV</t>
  </si>
  <si>
    <t>Navlakhi</t>
  </si>
  <si>
    <t>INNEL</t>
  </si>
  <si>
    <t>Nellore</t>
  </si>
  <si>
    <t>INICD</t>
  </si>
  <si>
    <t>New Delhi</t>
  </si>
  <si>
    <t>INNML</t>
  </si>
  <si>
    <t>New Mangalore</t>
  </si>
  <si>
    <t>INNTU</t>
  </si>
  <si>
    <t>New Tuticorin</t>
  </si>
  <si>
    <t>INNWP</t>
  </si>
  <si>
    <t>Newapur</t>
  </si>
  <si>
    <t>INNHV</t>
  </si>
  <si>
    <t>Nhave</t>
  </si>
  <si>
    <t>INNEE</t>
  </si>
  <si>
    <t>Nindakara</t>
  </si>
  <si>
    <t>INNVT</t>
  </si>
  <si>
    <t>Nivti</t>
  </si>
  <si>
    <t>INOKH</t>
  </si>
  <si>
    <t>Okha</t>
  </si>
  <si>
    <t>INONJ</t>
  </si>
  <si>
    <t>Onjal</t>
  </si>
  <si>
    <t>INORS</t>
  </si>
  <si>
    <t>Orissa</t>
  </si>
  <si>
    <t>INPDD</t>
  </si>
  <si>
    <t>Padubidri</t>
  </si>
  <si>
    <t>INPSH</t>
  </si>
  <si>
    <t>Palshet</t>
  </si>
  <si>
    <t>INPMB</t>
  </si>
  <si>
    <t>Pamban</t>
  </si>
  <si>
    <t>INPAN</t>
  </si>
  <si>
    <t>Panaji Port</t>
  </si>
  <si>
    <t>INPNM</t>
  </si>
  <si>
    <t>Panambur, Va Mangalore</t>
  </si>
  <si>
    <t>INPNJ</t>
  </si>
  <si>
    <t>Panjim</t>
  </si>
  <si>
    <t>INPRT</t>
  </si>
  <si>
    <t>Paradip Garh</t>
  </si>
  <si>
    <t>INPPT</t>
  </si>
  <si>
    <t>Paradip Port</t>
  </si>
  <si>
    <t>INPPJ</t>
  </si>
  <si>
    <t>Pellet Plant Jetty/Shiroda</t>
  </si>
  <si>
    <t>INPER</t>
  </si>
  <si>
    <t>Perundurai</t>
  </si>
  <si>
    <t>INPIN</t>
  </si>
  <si>
    <t>Pindhara</t>
  </si>
  <si>
    <t>INPAV</t>
  </si>
  <si>
    <t>Pipavav (Victor) Port</t>
  </si>
  <si>
    <t>INPNY</t>
  </si>
  <si>
    <t>Pondicherry</t>
  </si>
  <si>
    <t>INPNN</t>
  </si>
  <si>
    <t>Ponnani</t>
  </si>
  <si>
    <t>INPBD</t>
  </si>
  <si>
    <t>Porbandar</t>
  </si>
  <si>
    <t>INIXZ</t>
  </si>
  <si>
    <t>Port Blair</t>
  </si>
  <si>
    <t>INPID</t>
  </si>
  <si>
    <t>Port Indai</t>
  </si>
  <si>
    <t>INPPV</t>
  </si>
  <si>
    <t>Port Pipavav</t>
  </si>
  <si>
    <t>INPRN</t>
  </si>
  <si>
    <t>Portonovo</t>
  </si>
  <si>
    <t>INPST</t>
  </si>
  <si>
    <t>Positra</t>
  </si>
  <si>
    <t>INBPQ</t>
  </si>
  <si>
    <t>Pratapganj</t>
  </si>
  <si>
    <t>INPUL</t>
  </si>
  <si>
    <t>Pulicat</t>
  </si>
  <si>
    <t>INPRG</t>
  </si>
  <si>
    <t>Purangad</t>
  </si>
  <si>
    <t>INPUR</t>
  </si>
  <si>
    <t>Puri</t>
  </si>
  <si>
    <t>INQUI</t>
  </si>
  <si>
    <t>Quilon</t>
  </si>
  <si>
    <t>INRRI</t>
  </si>
  <si>
    <t>Raili</t>
  </si>
  <si>
    <t>INRKG</t>
  </si>
  <si>
    <t>Rajakkamangalam</t>
  </si>
  <si>
    <t>INRJP</t>
  </si>
  <si>
    <t>Rajpara/Navabunder</t>
  </si>
  <si>
    <t>INRJR</t>
  </si>
  <si>
    <t>Rajpuri</t>
  </si>
  <si>
    <t>INRAM</t>
  </si>
  <si>
    <t>Rameshwaram</t>
  </si>
  <si>
    <t>INRGT</t>
  </si>
  <si>
    <t>Ranghat Bay</t>
  </si>
  <si>
    <t>INRNR</t>
  </si>
  <si>
    <t>Ranpar</t>
  </si>
  <si>
    <t>INRTC</t>
  </si>
  <si>
    <t>Ratnagiri</t>
  </si>
  <si>
    <t>INRED</t>
  </si>
  <si>
    <t>Redi</t>
  </si>
  <si>
    <t>INRVD</t>
  </si>
  <si>
    <t>Revdanda</t>
  </si>
  <si>
    <t>INROZ</t>
  </si>
  <si>
    <t>Rozi</t>
  </si>
  <si>
    <t>INSWA</t>
  </si>
  <si>
    <t>Sahnewal</t>
  </si>
  <si>
    <t>INSAL</t>
  </si>
  <si>
    <t>Salaya</t>
  </si>
  <si>
    <t>INSAM</t>
  </si>
  <si>
    <t>Samalkot</t>
  </si>
  <si>
    <t>INSAD</t>
  </si>
  <si>
    <t>Sanathnagar</t>
  </si>
  <si>
    <t>INSTP</t>
  </si>
  <si>
    <t>Satpati</t>
  </si>
  <si>
    <t>INSHI</t>
  </si>
  <si>
    <t>Shirola</t>
  </si>
  <si>
    <t>INSWD</t>
  </si>
  <si>
    <t>Shriwardhan</t>
  </si>
  <si>
    <t>INSIK</t>
  </si>
  <si>
    <t>Sika</t>
  </si>
  <si>
    <t>INSKK</t>
  </si>
  <si>
    <t>Sikkim</t>
  </si>
  <si>
    <t>INSIL</t>
  </si>
  <si>
    <t>Siliguri</t>
  </si>
  <si>
    <t>INSIM</t>
  </si>
  <si>
    <t>Sima/Navabunder</t>
  </si>
  <si>
    <t>INSHP</t>
  </si>
  <si>
    <t>Simbhour Port</t>
  </si>
  <si>
    <t>INSMR</t>
  </si>
  <si>
    <t>Simor</t>
  </si>
  <si>
    <t>INSBH</t>
  </si>
  <si>
    <t>Sinbhour</t>
  </si>
  <si>
    <t>INSRV</t>
  </si>
  <si>
    <t>Surasani-Yanam</t>
  </si>
  <si>
    <t>INSTV</t>
  </si>
  <si>
    <t>Surat</t>
  </si>
  <si>
    <t>INTAD</t>
  </si>
  <si>
    <t>Tadri</t>
  </si>
  <si>
    <t>INTJA</t>
  </si>
  <si>
    <t>Talaja</t>
  </si>
  <si>
    <t>INTPN</t>
  </si>
  <si>
    <t>Talpona</t>
  </si>
  <si>
    <t>INTNK</t>
  </si>
  <si>
    <t>Tankari</t>
  </si>
  <si>
    <t>INTRP</t>
  </si>
  <si>
    <t>Tarapur</t>
  </si>
  <si>
    <t>INTEL</t>
  </si>
  <si>
    <t>Tellicherry</t>
  </si>
  <si>
    <t>INTKS</t>
  </si>
  <si>
    <t>Tenkasi</t>
  </si>
  <si>
    <t>INTHL</t>
  </si>
  <si>
    <t>Thal</t>
  </si>
  <si>
    <t>INTNA</t>
  </si>
  <si>
    <t>Thana</t>
  </si>
  <si>
    <t>INTHN</t>
  </si>
  <si>
    <t>Thane</t>
  </si>
  <si>
    <t>INTPH</t>
  </si>
  <si>
    <t>Thopputhurai</t>
  </si>
  <si>
    <t>INTYR</t>
  </si>
  <si>
    <t>Tirukkadayyur</t>
  </si>
  <si>
    <t>INTIV</t>
  </si>
  <si>
    <t>Tiviri</t>
  </si>
  <si>
    <t>INTND</t>
  </si>
  <si>
    <t>Tondi</t>
  </si>
  <si>
    <t>INKTK</t>
  </si>
  <si>
    <t>Toranagallu</t>
  </si>
  <si>
    <t>INTRA</t>
  </si>
  <si>
    <t>Tranquebar</t>
  </si>
  <si>
    <t>INTMP</t>
  </si>
  <si>
    <t>Trombay</t>
  </si>
  <si>
    <t>INZUM</t>
  </si>
  <si>
    <t>Tumkur</t>
  </si>
  <si>
    <t>INTUN</t>
  </si>
  <si>
    <t>Tuna</t>
  </si>
  <si>
    <t>INTUT</t>
  </si>
  <si>
    <t>Tuticorin</t>
  </si>
  <si>
    <t>INULW</t>
  </si>
  <si>
    <t>Ulwa</t>
  </si>
  <si>
    <t>INUMR</t>
  </si>
  <si>
    <t>Umarsadi</t>
  </si>
  <si>
    <t>INUMB</t>
  </si>
  <si>
    <t>Umbergoan</t>
  </si>
  <si>
    <t>INURA</t>
  </si>
  <si>
    <t>Uran</t>
  </si>
  <si>
    <t>INUTN</t>
  </si>
  <si>
    <t>Uttan</t>
  </si>
  <si>
    <t>INVRU</t>
  </si>
  <si>
    <t>Vadarevu</t>
  </si>
  <si>
    <t>INVAD</t>
  </si>
  <si>
    <t>Vadinar</t>
  </si>
  <si>
    <t>INBDQ</t>
  </si>
  <si>
    <t>Vadodara</t>
  </si>
  <si>
    <t>INVKM</t>
  </si>
  <si>
    <t>Valinokkam</t>
  </si>
  <si>
    <t>INVSI</t>
  </si>
  <si>
    <t>Vansi-Borsi</t>
  </si>
  <si>
    <t>INVRD</t>
  </si>
  <si>
    <t>Varavda</t>
  </si>
  <si>
    <t>INVSV</t>
  </si>
  <si>
    <t>Varsova</t>
  </si>
  <si>
    <t>INVZJ</t>
  </si>
  <si>
    <t>Vazhinjam</t>
  </si>
  <si>
    <t>INVNG</t>
  </si>
  <si>
    <t>Vemgira</t>
  </si>
  <si>
    <t>INVEN</t>
  </si>
  <si>
    <t>Vengurla</t>
  </si>
  <si>
    <t>INVEP</t>
  </si>
  <si>
    <t>Veppalodai</t>
  </si>
  <si>
    <t>INVVA</t>
  </si>
  <si>
    <t>Veraval</t>
  </si>
  <si>
    <t>INVYD</t>
  </si>
  <si>
    <t>Vijaydurg</t>
  </si>
  <si>
    <t>INVTZ</t>
  </si>
  <si>
    <t>Visakhapatnam</t>
  </si>
  <si>
    <t>INVIG</t>
  </si>
  <si>
    <t>Vizagapatanam</t>
  </si>
  <si>
    <t>INWAD</t>
  </si>
  <si>
    <t>Wada</t>
  </si>
  <si>
    <t>IQALF</t>
  </si>
  <si>
    <t>Abu Al Fulus</t>
  </si>
  <si>
    <t>IQASD</t>
  </si>
  <si>
    <t>Al Asad</t>
  </si>
  <si>
    <t>IQHIL</t>
  </si>
  <si>
    <t>Al Hillah</t>
  </si>
  <si>
    <t>IQTQD</t>
  </si>
  <si>
    <t>Al Taqaddum</t>
  </si>
  <si>
    <t>IQBGW</t>
  </si>
  <si>
    <t>IQBSR</t>
  </si>
  <si>
    <t>Basra</t>
  </si>
  <si>
    <t>IQMAB</t>
  </si>
  <si>
    <t>Basrah Oil Terminal</t>
  </si>
  <si>
    <t>IQFAO</t>
  </si>
  <si>
    <t>Fao</t>
  </si>
  <si>
    <t>IQIKD</t>
  </si>
  <si>
    <t>Iskandariyha</t>
  </si>
  <si>
    <t>IQKAR</t>
  </si>
  <si>
    <t>Karbala</t>
  </si>
  <si>
    <t>IQKHA</t>
  </si>
  <si>
    <t>Khor Al Amaya</t>
  </si>
  <si>
    <t>IQKAZ</t>
  </si>
  <si>
    <t>Khor al Zubair</t>
  </si>
  <si>
    <t>IQKIK</t>
  </si>
  <si>
    <t>Kirkuk</t>
  </si>
  <si>
    <t>IQMAN</t>
  </si>
  <si>
    <t>Mandali</t>
  </si>
  <si>
    <t>IQOSM</t>
  </si>
  <si>
    <t>Mosul (Ak Mawsil)</t>
  </si>
  <si>
    <t>IQNJF</t>
  </si>
  <si>
    <t>Najaf</t>
  </si>
  <si>
    <t>IQNAS</t>
  </si>
  <si>
    <t>Najat</t>
  </si>
  <si>
    <t>IQNSR</t>
  </si>
  <si>
    <t>Nasiriyah</t>
  </si>
  <si>
    <t>IQSAM</t>
  </si>
  <si>
    <t>Samarra'</t>
  </si>
  <si>
    <t>IQTJI</t>
  </si>
  <si>
    <t>Taji</t>
  </si>
  <si>
    <t>IQUQR</t>
  </si>
  <si>
    <t>Umm Qasr Port</t>
  </si>
  <si>
    <t>IQZAO</t>
  </si>
  <si>
    <t>Zakho</t>
  </si>
  <si>
    <t>IRABD</t>
  </si>
  <si>
    <t>Abadan</t>
  </si>
  <si>
    <t>IRAMP</t>
  </si>
  <si>
    <t>Amir Abad Pt</t>
  </si>
  <si>
    <t>IRBAM</t>
  </si>
  <si>
    <t>Amirabad</t>
  </si>
  <si>
    <t>IRASA</t>
  </si>
  <si>
    <t>Asaluyeh</t>
  </si>
  <si>
    <t>IRBND</t>
  </si>
  <si>
    <t>Bandar Abbas</t>
  </si>
  <si>
    <t>IRAMD</t>
  </si>
  <si>
    <t>Bandar Amirabad</t>
  </si>
  <si>
    <t>IRBAH</t>
  </si>
  <si>
    <t>Bandar Assaluyeh</t>
  </si>
  <si>
    <t>IRBKM</t>
  </si>
  <si>
    <t>Bandar Khomeini</t>
  </si>
  <si>
    <t>IRBMR</t>
  </si>
  <si>
    <t>Bandar Mashur</t>
  </si>
  <si>
    <t>IRNEK</t>
  </si>
  <si>
    <t>Bandar Neka</t>
  </si>
  <si>
    <t>IRBSR</t>
  </si>
  <si>
    <t>Bandar Shahid Rajaee</t>
  </si>
  <si>
    <t>IRBAZ</t>
  </si>
  <si>
    <t>Bandar-e Anzali</t>
  </si>
  <si>
    <t>IRBKK</t>
  </si>
  <si>
    <t>Bandar-e Emam Khomeyni</t>
  </si>
  <si>
    <t>IRBRG</t>
  </si>
  <si>
    <t>Bandar-e Gaz</t>
  </si>
  <si>
    <t>IRMRX</t>
  </si>
  <si>
    <t>IRBUZ</t>
  </si>
  <si>
    <t>Bushehr</t>
  </si>
  <si>
    <t>IRZBR</t>
  </si>
  <si>
    <t>Chah Bahar</t>
  </si>
  <si>
    <t>IRFKR</t>
  </si>
  <si>
    <t>Freidoon Kenar</t>
  </si>
  <si>
    <t>IRIMH</t>
  </si>
  <si>
    <t>Imam Hasan</t>
  </si>
  <si>
    <t>IRBIK</t>
  </si>
  <si>
    <t>Imam Khomeini Pt/ Mahshahr City</t>
  </si>
  <si>
    <t>IRIFN</t>
  </si>
  <si>
    <t>Isfahan</t>
  </si>
  <si>
    <t>IRKAS</t>
  </si>
  <si>
    <t>Kashan</t>
  </si>
  <si>
    <t>IRKSH</t>
  </si>
  <si>
    <t>Kermanshah (Bakhtaran)</t>
  </si>
  <si>
    <t>IRKHK</t>
  </si>
  <si>
    <t>Khark Island</t>
  </si>
  <si>
    <t>IRKHO</t>
  </si>
  <si>
    <t>Khorramshahr</t>
  </si>
  <si>
    <t>IRLVP</t>
  </si>
  <si>
    <t>Lavan</t>
  </si>
  <si>
    <t>IRLIN</t>
  </si>
  <si>
    <t>Lingah</t>
  </si>
  <si>
    <t>IRNKA</t>
  </si>
  <si>
    <t>Neka</t>
  </si>
  <si>
    <t>IRNSH</t>
  </si>
  <si>
    <t>Now Shahr</t>
  </si>
  <si>
    <t>IRRBA</t>
  </si>
  <si>
    <t>Ras Bahrgan</t>
  </si>
  <si>
    <t>IRSIX</t>
  </si>
  <si>
    <t>Sari</t>
  </si>
  <si>
    <t>IRSRA</t>
  </si>
  <si>
    <t>Sarooj Anchorage</t>
  </si>
  <si>
    <t>IRSBR</t>
  </si>
  <si>
    <t>Shahid Bahonar</t>
  </si>
  <si>
    <t>IRSRP</t>
  </si>
  <si>
    <t>Shahid Rajaee Pt/Bandar Abbas</t>
  </si>
  <si>
    <t>IRSYZ</t>
  </si>
  <si>
    <t>Shiraz</t>
  </si>
  <si>
    <t>IRSXI</t>
  </si>
  <si>
    <t>Sirri Island</t>
  </si>
  <si>
    <t>IRCYT</t>
  </si>
  <si>
    <t>Soroosh (Cyrus) Terminal</t>
  </si>
  <si>
    <t>IRTBZ</t>
  </si>
  <si>
    <t>Tabriz</t>
  </si>
  <si>
    <t>IRTMB</t>
  </si>
  <si>
    <t>Tombak</t>
  </si>
  <si>
    <t>IRAZD</t>
  </si>
  <si>
    <t>Yazd</t>
  </si>
  <si>
    <t>ISAKR</t>
  </si>
  <si>
    <t>Akranes</t>
  </si>
  <si>
    <t>ISAKU</t>
  </si>
  <si>
    <t>Akureyri</t>
  </si>
  <si>
    <t>ISASS</t>
  </si>
  <si>
    <t>Arskogssandur</t>
  </si>
  <si>
    <t>ISBAK</t>
  </si>
  <si>
    <t>ISBIL</t>
  </si>
  <si>
    <t>ISBLO</t>
  </si>
  <si>
    <t>Blonduos</t>
  </si>
  <si>
    <t>ISBOL</t>
  </si>
  <si>
    <t>Bolungarvik</t>
  </si>
  <si>
    <t>ISBOI</t>
  </si>
  <si>
    <t>Bordeyri</t>
  </si>
  <si>
    <t>ISBGJ</t>
  </si>
  <si>
    <t>ISBOR</t>
  </si>
  <si>
    <t>Borgarnes</t>
  </si>
  <si>
    <t>ISBRE</t>
  </si>
  <si>
    <t>Breiddalsvik</t>
  </si>
  <si>
    <t>ISBUD</t>
  </si>
  <si>
    <t>Budardalur</t>
  </si>
  <si>
    <t>ISDAL</t>
  </si>
  <si>
    <t>ISDPV</t>
  </si>
  <si>
    <t>Djupavik</t>
  </si>
  <si>
    <t>ISDJU</t>
  </si>
  <si>
    <t>ISDRA</t>
  </si>
  <si>
    <t>Drangsnes</t>
  </si>
  <si>
    <t>ISESK</t>
  </si>
  <si>
    <t>ISFAS</t>
  </si>
  <si>
    <t>ISFLA</t>
  </si>
  <si>
    <t>Flateyri</t>
  </si>
  <si>
    <t>ISGRB</t>
  </si>
  <si>
    <t>Gardabaer</t>
  </si>
  <si>
    <t>ISGRD</t>
  </si>
  <si>
    <t>Gardur</t>
  </si>
  <si>
    <t>ISGRE</t>
  </si>
  <si>
    <t>ISGRI</t>
  </si>
  <si>
    <t>ISGRF</t>
  </si>
  <si>
    <t>ISGRT</t>
  </si>
  <si>
    <t>Grundartangi</t>
  </si>
  <si>
    <t>ISGUF</t>
  </si>
  <si>
    <t>Gufunes/Reykjavik</t>
  </si>
  <si>
    <t>ISHAF</t>
  </si>
  <si>
    <t>ISHNR</t>
  </si>
  <si>
    <t>Hafnir</t>
  </si>
  <si>
    <t>ISHEL</t>
  </si>
  <si>
    <t>Helguvik</t>
  </si>
  <si>
    <t>ISHJA</t>
  </si>
  <si>
    <t>Hjalteyri</t>
  </si>
  <si>
    <t>ISHFN</t>
  </si>
  <si>
    <t>ISHOF</t>
  </si>
  <si>
    <t>ISHRI</t>
  </si>
  <si>
    <t>Hrisey</t>
  </si>
  <si>
    <t>ISHUS</t>
  </si>
  <si>
    <t>ISHVR</t>
  </si>
  <si>
    <t>ISHVM</t>
  </si>
  <si>
    <t>Hvammstangi</t>
  </si>
  <si>
    <t>ISISA</t>
  </si>
  <si>
    <t>ISKEV</t>
  </si>
  <si>
    <t>Keflavikurkaupstadur</t>
  </si>
  <si>
    <t>ISKOP</t>
  </si>
  <si>
    <t>ISKOV</t>
  </si>
  <si>
    <t>ISKRO</t>
  </si>
  <si>
    <t>Krokfjardarnes</t>
  </si>
  <si>
    <t>ISLSA</t>
  </si>
  <si>
    <t>Litli Sandur</t>
  </si>
  <si>
    <t>ISMJH</t>
  </si>
  <si>
    <t>Mjoeyrarhofn</t>
  </si>
  <si>
    <t>ISMJO</t>
  </si>
  <si>
    <t>ISMOS</t>
  </si>
  <si>
    <t>Mosfellsbaer</t>
  </si>
  <si>
    <t>ISNES</t>
  </si>
  <si>
    <t>Neskaupstadur</t>
  </si>
  <si>
    <t>ISNJA</t>
  </si>
  <si>
    <t>Njardvik</t>
  </si>
  <si>
    <t>ISNOU</t>
  </si>
  <si>
    <t>ISOLF</t>
  </si>
  <si>
    <t>ISOLV</t>
  </si>
  <si>
    <t>ISOSP</t>
  </si>
  <si>
    <t>Ospakseyri</t>
  </si>
  <si>
    <t>ISPAT</t>
  </si>
  <si>
    <t>ISRAU</t>
  </si>
  <si>
    <t>ISRFJ</t>
  </si>
  <si>
    <t>ISRHA</t>
  </si>
  <si>
    <t>ISREY</t>
  </si>
  <si>
    <t>ISRIF</t>
  </si>
  <si>
    <t>Rif-Hellisandur</t>
  </si>
  <si>
    <t>ISSAN</t>
  </si>
  <si>
    <t>Sandgerdi</t>
  </si>
  <si>
    <t>ISSAU</t>
  </si>
  <si>
    <t>ISSEY</t>
  </si>
  <si>
    <t>ISSIG</t>
  </si>
  <si>
    <t>ISSKA</t>
  </si>
  <si>
    <t>ISKJF</t>
  </si>
  <si>
    <t>ISSTD</t>
  </si>
  <si>
    <t>ISSTR</t>
  </si>
  <si>
    <t>Straumsvik</t>
  </si>
  <si>
    <t>ISSTY</t>
  </si>
  <si>
    <t>ISSUV</t>
  </si>
  <si>
    <t>Sudavik</t>
  </si>
  <si>
    <t>ISSUD</t>
  </si>
  <si>
    <t>Sudureyri/Sugandafjord</t>
  </si>
  <si>
    <t>ISSVA</t>
  </si>
  <si>
    <t>Svalbardseyri</t>
  </si>
  <si>
    <t>ISTAL</t>
  </si>
  <si>
    <t>ISTEY</t>
  </si>
  <si>
    <t>Thingeyri</t>
  </si>
  <si>
    <t>ISTHH</t>
  </si>
  <si>
    <t>Thorlakshofn</t>
  </si>
  <si>
    <t>ISTHO</t>
  </si>
  <si>
    <t>Thorshofn</t>
  </si>
  <si>
    <t>ISTHN</t>
  </si>
  <si>
    <t>ISVES</t>
  </si>
  <si>
    <t>ISVOG</t>
  </si>
  <si>
    <t>Vogar</t>
  </si>
  <si>
    <t>ISVPN</t>
  </si>
  <si>
    <t>ITAOL</t>
  </si>
  <si>
    <t>Acciaroli</t>
  </si>
  <si>
    <t>ITACL</t>
  </si>
  <si>
    <t>Aci Castello</t>
  </si>
  <si>
    <t>ITACT</t>
  </si>
  <si>
    <t>Aci Trezza</t>
  </si>
  <si>
    <t>ITAGP</t>
  </si>
  <si>
    <t>Agropoli</t>
  </si>
  <si>
    <t>ITALS</t>
  </si>
  <si>
    <t>Alassio</t>
  </si>
  <si>
    <t>ITAHO</t>
  </si>
  <si>
    <t>Alghero</t>
  </si>
  <si>
    <t>ITALI</t>
  </si>
  <si>
    <t>Alicudi</t>
  </si>
  <si>
    <t>ITAMA</t>
  </si>
  <si>
    <t>Amalfi</t>
  </si>
  <si>
    <t>ITAMT</t>
  </si>
  <si>
    <t>Amantea</t>
  </si>
  <si>
    <t>ITAOI</t>
  </si>
  <si>
    <t>Ancona</t>
  </si>
  <si>
    <t>ITADA</t>
  </si>
  <si>
    <t>Andora</t>
  </si>
  <si>
    <t>ITANZ</t>
  </si>
  <si>
    <t>Anzio</t>
  </si>
  <si>
    <t>ITATX</t>
  </si>
  <si>
    <t>Arbatax</t>
  </si>
  <si>
    <t>ITAZA</t>
  </si>
  <si>
    <t>Arenzano</t>
  </si>
  <si>
    <t>ITATA</t>
  </si>
  <si>
    <t>Arma di Taggia</t>
  </si>
  <si>
    <t>ITAUG</t>
  </si>
  <si>
    <t>ITAVO</t>
  </si>
  <si>
    <t>Avola</t>
  </si>
  <si>
    <t>ITBCB</t>
  </si>
  <si>
    <t>Bagnara Calabra</t>
  </si>
  <si>
    <t>ITBLN</t>
  </si>
  <si>
    <t>Bagnoli</t>
  </si>
  <si>
    <t>ITBAI</t>
  </si>
  <si>
    <t>Baia</t>
  </si>
  <si>
    <t>ITB8D</t>
  </si>
  <si>
    <t>Bardello</t>
  </si>
  <si>
    <t>ITBRI</t>
  </si>
  <si>
    <t>Bari</t>
  </si>
  <si>
    <t>ITBLT</t>
  </si>
  <si>
    <t>Barletta</t>
  </si>
  <si>
    <t>ITBLA</t>
  </si>
  <si>
    <t>Bellaria</t>
  </si>
  <si>
    <t>ITBMT</t>
  </si>
  <si>
    <t>Belvedere Marittimo</t>
  </si>
  <si>
    <t>ITBNC</t>
  </si>
  <si>
    <t>Bianco</t>
  </si>
  <si>
    <t>ITBCE</t>
  </si>
  <si>
    <t>Bisceglie</t>
  </si>
  <si>
    <t>ITBGH</t>
  </si>
  <si>
    <t>Bordighera</t>
  </si>
  <si>
    <t>ITBOA</t>
  </si>
  <si>
    <t>Bosa</t>
  </si>
  <si>
    <t>ITBVM</t>
  </si>
  <si>
    <t>Bova Marina</t>
  </si>
  <si>
    <t>ITBMA</t>
  </si>
  <si>
    <t>Bovalino Marina</t>
  </si>
  <si>
    <t>ITBDS</t>
  </si>
  <si>
    <t>Brindisi</t>
  </si>
  <si>
    <t>ITCAG</t>
  </si>
  <si>
    <t>Cagliari</t>
  </si>
  <si>
    <t>ITNNE</t>
  </si>
  <si>
    <t>Cala Gonone</t>
  </si>
  <si>
    <t>ITCLS</t>
  </si>
  <si>
    <t>Calasetta</t>
  </si>
  <si>
    <t>ITGLJ</t>
  </si>
  <si>
    <t>Camogli</t>
  </si>
  <si>
    <t>ITNIG</t>
  </si>
  <si>
    <t>Cannigione</t>
  </si>
  <si>
    <t>ITAOR</t>
  </si>
  <si>
    <t>Caorle</t>
  </si>
  <si>
    <t>ITCCB</t>
  </si>
  <si>
    <t>Cape Carbonara</t>
  </si>
  <si>
    <t>ITCOQ</t>
  </si>
  <si>
    <t>Capo d'Orlando</t>
  </si>
  <si>
    <t>ITCPA</t>
  </si>
  <si>
    <t>Capraia</t>
  </si>
  <si>
    <t>ITPRJ</t>
  </si>
  <si>
    <t>Capri</t>
  </si>
  <si>
    <t>ITCRT</t>
  </si>
  <si>
    <t>Cariati</t>
  </si>
  <si>
    <t>ITCLF</t>
  </si>
  <si>
    <t>Carloforte</t>
  </si>
  <si>
    <t>ITCML</t>
  </si>
  <si>
    <t>Casamicciola Terme</t>
  </si>
  <si>
    <t>ITAEL</t>
  </si>
  <si>
    <t>Castel Volturno</t>
  </si>
  <si>
    <t>ITCTR</t>
  </si>
  <si>
    <t>Castellammare del Golfo</t>
  </si>
  <si>
    <t>ITCAS</t>
  </si>
  <si>
    <t>Castellammare di Stabia</t>
  </si>
  <si>
    <t>ITCTK</t>
  </si>
  <si>
    <t>Castelsardo</t>
  </si>
  <si>
    <t>ITATI</t>
  </si>
  <si>
    <t>Castiglioncello</t>
  </si>
  <si>
    <t>ITCEQ</t>
  </si>
  <si>
    <t>Castiglione della Pescaia</t>
  </si>
  <si>
    <t>ITCRQ</t>
  </si>
  <si>
    <t>Castro Marina</t>
  </si>
  <si>
    <t>ITCTA</t>
  </si>
  <si>
    <t>Catania</t>
  </si>
  <si>
    <t>ITCCL</t>
  </si>
  <si>
    <t>Cattolica</t>
  </si>
  <si>
    <t>ITCVX</t>
  </si>
  <si>
    <t>Cavo</t>
  </si>
  <si>
    <t>ITCEC</t>
  </si>
  <si>
    <t>Cecina</t>
  </si>
  <si>
    <t>ITCFU</t>
  </si>
  <si>
    <t>ITCEV</t>
  </si>
  <si>
    <t>Cervia</t>
  </si>
  <si>
    <t>ITCNT</t>
  </si>
  <si>
    <t>Cesenatico</t>
  </si>
  <si>
    <t>ITTAA</t>
  </si>
  <si>
    <t>Cetara</t>
  </si>
  <si>
    <t>ITCCQ</t>
  </si>
  <si>
    <t>Cetraro</t>
  </si>
  <si>
    <t>ITCHX</t>
  </si>
  <si>
    <t>Chiavari</t>
  </si>
  <si>
    <t>ITCHI</t>
  </si>
  <si>
    <t>Chioggia</t>
  </si>
  <si>
    <t>ITMRM</t>
  </si>
  <si>
    <t>ITCVV</t>
  </si>
  <si>
    <t>Civitavecchia</t>
  </si>
  <si>
    <t>ITCPN</t>
  </si>
  <si>
    <t>Copanello</t>
  </si>
  <si>
    <t>ITCGC</t>
  </si>
  <si>
    <t>Corigliano Calabro</t>
  </si>
  <si>
    <t>ITCRV</t>
  </si>
  <si>
    <t>Crotone</t>
  </si>
  <si>
    <t>ITCPM</t>
  </si>
  <si>
    <t>Cupra Marittima</t>
  </si>
  <si>
    <t>ITDIA</t>
  </si>
  <si>
    <t>ITDNO</t>
  </si>
  <si>
    <t>Duino</t>
  </si>
  <si>
    <t>ITFAL</t>
  </si>
  <si>
    <t>Falconara</t>
  </si>
  <si>
    <t>ITFAO</t>
  </si>
  <si>
    <t>Fano</t>
  </si>
  <si>
    <t>ITFAV</t>
  </si>
  <si>
    <t>Favignana</t>
  </si>
  <si>
    <t>ITFPO</t>
  </si>
  <si>
    <t>Filicudi Porto</t>
  </si>
  <si>
    <t>ITFNL</t>
  </si>
  <si>
    <t>Finale Ligure</t>
  </si>
  <si>
    <t>ITFCO</t>
  </si>
  <si>
    <t>Fiumicino</t>
  </si>
  <si>
    <t>ITFCV</t>
  </si>
  <si>
    <t>Foce Varano</t>
  </si>
  <si>
    <t>ITFOL</t>
  </si>
  <si>
    <t>Follonica</t>
  </si>
  <si>
    <t>ITFRD</t>
  </si>
  <si>
    <t>Forio</t>
  </si>
  <si>
    <t>ITFOM</t>
  </si>
  <si>
    <t>Formia</t>
  </si>
  <si>
    <t>ITFME</t>
  </si>
  <si>
    <t>Francavilla al Mare</t>
  </si>
  <si>
    <t>ITFGE</t>
  </si>
  <si>
    <t>Fregene</t>
  </si>
  <si>
    <t>ITFSA</t>
  </si>
  <si>
    <t>Fusina</t>
  </si>
  <si>
    <t>ITGMA</t>
  </si>
  <si>
    <t>Gabicce Mare</t>
  </si>
  <si>
    <t>ITGAE</t>
  </si>
  <si>
    <t>Gaeta</t>
  </si>
  <si>
    <t>ITGAL</t>
  </si>
  <si>
    <t>Gallipoli</t>
  </si>
  <si>
    <t>ITGEA</t>
  </si>
  <si>
    <t>Gela</t>
  </si>
  <si>
    <t>ITGOA</t>
  </si>
  <si>
    <t>Genova</t>
  </si>
  <si>
    <t>ITGII</t>
  </si>
  <si>
    <t>Giannutri</t>
  </si>
  <si>
    <t>ITGIA</t>
  </si>
  <si>
    <t>Giardini Naxos</t>
  </si>
  <si>
    <t>ITGIT</t>
  </si>
  <si>
    <t>Gioia Tauro</t>
  </si>
  <si>
    <t>ITGVZ</t>
  </si>
  <si>
    <t>Giovinazzo</t>
  </si>
  <si>
    <t>ITGUI</t>
  </si>
  <si>
    <t>Giulianova</t>
  </si>
  <si>
    <t>ITGAI</t>
  </si>
  <si>
    <t>Golfo Aranci</t>
  </si>
  <si>
    <t>ITGOR</t>
  </si>
  <si>
    <t>Gorgona</t>
  </si>
  <si>
    <t>ITGOO</t>
  </si>
  <si>
    <t>Goro</t>
  </si>
  <si>
    <t>ITGRD</t>
  </si>
  <si>
    <t>Grado</t>
  </si>
  <si>
    <t>ITJLO</t>
  </si>
  <si>
    <t>Iesolo</t>
  </si>
  <si>
    <t>ITIMP</t>
  </si>
  <si>
    <t>Imperia</t>
  </si>
  <si>
    <t>ITISH</t>
  </si>
  <si>
    <t>Ischia</t>
  </si>
  <si>
    <t>ITISN</t>
  </si>
  <si>
    <t>Isola Asinara</t>
  </si>
  <si>
    <t>ITIDG</t>
  </si>
  <si>
    <t>Isola del Giglio</t>
  </si>
  <si>
    <t>ITIDF</t>
  </si>
  <si>
    <t>Isola delle Femmine</t>
  </si>
  <si>
    <t>ITISS</t>
  </si>
  <si>
    <t>Isola Santo Stefano</t>
  </si>
  <si>
    <t>ITFOR</t>
  </si>
  <si>
    <t>Isolotto Formica</t>
  </si>
  <si>
    <t>ITMDA</t>
  </si>
  <si>
    <t>La Maddalena</t>
  </si>
  <si>
    <t>ITSPE</t>
  </si>
  <si>
    <t>La Spezia</t>
  </si>
  <si>
    <t>ITLAE</t>
  </si>
  <si>
    <t>Lacco Ameno</t>
  </si>
  <si>
    <t>ITLAD</t>
  </si>
  <si>
    <t>Ladispoli</t>
  </si>
  <si>
    <t>ITLMP</t>
  </si>
  <si>
    <t>Lampedusa</t>
  </si>
  <si>
    <t>ITLAW</t>
  </si>
  <si>
    <t>Lavagna</t>
  </si>
  <si>
    <t>ITLER</t>
  </si>
  <si>
    <t>Lerici</t>
  </si>
  <si>
    <t>ITLES</t>
  </si>
  <si>
    <t>Lesina</t>
  </si>
  <si>
    <t>ITLEC</t>
  </si>
  <si>
    <t>Leuca</t>
  </si>
  <si>
    <t>ITLEN</t>
  </si>
  <si>
    <t>Levanto</t>
  </si>
  <si>
    <t>ITLEV</t>
  </si>
  <si>
    <t>Levanzo</t>
  </si>
  <si>
    <t>ITLIC</t>
  </si>
  <si>
    <t>Licata</t>
  </si>
  <si>
    <t>ITLSD</t>
  </si>
  <si>
    <t>Lignano Sabbiadoro</t>
  </si>
  <si>
    <t>ITLIU</t>
  </si>
  <si>
    <t>Linosa</t>
  </si>
  <si>
    <t>ITLIP</t>
  </si>
  <si>
    <t>Lipari</t>
  </si>
  <si>
    <t>ITLIV</t>
  </si>
  <si>
    <t>Livorno</t>
  </si>
  <si>
    <t>ITLOA</t>
  </si>
  <si>
    <t>Loano</t>
  </si>
  <si>
    <t>ITIOI</t>
  </si>
  <si>
    <t>Maiori</t>
  </si>
  <si>
    <t>ITMFR</t>
  </si>
  <si>
    <t>Manfredonia</t>
  </si>
  <si>
    <t>ITMAJ</t>
  </si>
  <si>
    <t>Marano Lagunare</t>
  </si>
  <si>
    <t>ITTEA</t>
  </si>
  <si>
    <t>Maratea</t>
  </si>
  <si>
    <t>ITMAM</t>
  </si>
  <si>
    <t>Marciana Marina</t>
  </si>
  <si>
    <t>ITMMO</t>
  </si>
  <si>
    <t>Marettimo</t>
  </si>
  <si>
    <t>ITPMA</t>
  </si>
  <si>
    <t>Marghera</t>
  </si>
  <si>
    <t>ITMDW</t>
  </si>
  <si>
    <t>Margherita di Savoia</t>
  </si>
  <si>
    <t>ITMLB</t>
  </si>
  <si>
    <t>Marina della Lobra</t>
  </si>
  <si>
    <t>ITMIT</t>
  </si>
  <si>
    <t>Marina di Camerota</t>
  </si>
  <si>
    <t>ITMRP</t>
  </si>
  <si>
    <t>Marina di Campo</t>
  </si>
  <si>
    <t>ITMDC</t>
  </si>
  <si>
    <t>Marina di Carrara</t>
  </si>
  <si>
    <t>ITAAS</t>
  </si>
  <si>
    <t>Marina di Davoli</t>
  </si>
  <si>
    <t>ITMAH</t>
  </si>
  <si>
    <t>Marina di Ginosa</t>
  </si>
  <si>
    <t>ITMSD</t>
  </si>
  <si>
    <t>Marina di Grosseto</t>
  </si>
  <si>
    <t>ITQMM</t>
  </si>
  <si>
    <t>Marina di Massa</t>
  </si>
  <si>
    <t>ITMPA</t>
  </si>
  <si>
    <t>Marina di Pisa</t>
  </si>
  <si>
    <t>ITMSB</t>
  </si>
  <si>
    <t>Marina di Pisciotta</t>
  </si>
  <si>
    <t>ITMGE</t>
  </si>
  <si>
    <t>Marina Grande</t>
  </si>
  <si>
    <t>ITMNU</t>
  </si>
  <si>
    <t>Marinella di Selinunte</t>
  </si>
  <si>
    <t>ITRTT</t>
  </si>
  <si>
    <t>Marotta</t>
  </si>
  <si>
    <t>ITMRA</t>
  </si>
  <si>
    <t>Marsala</t>
  </si>
  <si>
    <t>ITMLU</t>
  </si>
  <si>
    <t>Massa Lubrense</t>
  </si>
  <si>
    <t>ITMAZ</t>
  </si>
  <si>
    <t>Mazara del Vallo</t>
  </si>
  <si>
    <t>ITMPS</t>
  </si>
  <si>
    <t>Melito di Porto Salvo</t>
  </si>
  <si>
    <t>ITMSN</t>
  </si>
  <si>
    <t>Messina</t>
  </si>
  <si>
    <t>ITMTH</t>
  </si>
  <si>
    <t>Meta</t>
  </si>
  <si>
    <t>ITMLZ</t>
  </si>
  <si>
    <t>Milazzo</t>
  </si>
  <si>
    <t>ITMIM</t>
  </si>
  <si>
    <t>Mili Marina</t>
  </si>
  <si>
    <t>ITMIS</t>
  </si>
  <si>
    <t>Misano Adriatico</t>
  </si>
  <si>
    <t>ITODB</t>
  </si>
  <si>
    <t>Mola di Bari</t>
  </si>
  <si>
    <t>ITMOL</t>
  </si>
  <si>
    <t>Molfetta</t>
  </si>
  <si>
    <t>ITMND</t>
  </si>
  <si>
    <t>Mondello, Palermo</t>
  </si>
  <si>
    <t>ITODG</t>
  </si>
  <si>
    <t>Mondragone</t>
  </si>
  <si>
    <t>ITMNF</t>
  </si>
  <si>
    <t>Monfalcone</t>
  </si>
  <si>
    <t>ITMNP</t>
  </si>
  <si>
    <t>Monopoli</t>
  </si>
  <si>
    <t>ITMLS</t>
  </si>
  <si>
    <t>Montalto di Castro</t>
  </si>
  <si>
    <t>ITRSM</t>
  </si>
  <si>
    <t>Monterosso al Mare</t>
  </si>
  <si>
    <t>ITUGG</t>
  </si>
  <si>
    <t>Muggia</t>
  </si>
  <si>
    <t>ITNAP</t>
  </si>
  <si>
    <t>Napoli</t>
  </si>
  <si>
    <t>ITNTT</t>
  </si>
  <si>
    <t>Nettuno</t>
  </si>
  <si>
    <t>ITNLI</t>
  </si>
  <si>
    <t>Noli</t>
  </si>
  <si>
    <t>ITNSR</t>
  </si>
  <si>
    <t>Nova Siri</t>
  </si>
  <si>
    <t>ITNUM</t>
  </si>
  <si>
    <t>Numana</t>
  </si>
  <si>
    <t>ITOGN</t>
  </si>
  <si>
    <t>Ognina</t>
  </si>
  <si>
    <t>ITOLB</t>
  </si>
  <si>
    <t>Olbia</t>
  </si>
  <si>
    <t>ITONE</t>
  </si>
  <si>
    <t>Oneglia</t>
  </si>
  <si>
    <t>ITOBT</t>
  </si>
  <si>
    <t>Orbetello</t>
  </si>
  <si>
    <t>ITQOS</t>
  </si>
  <si>
    <t>Oristano</t>
  </si>
  <si>
    <t>ITOTN</t>
  </si>
  <si>
    <t>Ortona</t>
  </si>
  <si>
    <t>ITOTO</t>
  </si>
  <si>
    <t>Otranto</t>
  </si>
  <si>
    <t>ITPAU</t>
  </si>
  <si>
    <t>Palau</t>
  </si>
  <si>
    <t>ITPMO</t>
  </si>
  <si>
    <t>Palermo</t>
  </si>
  <si>
    <t>ITPLN</t>
  </si>
  <si>
    <t>Palinuro</t>
  </si>
  <si>
    <t>ITPMM</t>
  </si>
  <si>
    <t>Palmi</t>
  </si>
  <si>
    <t>ITPAN</t>
  </si>
  <si>
    <t>Panarea</t>
  </si>
  <si>
    <t>ITPNL</t>
  </si>
  <si>
    <t>Pantelleria</t>
  </si>
  <si>
    <t>ITAOA</t>
  </si>
  <si>
    <t>Paola</t>
  </si>
  <si>
    <t>ITPTI</t>
  </si>
  <si>
    <t>Patti</t>
  </si>
  <si>
    <t>ITPED</t>
  </si>
  <si>
    <t>Pedaso</t>
  </si>
  <si>
    <t>ITPES</t>
  </si>
  <si>
    <t>Pesaro</t>
  </si>
  <si>
    <t>ITPSR</t>
  </si>
  <si>
    <t>Pescara</t>
  </si>
  <si>
    <t>ITPCH</t>
  </si>
  <si>
    <t>Peschici</t>
  </si>
  <si>
    <t>ITPRR</t>
  </si>
  <si>
    <t>Piano di Sorrento</t>
  </si>
  <si>
    <t>ITPIA</t>
  </si>
  <si>
    <t>Pianosa</t>
  </si>
  <si>
    <t>ITISB</t>
  </si>
  <si>
    <t>Pier Isab</t>
  </si>
  <si>
    <t>ITPIO</t>
  </si>
  <si>
    <t>Piombino</t>
  </si>
  <si>
    <t>ITPIZ</t>
  </si>
  <si>
    <t>Pizzo</t>
  </si>
  <si>
    <t>ITZQQ</t>
  </si>
  <si>
    <t>Polignano a Mare</t>
  </si>
  <si>
    <t>ITPOM</t>
  </si>
  <si>
    <t>Pomezia</t>
  </si>
  <si>
    <t>ITPNZ</t>
  </si>
  <si>
    <t>Ponza</t>
  </si>
  <si>
    <t>ITORL</t>
  </si>
  <si>
    <t>Porticello</t>
  </si>
  <si>
    <t>ITPTC</t>
  </si>
  <si>
    <t>Portici</t>
  </si>
  <si>
    <t>ITPGL</t>
  </si>
  <si>
    <t>Portigliola</t>
  </si>
  <si>
    <t>ITPAZ</t>
  </si>
  <si>
    <t>Porto Azzurro</t>
  </si>
  <si>
    <t>ITPCE</t>
  </si>
  <si>
    <t>Porto Cervo</t>
  </si>
  <si>
    <t>ITPCN</t>
  </si>
  <si>
    <t>Porto Conte Torre Nuova</t>
  </si>
  <si>
    <t>ITPDI</t>
  </si>
  <si>
    <t>Porto d'Ischia</t>
  </si>
  <si>
    <t>ITPEM</t>
  </si>
  <si>
    <t>Porto Empedocle</t>
  </si>
  <si>
    <t>ITPTH</t>
  </si>
  <si>
    <t>Porto Ercole</t>
  </si>
  <si>
    <t>ITPFX</t>
  </si>
  <si>
    <t>Porto Foxi (Sarroch)</t>
  </si>
  <si>
    <t>ITPGA</t>
  </si>
  <si>
    <t>Porto Garibaldi</t>
  </si>
  <si>
    <t>ITPVT</t>
  </si>
  <si>
    <t>Porto Levante</t>
  </si>
  <si>
    <t>ITPLI</t>
  </si>
  <si>
    <t>Porto Lignano</t>
  </si>
  <si>
    <t>ITPMZ</t>
  </si>
  <si>
    <t>Porto Maurizio</t>
  </si>
  <si>
    <t>ITPNG</t>
  </si>
  <si>
    <t>Porto Nogaro</t>
  </si>
  <si>
    <t>ITPPF</t>
  </si>
  <si>
    <t>Porto Palo</t>
  </si>
  <si>
    <t>ITPRF</t>
  </si>
  <si>
    <t>Porto Recanati</t>
  </si>
  <si>
    <t>ITSIG</t>
  </si>
  <si>
    <t>Porto San Giorgio</t>
  </si>
  <si>
    <t>ITPSS</t>
  </si>
  <si>
    <t>Porto Santo Stefano</t>
  </si>
  <si>
    <t>ITPPT</t>
  </si>
  <si>
    <t>Porto Tolle</t>
  </si>
  <si>
    <t>ITPTO</t>
  </si>
  <si>
    <t>Porto Torres</t>
  </si>
  <si>
    <t>ITPOQ</t>
  </si>
  <si>
    <t>Porto Viro</t>
  </si>
  <si>
    <t>ITPFE</t>
  </si>
  <si>
    <t>Portoferraio</t>
  </si>
  <si>
    <t>ITPTF</t>
  </si>
  <si>
    <t>Portofino</t>
  </si>
  <si>
    <t>ITPPL</t>
  </si>
  <si>
    <t>Portopalo</t>
  </si>
  <si>
    <t>ITPVE</t>
  </si>
  <si>
    <t>Portoscuso (Porto Vesme)</t>
  </si>
  <si>
    <t>ITPRW</t>
  </si>
  <si>
    <t>Portovenere</t>
  </si>
  <si>
    <t>ITPOS</t>
  </si>
  <si>
    <t>Positano</t>
  </si>
  <si>
    <t>ITPZL</t>
  </si>
  <si>
    <t>Pozzallo</t>
  </si>
  <si>
    <t>ITOZI</t>
  </si>
  <si>
    <t>Pozzillo</t>
  </si>
  <si>
    <t>ITPOZ</t>
  </si>
  <si>
    <t>Pozzuoli</t>
  </si>
  <si>
    <t>ITPIM</t>
  </si>
  <si>
    <t>Praia a Mare</t>
  </si>
  <si>
    <t>ITPRL</t>
  </si>
  <si>
    <t>Priolo Gargallo</t>
  </si>
  <si>
    <t>ITPRO</t>
  </si>
  <si>
    <t>Procida</t>
  </si>
  <si>
    <t>ITPUC</t>
  </si>
  <si>
    <t>Punta Cugno</t>
  </si>
  <si>
    <t>ITRPO</t>
  </si>
  <si>
    <t>Rapallo</t>
  </si>
  <si>
    <t>ITRAN</t>
  </si>
  <si>
    <t>Ravenna</t>
  </si>
  <si>
    <t>ITREC</t>
  </si>
  <si>
    <t>Recco</t>
  </si>
  <si>
    <t>ITREG</t>
  </si>
  <si>
    <t>Reggio di Calabria</t>
  </si>
  <si>
    <t>ITRCE</t>
  </si>
  <si>
    <t>Riccione</t>
  </si>
  <si>
    <t>ITRMI</t>
  </si>
  <si>
    <t>Rimini</t>
  </si>
  <si>
    <t>ITRIN</t>
  </si>
  <si>
    <t>Rinella</t>
  </si>
  <si>
    <t>ITRMG</t>
  </si>
  <si>
    <t>Rio Maggiore</t>
  </si>
  <si>
    <t>ITRMA</t>
  </si>
  <si>
    <t>Rio Marina</t>
  </si>
  <si>
    <t>ITRPT</t>
  </si>
  <si>
    <t>Riposto</t>
  </si>
  <si>
    <t>ITXXX</t>
  </si>
  <si>
    <t>ITRTS</t>
  </si>
  <si>
    <t>Riva Trigoso</t>
  </si>
  <si>
    <t>ITROC</t>
  </si>
  <si>
    <t>Roccella Ionica</t>
  </si>
  <si>
    <t>ITRGG</t>
  </si>
  <si>
    <t>Rodi Garganico</t>
  </si>
  <si>
    <t>ITGSV</t>
  </si>
  <si>
    <t>Rosignano Solvay</t>
  </si>
  <si>
    <t>ITSAL</t>
  </si>
  <si>
    <t>Salerno</t>
  </si>
  <si>
    <t>ITSLC</t>
  </si>
  <si>
    <t>Saline, Reggio Calabria</t>
  </si>
  <si>
    <t>ITSDB</t>
  </si>
  <si>
    <t>San Benedetto del Tronto</t>
  </si>
  <si>
    <t>ITNCT</t>
  </si>
  <si>
    <t>San Cataldo</t>
  </si>
  <si>
    <t>ITSFE</t>
  </si>
  <si>
    <t>San Felice Circeo</t>
  </si>
  <si>
    <t>ITSRE</t>
  </si>
  <si>
    <t>San Remo</t>
  </si>
  <si>
    <t>ITSVC</t>
  </si>
  <si>
    <t>San Vito lo Capo</t>
  </si>
  <si>
    <t>ITSAT</t>
  </si>
  <si>
    <t>Sant' Antioco</t>
  </si>
  <si>
    <t>ITSFM</t>
  </si>
  <si>
    <t>Santa Foca di Melendugno</t>
  </si>
  <si>
    <t>ITSML</t>
  </si>
  <si>
    <t>Santa Margherita Ligure</t>
  </si>
  <si>
    <t>ITSMK</t>
  </si>
  <si>
    <t>Santa Maria di Castellabate</t>
  </si>
  <si>
    <t>ITAMN</t>
  </si>
  <si>
    <t>Santa Maria Navarrese</t>
  </si>
  <si>
    <t>ITSLA</t>
  </si>
  <si>
    <t>Santa Marina Salina</t>
  </si>
  <si>
    <t>ITSMA</t>
  </si>
  <si>
    <t>Santa Marinella</t>
  </si>
  <si>
    <t>ITSPA</t>
  </si>
  <si>
    <t>Santa Panagia</t>
  </si>
  <si>
    <t>ITSTE</t>
  </si>
  <si>
    <t>Santa Teresa di Gallura</t>
  </si>
  <si>
    <t>ITNTA</t>
  </si>
  <si>
    <t>Sant'Antioco</t>
  </si>
  <si>
    <t>ITSSF</t>
  </si>
  <si>
    <t>Santo Stefano al Mare</t>
  </si>
  <si>
    <t>ITTEF</t>
  </si>
  <si>
    <t>Santo Stefano di Camastra</t>
  </si>
  <si>
    <t>ITPRH</t>
  </si>
  <si>
    <t>Sapri</t>
  </si>
  <si>
    <t>ITLLT</t>
  </si>
  <si>
    <t>Savelletri</t>
  </si>
  <si>
    <t>ITSVN</t>
  </si>
  <si>
    <t>Savona</t>
  </si>
  <si>
    <t>ITLEA</t>
  </si>
  <si>
    <t>Scalea</t>
  </si>
  <si>
    <t>ITSRH</t>
  </si>
  <si>
    <t>Scario</t>
  </si>
  <si>
    <t>ITURI</t>
  </si>
  <si>
    <t>Scauri</t>
  </si>
  <si>
    <t>ITSCK</t>
  </si>
  <si>
    <t>Sciacca</t>
  </si>
  <si>
    <t>ITSLL</t>
  </si>
  <si>
    <t>Scilla</t>
  </si>
  <si>
    <t>ITSCO</t>
  </si>
  <si>
    <t>Scoglitti</t>
  </si>
  <si>
    <t>ITSEG</t>
  </si>
  <si>
    <t>Senigallia</t>
  </si>
  <si>
    <t>ITNTE</t>
  </si>
  <si>
    <t>Sestri Levante</t>
  </si>
  <si>
    <t>ITRRV</t>
  </si>
  <si>
    <t>Sferracavallo</t>
  </si>
  <si>
    <t>ITSID</t>
  </si>
  <si>
    <t>Siderno Marina</t>
  </si>
  <si>
    <t>ITSLV</t>
  </si>
  <si>
    <t>Silvi Marina</t>
  </si>
  <si>
    <t>ITSIR</t>
  </si>
  <si>
    <t>Siracusa</t>
  </si>
  <si>
    <t>ITRRO</t>
  </si>
  <si>
    <t>Sorrento</t>
  </si>
  <si>
    <t>ITSOO</t>
  </si>
  <si>
    <t>Soverato</t>
  </si>
  <si>
    <t>ITNGA</t>
  </si>
  <si>
    <t>Sperlonga</t>
  </si>
  <si>
    <t>ITRNS</t>
  </si>
  <si>
    <t>Spotorno</t>
  </si>
  <si>
    <t>ITTTN</t>
  </si>
  <si>
    <t>Stintino</t>
  </si>
  <si>
    <t>ITSTR</t>
  </si>
  <si>
    <t>Stromboli</t>
  </si>
  <si>
    <t>ITTAL</t>
  </si>
  <si>
    <t>Talamone</t>
  </si>
  <si>
    <t>ITTAO</t>
  </si>
  <si>
    <t>Taormina</t>
  </si>
  <si>
    <t>ITTAR</t>
  </si>
  <si>
    <t>Taranto</t>
  </si>
  <si>
    <t>ITTRI</t>
  </si>
  <si>
    <t>Termini Imerese</t>
  </si>
  <si>
    <t>ITTMI</t>
  </si>
  <si>
    <t>Termoli</t>
  </si>
  <si>
    <t>ITTRC</t>
  </si>
  <si>
    <t>Terracina</t>
  </si>
  <si>
    <t>ITSNR</t>
  </si>
  <si>
    <t>Terrasini</t>
  </si>
  <si>
    <t>ITTOA</t>
  </si>
  <si>
    <t>Torre Annunziata</t>
  </si>
  <si>
    <t>ITTCS</t>
  </si>
  <si>
    <t>Torre Cesarea</t>
  </si>
  <si>
    <t>ITTRH</t>
  </si>
  <si>
    <t>Torre Faro</t>
  </si>
  <si>
    <t>ITTGV</t>
  </si>
  <si>
    <t>Torre Gaveta</t>
  </si>
  <si>
    <t>ITTRU</t>
  </si>
  <si>
    <t>Torre San Giovanni d'Ugento</t>
  </si>
  <si>
    <t>ITTGR</t>
  </si>
  <si>
    <t>Torregrande</t>
  </si>
  <si>
    <t>ITICA</t>
  </si>
  <si>
    <t>Torvaianica</t>
  </si>
  <si>
    <t>ITTVC</t>
  </si>
  <si>
    <t>Torviscosa</t>
  </si>
  <si>
    <t>ITTNI</t>
  </si>
  <si>
    <t>Trani</t>
  </si>
  <si>
    <t>ITTPS</t>
  </si>
  <si>
    <t>Trapani</t>
  </si>
  <si>
    <t>ITTCC</t>
  </si>
  <si>
    <t>Trebisacce</t>
  </si>
  <si>
    <t>ITTMT</t>
  </si>
  <si>
    <t>Tremiti</t>
  </si>
  <si>
    <t>ITTRS</t>
  </si>
  <si>
    <t>Trieste</t>
  </si>
  <si>
    <t>ITUST</t>
  </si>
  <si>
    <t>Ustica</t>
  </si>
  <si>
    <t>ITVDA</t>
  </si>
  <si>
    <t>Vada</t>
  </si>
  <si>
    <t>ITVDL</t>
  </si>
  <si>
    <t>Vado Ligure</t>
  </si>
  <si>
    <t>ITVSO</t>
  </si>
  <si>
    <t>Vasto</t>
  </si>
  <si>
    <t>ITVCE</t>
  </si>
  <si>
    <t>Venezia</t>
  </si>
  <si>
    <t>ITVEN</t>
  </si>
  <si>
    <t>Ventimiglia</t>
  </si>
  <si>
    <t>ITVTT</t>
  </si>
  <si>
    <t>Ventotene</t>
  </si>
  <si>
    <t>ITVZN</t>
  </si>
  <si>
    <t>Vernazza</t>
  </si>
  <si>
    <t>ITVIA</t>
  </si>
  <si>
    <t>Viareggio</t>
  </si>
  <si>
    <t>ITVVA</t>
  </si>
  <si>
    <t>Vibo Valentia</t>
  </si>
  <si>
    <t>ITVIE</t>
  </si>
  <si>
    <t>Vieste</t>
  </si>
  <si>
    <t>ITVSG</t>
  </si>
  <si>
    <t>Villa San Giovanni, Calabria</t>
  </si>
  <si>
    <t>ITVTI</t>
  </si>
  <si>
    <t>Voltri</t>
  </si>
  <si>
    <t>ITVUL</t>
  </si>
  <si>
    <t>Vulcano porto</t>
  </si>
  <si>
    <t>ITULE</t>
  </si>
  <si>
    <t>Zaule</t>
  </si>
  <si>
    <t>JESAB</t>
  </si>
  <si>
    <t>Saint Aubin</t>
  </si>
  <si>
    <t>JESCJ</t>
  </si>
  <si>
    <t>JESTH</t>
  </si>
  <si>
    <t>JMALP</t>
  </si>
  <si>
    <t>Alligator Pond</t>
  </si>
  <si>
    <t>JMBLR</t>
  </si>
  <si>
    <t>Black River</t>
  </si>
  <si>
    <t>JMBWN</t>
  </si>
  <si>
    <t>Bowden</t>
  </si>
  <si>
    <t>JMFMH</t>
  </si>
  <si>
    <t>JMKIN</t>
  </si>
  <si>
    <t>JMMBJ</t>
  </si>
  <si>
    <t>Montego Bay</t>
  </si>
  <si>
    <t>JMOCJ</t>
  </si>
  <si>
    <t>Ocho Rios</t>
  </si>
  <si>
    <t>JMORC</t>
  </si>
  <si>
    <t>Oracabessa</t>
  </si>
  <si>
    <t>JMPOT</t>
  </si>
  <si>
    <t>Port Antonio</t>
  </si>
  <si>
    <t>JMPEV</t>
  </si>
  <si>
    <t>Port Esquivel</t>
  </si>
  <si>
    <t>JMPHE</t>
  </si>
  <si>
    <t>Port Henderson</t>
  </si>
  <si>
    <t>JMPKS</t>
  </si>
  <si>
    <t>Port Kaiser</t>
  </si>
  <si>
    <t>JMPMO</t>
  </si>
  <si>
    <t>Port Morant</t>
  </si>
  <si>
    <t>JMPRH</t>
  </si>
  <si>
    <t>Port Rhoades</t>
  </si>
  <si>
    <t>JMPRO</t>
  </si>
  <si>
    <t>Port Royal</t>
  </si>
  <si>
    <t>JMRIB</t>
  </si>
  <si>
    <t>Rio Bueno</t>
  </si>
  <si>
    <t>JMROP</t>
  </si>
  <si>
    <t>JMSAW</t>
  </si>
  <si>
    <t>Saint Ann's Bay</t>
  </si>
  <si>
    <t>JMSRI</t>
  </si>
  <si>
    <t>Salt River</t>
  </si>
  <si>
    <t>JMSLM</t>
  </si>
  <si>
    <t>Savanna-la-Mar</t>
  </si>
  <si>
    <t>JODAH</t>
  </si>
  <si>
    <t>Abu Alandah</t>
  </si>
  <si>
    <t>JOAQJ</t>
  </si>
  <si>
    <t>Al 'Aqabah</t>
  </si>
  <si>
    <t>JOAQB</t>
  </si>
  <si>
    <t>'Aqaba</t>
  </si>
  <si>
    <t>JPABA</t>
  </si>
  <si>
    <t>Abashiri</t>
  </si>
  <si>
    <t>JPABS</t>
  </si>
  <si>
    <t>Abohshita</t>
  </si>
  <si>
    <t>JPABO</t>
  </si>
  <si>
    <t>Aboshi/Himeji</t>
  </si>
  <si>
    <t>JPABU</t>
  </si>
  <si>
    <t>Aburatsu</t>
  </si>
  <si>
    <t>JPABT</t>
  </si>
  <si>
    <t>Abuto</t>
  </si>
  <si>
    <t>JPADE</t>
  </si>
  <si>
    <t>Ade</t>
  </si>
  <si>
    <t>JPADO</t>
  </si>
  <si>
    <t>Ado</t>
  </si>
  <si>
    <t>JPAGN</t>
  </si>
  <si>
    <t>Agenosho</t>
  </si>
  <si>
    <t>JPAGS</t>
  </si>
  <si>
    <t>Ageshima</t>
  </si>
  <si>
    <t>JPAGR</t>
  </si>
  <si>
    <t>Agonoura</t>
  </si>
  <si>
    <t>JPAGJ</t>
  </si>
  <si>
    <t>Aguni</t>
  </si>
  <si>
    <t>JPAKZ</t>
  </si>
  <si>
    <t>Aika</t>
  </si>
  <si>
    <t>JPAKI</t>
  </si>
  <si>
    <t>Aikakita</t>
  </si>
  <si>
    <t>JPAIW</t>
  </si>
  <si>
    <t>Aikawa, Nagasaki</t>
  </si>
  <si>
    <t>JPAIK</t>
  </si>
  <si>
    <t>Aikawa, Niigata</t>
  </si>
  <si>
    <t>JPAIN</t>
  </si>
  <si>
    <t>Ainoura/Sasebo</t>
  </si>
  <si>
    <t>JPAIA</t>
  </si>
  <si>
    <t>Ainouraaoki/Naru</t>
  </si>
  <si>
    <t>JPAII</t>
  </si>
  <si>
    <t>Aio</t>
  </si>
  <si>
    <t>JPAIO</t>
  </si>
  <si>
    <t>Aioi</t>
  </si>
  <si>
    <t>JPAIM</t>
  </si>
  <si>
    <t>Aishima</t>
  </si>
  <si>
    <t>JPAIZ</t>
  </si>
  <si>
    <t>Aizu, Kumamoto</t>
  </si>
  <si>
    <t>JPAJX</t>
  </si>
  <si>
    <t>Aja</t>
  </si>
  <si>
    <t>JPAJI</t>
  </si>
  <si>
    <t>Aji</t>
  </si>
  <si>
    <t>JPAJK</t>
  </si>
  <si>
    <t>Ajigasawa</t>
  </si>
  <si>
    <t>JPAJN</t>
  </si>
  <si>
    <t>Ajino</t>
  </si>
  <si>
    <t>JPAZR</t>
  </si>
  <si>
    <t>Ajiro, Okayama</t>
  </si>
  <si>
    <t>JPAJR</t>
  </si>
  <si>
    <t>Ajiro, Shizuoka</t>
  </si>
  <si>
    <t>JPAZJ</t>
  </si>
  <si>
    <t>Ajiro, Tottori</t>
  </si>
  <si>
    <t>JPACH</t>
  </si>
  <si>
    <t>Ajisu</t>
  </si>
  <si>
    <t>JPAKD</t>
  </si>
  <si>
    <t>Akadomari</t>
  </si>
  <si>
    <t>JPAKG</t>
  </si>
  <si>
    <t>Akakina</t>
  </si>
  <si>
    <t>JPAKM</t>
  </si>
  <si>
    <t>Akamizu</t>
  </si>
  <si>
    <t>JPAKK</t>
  </si>
  <si>
    <t>Akasaki, Kumamoto</t>
  </si>
  <si>
    <t>JPASK</t>
  </si>
  <si>
    <t>Akasaki, Tottori</t>
  </si>
  <si>
    <t>JPAKA</t>
  </si>
  <si>
    <t>Akashi</t>
  </si>
  <si>
    <t>JPAKH</t>
  </si>
  <si>
    <t>Akehama</t>
  </si>
  <si>
    <t>JPAIG</t>
  </si>
  <si>
    <t>Aki-gun/Hiroshima</t>
  </si>
  <si>
    <t>JPAXT</t>
  </si>
  <si>
    <t>Akita</t>
  </si>
  <si>
    <t>JPAFG</t>
  </si>
  <si>
    <t>Akitafunagawa</t>
  </si>
  <si>
    <t>JPAKT</t>
  </si>
  <si>
    <t>Akitsu</t>
  </si>
  <si>
    <t>JPAKE</t>
  </si>
  <si>
    <t>Akkeshi</t>
  </si>
  <si>
    <t>JPAKO</t>
  </si>
  <si>
    <t>Akoh</t>
  </si>
  <si>
    <t>JPAKB</t>
  </si>
  <si>
    <t>Akohbaru</t>
  </si>
  <si>
    <t>JPAKN</t>
  </si>
  <si>
    <t>Akune</t>
  </si>
  <si>
    <t>JPAMM</t>
  </si>
  <si>
    <t>Ama, Hyogo</t>
  </si>
  <si>
    <t>JPAAM</t>
  </si>
  <si>
    <t>Ama, Shimane</t>
  </si>
  <si>
    <t>JPAMA</t>
  </si>
  <si>
    <t>Amagasaki</t>
  </si>
  <si>
    <t>JPAMX</t>
  </si>
  <si>
    <t>AmagasakiNishinomiyaAshiya</t>
  </si>
  <si>
    <t>JPAMJ</t>
  </si>
  <si>
    <t>Amaji</t>
  </si>
  <si>
    <t>JPASJ</t>
  </si>
  <si>
    <t>Amamioshima</t>
  </si>
  <si>
    <t>JPAMS</t>
  </si>
  <si>
    <t>Amasaki</t>
  </si>
  <si>
    <t>JPAMT</t>
  </si>
  <si>
    <t>Amatsuke</t>
  </si>
  <si>
    <t>JPAMY</t>
  </si>
  <si>
    <t>Amiya</t>
  </si>
  <si>
    <t>JPAMU</t>
  </si>
  <si>
    <t>Amura</t>
  </si>
  <si>
    <t>JPARG</t>
  </si>
  <si>
    <t>Amurogama</t>
  </si>
  <si>
    <t>JPANM</t>
  </si>
  <si>
    <t>Anamizu</t>
  </si>
  <si>
    <t>JPANA</t>
  </si>
  <si>
    <t>Anan</t>
  </si>
  <si>
    <t>JPANB</t>
  </si>
  <si>
    <t>Anbo</t>
  </si>
  <si>
    <t>JPANE</t>
  </si>
  <si>
    <t>Anegasaki</t>
  </si>
  <si>
    <t>JPAOE</t>
  </si>
  <si>
    <t>Aoe</t>
  </si>
  <si>
    <t>JPAOG</t>
  </si>
  <si>
    <t>Aogashima</t>
  </si>
  <si>
    <t>JPAOK</t>
  </si>
  <si>
    <t>Aokata</t>
  </si>
  <si>
    <t>JPAOI</t>
  </si>
  <si>
    <t>Aoki</t>
  </si>
  <si>
    <t>JPOMA</t>
  </si>
  <si>
    <t>Aomi</t>
  </si>
  <si>
    <t>JPAOJ</t>
  </si>
  <si>
    <t>Aomori</t>
  </si>
  <si>
    <t>JPAON</t>
  </si>
  <si>
    <t>Aonae</t>
  </si>
  <si>
    <t>JPAOS</t>
  </si>
  <si>
    <t>Aoshima</t>
  </si>
  <si>
    <t>JPARO</t>
  </si>
  <si>
    <t>Arao</t>
  </si>
  <si>
    <t>JPARA</t>
  </si>
  <si>
    <t>Arari</t>
  </si>
  <si>
    <t>JPARK</t>
  </si>
  <si>
    <t>Arikawa</t>
  </si>
  <si>
    <t>JPAMR</t>
  </si>
  <si>
    <t>Arimura</t>
  </si>
  <si>
    <t>JPARZ</t>
  </si>
  <si>
    <t>Arouzu</t>
  </si>
  <si>
    <t>JPASA</t>
  </si>
  <si>
    <t>Asa</t>
  </si>
  <si>
    <t>JPASI</t>
  </si>
  <si>
    <t>Asahimachi</t>
  </si>
  <si>
    <t>JPASW</t>
  </si>
  <si>
    <t>Asakawa</t>
  </si>
  <si>
    <t>JPAUI</t>
  </si>
  <si>
    <t>Asakuchi</t>
  </si>
  <si>
    <t>JPASM</t>
  </si>
  <si>
    <t>Asami</t>
  </si>
  <si>
    <t>JPAMG</t>
  </si>
  <si>
    <t>Asamogawa</t>
  </si>
  <si>
    <t>JPASB</t>
  </si>
  <si>
    <t>Ashibe</t>
  </si>
  <si>
    <t>JPASH</t>
  </si>
  <si>
    <t>Ashinoura</t>
  </si>
  <si>
    <t>JPAST</t>
  </si>
  <si>
    <t>Ashitoku</t>
  </si>
  <si>
    <t>JPASZ</t>
  </si>
  <si>
    <t>Ashiya, Fukuoka</t>
  </si>
  <si>
    <t>JPASR</t>
  </si>
  <si>
    <t>Ashizuri</t>
  </si>
  <si>
    <t>JPATA</t>
  </si>
  <si>
    <t>Ataka</t>
  </si>
  <si>
    <t>JPAMI</t>
  </si>
  <si>
    <t>Atami</t>
  </si>
  <si>
    <t>JPATT</t>
  </si>
  <si>
    <t>Atatajima</t>
  </si>
  <si>
    <t>JPATK</t>
  </si>
  <si>
    <t>Atsuki</t>
  </si>
  <si>
    <t>JPATM</t>
  </si>
  <si>
    <t>Atsumi</t>
  </si>
  <si>
    <t>JPAWA</t>
  </si>
  <si>
    <t>Awa</t>
  </si>
  <si>
    <t>JPTBS</t>
  </si>
  <si>
    <t>Awajikoryunotsubasa</t>
  </si>
  <si>
    <t>JPYYA</t>
  </si>
  <si>
    <t>Awano</t>
  </si>
  <si>
    <t>JPAWS</t>
  </si>
  <si>
    <t>Awashima</t>
  </si>
  <si>
    <t>JPAWM</t>
  </si>
  <si>
    <t>Awashimanishi</t>
  </si>
  <si>
    <t>JPAWZ</t>
  </si>
  <si>
    <t>Awazu</t>
  </si>
  <si>
    <t>JPAYU</t>
  </si>
  <si>
    <t>Ayukawa</t>
  </si>
  <si>
    <t>JPAKW</t>
  </si>
  <si>
    <t>Azako</t>
  </si>
  <si>
    <t>JPAZU</t>
  </si>
  <si>
    <t>Azu</t>
  </si>
  <si>
    <t>JPBPU</t>
  </si>
  <si>
    <t>Beppu, Oita</t>
  </si>
  <si>
    <t>JPBEP</t>
  </si>
  <si>
    <t>Beppu, Shimane</t>
  </si>
  <si>
    <t>JPBFS</t>
  </si>
  <si>
    <t>Beppushinko</t>
  </si>
  <si>
    <t>JPBDM</t>
  </si>
  <si>
    <t>Bohdomari</t>
  </si>
  <si>
    <t>JPBOM</t>
  </si>
  <si>
    <t>JPBYO</t>
  </si>
  <si>
    <t>Byobu</t>
  </si>
  <si>
    <t>JPCHB</t>
  </si>
  <si>
    <t>Chiba</t>
  </si>
  <si>
    <t>JPCHH</t>
  </si>
  <si>
    <t>Chichii</t>
  </si>
  <si>
    <t>JPCHG</t>
  </si>
  <si>
    <t>Chigasaki</t>
  </si>
  <si>
    <t>JPCJU</t>
  </si>
  <si>
    <t>Chiju</t>
  </si>
  <si>
    <t>JPCHK</t>
  </si>
  <si>
    <t>Chikubushima</t>
  </si>
  <si>
    <t>JPCKM</t>
  </si>
  <si>
    <t>Chikumi</t>
  </si>
  <si>
    <t>JPCHW</t>
  </si>
  <si>
    <t>Chimu Wan</t>
  </si>
  <si>
    <t>JPCHI</t>
  </si>
  <si>
    <t>China</t>
  </si>
  <si>
    <t>JPCNS</t>
  </si>
  <si>
    <t>Chinase</t>
  </si>
  <si>
    <t>JPCIO</t>
  </si>
  <si>
    <t>Chio</t>
  </si>
  <si>
    <t>JPCTA</t>
  </si>
  <si>
    <t>Chita</t>
  </si>
  <si>
    <t>JPCHT</t>
  </si>
  <si>
    <t>Chitose, Hiroshima</t>
  </si>
  <si>
    <t>JPCYZ</t>
  </si>
  <si>
    <t>Chiyozaki</t>
  </si>
  <si>
    <t>JPCHF</t>
  </si>
  <si>
    <t>Chofu</t>
  </si>
  <si>
    <t>JPCHO</t>
  </si>
  <si>
    <t>Choshi</t>
  </si>
  <si>
    <t>JPCHU</t>
  </si>
  <si>
    <t>Churui</t>
  </si>
  <si>
    <t>JPDTU</t>
  </si>
  <si>
    <t>Daito</t>
  </si>
  <si>
    <t>JPDAT</t>
  </si>
  <si>
    <t>Date</t>
  </si>
  <si>
    <t>JPDSR</t>
  </si>
  <si>
    <t>Dohshiro</t>
  </si>
  <si>
    <t>JPDZK</t>
  </si>
  <si>
    <t>Dohzaki</t>
  </si>
  <si>
    <t>JPEBI</t>
  </si>
  <si>
    <t>Ebito</t>
  </si>
  <si>
    <t>JPEGO</t>
  </si>
  <si>
    <t>Ego</t>
  </si>
  <si>
    <t>JPEII</t>
  </si>
  <si>
    <t>Ei</t>
  </si>
  <si>
    <t>JPEGS</t>
  </si>
  <si>
    <t>Eigashima</t>
  </si>
  <si>
    <t>JPEIS</t>
  </si>
  <si>
    <t>Eishi</t>
  </si>
  <si>
    <t>JPEJM</t>
  </si>
  <si>
    <t>Ejima</t>
  </si>
  <si>
    <t>JPEMU</t>
  </si>
  <si>
    <t>Emukae</t>
  </si>
  <si>
    <t>JPENN</t>
  </si>
  <si>
    <t>En</t>
  </si>
  <si>
    <t>JPENA</t>
  </si>
  <si>
    <t>Ena</t>
  </si>
  <si>
    <t>JPENH</t>
  </si>
  <si>
    <t>Enohama</t>
  </si>
  <si>
    <t>JPEKZ</t>
  </si>
  <si>
    <t>Enokizu</t>
  </si>
  <si>
    <t>JPENR</t>
  </si>
  <si>
    <t>Enoura, Kagawa</t>
  </si>
  <si>
    <t>JPENO</t>
  </si>
  <si>
    <t>Enoura, Shizuoka</t>
  </si>
  <si>
    <t>JPEMM</t>
  </si>
  <si>
    <t>Erimo</t>
  </si>
  <si>
    <t>JPESK</t>
  </si>
  <si>
    <t>Esaki</t>
  </si>
  <si>
    <t>JPESI</t>
  </si>
  <si>
    <t>Esashi/Hiyama</t>
  </si>
  <si>
    <t>JPESS</t>
  </si>
  <si>
    <t>Esashi/Soya</t>
  </si>
  <si>
    <t>JPESM</t>
  </si>
  <si>
    <t>Eshima</t>
  </si>
  <si>
    <t>JPETA</t>
  </si>
  <si>
    <t>Etajima</t>
  </si>
  <si>
    <t>JPETM</t>
  </si>
  <si>
    <t>Etomo</t>
  </si>
  <si>
    <t>JPEZA</t>
  </si>
  <si>
    <t>Ezaki</t>
  </si>
  <si>
    <t>JPFCM</t>
  </si>
  <si>
    <t>Fuchinomoto</t>
  </si>
  <si>
    <t>JPFGS</t>
  </si>
  <si>
    <t>Fugusaki</t>
  </si>
  <si>
    <t>JPFJN</t>
  </si>
  <si>
    <t>Fujino</t>
  </si>
  <si>
    <t>JPFKH</t>
  </si>
  <si>
    <t>Fukae, Hiroshima</t>
  </si>
  <si>
    <t>JPFAE</t>
  </si>
  <si>
    <t>Fukae, Nagasaki</t>
  </si>
  <si>
    <t>JPFKI</t>
  </si>
  <si>
    <t>Fukai</t>
  </si>
  <si>
    <t>JPFUM</t>
  </si>
  <si>
    <t>Fukami</t>
  </si>
  <si>
    <t>JPFRI</t>
  </si>
  <si>
    <t>Fukari</t>
  </si>
  <si>
    <t>JPFKK</t>
  </si>
  <si>
    <t>Fukaura, Aomori</t>
  </si>
  <si>
    <t>JPFKR</t>
  </si>
  <si>
    <t>Fukaura, Ehime</t>
  </si>
  <si>
    <t>JPFUW</t>
  </si>
  <si>
    <t>Fukawa</t>
  </si>
  <si>
    <t>JPFUE</t>
  </si>
  <si>
    <t>Fuke</t>
  </si>
  <si>
    <t>JPFKD</t>
  </si>
  <si>
    <t>Fukuda</t>
  </si>
  <si>
    <t>JPFKE</t>
  </si>
  <si>
    <t>Fukue, Aichi</t>
  </si>
  <si>
    <t>JPFUJ</t>
  </si>
  <si>
    <t>Fukue, Nagasaki</t>
  </si>
  <si>
    <t>JPFKJ</t>
  </si>
  <si>
    <t>Fukui</t>
  </si>
  <si>
    <t>JPFRA</t>
  </si>
  <si>
    <t>Fukura, Hyogo</t>
  </si>
  <si>
    <t>JPFUU</t>
  </si>
  <si>
    <t>Fukura, Kagoshima</t>
  </si>
  <si>
    <t>JPFUO</t>
  </si>
  <si>
    <t>Fukuro</t>
  </si>
  <si>
    <t>JPFKU</t>
  </si>
  <si>
    <t>Fukushima, Hokkaido</t>
  </si>
  <si>
    <t>JPFMS</t>
  </si>
  <si>
    <t>Fukushima, Miyazaki</t>
  </si>
  <si>
    <t>JPFKM</t>
  </si>
  <si>
    <t>Fukushima, Nagasaki</t>
  </si>
  <si>
    <t>JPFUR</t>
  </si>
  <si>
    <t>Fukuura, Ehime</t>
  </si>
  <si>
    <t>JPFRJ</t>
  </si>
  <si>
    <t>Fukuura, Ishikawa</t>
  </si>
  <si>
    <t>JPFUA</t>
  </si>
  <si>
    <t>Fukuura, Kumamoto</t>
  </si>
  <si>
    <t>JPFKY</t>
  </si>
  <si>
    <t>Fukuyama, Hiroshima</t>
  </si>
  <si>
    <t>JPFYM</t>
  </si>
  <si>
    <t>Fukuyama, Kagoshima</t>
  </si>
  <si>
    <t>JPFNB</t>
  </si>
  <si>
    <t>Funabashi</t>
  </si>
  <si>
    <t>JPFND</t>
  </si>
  <si>
    <t>Funadomari</t>
  </si>
  <si>
    <t>JPFNK</t>
  </si>
  <si>
    <t>Funagawa</t>
  </si>
  <si>
    <t>JPFSH</t>
  </si>
  <si>
    <t>Funakakushi</t>
  </si>
  <si>
    <t>JPFNS</t>
  </si>
  <si>
    <t>Funakoshi</t>
  </si>
  <si>
    <t>JPFNU</t>
  </si>
  <si>
    <t>Funauki</t>
  </si>
  <si>
    <t>JPFNR</t>
  </si>
  <si>
    <t>Funaura</t>
  </si>
  <si>
    <t>JPFNA</t>
  </si>
  <si>
    <t>Funaya</t>
  </si>
  <si>
    <t>JPFNZ</t>
  </si>
  <si>
    <t>Funazu</t>
  </si>
  <si>
    <t>JPFHR</t>
  </si>
  <si>
    <t>Furubira</t>
  </si>
  <si>
    <t>JPFRX</t>
  </si>
  <si>
    <t>Furue, Ehime</t>
  </si>
  <si>
    <t>JPFRU</t>
  </si>
  <si>
    <t>Furue, Kagoshima</t>
  </si>
  <si>
    <t>JPFRM</t>
  </si>
  <si>
    <t>Furue, Miyazaki</t>
  </si>
  <si>
    <t>JPFRE</t>
  </si>
  <si>
    <t>Furue, Nagasaki</t>
  </si>
  <si>
    <t>JPFRK</t>
  </si>
  <si>
    <t>Furuike</t>
  </si>
  <si>
    <t>JPURU</t>
  </si>
  <si>
    <t>Furumi</t>
  </si>
  <si>
    <t>JPFST</t>
  </si>
  <si>
    <t>Furusato, Kagoshima</t>
  </si>
  <si>
    <t>JPFRS</t>
  </si>
  <si>
    <t>Furusato, Nagasaki</t>
  </si>
  <si>
    <t>JPFSK</t>
  </si>
  <si>
    <t>Fushiki</t>
  </si>
  <si>
    <t>JPFTX</t>
  </si>
  <si>
    <t>Fushikitoyama</t>
  </si>
  <si>
    <t>JPFTE</t>
  </si>
  <si>
    <t>Futae</t>
  </si>
  <si>
    <t>JPFGW</t>
  </si>
  <si>
    <t>Futagawa</t>
  </si>
  <si>
    <t>JPFTG</t>
  </si>
  <si>
    <t>Futago</t>
  </si>
  <si>
    <t>JPFMD</t>
  </si>
  <si>
    <t>Futamado</t>
  </si>
  <si>
    <t>JPFMT</t>
  </si>
  <si>
    <t>Futamata, Kagoshima</t>
  </si>
  <si>
    <t>JPFTT</t>
  </si>
  <si>
    <t>Futamata, Shimane</t>
  </si>
  <si>
    <t>JPHUT</t>
  </si>
  <si>
    <t>Futami, Niigata</t>
  </si>
  <si>
    <t>JPHTM</t>
  </si>
  <si>
    <t>Futami, Tokyo</t>
  </si>
  <si>
    <t>JPFTM</t>
  </si>
  <si>
    <t>Futenma</t>
  </si>
  <si>
    <t>JPFTS</t>
  </si>
  <si>
    <t>Futtsu, Chiba</t>
  </si>
  <si>
    <t>JPGAM</t>
  </si>
  <si>
    <t>Gamagori</t>
  </si>
  <si>
    <t>JPGPT</t>
  </si>
  <si>
    <t>Gendentokai</t>
  </si>
  <si>
    <t>JPGNW</t>
  </si>
  <si>
    <t>Ginowan</t>
  </si>
  <si>
    <t>JPGKB</t>
  </si>
  <si>
    <t>Gohnokubi</t>
  </si>
  <si>
    <t>JPGOT</t>
  </si>
  <si>
    <t>Gohtsu</t>
  </si>
  <si>
    <t>JPGOI</t>
  </si>
  <si>
    <t>Goi/Ichihara</t>
  </si>
  <si>
    <t>JPGKN</t>
  </si>
  <si>
    <t>Gokan</t>
  </si>
  <si>
    <t>JPGKS</t>
  </si>
  <si>
    <t>Gokasho</t>
  </si>
  <si>
    <t>JPGON</t>
  </si>
  <si>
    <t>Gonoura</t>
  </si>
  <si>
    <t>JPGNG</t>
  </si>
  <si>
    <t>Gunge</t>
  </si>
  <si>
    <t>JPGKA</t>
  </si>
  <si>
    <t>Gushikawa</t>
  </si>
  <si>
    <t>JPHBO</t>
  </si>
  <si>
    <t>Haboro</t>
  </si>
  <si>
    <t>JPHAB</t>
  </si>
  <si>
    <t>Habu, Hiroshima</t>
  </si>
  <si>
    <t>JPHAU</t>
  </si>
  <si>
    <t>Habu, Tokyo</t>
  </si>
  <si>
    <t>JPHBB</t>
  </si>
  <si>
    <t>Habu, Yamaguchi</t>
  </si>
  <si>
    <t>JPHGO</t>
  </si>
  <si>
    <t>Hachigo</t>
  </si>
  <si>
    <t>JPHHE</t>
  </si>
  <si>
    <t>Hachinohe</t>
  </si>
  <si>
    <t>JPHAE</t>
  </si>
  <si>
    <t>Haenohama</t>
  </si>
  <si>
    <t>JPHAG</t>
  </si>
  <si>
    <t>Hagi</t>
  </si>
  <si>
    <t>JPHAI</t>
  </si>
  <si>
    <t>Haiki</t>
  </si>
  <si>
    <t>JPHKT</t>
  </si>
  <si>
    <t>Hakata/Fukuoka</t>
  </si>
  <si>
    <t>JPHKS</t>
  </si>
  <si>
    <t>Hakatashima</t>
  </si>
  <si>
    <t>JPHKD</t>
  </si>
  <si>
    <t>Hakodate</t>
  </si>
  <si>
    <t>JPHKU</t>
  </si>
  <si>
    <t>Hakoura</t>
  </si>
  <si>
    <t>JPHMD</t>
  </si>
  <si>
    <t>Hamada</t>
  </si>
  <si>
    <t>JPHMG</t>
  </si>
  <si>
    <t>Hamaguri</t>
  </si>
  <si>
    <t>JPHJM</t>
  </si>
  <si>
    <t>Hamajima</t>
  </si>
  <si>
    <t>JPHJR</t>
  </si>
  <si>
    <t>Hamajiri</t>
  </si>
  <si>
    <t>JPHKW</t>
  </si>
  <si>
    <t>Hamakanaya</t>
  </si>
  <si>
    <t>JPHMM</t>
  </si>
  <si>
    <t>Hamamatsu</t>
  </si>
  <si>
    <t>JPHMN</t>
  </si>
  <si>
    <t>Hamana</t>
  </si>
  <si>
    <t>JPHKJ</t>
  </si>
  <si>
    <t>Hamasaka</t>
  </si>
  <si>
    <t>JPHMX</t>
  </si>
  <si>
    <t>Hamasaki</t>
  </si>
  <si>
    <t>JPHSK</t>
  </si>
  <si>
    <t>Hamasako</t>
  </si>
  <si>
    <t>JPHAM</t>
  </si>
  <si>
    <t>Hamasarufutsu</t>
  </si>
  <si>
    <t>JPHSU</t>
  </si>
  <si>
    <t>Hamasuki</t>
  </si>
  <si>
    <t>JPHWA</t>
  </si>
  <si>
    <t>Hamatsuwaki</t>
  </si>
  <si>
    <t>JPHMW</t>
  </si>
  <si>
    <t>Hamawaki</t>
  </si>
  <si>
    <t>JPHAA</t>
  </si>
  <si>
    <t>Hami</t>
  </si>
  <si>
    <t>JPHMC</t>
  </si>
  <si>
    <t>Hamochi</t>
  </si>
  <si>
    <t>JPHNK</t>
  </si>
  <si>
    <t>Hanasaki</t>
  </si>
  <si>
    <t>JPHDA</t>
  </si>
  <si>
    <t>Handa</t>
  </si>
  <si>
    <t>JPHNE</t>
  </si>
  <si>
    <t>Hane</t>
  </si>
  <si>
    <t>JPHAN</t>
  </si>
  <si>
    <t>Hannan</t>
  </si>
  <si>
    <t>JPHUR</t>
  </si>
  <si>
    <t>Hannoura</t>
  </si>
  <si>
    <t>JPHNY</t>
  </si>
  <si>
    <t>Hanyu</t>
  </si>
  <si>
    <t>JPHAR</t>
  </si>
  <si>
    <t>Hara</t>
  </si>
  <si>
    <t>JPHRM</t>
  </si>
  <si>
    <t>Haramachi</t>
  </si>
  <si>
    <t>JPHSS</t>
  </si>
  <si>
    <t>Hase</t>
  </si>
  <si>
    <t>JPHSH</t>
  </si>
  <si>
    <t>Hashi</t>
  </si>
  <si>
    <t>JPHAS</t>
  </si>
  <si>
    <t>Hashihama</t>
  </si>
  <si>
    <t>JPHAH</t>
  </si>
  <si>
    <t>Hashima</t>
  </si>
  <si>
    <t>JPHSR</t>
  </si>
  <si>
    <t>Hashirajima</t>
  </si>
  <si>
    <t>JPHTT</t>
  </si>
  <si>
    <t>Hata</t>
  </si>
  <si>
    <t>JPHMI</t>
  </si>
  <si>
    <t>Hatami</t>
  </si>
  <si>
    <t>JPHTO</t>
  </si>
  <si>
    <t>Hatoma</t>
  </si>
  <si>
    <t>JPHYK</t>
  </si>
  <si>
    <t>Hayakawa</t>
  </si>
  <si>
    <t>JPHYM</t>
  </si>
  <si>
    <t>Hayama</t>
  </si>
  <si>
    <t>JPHYT</t>
  </si>
  <si>
    <t>Hayato</t>
  </si>
  <si>
    <t>JPHAD</t>
  </si>
  <si>
    <t>Heda</t>
  </si>
  <si>
    <t>JPHKN</t>
  </si>
  <si>
    <t>Hekinan</t>
  </si>
  <si>
    <t>JPHEI</t>
  </si>
  <si>
    <t>Henza</t>
  </si>
  <si>
    <t>JPHES</t>
  </si>
  <si>
    <t>Hesaki</t>
  </si>
  <si>
    <t>JPHET</t>
  </si>
  <si>
    <t>Heta</t>
  </si>
  <si>
    <t>JPHED</t>
  </si>
  <si>
    <t>Hetono</t>
  </si>
  <si>
    <t>JPHIA</t>
  </si>
  <si>
    <t>Hiagari/Kitakiushu</t>
  </si>
  <si>
    <t>JPHIB</t>
  </si>
  <si>
    <t>Hibi</t>
  </si>
  <si>
    <t>JPHBK</t>
  </si>
  <si>
    <t>Hibikishinko</t>
  </si>
  <si>
    <t>JPHBR</t>
  </si>
  <si>
    <t>Hiburi</t>
  </si>
  <si>
    <t>JPHDK</t>
  </si>
  <si>
    <t>Hidaka</t>
  </si>
  <si>
    <t>JPHHR</t>
  </si>
  <si>
    <t>Higashiharima</t>
  </si>
  <si>
    <t>JPHGH</t>
  </si>
  <si>
    <t>Higashihazu</t>
  </si>
  <si>
    <t>JPHHH</t>
  </si>
  <si>
    <t>Higashinohama</t>
  </si>
  <si>
    <t>JPHIO</t>
  </si>
  <si>
    <t>Higashi-Ogishima</t>
  </si>
  <si>
    <t>JPHIG</t>
  </si>
  <si>
    <t>Higashishioya</t>
  </si>
  <si>
    <t>JPHJI</t>
  </si>
  <si>
    <t>Hiji</t>
  </si>
  <si>
    <t>JPHKR</t>
  </si>
  <si>
    <t>Hikari</t>
  </si>
  <si>
    <t>JPHEA</t>
  </si>
  <si>
    <t>Hiketa</t>
  </si>
  <si>
    <t>JPHIK</t>
  </si>
  <si>
    <t>Hiki</t>
  </si>
  <si>
    <t>JPHMT</t>
  </si>
  <si>
    <t>Hikimoto</t>
  </si>
  <si>
    <t>JPHIE</t>
  </si>
  <si>
    <t>Hikone</t>
  </si>
  <si>
    <t>JPHIS</t>
  </si>
  <si>
    <t>Hikoshima</t>
  </si>
  <si>
    <t>JPHKZ</t>
  </si>
  <si>
    <t>Hikozaki</t>
  </si>
  <si>
    <t>JPHDO</t>
  </si>
  <si>
    <t>Himedo</t>
  </si>
  <si>
    <t>JPHIM</t>
  </si>
  <si>
    <t>Himeji</t>
  </si>
  <si>
    <t>JPHMK</t>
  </si>
  <si>
    <t>Himekawa</t>
  </si>
  <si>
    <t>JPHNR</t>
  </si>
  <si>
    <t>Himenoura</t>
  </si>
  <si>
    <t>JPHMH</t>
  </si>
  <si>
    <t>Himeshima</t>
  </si>
  <si>
    <t>JPHMJ</t>
  </si>
  <si>
    <t>Himi</t>
  </si>
  <si>
    <t>JPHMS</t>
  </si>
  <si>
    <t>Himosashi</t>
  </si>
  <si>
    <t>JPHNG</t>
  </si>
  <si>
    <t>Hinagu</t>
  </si>
  <si>
    <t>JPHIN</t>
  </si>
  <si>
    <t>Hinase</t>
  </si>
  <si>
    <t>JPHNS</t>
  </si>
  <si>
    <t>Hinoshima</t>
  </si>
  <si>
    <t>JPHNZ</t>
  </si>
  <si>
    <t>Hinozu</t>
  </si>
  <si>
    <t>JPHRD</t>
  </si>
  <si>
    <t>Hirado</t>
  </si>
  <si>
    <t>JPHRJ</t>
  </si>
  <si>
    <t>Hirai</t>
  </si>
  <si>
    <t>JPHRW</t>
  </si>
  <si>
    <t>Hiraiwa</t>
  </si>
  <si>
    <t>JPHRK</t>
  </si>
  <si>
    <t>Hirakata</t>
  </si>
  <si>
    <t>JPHRA</t>
  </si>
  <si>
    <t>Hirao</t>
  </si>
  <si>
    <t>JPHRR</t>
  </si>
  <si>
    <t>Hirara</t>
  </si>
  <si>
    <t>JPHII</t>
  </si>
  <si>
    <t>Hirasaki</t>
  </si>
  <si>
    <t>JPHSW</t>
  </si>
  <si>
    <t>Hirasawa</t>
  </si>
  <si>
    <t>JPHRS</t>
  </si>
  <si>
    <t>Hirase</t>
  </si>
  <si>
    <t>JPHIU</t>
  </si>
  <si>
    <t>Hiratsuka</t>
  </si>
  <si>
    <t>JPHRO</t>
  </si>
  <si>
    <t>Hiro</t>
  </si>
  <si>
    <t>JPHRH</t>
  </si>
  <si>
    <t>Hirohata</t>
  </si>
  <si>
    <t>JPHIR</t>
  </si>
  <si>
    <t>Hiroo</t>
  </si>
  <si>
    <t>JPHIJ</t>
  </si>
  <si>
    <t>Hiroshima</t>
  </si>
  <si>
    <t>JPHTA</t>
  </si>
  <si>
    <t>Hirota, Iwate</t>
  </si>
  <si>
    <t>JPHJT</t>
  </si>
  <si>
    <t>Hirota, Kagoshima</t>
  </si>
  <si>
    <t>JPHRU</t>
  </si>
  <si>
    <t>Hiroura</t>
  </si>
  <si>
    <t>JPHGU</t>
  </si>
  <si>
    <t>Hirugaura</t>
  </si>
  <si>
    <t>JPHSN</t>
  </si>
  <si>
    <t>Hisanohama</t>
  </si>
  <si>
    <t>JPHYS</t>
  </si>
  <si>
    <t>Hisayoshi</t>
  </si>
  <si>
    <t>JPHMA</t>
  </si>
  <si>
    <t>Hishima</t>
  </si>
  <si>
    <t>JPHTC</t>
  </si>
  <si>
    <t>Hitachi</t>
  </si>
  <si>
    <t>JPHIC</t>
  </si>
  <si>
    <t>Hitachinaka</t>
  </si>
  <si>
    <t>JPHTK</t>
  </si>
  <si>
    <t>Hitakatsu</t>
  </si>
  <si>
    <t>JPHTS</t>
  </si>
  <si>
    <t>Hitsushima</t>
  </si>
  <si>
    <t>JPHWS</t>
  </si>
  <si>
    <t>Hiwasa</t>
  </si>
  <si>
    <t>JPHIZ</t>
  </si>
  <si>
    <t>Hizenohshima</t>
  </si>
  <si>
    <t>JPHUD</t>
  </si>
  <si>
    <t>Hoda</t>
  </si>
  <si>
    <t>JPHOF</t>
  </si>
  <si>
    <t>Hofu</t>
  </si>
  <si>
    <t>JPHHM</t>
  </si>
  <si>
    <t>Hohomi</t>
  </si>
  <si>
    <t>JPHJO</t>
  </si>
  <si>
    <t>Hojo</t>
  </si>
  <si>
    <t>JPHOD</t>
  </si>
  <si>
    <t>Hondo</t>
  </si>
  <si>
    <t>JPHJA</t>
  </si>
  <si>
    <t>Honjima</t>
  </si>
  <si>
    <t>JPHON</t>
  </si>
  <si>
    <t>Honjo, Akita</t>
  </si>
  <si>
    <t>JPHNJ</t>
  </si>
  <si>
    <t>Honjo, Kyoto</t>
  </si>
  <si>
    <t>JPHKM</t>
  </si>
  <si>
    <t>Honkushima</t>
  </si>
  <si>
    <t>JPHNN</t>
  </si>
  <si>
    <t>Honmoku</t>
  </si>
  <si>
    <t>JPHPP</t>
  </si>
  <si>
    <t>Hoppozaki</t>
  </si>
  <si>
    <t>JPHRE</t>
  </si>
  <si>
    <t>Horie</t>
  </si>
  <si>
    <t>JPHRI</t>
  </si>
  <si>
    <t>Horikappu</t>
  </si>
  <si>
    <t>JPHSI</t>
  </si>
  <si>
    <t>Hoshika, Nagasaki</t>
  </si>
  <si>
    <t>JPHOS</t>
  </si>
  <si>
    <t>Hoshika, Saga</t>
  </si>
  <si>
    <t>JPHSM</t>
  </si>
  <si>
    <t>Hososhima</t>
  </si>
  <si>
    <t>JPHOT</t>
  </si>
  <si>
    <t>Hotokegaura</t>
  </si>
  <si>
    <t>JPHKK</t>
  </si>
  <si>
    <t>Hyakkan</t>
  </si>
  <si>
    <t>JPHYR</t>
  </si>
  <si>
    <t>Hyakunoura</t>
  </si>
  <si>
    <t>JPHYG</t>
  </si>
  <si>
    <t>Hyugadomari</t>
  </si>
  <si>
    <t>JPIBR</t>
  </si>
  <si>
    <t>Iburi</t>
  </si>
  <si>
    <t>JPIBS</t>
  </si>
  <si>
    <t>Ibusuki</t>
  </si>
  <si>
    <t>JPICD</t>
  </si>
  <si>
    <t>Icchoda</t>
  </si>
  <si>
    <t>JPICH</t>
  </si>
  <si>
    <t>Ichihara</t>
  </si>
  <si>
    <t>JPICK</t>
  </si>
  <si>
    <t>Ichikawa</t>
  </si>
  <si>
    <t>JPICO</t>
  </si>
  <si>
    <t>Ichikikushikino</t>
  </si>
  <si>
    <t>JPIEJ</t>
  </si>
  <si>
    <t>Iejima/Okinawa</t>
  </si>
  <si>
    <t>JPIES</t>
  </si>
  <si>
    <t>Ieshima, Hyogo</t>
  </si>
  <si>
    <t>JPIER</t>
  </si>
  <si>
    <t>Ieura</t>
  </si>
  <si>
    <t>JPIGO</t>
  </si>
  <si>
    <t>Igo</t>
  </si>
  <si>
    <t>JPIHO</t>
  </si>
  <si>
    <t>Ihota</t>
  </si>
  <si>
    <t>JPIII</t>
  </si>
  <si>
    <t>Ii</t>
  </si>
  <si>
    <t>JPIIB</t>
  </si>
  <si>
    <t>Iibi</t>
  </si>
  <si>
    <t>JPIDA</t>
  </si>
  <si>
    <t>Iida</t>
  </si>
  <si>
    <t>JPINT</t>
  </si>
  <si>
    <t>Iinoseto</t>
  </si>
  <si>
    <t>JPIKR</t>
  </si>
  <si>
    <t>Ikara</t>
  </si>
  <si>
    <t>JPIKT</t>
  </si>
  <si>
    <t>Ikata</t>
  </si>
  <si>
    <t>JPIKA</t>
  </si>
  <si>
    <t>Ikeda, Kagawa</t>
  </si>
  <si>
    <t>JPIKD</t>
  </si>
  <si>
    <t>Ikeda, Wakayama</t>
  </si>
  <si>
    <t>JPIKE</t>
  </si>
  <si>
    <t>Ikeshima</t>
  </si>
  <si>
    <t>JPIKN</t>
  </si>
  <si>
    <t>Ikina</t>
  </si>
  <si>
    <t>JPIKK</t>
  </si>
  <si>
    <t>Ikitsuki</t>
  </si>
  <si>
    <t>JPIKC</t>
  </si>
  <si>
    <t>Ikuchi</t>
  </si>
  <si>
    <t>JPIKU</t>
  </si>
  <si>
    <t>Ikunohama</t>
  </si>
  <si>
    <t>JPIMB</t>
  </si>
  <si>
    <t>Imabari</t>
  </si>
  <si>
    <t>JPIMA</t>
  </si>
  <si>
    <t>Imafuku</t>
  </si>
  <si>
    <t>JPIGR</t>
  </si>
  <si>
    <t>Imagire</t>
  </si>
  <si>
    <t>JPIMI</t>
  </si>
  <si>
    <t>Imari</t>
  </si>
  <si>
    <t>JPIMT</t>
  </si>
  <si>
    <t>Imazato</t>
  </si>
  <si>
    <t>JPIMZ</t>
  </si>
  <si>
    <t>Imazu</t>
  </si>
  <si>
    <t>JPIMM</t>
  </si>
  <si>
    <t>Imi</t>
  </si>
  <si>
    <t>JPINA</t>
  </si>
  <si>
    <t>Ina</t>
  </si>
  <si>
    <t>JPINR</t>
  </si>
  <si>
    <t>Inatori</t>
  </si>
  <si>
    <t>JPIZW</t>
  </si>
  <si>
    <t>Inazawa</t>
  </si>
  <si>
    <t>JPIDJ</t>
  </si>
  <si>
    <t>Indohji</t>
  </si>
  <si>
    <t>JPINE</t>
  </si>
  <si>
    <t>Ine</t>
  </si>
  <si>
    <t>JPINS</t>
  </si>
  <si>
    <t>Innoshima</t>
  </si>
  <si>
    <t>JPINO</t>
  </si>
  <si>
    <t>Inobe</t>
  </si>
  <si>
    <t>JPIUH</t>
  </si>
  <si>
    <t>Inokuchi, Ehime</t>
  </si>
  <si>
    <t>JPINK</t>
  </si>
  <si>
    <t>Inokushi, Oita</t>
  </si>
  <si>
    <t>JPIND</t>
  </si>
  <si>
    <t>Inonada</t>
  </si>
  <si>
    <t>JPING</t>
  </si>
  <si>
    <t>Inugaura</t>
  </si>
  <si>
    <t>JPINZ</t>
  </si>
  <si>
    <t>Inujima</t>
  </si>
  <si>
    <t>JPIRK</t>
  </si>
  <si>
    <t>Irago</t>
  </si>
  <si>
    <t>JPISY</t>
  </si>
  <si>
    <t>Isahaya</t>
  </si>
  <si>
    <t>JPISE</t>
  </si>
  <si>
    <t>Ise</t>
  </si>
  <si>
    <t>JPISK</t>
  </si>
  <si>
    <t>Iseki</t>
  </si>
  <si>
    <t>JPISB</t>
  </si>
  <si>
    <t>Ishiba</t>
  </si>
  <si>
    <t>JPISD</t>
  </si>
  <si>
    <t>Ishida</t>
  </si>
  <si>
    <t>JPISG</t>
  </si>
  <si>
    <t>Ishigaki</t>
  </si>
  <si>
    <t>JPISI</t>
  </si>
  <si>
    <t>Ishikari</t>
  </si>
  <si>
    <t>JPICW</t>
  </si>
  <si>
    <t>Ishikariwan Shinko</t>
  </si>
  <si>
    <t>JPIKW</t>
  </si>
  <si>
    <t>Ishikawa</t>
  </si>
  <si>
    <t>JPISH</t>
  </si>
  <si>
    <t>Ishima</t>
  </si>
  <si>
    <t>JPISM</t>
  </si>
  <si>
    <t>Ishinomaki</t>
  </si>
  <si>
    <t>JPISC</t>
  </si>
  <si>
    <t>Ishiwaki</t>
  </si>
  <si>
    <t>JPISX</t>
  </si>
  <si>
    <t>Isozaki</t>
  </si>
  <si>
    <t>JPISA</t>
  </si>
  <si>
    <t>Issai</t>
  </si>
  <si>
    <t>JPIKJ</t>
  </si>
  <si>
    <t>Isshiki</t>
  </si>
  <si>
    <t>JPKYR</t>
  </si>
  <si>
    <t>Isso</t>
  </si>
  <si>
    <t>JPISU</t>
  </si>
  <si>
    <t>Isuwan</t>
  </si>
  <si>
    <t>JPITK</t>
  </si>
  <si>
    <t>Itako</t>
  </si>
  <si>
    <t>JPITU</t>
  </si>
  <si>
    <t>Itoh, Shimane</t>
  </si>
  <si>
    <t>JPITJ</t>
  </si>
  <si>
    <t>Itoh, Shizuoka</t>
  </si>
  <si>
    <t>JPITO</t>
  </si>
  <si>
    <t>Itozaki</t>
  </si>
  <si>
    <t>JPITS</t>
  </si>
  <si>
    <t>Itsukushima</t>
  </si>
  <si>
    <t>JPIWH</t>
  </si>
  <si>
    <t>Iwafune</t>
  </si>
  <si>
    <t>JPIWG</t>
  </si>
  <si>
    <t>Iwagi,Ehime</t>
  </si>
  <si>
    <t>JPIWI</t>
  </si>
  <si>
    <t>Iwaki</t>
  </si>
  <si>
    <t>JPIWK</t>
  </si>
  <si>
    <t>Iwakuni</t>
  </si>
  <si>
    <t>JPIWA</t>
  </si>
  <si>
    <t>Iwamatsu</t>
  </si>
  <si>
    <t>JPIWN</t>
  </si>
  <si>
    <t>Iwanai</t>
  </si>
  <si>
    <t>JPIWY</t>
  </si>
  <si>
    <t>Iwaya</t>
  </si>
  <si>
    <t>JPIDM</t>
  </si>
  <si>
    <t>Iwayadomari</t>
  </si>
  <si>
    <t>JPIOU</t>
  </si>
  <si>
    <t>Iwojima, Kagoshima</t>
  </si>
  <si>
    <t>JPIWT</t>
  </si>
  <si>
    <t>Iwojima, Nagasaki</t>
  </si>
  <si>
    <t>JPIYA</t>
  </si>
  <si>
    <t>Iya</t>
  </si>
  <si>
    <t>JPIYO</t>
  </si>
  <si>
    <t>Iyo</t>
  </si>
  <si>
    <t>JPIYM</t>
  </si>
  <si>
    <t>Iyomishima</t>
  </si>
  <si>
    <t>JPIZH</t>
  </si>
  <si>
    <t>Izuhara</t>
  </si>
  <si>
    <t>JPIZU</t>
  </si>
  <si>
    <t>Izuka</t>
  </si>
  <si>
    <t>JPIZM</t>
  </si>
  <si>
    <t>Izumi, Aichi</t>
  </si>
  <si>
    <t>JPIZI</t>
  </si>
  <si>
    <t>Izumi, Nagasaki</t>
  </si>
  <si>
    <t>JPIZS</t>
  </si>
  <si>
    <t>Izumisano</t>
  </si>
  <si>
    <t>JPIZO</t>
  </si>
  <si>
    <t>Izumo</t>
  </si>
  <si>
    <t>JPJTS</t>
  </si>
  <si>
    <t>Joetsu</t>
  </si>
  <si>
    <t>JPJKW</t>
  </si>
  <si>
    <t>Jokawauchi</t>
  </si>
  <si>
    <t>JPJON</t>
  </si>
  <si>
    <t>Jonoshita</t>
  </si>
  <si>
    <t>JPKAB</t>
  </si>
  <si>
    <t>Kabanoki</t>
  </si>
  <si>
    <t>JPKBM</t>
  </si>
  <si>
    <t>Kabashima</t>
  </si>
  <si>
    <t>JPKAA</t>
  </si>
  <si>
    <t>Kada</t>
  </si>
  <si>
    <t>JPKDW</t>
  </si>
  <si>
    <t>Kadokawa</t>
  </si>
  <si>
    <t>JPKDO</t>
  </si>
  <si>
    <t>Kadokura</t>
  </si>
  <si>
    <t>JPKBK</t>
  </si>
  <si>
    <t>Kafuka</t>
  </si>
  <si>
    <t>JPKAF</t>
  </si>
  <si>
    <t>Kafuri</t>
  </si>
  <si>
    <t>JPKJG</t>
  </si>
  <si>
    <t>Kaga, Shimane</t>
  </si>
  <si>
    <t>JPKGM</t>
  </si>
  <si>
    <t>Kagami</t>
  </si>
  <si>
    <t>JPKOJ</t>
  </si>
  <si>
    <t>Kagoshima</t>
  </si>
  <si>
    <t>JPKGT</t>
  </si>
  <si>
    <t>Kaigata</t>
  </si>
  <si>
    <t>JPKAI</t>
  </si>
  <si>
    <t>Kainan</t>
  </si>
  <si>
    <t>JPKAD</t>
  </si>
  <si>
    <t>Kaita</t>
  </si>
  <si>
    <t>JPKAZ</t>
  </si>
  <si>
    <t>Kaizaki</t>
  </si>
  <si>
    <t>JPKJK</t>
  </si>
  <si>
    <t>Kajiki</t>
  </si>
  <si>
    <t>JPKER</t>
  </si>
  <si>
    <t>Kakeroma</t>
  </si>
  <si>
    <t>JPKGA</t>
  </si>
  <si>
    <t>Kakogawa</t>
  </si>
  <si>
    <t>JPKAJ</t>
  </si>
  <si>
    <t>Kama, Shimane</t>
  </si>
  <si>
    <t>JPKME</t>
  </si>
  <si>
    <t>Kamae</t>
  </si>
  <si>
    <t>JPKGR</t>
  </si>
  <si>
    <t>Kamagari</t>
  </si>
  <si>
    <t>JPKIS</t>
  </si>
  <si>
    <t>Kamaishi</t>
  </si>
  <si>
    <t>JPKEE</t>
  </si>
  <si>
    <t>Kameike</t>
  </si>
  <si>
    <t>JPKAM</t>
  </si>
  <si>
    <t>Kametoku</t>
  </si>
  <si>
    <t>JPKJM</t>
  </si>
  <si>
    <t>Kameura, Kumamoto</t>
  </si>
  <si>
    <t>JPKMR</t>
  </si>
  <si>
    <t>Kameura, Tokushima</t>
  </si>
  <si>
    <t>JPKAH</t>
  </si>
  <si>
    <t>Kamihira</t>
  </si>
  <si>
    <t>JPKKT</t>
  </si>
  <si>
    <t>Kamikatetsu</t>
  </si>
  <si>
    <t>JPKMW</t>
  </si>
  <si>
    <t>Kamikawaguchi</t>
  </si>
  <si>
    <t>JPKMM</t>
  </si>
  <si>
    <t>Kaminato</t>
  </si>
  <si>
    <t>JPKMF</t>
  </si>
  <si>
    <t>Kaminofuruta</t>
  </si>
  <si>
    <t>JPKMK</t>
  </si>
  <si>
    <t>Kaminokae</t>
  </si>
  <si>
    <t>JPKOX</t>
  </si>
  <si>
    <t>Kaminoseki</t>
  </si>
  <si>
    <t>JPKMU</t>
  </si>
  <si>
    <t>Kamiura</t>
  </si>
  <si>
    <t>JPKMY</t>
  </si>
  <si>
    <t>Kamiyakunagata</t>
  </si>
  <si>
    <t>JPKMO</t>
  </si>
  <si>
    <t>Kamo</t>
  </si>
  <si>
    <t>JPKSE</t>
  </si>
  <si>
    <t>Kamoise</t>
  </si>
  <si>
    <t>JPKYK</t>
  </si>
  <si>
    <t>Kanayaki</t>
  </si>
  <si>
    <t>JPKNZ</t>
  </si>
  <si>
    <t>Kanazawa</t>
  </si>
  <si>
    <t>JPKND</t>
  </si>
  <si>
    <t>Kanda, Fukuoka</t>
  </si>
  <si>
    <t>JPKGU</t>
  </si>
  <si>
    <t>Kanegusuku</t>
  </si>
  <si>
    <t>JPKNM</t>
  </si>
  <si>
    <t>Kanmon</t>
  </si>
  <si>
    <t>JPKJN</t>
  </si>
  <si>
    <t>Kannonji</t>
  </si>
  <si>
    <t>JPKRA</t>
  </si>
  <si>
    <t>Kannoura</t>
  </si>
  <si>
    <t>JPKKW</t>
  </si>
  <si>
    <t>Kanokawa</t>
  </si>
  <si>
    <t>JPKYA</t>
  </si>
  <si>
    <t>Kanoya</t>
  </si>
  <si>
    <t>JPKRK</t>
  </si>
  <si>
    <t>Karakizaki</t>
  </si>
  <si>
    <t>JPKKA</t>
  </si>
  <si>
    <t>Karakuma</t>
  </si>
  <si>
    <t>JPKTM</t>
  </si>
  <si>
    <t>Karatomari</t>
  </si>
  <si>
    <t>JPKAR</t>
  </si>
  <si>
    <t>Karatsu</t>
  </si>
  <si>
    <t>JPKRY</t>
  </si>
  <si>
    <t>Kariya, Saga</t>
  </si>
  <si>
    <t>JPKRB</t>
  </si>
  <si>
    <t>Karubi</t>
  </si>
  <si>
    <t>JPKAN</t>
  </si>
  <si>
    <t>Karuno</t>
  </si>
  <si>
    <t>JPKSD</t>
  </si>
  <si>
    <t>Kasado</t>
  </si>
  <si>
    <t>JPKSA</t>
  </si>
  <si>
    <t>Kasaoka</t>
  </si>
  <si>
    <t>JPKSS</t>
  </si>
  <si>
    <t>Kasasa, Kagoshima</t>
  </si>
  <si>
    <t>JPKSY</t>
  </si>
  <si>
    <t>Kasasa, Yamaguchi</t>
  </si>
  <si>
    <t>JPKAC</t>
  </si>
  <si>
    <t>Kasaura</t>
  </si>
  <si>
    <t>JPKDJ</t>
  </si>
  <si>
    <t>Kasedo</t>
  </si>
  <si>
    <t>JPKKZ</t>
  </si>
  <si>
    <t>Kashikojima</t>
  </si>
  <si>
    <t>JPKSM</t>
  </si>
  <si>
    <t>Kashima, Ibaraki</t>
  </si>
  <si>
    <t>JPKSC</t>
  </si>
  <si>
    <t>Kashima, Saga</t>
  </si>
  <si>
    <t>JPKAE</t>
  </si>
  <si>
    <t>Kashimae</t>
  </si>
  <si>
    <t>JPKAO</t>
  </si>
  <si>
    <t>Kashino</t>
  </si>
  <si>
    <t>JPKSW</t>
  </si>
  <si>
    <t>Kashiwa, Ehime</t>
  </si>
  <si>
    <t>JPKWZ</t>
  </si>
  <si>
    <t>Kashiwazaki</t>
  </si>
  <si>
    <t>JPKXS</t>
  </si>
  <si>
    <t>Kasumi</t>
  </si>
  <si>
    <t>JPKAU</t>
  </si>
  <si>
    <t>Kasumigaura</t>
  </si>
  <si>
    <t>JPKTZ</t>
  </si>
  <si>
    <t>Kata</t>
  </si>
  <si>
    <t>JPKDR</t>
  </si>
  <si>
    <t>Katadomari</t>
  </si>
  <si>
    <t>JPKKM</t>
  </si>
  <si>
    <t>Katakami</t>
  </si>
  <si>
    <t>JPKTK</t>
  </si>
  <si>
    <t>Kataku</t>
  </si>
  <si>
    <t>JPKTS</t>
  </si>
  <si>
    <t>Katashima</t>
  </si>
  <si>
    <t>JPKBA</t>
  </si>
  <si>
    <t>Katasoba</t>
  </si>
  <si>
    <t>JPKSU</t>
  </si>
  <si>
    <t>Katsumoto</t>
  </si>
  <si>
    <t>JPKUR</t>
  </si>
  <si>
    <t>Katsuura, Chiba</t>
  </si>
  <si>
    <t>JPKAT</t>
  </si>
  <si>
    <t>Katsuura, Wakayama</t>
  </si>
  <si>
    <t>JPKCH</t>
  </si>
  <si>
    <t>Kawachi, Kumamoto</t>
  </si>
  <si>
    <t>JPKWC</t>
  </si>
  <si>
    <t>Kawachi, Nagasaki</t>
  </si>
  <si>
    <t>JPKWJ</t>
  </si>
  <si>
    <t>Kawajiri, Hiroshima</t>
  </si>
  <si>
    <t>JPKWR</t>
  </si>
  <si>
    <t>Kawajiri, Ibaraki</t>
  </si>
  <si>
    <t>JPKWA</t>
  </si>
  <si>
    <t>Kawanazu</t>
  </si>
  <si>
    <t>JPKWN</t>
  </si>
  <si>
    <t>Kawanoe</t>
  </si>
  <si>
    <t>JPKWI</t>
  </si>
  <si>
    <t>Kawanoishi</t>
  </si>
  <si>
    <t>JPKAG</t>
  </si>
  <si>
    <t>Kawarago</t>
  </si>
  <si>
    <t>JPKWS</t>
  </si>
  <si>
    <t>Kawasaki</t>
  </si>
  <si>
    <t>JPKWM</t>
  </si>
  <si>
    <t>Kawashimo</t>
  </si>
  <si>
    <t>JPKWT</t>
  </si>
  <si>
    <t>Kawatana</t>
  </si>
  <si>
    <t>JPKAW</t>
  </si>
  <si>
    <t>Kawauchi</t>
  </si>
  <si>
    <t>JPKZH</t>
  </si>
  <si>
    <t>Kazuhara</t>
  </si>
  <si>
    <t>JPKZM</t>
  </si>
  <si>
    <t>Kazume</t>
  </si>
  <si>
    <t>JPKZS</t>
  </si>
  <si>
    <t>Kazusaminato</t>
  </si>
  <si>
    <t>JPKEB</t>
  </si>
  <si>
    <t>Kebuki</t>
  </si>
  <si>
    <t>JPKEC</t>
  </si>
  <si>
    <t>Kechi</t>
  </si>
  <si>
    <t>JPKEG</t>
  </si>
  <si>
    <t>Kegoya</t>
  </si>
  <si>
    <t>JPKEJ</t>
  </si>
  <si>
    <t>Keraji</t>
  </si>
  <si>
    <t>JPKEM</t>
  </si>
  <si>
    <t>Keruma</t>
  </si>
  <si>
    <t>JPKSN</t>
  </si>
  <si>
    <t>Kesennuma</t>
  </si>
  <si>
    <t>JPKIA</t>
  </si>
  <si>
    <t>Kiami</t>
  </si>
  <si>
    <t>JPKIB</t>
  </si>
  <si>
    <t>Kibe</t>
  </si>
  <si>
    <t>JPKGJ</t>
  </si>
  <si>
    <t>Kigasajima</t>
  </si>
  <si>
    <t>JPKHR</t>
  </si>
  <si>
    <t>Kihara</t>
  </si>
  <si>
    <t>JPKII</t>
  </si>
  <si>
    <t>Kiire</t>
  </si>
  <si>
    <t>JPKZI</t>
  </si>
  <si>
    <t>Kijima</t>
  </si>
  <si>
    <t>JPKKX</t>
  </si>
  <si>
    <t>Kikaishima</t>
  </si>
  <si>
    <t>JPKIK</t>
  </si>
  <si>
    <t>Kikuma</t>
  </si>
  <si>
    <t>JPKMT</t>
  </si>
  <si>
    <t>Kimitsu</t>
  </si>
  <si>
    <t>JPKNN</t>
  </si>
  <si>
    <t>Kin</t>
  </si>
  <si>
    <t>JPKIM</t>
  </si>
  <si>
    <t>Kineshima</t>
  </si>
  <si>
    <t>JPKJO</t>
  </si>
  <si>
    <t>Kinjo</t>
  </si>
  <si>
    <t>JPKNK</t>
  </si>
  <si>
    <t>Kinkasan</t>
  </si>
  <si>
    <t>JPKNX</t>
  </si>
  <si>
    <t>KinNakagusuku</t>
  </si>
  <si>
    <t>JPKNE</t>
  </si>
  <si>
    <t>Kinoe</t>
  </si>
  <si>
    <t>JPKNT</t>
  </si>
  <si>
    <t>Kinomoto</t>
  </si>
  <si>
    <t>JPKNU</t>
  </si>
  <si>
    <t>Kinuura</t>
  </si>
  <si>
    <t>JPKIN</t>
  </si>
  <si>
    <t>Kinwan</t>
  </si>
  <si>
    <t>JPKJR</t>
  </si>
  <si>
    <t>Kiriishi</t>
  </si>
  <si>
    <t>JPKRT</t>
  </si>
  <si>
    <t>Kiritappu</t>
  </si>
  <si>
    <t>JPKST</t>
  </si>
  <si>
    <t>Kisakata</t>
  </si>
  <si>
    <t>JPKNJ</t>
  </si>
  <si>
    <t>Kisane</t>
  </si>
  <si>
    <t>JPKZU</t>
  </si>
  <si>
    <t>Kisarazu</t>
  </si>
  <si>
    <t>JPKIW</t>
  </si>
  <si>
    <t>Kisawa</t>
  </si>
  <si>
    <t>JPKSH</t>
  </si>
  <si>
    <t>Kishiku</t>
  </si>
  <si>
    <t>JPKSR</t>
  </si>
  <si>
    <t>Kishira</t>
  </si>
  <si>
    <t>JPKDA</t>
  </si>
  <si>
    <t>Kishiwada</t>
  </si>
  <si>
    <t>JPKTX</t>
  </si>
  <si>
    <t>Kita/Kitadaito</t>
  </si>
  <si>
    <t>JPKDX</t>
  </si>
  <si>
    <t>Kita/Minamidaito</t>
  </si>
  <si>
    <t>JPKTN</t>
  </si>
  <si>
    <t>Kitakami</t>
  </si>
  <si>
    <t>JPKTL</t>
  </si>
  <si>
    <t>Kitakijima</t>
  </si>
  <si>
    <t>JPKKJ</t>
  </si>
  <si>
    <t>Kitakyushu</t>
  </si>
  <si>
    <t>JPKTA</t>
  </si>
  <si>
    <t>Kitanada</t>
  </si>
  <si>
    <t>JPKJT</t>
  </si>
  <si>
    <t>Kitaura, Akita</t>
  </si>
  <si>
    <t>JPKIR</t>
  </si>
  <si>
    <t>Kitaura, Ehime</t>
  </si>
  <si>
    <t>JPKTR</t>
  </si>
  <si>
    <t>Kitaura, Kagawa</t>
  </si>
  <si>
    <t>JPKIT</t>
  </si>
  <si>
    <t>Kitaura, Miyazaki</t>
  </si>
  <si>
    <t>JPKBT</t>
  </si>
  <si>
    <t>Kobato</t>
  </si>
  <si>
    <t>JPUKB</t>
  </si>
  <si>
    <t>Kobe</t>
  </si>
  <si>
    <t>JPKBS</t>
  </si>
  <si>
    <t>Kobishima</t>
  </si>
  <si>
    <t>JPKBI</t>
  </si>
  <si>
    <t>Kobui</t>
  </si>
  <si>
    <t>JPKCZ</t>
  </si>
  <si>
    <t>Kochi</t>
  </si>
  <si>
    <t>JPKDI</t>
  </si>
  <si>
    <t>Kodai</t>
  </si>
  <si>
    <t>JPKDK</t>
  </si>
  <si>
    <t>Kodakashima</t>
  </si>
  <si>
    <t>JPKOD</t>
  </si>
  <si>
    <t>Kodomari, Aomori</t>
  </si>
  <si>
    <t>JPKDM</t>
  </si>
  <si>
    <t>Kodomari, Kumamoto</t>
  </si>
  <si>
    <t>JPKUF</t>
  </si>
  <si>
    <t>Kofu</t>
  </si>
  <si>
    <t>JPKGC</t>
  </si>
  <si>
    <t>Koguchi</t>
  </si>
  <si>
    <t>JPKOG</t>
  </si>
  <si>
    <t>Kogushi, Okayama</t>
  </si>
  <si>
    <t>JPKGS</t>
  </si>
  <si>
    <t>Kogushi, Yamaguchi</t>
  </si>
  <si>
    <t>JPKOH</t>
  </si>
  <si>
    <t>Kohama</t>
  </si>
  <si>
    <t>JPKJA</t>
  </si>
  <si>
    <t>Kohjima</t>
  </si>
  <si>
    <t>JPKZR</t>
  </si>
  <si>
    <t>Kohjiro</t>
  </si>
  <si>
    <t>JPKOO</t>
  </si>
  <si>
    <t>Kohmen</t>
  </si>
  <si>
    <t>JPKNR</t>
  </si>
  <si>
    <t>Kohnoura</t>
  </si>
  <si>
    <t>JPKFU</t>
  </si>
  <si>
    <t>Kohtsufukae</t>
  </si>
  <si>
    <t>JPKTU</t>
  </si>
  <si>
    <t>Kohtsuura</t>
  </si>
  <si>
    <t>JPKKL</t>
  </si>
  <si>
    <t>Kohzaki</t>
  </si>
  <si>
    <t>JPKOU</t>
  </si>
  <si>
    <t>Kohzujima</t>
  </si>
  <si>
    <t>JPKOI</t>
  </si>
  <si>
    <t>Koike/Uwajima</t>
  </si>
  <si>
    <t>JPKKB</t>
  </si>
  <si>
    <t>Kokubo</t>
  </si>
  <si>
    <t>JPKOK</t>
  </si>
  <si>
    <t>Kokura</t>
  </si>
  <si>
    <t>JPKMX</t>
  </si>
  <si>
    <t>Komatsu, Yamaguchi</t>
  </si>
  <si>
    <t>JPKOM</t>
  </si>
  <si>
    <t>Komatsushima</t>
  </si>
  <si>
    <t>JPKKO</t>
  </si>
  <si>
    <t>Komenotsu</t>
  </si>
  <si>
    <t>JPKMN</t>
  </si>
  <si>
    <t>Kominato</t>
  </si>
  <si>
    <t>JPKMD</t>
  </si>
  <si>
    <t>Komoda</t>
  </si>
  <si>
    <t>JPKAX</t>
  </si>
  <si>
    <t>Komoe</t>
  </si>
  <si>
    <t>JPKKE</t>
  </si>
  <si>
    <t>Komukae</t>
  </si>
  <si>
    <t>JPKNI</t>
  </si>
  <si>
    <t>Konagai</t>
  </si>
  <si>
    <t>JPKOF</t>
  </si>
  <si>
    <t>Konan</t>
  </si>
  <si>
    <t>JPKNB</t>
  </si>
  <si>
    <t>Konbukariishi</t>
  </si>
  <si>
    <t>JPKNY</t>
  </si>
  <si>
    <t>Koniya</t>
  </si>
  <si>
    <t>JPKON</t>
  </si>
  <si>
    <t>Konoshima</t>
  </si>
  <si>
    <t>JPKNO</t>
  </si>
  <si>
    <t>Konoura</t>
  </si>
  <si>
    <t>JPKOS</t>
  </si>
  <si>
    <t>Kose</t>
  </si>
  <si>
    <t>JPAPP</t>
  </si>
  <si>
    <t>Koshi</t>
  </si>
  <si>
    <t>JPKJJ</t>
  </si>
  <si>
    <t>Koshima</t>
  </si>
  <si>
    <t>JPKSX</t>
  </si>
  <si>
    <t>Kosuki</t>
  </si>
  <si>
    <t>JPKTJ</t>
  </si>
  <si>
    <t>Kotakarajima</t>
  </si>
  <si>
    <t>JPJKT</t>
  </si>
  <si>
    <t>Kotoura</t>
  </si>
  <si>
    <t>JPKTO</t>
  </si>
  <si>
    <t>Kottoi</t>
  </si>
  <si>
    <t>JPKOR</t>
  </si>
  <si>
    <t>Koura, Kagawa</t>
  </si>
  <si>
    <t>JPKJU</t>
  </si>
  <si>
    <t>Koura, Kagoshima</t>
  </si>
  <si>
    <t>JPKKR</t>
  </si>
  <si>
    <t>Kouri</t>
  </si>
  <si>
    <t>JPKWX</t>
  </si>
  <si>
    <t>Kowa</t>
  </si>
  <si>
    <t>JPKOY</t>
  </si>
  <si>
    <t>Koyoh/Etajima</t>
  </si>
  <si>
    <t>JPKYO</t>
  </si>
  <si>
    <t>Koyoh/Kawajiri</t>
  </si>
  <si>
    <t>JPKOB</t>
  </si>
  <si>
    <t>Koza</t>
  </si>
  <si>
    <t>JPKZJ</t>
  </si>
  <si>
    <t>Kozai</t>
  </si>
  <si>
    <t>JPKZE</t>
  </si>
  <si>
    <t>Kozera</t>
  </si>
  <si>
    <t>JPKZK</t>
  </si>
  <si>
    <t>Kozukushi</t>
  </si>
  <si>
    <t>JPKOZ</t>
  </si>
  <si>
    <t>Kozuna</t>
  </si>
  <si>
    <t>JPKBU</t>
  </si>
  <si>
    <t>Kubuki</t>
  </si>
  <si>
    <t>JPKBR</t>
  </si>
  <si>
    <t>Kubura</t>
  </si>
  <si>
    <t>JPKCF</t>
  </si>
  <si>
    <t>Kuchinofukuura</t>
  </si>
  <si>
    <t>JPKUC</t>
  </si>
  <si>
    <t>Kuchinotsu</t>
  </si>
  <si>
    <t>JPKJD</t>
  </si>
  <si>
    <t>Kudadon</t>
  </si>
  <si>
    <t>JPKUD</t>
  </si>
  <si>
    <t>Kudamatsu</t>
  </si>
  <si>
    <t>JPKUG</t>
  </si>
  <si>
    <t>Kugui</t>
  </si>
  <si>
    <t>JPKJI</t>
  </si>
  <si>
    <t>Kuji, Iwate</t>
  </si>
  <si>
    <t>JPKKU</t>
  </si>
  <si>
    <t>Kuji, Kagoshima</t>
  </si>
  <si>
    <t>JPKRR</t>
  </si>
  <si>
    <t>Kujiragaura</t>
  </si>
  <si>
    <t>JPKGB</t>
  </si>
  <si>
    <t>Kuka</t>
  </si>
  <si>
    <t>JPKGE</t>
  </si>
  <si>
    <t>Kumage</t>
  </si>
  <si>
    <t>JPKGO</t>
  </si>
  <si>
    <t>Kumago</t>
  </si>
  <si>
    <t>JPKMJ</t>
  </si>
  <si>
    <t>Kumamoto</t>
  </si>
  <si>
    <t>JPKUU</t>
  </si>
  <si>
    <t>Kumanoe</t>
  </si>
  <si>
    <t>JPKMS</t>
  </si>
  <si>
    <t>Kumeshima</t>
  </si>
  <si>
    <t>JPKMH</t>
  </si>
  <si>
    <t>Kumihama</t>
  </si>
  <si>
    <t>JPKNH</t>
  </si>
  <si>
    <t>Kunehama</t>
  </si>
  <si>
    <t>JPKNG</t>
  </si>
  <si>
    <t>Kuniga</t>
  </si>
  <si>
    <t>JPKNS</t>
  </si>
  <si>
    <t>Kunisaki</t>
  </si>
  <si>
    <t>JPKHS</t>
  </si>
  <si>
    <t>Kurahashi</t>
  </si>
  <si>
    <t>JPKRC</t>
  </si>
  <si>
    <t>Kuramai</t>
  </si>
  <si>
    <t>JPKRN</t>
  </si>
  <si>
    <t>Kuranotani</t>
  </si>
  <si>
    <t>JPKRE</t>
  </si>
  <si>
    <t>Kure, Hiroshima</t>
  </si>
  <si>
    <t>JPKUE</t>
  </si>
  <si>
    <t>Kure, Kochi</t>
  </si>
  <si>
    <t>JPKRH</t>
  </si>
  <si>
    <t>Kurihama</t>
  </si>
  <si>
    <t>JPKRU</t>
  </si>
  <si>
    <t>Kurii</t>
  </si>
  <si>
    <t>JPKHJ</t>
  </si>
  <si>
    <t>Kurimamaehama</t>
  </si>
  <si>
    <t>JPKRI</t>
  </si>
  <si>
    <t>Kurio</t>
  </si>
  <si>
    <t>JPKRD</t>
  </si>
  <si>
    <t>Kuroda</t>
  </si>
  <si>
    <t>JPKRX</t>
  </si>
  <si>
    <t>Kuroi</t>
  </si>
  <si>
    <t>JPKRM</t>
  </si>
  <si>
    <t>Kurokami</t>
  </si>
  <si>
    <t>JPKUX</t>
  </si>
  <si>
    <t>Kuronohama</t>
  </si>
  <si>
    <t>JPKSK</t>
  </si>
  <si>
    <t>Kurosaki</t>
  </si>
  <si>
    <t>JPKRJ</t>
  </si>
  <si>
    <t>Kuroshima, Okinawa</t>
  </si>
  <si>
    <t>JPKRS</t>
  </si>
  <si>
    <t>Kurushima</t>
  </si>
  <si>
    <t>JPKKK</t>
  </si>
  <si>
    <t>Kushiku</t>
  </si>
  <si>
    <t>JPKUH</t>
  </si>
  <si>
    <t>Kushiro</t>
  </si>
  <si>
    <t>JPKSB</t>
  </si>
  <si>
    <t>Kusubo</t>
  </si>
  <si>
    <t>JPKXK</t>
  </si>
  <si>
    <t>Kusukawa</t>
  </si>
  <si>
    <t>JPKUT</t>
  </si>
  <si>
    <t>Kute</t>
  </si>
  <si>
    <t>JPKTG</t>
  </si>
  <si>
    <t>Kutsugata</t>
  </si>
  <si>
    <t>JPKNA</t>
  </si>
  <si>
    <t>Kuwana</t>
  </si>
  <si>
    <t>JPKUW</t>
  </si>
  <si>
    <t>Kuwanoura</t>
  </si>
  <si>
    <t>JPKYM</t>
  </si>
  <si>
    <t>Kuyama</t>
  </si>
  <si>
    <t>JPKUZ</t>
  </si>
  <si>
    <t>Kuzu</t>
  </si>
  <si>
    <t>JPMAD</t>
  </si>
  <si>
    <t>Maedomari/Iheya</t>
  </si>
  <si>
    <t>JPMDR</t>
  </si>
  <si>
    <t>Maedomari/Tarama</t>
  </si>
  <si>
    <t>JPMHM</t>
  </si>
  <si>
    <t>Maehama</t>
  </si>
  <si>
    <t>JPMMA</t>
  </si>
  <si>
    <t>Maenohama</t>
  </si>
  <si>
    <t>JPMER</t>
  </si>
  <si>
    <t>Maeura</t>
  </si>
  <si>
    <t>JPMMM</t>
  </si>
  <si>
    <t>Mageshimamisaki</t>
  </si>
  <si>
    <t>JPMGM</t>
  </si>
  <si>
    <t>Magome</t>
  </si>
  <si>
    <t>JPMGC</t>
  </si>
  <si>
    <t>Maguchi</t>
  </si>
  <si>
    <t>JPMGU</t>
  </si>
  <si>
    <t>Magusa</t>
  </si>
  <si>
    <t>JPMAI</t>
  </si>
  <si>
    <t>Maizuru</t>
  </si>
  <si>
    <t>JPMKG</t>
  </si>
  <si>
    <t>Makigawa</t>
  </si>
  <si>
    <t>JPMAK</t>
  </si>
  <si>
    <t>Makiyama</t>
  </si>
  <si>
    <t>JPMKK</t>
  </si>
  <si>
    <t>Makurazaki</t>
  </si>
  <si>
    <t>JPMNA</t>
  </si>
  <si>
    <t>Manazuru</t>
  </si>
  <si>
    <t>JPMAR</t>
  </si>
  <si>
    <t>Marugame</t>
  </si>
  <si>
    <t>JPMAB</t>
  </si>
  <si>
    <t>Maruichibi</t>
  </si>
  <si>
    <t>JPMWA</t>
  </si>
  <si>
    <t>Maruiwa</t>
  </si>
  <si>
    <t>JPMRU</t>
  </si>
  <si>
    <t>Maruo</t>
  </si>
  <si>
    <t>JPMAS</t>
  </si>
  <si>
    <t>Masaki</t>
  </si>
  <si>
    <t>JPMSK</t>
  </si>
  <si>
    <t>Mashike</t>
  </si>
  <si>
    <t>JPMDJ</t>
  </si>
  <si>
    <t>Masuda, Kagoshima</t>
  </si>
  <si>
    <t>JPMSD</t>
  </si>
  <si>
    <t>Masuda, Shimane</t>
  </si>
  <si>
    <t>JPMAM</t>
  </si>
  <si>
    <t>Matama</t>
  </si>
  <si>
    <t>JPMAG</t>
  </si>
  <si>
    <t>Mategata</t>
  </si>
  <si>
    <t>JPMTY</t>
  </si>
  <si>
    <t>Matoya</t>
  </si>
  <si>
    <t>JPMTE</t>
  </si>
  <si>
    <t>Matsue</t>
  </si>
  <si>
    <t>JPMGA</t>
  </si>
  <si>
    <t>Matsugaura</t>
  </si>
  <si>
    <t>JPMTM</t>
  </si>
  <si>
    <t>Matsumae</t>
  </si>
  <si>
    <t>JPMNG</t>
  </si>
  <si>
    <t>Matsunaga</t>
  </si>
  <si>
    <t>JPMAO</t>
  </si>
  <si>
    <t>Matsuo</t>
  </si>
  <si>
    <t>JPMSA</t>
  </si>
  <si>
    <t>Matsusaka</t>
  </si>
  <si>
    <t>JPMRA</t>
  </si>
  <si>
    <t>Matsushima, Miyagi</t>
  </si>
  <si>
    <t>JPMAT</t>
  </si>
  <si>
    <t>Matsushima, Nagasaki</t>
  </si>
  <si>
    <t>JPMSS</t>
  </si>
  <si>
    <t>Matsushima, Okayama</t>
  </si>
  <si>
    <t>JPMAU</t>
  </si>
  <si>
    <t>Matsuura, Kagoshima</t>
  </si>
  <si>
    <t>JPMTS</t>
  </si>
  <si>
    <t>Matsuura, Nagasaki</t>
  </si>
  <si>
    <t>JPMTU</t>
  </si>
  <si>
    <t>Matsuura, Oita</t>
  </si>
  <si>
    <t>JPMYJ</t>
  </si>
  <si>
    <t>Matsuyama</t>
  </si>
  <si>
    <t>JPMTZ</t>
  </si>
  <si>
    <t>Matsuzaki</t>
  </si>
  <si>
    <t>JPMWR</t>
  </si>
  <si>
    <t>Mawari</t>
  </si>
  <si>
    <t>JPMBR</t>
  </si>
  <si>
    <t>Mebaruzaki</t>
  </si>
  <si>
    <t>JPMEG</t>
  </si>
  <si>
    <t>Megi</t>
  </si>
  <si>
    <t>JPMGS</t>
  </si>
  <si>
    <t>Megoshima</t>
  </si>
  <si>
    <t>JPMEN</t>
  </si>
  <si>
    <t>Mei</t>
  </si>
  <si>
    <t>JPMEI</t>
  </si>
  <si>
    <t>Meihama</t>
  </si>
  <si>
    <t>JPMET</t>
  </si>
  <si>
    <t>Meitsu</t>
  </si>
  <si>
    <t>JPMSI</t>
  </si>
  <si>
    <t>MieShikimi</t>
  </si>
  <si>
    <t>JPMHR</t>
  </si>
  <si>
    <t>Mihara</t>
  </si>
  <si>
    <t>JPMIH</t>
  </si>
  <si>
    <t>Mihonoseki</t>
  </si>
  <si>
    <t>JPMHN</t>
  </si>
  <si>
    <t>Mihowan</t>
  </si>
  <si>
    <t>JPMII</t>
  </si>
  <si>
    <t>Miike, Fukuoka</t>
  </si>
  <si>
    <t>JPMIJ</t>
  </si>
  <si>
    <t>Miike, Tokyo</t>
  </si>
  <si>
    <t>JPMKM</t>
  </si>
  <si>
    <t>Mikame</t>
  </si>
  <si>
    <t>JPMKW</t>
  </si>
  <si>
    <t>Mikawa</t>
  </si>
  <si>
    <t>JPMKJ</t>
  </si>
  <si>
    <t>Mikisato</t>
  </si>
  <si>
    <t>JPMKR</t>
  </si>
  <si>
    <t>Mikurajima</t>
  </si>
  <si>
    <t>JPMMT</t>
  </si>
  <si>
    <t>Mimitsu</t>
  </si>
  <si>
    <t>JPMIN</t>
  </si>
  <si>
    <t>Minamata</t>
  </si>
  <si>
    <t>JPMNM</t>
  </si>
  <si>
    <t>Minami</t>
  </si>
  <si>
    <t>JPMMD</t>
  </si>
  <si>
    <t>Minamidaito</t>
  </si>
  <si>
    <t>JPMNT</t>
  </si>
  <si>
    <t>Minato, Hyogo</t>
  </si>
  <si>
    <t>JPMNE</t>
  </si>
  <si>
    <t>Mine</t>
  </si>
  <si>
    <t>JPMNY</t>
  </si>
  <si>
    <t>Minmaya</t>
  </si>
  <si>
    <t>JPMNJ</t>
  </si>
  <si>
    <t>Minna/Motobu</t>
  </si>
  <si>
    <t>JPMNN</t>
  </si>
  <si>
    <t>Minna/Tarama</t>
  </si>
  <si>
    <t>JPMSX</t>
  </si>
  <si>
    <t>Misaki, Ehime</t>
  </si>
  <si>
    <t>JPMIK</t>
  </si>
  <si>
    <t>Misaki, Kanagawa</t>
  </si>
  <si>
    <t>JPMKI</t>
  </si>
  <si>
    <t>Misaki, Kochi</t>
  </si>
  <si>
    <t>JPMST</t>
  </si>
  <si>
    <t>Misato</t>
  </si>
  <si>
    <t>JPMKX</t>
  </si>
  <si>
    <t>Mishima, Kawanoe</t>
  </si>
  <si>
    <t>JPMSR</t>
  </si>
  <si>
    <t>Mishiro</t>
  </si>
  <si>
    <t>JPMSO</t>
  </si>
  <si>
    <t>Misho</t>
  </si>
  <si>
    <t>JPMIS</t>
  </si>
  <si>
    <t>Misumi, Kumamoto</t>
  </si>
  <si>
    <t>JPMMI</t>
  </si>
  <si>
    <t>Misumi, Shimane</t>
  </si>
  <si>
    <t>JPMXT</t>
  </si>
  <si>
    <t>Mita</t>
  </si>
  <si>
    <t>JPMTC</t>
  </si>
  <si>
    <t>Mitachi</t>
  </si>
  <si>
    <t>JPMJR</t>
  </si>
  <si>
    <t>Mitajiri</t>
  </si>
  <si>
    <t>JPMIT</t>
  </si>
  <si>
    <t>Mitaka, Hiroshima</t>
  </si>
  <si>
    <t>JPMTI</t>
  </si>
  <si>
    <t>Mitarai</t>
  </si>
  <si>
    <t>JPMQT</t>
  </si>
  <si>
    <t>Mito, Kagawa</t>
  </si>
  <si>
    <t>JPMTH</t>
  </si>
  <si>
    <t>Mitsuhama</t>
  </si>
  <si>
    <t>JPMKS</t>
  </si>
  <si>
    <t>Mitsukoshima</t>
  </si>
  <si>
    <t>JPMTK</t>
  </si>
  <si>
    <t>Mitsukue</t>
  </si>
  <si>
    <t>JPMIR</t>
  </si>
  <si>
    <t>Miura/Mitsushima</t>
  </si>
  <si>
    <t>JPMYG</t>
  </si>
  <si>
    <t>Miyagahama</t>
  </si>
  <si>
    <t>JPMYI</t>
  </si>
  <si>
    <t>Miyagi</t>
  </si>
  <si>
    <t>JPMYK</t>
  </si>
  <si>
    <t>Miyako, Iwate</t>
  </si>
  <si>
    <t>JPMMY</t>
  </si>
  <si>
    <t>Miyakojima</t>
  </si>
  <si>
    <t>JPMUY</t>
  </si>
  <si>
    <t>Miyanoura, Kagawa</t>
  </si>
  <si>
    <t>JPMNR</t>
  </si>
  <si>
    <t>Miyanoura, Nagasaki</t>
  </si>
  <si>
    <t>JPMYN</t>
  </si>
  <si>
    <t>Miyanoura/Azuma</t>
  </si>
  <si>
    <t>JPMNO</t>
  </si>
  <si>
    <t>Miyanoura/Kamiyaku</t>
  </si>
  <si>
    <t>JPMYU</t>
  </si>
  <si>
    <t>Miyaura</t>
  </si>
  <si>
    <t>JPMZK</t>
  </si>
  <si>
    <t>Miyazaki, Ehime</t>
  </si>
  <si>
    <t>JPKMI</t>
  </si>
  <si>
    <t>Miyazaki, Miyazaki</t>
  </si>
  <si>
    <t>JPMIY</t>
  </si>
  <si>
    <t>Miyazu</t>
  </si>
  <si>
    <t>JPMYT</t>
  </si>
  <si>
    <t>Miyoshi, Tokushima</t>
  </si>
  <si>
    <t>JPMZS</t>
  </si>
  <si>
    <t>Mizusaki</t>
  </si>
  <si>
    <t>JPMIZ</t>
  </si>
  <si>
    <t>Mizushima</t>
  </si>
  <si>
    <t>JPMCD</t>
  </si>
  <si>
    <t>Mochidoi</t>
  </si>
  <si>
    <t>JPMCH</t>
  </si>
  <si>
    <t>Mochiishi</t>
  </si>
  <si>
    <t>JPMOG</t>
  </si>
  <si>
    <t>Mogi</t>
  </si>
  <si>
    <t>JPMGN</t>
  </si>
  <si>
    <t>Mogine</t>
  </si>
  <si>
    <t>JPMOJ</t>
  </si>
  <si>
    <t>Moji/Kitakyushu</t>
  </si>
  <si>
    <t>JPMBE</t>
  </si>
  <si>
    <t>Monbetsu/Abashiri</t>
  </si>
  <si>
    <t>JPMOX</t>
  </si>
  <si>
    <t>Monoi</t>
  </si>
  <si>
    <t>JPMRK</t>
  </si>
  <si>
    <t>Morakui</t>
  </si>
  <si>
    <t>JPMOR</t>
  </si>
  <si>
    <t>Mori</t>
  </si>
  <si>
    <t>JPMRG</t>
  </si>
  <si>
    <t>Moriage</t>
  </si>
  <si>
    <t>JPMOO</t>
  </si>
  <si>
    <t>Morie</t>
  </si>
  <si>
    <t>JPMRH</t>
  </si>
  <si>
    <t>Morinohama</t>
  </si>
  <si>
    <t>JPMOM</t>
  </si>
  <si>
    <t>Morodomi</t>
  </si>
  <si>
    <t>JPMRZ</t>
  </si>
  <si>
    <t>Morozaki</t>
  </si>
  <si>
    <t>JPMBT</t>
  </si>
  <si>
    <t>Motobu</t>
  </si>
  <si>
    <t>JPMOT</t>
  </si>
  <si>
    <t>Motomachi</t>
  </si>
  <si>
    <t>JPMTO</t>
  </si>
  <si>
    <t>Motoura/Azuma</t>
  </si>
  <si>
    <t>JPMOU</t>
  </si>
  <si>
    <t>Motoura/Toshima</t>
  </si>
  <si>
    <t>JPMZR</t>
  </si>
  <si>
    <t>Motozaru</t>
  </si>
  <si>
    <t>JPMUG</t>
  </si>
  <si>
    <t>Mugi</t>
  </si>
  <si>
    <t>JPMUK</t>
  </si>
  <si>
    <t>Mukaishima</t>
  </si>
  <si>
    <t>JPMKA</t>
  </si>
  <si>
    <t>Mukata</t>
  </si>
  <si>
    <t>JPMKU</t>
  </si>
  <si>
    <t>Mukunoura</t>
  </si>
  <si>
    <t>JPMRE</t>
  </si>
  <si>
    <t>Mure</t>
  </si>
  <si>
    <t>JPMRO</t>
  </si>
  <si>
    <t>Murokita</t>
  </si>
  <si>
    <t>JPMRM</t>
  </si>
  <si>
    <t>Muromoto</t>
  </si>
  <si>
    <t>JPMUR</t>
  </si>
  <si>
    <t>Muroran</t>
  </si>
  <si>
    <t>JPMRJ</t>
  </si>
  <si>
    <t>Murotomisaki</t>
  </si>
  <si>
    <t>JPMRS</t>
  </si>
  <si>
    <t>Murotsu, Hyogo</t>
  </si>
  <si>
    <t>JPMUX</t>
  </si>
  <si>
    <t>Murotsu, Kochi</t>
  </si>
  <si>
    <t>JPMRT</t>
  </si>
  <si>
    <t>Murotsu, Yamaguchi</t>
  </si>
  <si>
    <t>JPMZM</t>
  </si>
  <si>
    <t>Murozumi</t>
  </si>
  <si>
    <t>JPMSH</t>
  </si>
  <si>
    <t>Musashi</t>
  </si>
  <si>
    <t>JPMYX</t>
  </si>
  <si>
    <t>Muta, Nagasaki</t>
  </si>
  <si>
    <t>JPMUT</t>
  </si>
  <si>
    <t>Mutsuogawara</t>
  </si>
  <si>
    <t>JPMTR</t>
  </si>
  <si>
    <t>Mutsure</t>
  </si>
  <si>
    <t>JPMYA</t>
  </si>
  <si>
    <t>Muya</t>
  </si>
  <si>
    <t>JPNAR</t>
  </si>
  <si>
    <t>Naarai</t>
  </si>
  <si>
    <t>JPNAD</t>
  </si>
  <si>
    <t>Nadahama</t>
  </si>
  <si>
    <t>JPNDY</t>
  </si>
  <si>
    <t>Nadayama</t>
  </si>
  <si>
    <t>JPNEX</t>
  </si>
  <si>
    <t>Nagae, Ehime</t>
  </si>
  <si>
    <t>JPNGE</t>
  </si>
  <si>
    <t>Nagae, Shimane</t>
  </si>
  <si>
    <t>JPNGH</t>
  </si>
  <si>
    <t>Nagahama, Ehime</t>
  </si>
  <si>
    <t>JPNMA</t>
  </si>
  <si>
    <t>Nagahama, Kagoshima</t>
  </si>
  <si>
    <t>JPNHM</t>
  </si>
  <si>
    <t>Nagahama, Shiga</t>
  </si>
  <si>
    <t>JPNAG</t>
  </si>
  <si>
    <t>Nagahama, Shimane</t>
  </si>
  <si>
    <t>JPNGG</t>
  </si>
  <si>
    <t>Nagame</t>
  </si>
  <si>
    <t>JPNAB</t>
  </si>
  <si>
    <t>Nagara</t>
  </si>
  <si>
    <t>JPNGA</t>
  </si>
  <si>
    <t>Nagareyama, Chiba</t>
  </si>
  <si>
    <t>JPNGS</t>
  </si>
  <si>
    <t>Nagasaki</t>
  </si>
  <si>
    <t>JPNHN</t>
  </si>
  <si>
    <t>Nagasakinohana</t>
  </si>
  <si>
    <t>JPNSA</t>
  </si>
  <si>
    <t>Nagashima</t>
  </si>
  <si>
    <t>JPNGU</t>
  </si>
  <si>
    <t>Nagasu, Kumamoto</t>
  </si>
  <si>
    <t>JPNSU</t>
  </si>
  <si>
    <t>Nagasu, Oita</t>
  </si>
  <si>
    <t>JPNAA</t>
  </si>
  <si>
    <t>Nagaura, Nagasaki</t>
  </si>
  <si>
    <t>JPNGR</t>
  </si>
  <si>
    <t>Nagaura/Yokosuka</t>
  </si>
  <si>
    <t>JPMGY</t>
  </si>
  <si>
    <t>Nagayama</t>
  </si>
  <si>
    <t>JPNAY</t>
  </si>
  <si>
    <t>Nagayo</t>
  </si>
  <si>
    <t>JPNGM</t>
  </si>
  <si>
    <t>Nagimi</t>
  </si>
  <si>
    <t>JPNGD</t>
  </si>
  <si>
    <t>Nagouda</t>
  </si>
  <si>
    <t>JPNGO</t>
  </si>
  <si>
    <t>Nagoya, Aichi</t>
  </si>
  <si>
    <t>JPNAH</t>
  </si>
  <si>
    <t>Naha, Okinawa</t>
  </si>
  <si>
    <t>JPNHI</t>
  </si>
  <si>
    <t>Nahari</t>
  </si>
  <si>
    <t>JPNGN</t>
  </si>
  <si>
    <t>Naigainoura</t>
  </si>
  <si>
    <t>JPNKD</t>
  </si>
  <si>
    <t>Nakada</t>
  </si>
  <si>
    <t>JPNAK</t>
  </si>
  <si>
    <t>Nakagusuku</t>
  </si>
  <si>
    <t>JPNHA</t>
  </si>
  <si>
    <t>Nakahama, Hiroshima</t>
  </si>
  <si>
    <t>JPNKJ</t>
  </si>
  <si>
    <t>Nakahama, Kyoto</t>
  </si>
  <si>
    <t>JPNKH</t>
  </si>
  <si>
    <t>Nakahama, Tottori</t>
  </si>
  <si>
    <t>JPNJM</t>
  </si>
  <si>
    <t>Nakajima</t>
  </si>
  <si>
    <t>JPNKK</t>
  </si>
  <si>
    <t>Nakakoshiki</t>
  </si>
  <si>
    <t>JPNKL</t>
  </si>
  <si>
    <t>Nakama, Kagoshima</t>
  </si>
  <si>
    <t>JPNKM</t>
  </si>
  <si>
    <t>Nakama, Okinawa</t>
  </si>
  <si>
    <t>JPNMC</t>
  </si>
  <si>
    <t>Nakamichi</t>
  </si>
  <si>
    <t>JPNMT</t>
  </si>
  <si>
    <t>Nakaminato</t>
  </si>
  <si>
    <t>JPNKX</t>
  </si>
  <si>
    <t>Nakanosaku</t>
  </si>
  <si>
    <t>JPNAN</t>
  </si>
  <si>
    <t>Nakanoseki</t>
  </si>
  <si>
    <t>JPNKS</t>
  </si>
  <si>
    <t>Nakanoshima</t>
  </si>
  <si>
    <t>JPSXZ</t>
  </si>
  <si>
    <t>Nakanoto</t>
  </si>
  <si>
    <t>JPNKN</t>
  </si>
  <si>
    <t>Nakanoura</t>
  </si>
  <si>
    <t>JPNKZ</t>
  </si>
  <si>
    <t>Nakashima</t>
  </si>
  <si>
    <t>JPNKT</t>
  </si>
  <si>
    <t>Nakata, Hiroshima</t>
  </si>
  <si>
    <t>JPNTX</t>
  </si>
  <si>
    <t>Nakata, Kumamoto</t>
  </si>
  <si>
    <t>JPNAT</t>
  </si>
  <si>
    <t>Nakatsu</t>
  </si>
  <si>
    <t>JPNKY</t>
  </si>
  <si>
    <t>Nakayama</t>
  </si>
  <si>
    <t>JPNKR</t>
  </si>
  <si>
    <t>Nakiri</t>
  </si>
  <si>
    <t>JPNAM</t>
  </si>
  <si>
    <t>Nama</t>
  </si>
  <si>
    <t>JPNIT</t>
  </si>
  <si>
    <t>Namikata</t>
  </si>
  <si>
    <t>JPNNO</t>
  </si>
  <si>
    <t>Nanao</t>
  </si>
  <si>
    <t>JPNNT</t>
  </si>
  <si>
    <t>Nanatsugama</t>
  </si>
  <si>
    <t>JPNTY</t>
  </si>
  <si>
    <t>Nanatsuyama</t>
  </si>
  <si>
    <t>JPNKO</t>
  </si>
  <si>
    <t>Nanko</t>
  </si>
  <si>
    <t>JPNAO</t>
  </si>
  <si>
    <t>Naoetsu</t>
  </si>
  <si>
    <t>JPNAS</t>
  </si>
  <si>
    <t>Naoshima</t>
  </si>
  <si>
    <t>JPNRO</t>
  </si>
  <si>
    <t>Narao</t>
  </si>
  <si>
    <t>JPNAI</t>
  </si>
  <si>
    <t>Narashino</t>
  </si>
  <si>
    <t>JPNRS</t>
  </si>
  <si>
    <t>Narushima</t>
  </si>
  <si>
    <t>JPNRU</t>
  </si>
  <si>
    <t>Naruto</t>
  </si>
  <si>
    <t>JPNSX</t>
  </si>
  <si>
    <t>Nasa</t>
  </si>
  <si>
    <t>JPNAZ</t>
  </si>
  <si>
    <t>Naze</t>
  </si>
  <si>
    <t>JPNGI</t>
  </si>
  <si>
    <t>Neghishi/Yokohama</t>
  </si>
  <si>
    <t>JPNEJ</t>
  </si>
  <si>
    <t>Nejime</t>
  </si>
  <si>
    <t>JPNEM</t>
  </si>
  <si>
    <t>Nemuro</t>
  </si>
  <si>
    <t>JPNNK</t>
  </si>
  <si>
    <t>Nenokuchi</t>
  </si>
  <si>
    <t>JPNEO</t>
  </si>
  <si>
    <t>Neo</t>
  </si>
  <si>
    <t>JPNEZ</t>
  </si>
  <si>
    <t>Nezugaseki</t>
  </si>
  <si>
    <t>JPNIC</t>
  </si>
  <si>
    <t>Nichinan</t>
  </si>
  <si>
    <t>JPNXG</t>
  </si>
  <si>
    <t>Nigishima</t>
  </si>
  <si>
    <t>JPNIX</t>
  </si>
  <si>
    <t>Nii</t>
  </si>
  <si>
    <t>JPKIJ</t>
  </si>
  <si>
    <t>Niigata</t>
  </si>
  <si>
    <t>JPNIH</t>
  </si>
  <si>
    <t>Niigatahigashi</t>
  </si>
  <si>
    <t>JPNIN</t>
  </si>
  <si>
    <t>Niigatanishi</t>
  </si>
  <si>
    <t>JPIHA</t>
  </si>
  <si>
    <t>Niihama</t>
  </si>
  <si>
    <t>JPNIJ</t>
  </si>
  <si>
    <t>Niijima</t>
  </si>
  <si>
    <t>JPXCA</t>
  </si>
  <si>
    <t>Niikappu</t>
  </si>
  <si>
    <t>JPNIK</t>
  </si>
  <si>
    <t>Nikaho</t>
  </si>
  <si>
    <t>JPNIM</t>
  </si>
  <si>
    <t>Nima</t>
  </si>
  <si>
    <t>JPNIO</t>
  </si>
  <si>
    <t>Nio</t>
  </si>
  <si>
    <t>JPNID</t>
  </si>
  <si>
    <t>Nishi/Kitadaito</t>
  </si>
  <si>
    <t>JPNDI</t>
  </si>
  <si>
    <t>Nishi/Minamidaito</t>
  </si>
  <si>
    <t>JPNSB</t>
  </si>
  <si>
    <t>Nishibe</t>
  </si>
  <si>
    <t>JPNSI</t>
  </si>
  <si>
    <t>Nishiesan</t>
  </si>
  <si>
    <t>JPNHR</t>
  </si>
  <si>
    <t>Nishihara</t>
  </si>
  <si>
    <t>JPNST</t>
  </si>
  <si>
    <t>Nishikata</t>
  </si>
  <si>
    <t>JPNSK</t>
  </si>
  <si>
    <t>Nishiki</t>
  </si>
  <si>
    <t>JPMAW</t>
  </si>
  <si>
    <t>Nishimaizuru</t>
  </si>
  <si>
    <t>JPNSM</t>
  </si>
  <si>
    <t>Nishimura</t>
  </si>
  <si>
    <t>JPNIS</t>
  </si>
  <si>
    <t>Nishinaka</t>
  </si>
  <si>
    <t>JPNYA</t>
  </si>
  <si>
    <t>Nishinomiya</t>
  </si>
  <si>
    <t>JPIIN</t>
  </si>
  <si>
    <t>Nishinoomote</t>
  </si>
  <si>
    <t>JPNSH</t>
  </si>
  <si>
    <t>Nishishioya</t>
  </si>
  <si>
    <t>JPNTO</t>
  </si>
  <si>
    <t>Nishitokyo</t>
  </si>
  <si>
    <t>JPNUR</t>
  </si>
  <si>
    <t>Nishiura</t>
  </si>
  <si>
    <t>JPNIA</t>
  </si>
  <si>
    <t>Nita</t>
  </si>
  <si>
    <t>JPNOB</t>
  </si>
  <si>
    <t>Nobeoka</t>
  </si>
  <si>
    <t>JPNBS</t>
  </si>
  <si>
    <t>Nobeokashinko</t>
  </si>
  <si>
    <t>JPNBU</t>
  </si>
  <si>
    <t>Nobu/Mitsushima</t>
  </si>
  <si>
    <t>JPNOU</t>
  </si>
  <si>
    <t>Noh</t>
  </si>
  <si>
    <t>JPNOH</t>
  </si>
  <si>
    <t>Nohara</t>
  </si>
  <si>
    <t>JPNHJ</t>
  </si>
  <si>
    <t>Noheji</t>
  </si>
  <si>
    <t>JPNQH</t>
  </si>
  <si>
    <t>Noho</t>
  </si>
  <si>
    <t>JPNJR</t>
  </si>
  <si>
    <t>Nojiri</t>
  </si>
  <si>
    <t>JPNMK</t>
  </si>
  <si>
    <t>Nomaike</t>
  </si>
  <si>
    <t>JPNMI</t>
  </si>
  <si>
    <t>Nomi</t>
  </si>
  <si>
    <t>JPNOM</t>
  </si>
  <si>
    <t>Nomizaki</t>
  </si>
  <si>
    <t>JPNON</t>
  </si>
  <si>
    <t>Nonohama</t>
  </si>
  <si>
    <t>JPNSR</t>
  </si>
  <si>
    <t>Noshiro</t>
  </si>
  <si>
    <t>JPNUM</t>
  </si>
  <si>
    <t>Numazu</t>
  </si>
  <si>
    <t>JPNNH</t>
  </si>
  <si>
    <t>Nunohama</t>
  </si>
  <si>
    <t>JPNWA</t>
  </si>
  <si>
    <t>Nyugawa</t>
  </si>
  <si>
    <t>JPNYK</t>
  </si>
  <si>
    <t>Nyukou</t>
  </si>
  <si>
    <t>JPNYZ</t>
  </si>
  <si>
    <t>Nyuzu</t>
  </si>
  <si>
    <t>JPOAR</t>
  </si>
  <si>
    <t>Oarai</t>
  </si>
  <si>
    <t>JPOBM</t>
  </si>
  <si>
    <t>Obama, Fukui</t>
  </si>
  <si>
    <t>JPOBA</t>
  </si>
  <si>
    <t>Obama, Mie</t>
  </si>
  <si>
    <t>JPOBB</t>
  </si>
  <si>
    <t>Obama, Nagasaki</t>
  </si>
  <si>
    <t>JPOOB</t>
  </si>
  <si>
    <t>Obatake</t>
  </si>
  <si>
    <t>JPOBE</t>
  </si>
  <si>
    <t>Obe, Ehime</t>
  </si>
  <si>
    <t>JPOOC</t>
  </si>
  <si>
    <t>Ochiyo</t>
  </si>
  <si>
    <t>JPODA</t>
  </si>
  <si>
    <t>Odahigashi</t>
  </si>
  <si>
    <t>JPODS</t>
  </si>
  <si>
    <t>Odeshima</t>
  </si>
  <si>
    <t>JPODO</t>
  </si>
  <si>
    <t>Odoh</t>
  </si>
  <si>
    <t>JPODM</t>
  </si>
  <si>
    <t>Odomari</t>
  </si>
  <si>
    <t>JPOGA</t>
  </si>
  <si>
    <t>Ogasawara</t>
  </si>
  <si>
    <t>JPOAT</t>
  </si>
  <si>
    <t>Ogatsu</t>
  </si>
  <si>
    <t>JPOSG</t>
  </si>
  <si>
    <t>Ogi</t>
  </si>
  <si>
    <t>JPOII</t>
  </si>
  <si>
    <t>Ogi, Ishikawa</t>
  </si>
  <si>
    <t>JPOGK</t>
  </si>
  <si>
    <t>Ogi, Kagawa</t>
  </si>
  <si>
    <t>JPOGI</t>
  </si>
  <si>
    <t>Ogi, Niigata</t>
  </si>
  <si>
    <t>JPOGF</t>
  </si>
  <si>
    <t>Ogifushi</t>
  </si>
  <si>
    <t>JPOGH</t>
  </si>
  <si>
    <t>Oginohama</t>
  </si>
  <si>
    <t>JPOGM</t>
  </si>
  <si>
    <t>Ogomori</t>
  </si>
  <si>
    <t>JPOHM</t>
  </si>
  <si>
    <t>Ohama, Ehime</t>
  </si>
  <si>
    <t>JPOHA</t>
  </si>
  <si>
    <t>Ohama, Kagawa</t>
  </si>
  <si>
    <t>JPKHM</t>
  </si>
  <si>
    <t>Ohama, Kagoshima</t>
  </si>
  <si>
    <t>JPOOH</t>
  </si>
  <si>
    <t>Ohama, Okayama</t>
  </si>
  <si>
    <t>JPOMX</t>
  </si>
  <si>
    <t>Ohama, Tottori</t>
  </si>
  <si>
    <t>JPOHT</t>
  </si>
  <si>
    <t>Ohata</t>
  </si>
  <si>
    <t>JPOBX</t>
  </si>
  <si>
    <t>Ohbe, Kagawa</t>
  </si>
  <si>
    <t>JPOBS</t>
  </si>
  <si>
    <t>Ohbishima</t>
  </si>
  <si>
    <t>JPOKR</t>
  </si>
  <si>
    <t>Ohbukura/Uwajima</t>
  </si>
  <si>
    <t>JPODN</t>
  </si>
  <si>
    <t>Ohdana</t>
  </si>
  <si>
    <t>JPOFR</t>
  </si>
  <si>
    <t>Ohfukaura</t>
  </si>
  <si>
    <t>JPOFK</t>
  </si>
  <si>
    <t>Ohfunakoshi</t>
  </si>
  <si>
    <t>JPOFT</t>
  </si>
  <si>
    <t>Ohfunato</t>
  </si>
  <si>
    <t>JPOOG</t>
  </si>
  <si>
    <t>Ohgaki</t>
  </si>
  <si>
    <t>JPOSR</t>
  </si>
  <si>
    <t>Ohgasari</t>
  </si>
  <si>
    <t>JPOGE</t>
  </si>
  <si>
    <t>Ohge</t>
  </si>
  <si>
    <t>JPOGS</t>
  </si>
  <si>
    <t>Ohgishima</t>
  </si>
  <si>
    <t>JPOGU</t>
  </si>
  <si>
    <t>Ohgushi</t>
  </si>
  <si>
    <t>JPOHO</t>
  </si>
  <si>
    <t>Ohi</t>
  </si>
  <si>
    <t>JPOIG</t>
  </si>
  <si>
    <t>Ohigawa</t>
  </si>
  <si>
    <t>JPOKH</t>
  </si>
  <si>
    <t>Ohkawara</t>
  </si>
  <si>
    <t>JPONE</t>
  </si>
  <si>
    <t>Ohnejime</t>
  </si>
  <si>
    <t>JPONS</t>
  </si>
  <si>
    <t>Ohnishi/Ohsaki</t>
  </si>
  <si>
    <t>JPOON</t>
  </si>
  <si>
    <t>Ohnoh</t>
  </si>
  <si>
    <t>JPORA</t>
  </si>
  <si>
    <t>Ohra</t>
  </si>
  <si>
    <t>JPOUS</t>
  </si>
  <si>
    <t>Ohse</t>
  </si>
  <si>
    <t>JPOSI</t>
  </si>
  <si>
    <t>Ohshima, Ehime</t>
  </si>
  <si>
    <t>JPOSS</t>
  </si>
  <si>
    <t>Ohshima, Fukuoka</t>
  </si>
  <si>
    <t>JPOOM</t>
  </si>
  <si>
    <t>Ohshima, Kagawa</t>
  </si>
  <si>
    <t>JPOSO</t>
  </si>
  <si>
    <t>Ohshima, Miyazaki</t>
  </si>
  <si>
    <t>JPOIM</t>
  </si>
  <si>
    <t>Ohshima, Tokyo</t>
  </si>
  <si>
    <t>JPOSH</t>
  </si>
  <si>
    <t>Ohshima, Wakayama</t>
  </si>
  <si>
    <t>JPHGS</t>
  </si>
  <si>
    <t>Ohshima/Hagi</t>
  </si>
  <si>
    <t>JPOYM</t>
  </si>
  <si>
    <t>Ohyama/Mitsushima</t>
  </si>
  <si>
    <t>JPOZJ</t>
  </si>
  <si>
    <t>Ohzuku</t>
  </si>
  <si>
    <t>JPOIS</t>
  </si>
  <si>
    <t>Oiso</t>
  </si>
  <si>
    <t>JPOIT</t>
  </si>
  <si>
    <t>Oita</t>
  </si>
  <si>
    <t>JPOJI</t>
  </si>
  <si>
    <t>Ojika</t>
  </si>
  <si>
    <t>JPOYA</t>
  </si>
  <si>
    <t>Ojoya</t>
  </si>
  <si>
    <t>JPOAA</t>
  </si>
  <si>
    <t>Okada</t>
  </si>
  <si>
    <t>JPOKM</t>
  </si>
  <si>
    <t>Okamoto</t>
  </si>
  <si>
    <t>JPOMR</t>
  </si>
  <si>
    <t>Okamura</t>
  </si>
  <si>
    <t>JPOOW</t>
  </si>
  <si>
    <t>Okawa, Nagasaki</t>
  </si>
  <si>
    <t>JPOKW</t>
  </si>
  <si>
    <t>Okawa, Wakayama</t>
  </si>
  <si>
    <t>JPOKJ</t>
  </si>
  <si>
    <t>Okayama</t>
  </si>
  <si>
    <t>JPOKI</t>
  </si>
  <si>
    <t>Oki</t>
  </si>
  <si>
    <t>JPOKN</t>
  </si>
  <si>
    <t>Okinajima</t>
  </si>
  <si>
    <t>JPOKK</t>
  </si>
  <si>
    <t>Okinokojima</t>
  </si>
  <si>
    <t>JPOKC</t>
  </si>
  <si>
    <t>Okitsu, Chiba</t>
  </si>
  <si>
    <t>JPOKT</t>
  </si>
  <si>
    <t>Okitsu, Shizuoka</t>
  </si>
  <si>
    <t>JPOIU</t>
  </si>
  <si>
    <t>Okiura, Hiroshima</t>
  </si>
  <si>
    <t>JPOKX</t>
  </si>
  <si>
    <t>Okiura, Yamaguchi</t>
  </si>
  <si>
    <t>JPOKS</t>
  </si>
  <si>
    <t>Okiuranishi</t>
  </si>
  <si>
    <t>JPOKG</t>
  </si>
  <si>
    <t>Okogi</t>
  </si>
  <si>
    <t>JPOKU</t>
  </si>
  <si>
    <t>Oku</t>
  </si>
  <si>
    <t>JPOOJ</t>
  </si>
  <si>
    <t>Okubo, Kagoshima</t>
  </si>
  <si>
    <t>JPOKB</t>
  </si>
  <si>
    <t>Okubo, Tokyo</t>
  </si>
  <si>
    <t>JPOCH</t>
  </si>
  <si>
    <t>Okunouchi</t>
  </si>
  <si>
    <t>JPOAX</t>
  </si>
  <si>
    <t>Oma</t>
  </si>
  <si>
    <t>JPOMZ</t>
  </si>
  <si>
    <t>Omaezaki</t>
  </si>
  <si>
    <t>JPAOM</t>
  </si>
  <si>
    <t>Omi</t>
  </si>
  <si>
    <t>JPOMI</t>
  </si>
  <si>
    <t>JPOMT</t>
  </si>
  <si>
    <t>Ominato</t>
  </si>
  <si>
    <t>JPOMS</t>
  </si>
  <si>
    <t>Omishima</t>
  </si>
  <si>
    <t>JPOMY</t>
  </si>
  <si>
    <t>Omiyaji</t>
  </si>
  <si>
    <t>JPOMD</t>
  </si>
  <si>
    <t>Omodaka</t>
  </si>
  <si>
    <t>JPOMN</t>
  </si>
  <si>
    <t>Omon</t>
  </si>
  <si>
    <t>JPOMW</t>
  </si>
  <si>
    <t>Omonawa</t>
  </si>
  <si>
    <t>JPOJM</t>
  </si>
  <si>
    <t>Omosu</t>
  </si>
  <si>
    <t>JPOMH</t>
  </si>
  <si>
    <t>Omotehama</t>
  </si>
  <si>
    <t>JPOMO</t>
  </si>
  <si>
    <t>Omoto</t>
  </si>
  <si>
    <t>JPOUM</t>
  </si>
  <si>
    <t>Omu</t>
  </si>
  <si>
    <t>JPOMJ</t>
  </si>
  <si>
    <t>Omura</t>
  </si>
  <si>
    <t>JPOMU</t>
  </si>
  <si>
    <t>Omuta</t>
  </si>
  <si>
    <t>JPONG</t>
  </si>
  <si>
    <t>Onagawa</t>
  </si>
  <si>
    <t>JPONA</t>
  </si>
  <si>
    <t>Onahama</t>
  </si>
  <si>
    <t>JPOGC</t>
  </si>
  <si>
    <t>Ongachi</t>
  </si>
  <si>
    <t>JPONJ</t>
  </si>
  <si>
    <t>Oniike</t>
  </si>
  <si>
    <t>JPONK</t>
  </si>
  <si>
    <t>Oniki</t>
  </si>
  <si>
    <t>JPONI</t>
  </si>
  <si>
    <t>Onishi</t>
  </si>
  <si>
    <t>JPONW</t>
  </si>
  <si>
    <t>Oniwaki</t>
  </si>
  <si>
    <t>JPOAD</t>
  </si>
  <si>
    <t>Onoaida</t>
  </si>
  <si>
    <t>JPOND</t>
  </si>
  <si>
    <t>Onoda</t>
  </si>
  <si>
    <t>JPONO</t>
  </si>
  <si>
    <t>Onomichi</t>
  </si>
  <si>
    <t>JPONX</t>
  </si>
  <si>
    <t>OnomichiItozaki</t>
  </si>
  <si>
    <t>JPOPA</t>
  </si>
  <si>
    <t>Oppama</t>
  </si>
  <si>
    <t>JPORG</t>
  </si>
  <si>
    <t>Origami</t>
  </si>
  <si>
    <t>JPORN</t>
  </si>
  <si>
    <t>Orino</t>
  </si>
  <si>
    <t>JPOSA</t>
  </si>
  <si>
    <t>Osaka</t>
  </si>
  <si>
    <t>JPOUK</t>
  </si>
  <si>
    <t>Osaka, Tottori</t>
  </si>
  <si>
    <t>JPOSX</t>
  </si>
  <si>
    <t>Osaki, Kagoshima</t>
  </si>
  <si>
    <t>JPOSK</t>
  </si>
  <si>
    <t>Osaki, Miyagi</t>
  </si>
  <si>
    <t>JPOSN</t>
  </si>
  <si>
    <t>Osaki/Mitsushima</t>
  </si>
  <si>
    <t>JPOJO</t>
  </si>
  <si>
    <t>Osako</t>
  </si>
  <si>
    <t>JPOTO</t>
  </si>
  <si>
    <t>Osato</t>
  </si>
  <si>
    <t>JPOST</t>
  </si>
  <si>
    <t>Osetoyanagi</t>
  </si>
  <si>
    <t>JPOSD</t>
  </si>
  <si>
    <t>Oshidomari</t>
  </si>
  <si>
    <t>JPOSM</t>
  </si>
  <si>
    <t>JPOSL</t>
  </si>
  <si>
    <t>Oshima, Yamaguchi</t>
  </si>
  <si>
    <t>JPOSE</t>
  </si>
  <si>
    <t>Osoe</t>
  </si>
  <si>
    <t>JPOSU</t>
  </si>
  <si>
    <t>Osuki</t>
  </si>
  <si>
    <t>JPOTK</t>
  </si>
  <si>
    <t>Otake</t>
  </si>
  <si>
    <t>JPOTA</t>
  </si>
  <si>
    <t>Otao</t>
  </si>
  <si>
    <t>JPOTR</t>
  </si>
  <si>
    <t>Otaru</t>
  </si>
  <si>
    <t>JPOTW</t>
  </si>
  <si>
    <t>Otawa</t>
  </si>
  <si>
    <t>JPOTM</t>
  </si>
  <si>
    <t>Otomi</t>
  </si>
  <si>
    <t>JPOSJ</t>
  </si>
  <si>
    <t>Otsu, Ibaraki</t>
  </si>
  <si>
    <t>JPOTU</t>
  </si>
  <si>
    <t>Otsu, Shiga</t>
  </si>
  <si>
    <t>JPOTJ</t>
  </si>
  <si>
    <t>Otsuchi</t>
  </si>
  <si>
    <t>JPOOA</t>
  </si>
  <si>
    <t>Oura, Saga</t>
  </si>
  <si>
    <t>JPOUA</t>
  </si>
  <si>
    <t>Oura/Ariake</t>
  </si>
  <si>
    <t>JPOUR</t>
  </si>
  <si>
    <t>Oura/Kamitsushima</t>
  </si>
  <si>
    <t>JPOOR</t>
  </si>
  <si>
    <t>Oura/Kasaoka</t>
  </si>
  <si>
    <t>JPORX</t>
  </si>
  <si>
    <t>Oura/Marugame</t>
  </si>
  <si>
    <t>JPORR</t>
  </si>
  <si>
    <t>Oura/Uchinoura</t>
  </si>
  <si>
    <t>JPOWA</t>
  </si>
  <si>
    <t>Owase</t>
  </si>
  <si>
    <t>JPOYB</t>
  </si>
  <si>
    <t>Oyabu</t>
  </si>
  <si>
    <t>JPOZX</t>
  </si>
  <si>
    <t>Ozaki</t>
  </si>
  <si>
    <t>JPOOO</t>
  </si>
  <si>
    <t>Ozu</t>
  </si>
  <si>
    <t>JPOZU</t>
  </si>
  <si>
    <t>Ozuku</t>
  </si>
  <si>
    <t>JPRAU</t>
  </si>
  <si>
    <t>Rausu</t>
  </si>
  <si>
    <t>JPRHK</t>
  </si>
  <si>
    <t>Reihoku</t>
  </si>
  <si>
    <t>JPRKO</t>
  </si>
  <si>
    <t>Rokko Island</t>
  </si>
  <si>
    <t>JPRND</t>
  </si>
  <si>
    <t>Ronden</t>
  </si>
  <si>
    <t>JPRMI</t>
  </si>
  <si>
    <t>Rumoi</t>
  </si>
  <si>
    <t>JPRYS</t>
  </si>
  <si>
    <t>Ryohshida</t>
  </si>
  <si>
    <t>JPRYO</t>
  </si>
  <si>
    <t>Ryotsu</t>
  </si>
  <si>
    <t>JPRYG</t>
  </si>
  <si>
    <t>Ryugamizu</t>
  </si>
  <si>
    <t>JPSAB</t>
  </si>
  <si>
    <t>JPHSG</t>
  </si>
  <si>
    <t>Saga</t>
  </si>
  <si>
    <t>JPSGA</t>
  </si>
  <si>
    <t>Saga, Kochi</t>
  </si>
  <si>
    <t>JPQSG</t>
  </si>
  <si>
    <t>Saga, Saga</t>
  </si>
  <si>
    <t>JPSAG</t>
  </si>
  <si>
    <t>Saganoseki</t>
  </si>
  <si>
    <t>JPSGR</t>
  </si>
  <si>
    <t>Sagara</t>
  </si>
  <si>
    <t>JPSAW</t>
  </si>
  <si>
    <t>Sagawa</t>
  </si>
  <si>
    <t>JPSGJ</t>
  </si>
  <si>
    <t>Sagi</t>
  </si>
  <si>
    <t>JPSJA</t>
  </si>
  <si>
    <t>Sai, Aomori</t>
  </si>
  <si>
    <t>JPSAC</t>
  </si>
  <si>
    <t>Sai, Shimane</t>
  </si>
  <si>
    <t>JPSDZ</t>
  </si>
  <si>
    <t>Saidaiji</t>
  </si>
  <si>
    <t>JPSAD</t>
  </si>
  <si>
    <t>Saidoh</t>
  </si>
  <si>
    <t>JPSGU</t>
  </si>
  <si>
    <t>Saigo, Nagasaki</t>
  </si>
  <si>
    <t>JPSAI</t>
  </si>
  <si>
    <t>Saigo, Shimane</t>
  </si>
  <si>
    <t>JPSAJ</t>
  </si>
  <si>
    <t>Saijo</t>
  </si>
  <si>
    <t>JPSAE</t>
  </si>
  <si>
    <t>Saiki</t>
  </si>
  <si>
    <t>JPSTZ</t>
  </si>
  <si>
    <t>Saitozaki</t>
  </si>
  <si>
    <t>JPSSK</t>
  </si>
  <si>
    <t>Saizaki</t>
  </si>
  <si>
    <t>JPSAK</t>
  </si>
  <si>
    <t>Sakai</t>
  </si>
  <si>
    <t>JPSKD</t>
  </si>
  <si>
    <t>Sakaide</t>
  </si>
  <si>
    <t>JPSMN</t>
  </si>
  <si>
    <t>Sakaiminato</t>
  </si>
  <si>
    <t>JPSBK</t>
  </si>
  <si>
    <t>Sakaisenboku</t>
  </si>
  <si>
    <t>JPSKK</t>
  </si>
  <si>
    <t>Sakaki</t>
  </si>
  <si>
    <t>JPSKT</t>
  </si>
  <si>
    <t>Sakata</t>
  </si>
  <si>
    <t>JPSAT</t>
  </si>
  <si>
    <t>Sakate</t>
  </si>
  <si>
    <t>JPSKH</t>
  </si>
  <si>
    <t>Sakihama</t>
  </si>
  <si>
    <t>JPSMU</t>
  </si>
  <si>
    <t>Sakimui</t>
  </si>
  <si>
    <t>JPSTO</t>
  </si>
  <si>
    <t>Sakito</t>
  </si>
  <si>
    <t>JPSAU</t>
  </si>
  <si>
    <t>Sakitsu</t>
  </si>
  <si>
    <t>JPSKO</t>
  </si>
  <si>
    <t>Sakoshi</t>
  </si>
  <si>
    <t>JPSKR</t>
  </si>
  <si>
    <t>Sakuraikako</t>
  </si>
  <si>
    <t>JPSRZ</t>
  </si>
  <si>
    <t>Sakurajima</t>
  </si>
  <si>
    <t>JPSAM</t>
  </si>
  <si>
    <t>Samani</t>
  </si>
  <si>
    <t>JPSME</t>
  </si>
  <si>
    <t>Same</t>
  </si>
  <si>
    <t>JPSNX</t>
  </si>
  <si>
    <t>Sanagi</t>
  </si>
  <si>
    <t>JPSNM</t>
  </si>
  <si>
    <t>Sanami</t>
  </si>
  <si>
    <t>JPSAN</t>
  </si>
  <si>
    <t>Sanbonmatsu</t>
  </si>
  <si>
    <t>JPSAS</t>
  </si>
  <si>
    <t>Sasago</t>
  </si>
  <si>
    <t>JPSSB</t>
  </si>
  <si>
    <t>Sasebo</t>
  </si>
  <si>
    <t>JPSSI</t>
  </si>
  <si>
    <t>Sashiki</t>
  </si>
  <si>
    <t>JPSSE</t>
  </si>
  <si>
    <t>Sasue</t>
  </si>
  <si>
    <t>JPSSN</t>
  </si>
  <si>
    <t>Sasuna</t>
  </si>
  <si>
    <t>JPSTA</t>
  </si>
  <si>
    <t>Sata</t>
  </si>
  <si>
    <t>JPSAO</t>
  </si>
  <si>
    <t>Sato</t>
  </si>
  <si>
    <t>JPSTE</t>
  </si>
  <si>
    <t>Satoura</t>
  </si>
  <si>
    <t>JPSTW</t>
  </si>
  <si>
    <t>Satsukawawan</t>
  </si>
  <si>
    <t>JPSEN</t>
  </si>
  <si>
    <t>Satsumasendai</t>
  </si>
  <si>
    <t>JPSAZ</t>
  </si>
  <si>
    <t>Saza</t>
  </si>
  <si>
    <t>JPSEQ</t>
  </si>
  <si>
    <t>Se/Izuhara</t>
  </si>
  <si>
    <t>JPSGW</t>
  </si>
  <si>
    <t>Segawa</t>
  </si>
  <si>
    <t>JPSEB</t>
  </si>
  <si>
    <t>Seibu</t>
  </si>
  <si>
    <t>JPSEG</t>
  </si>
  <si>
    <t>Seigaura</t>
  </si>
  <si>
    <t>JPSEK</t>
  </si>
  <si>
    <t>Sekinehama</t>
  </si>
  <si>
    <t>JPSKY</t>
  </si>
  <si>
    <t>Sekiya</t>
  </si>
  <si>
    <t>JPSDJ</t>
  </si>
  <si>
    <t>Sendai, Miyagi</t>
  </si>
  <si>
    <t>JPSDS</t>
  </si>
  <si>
    <t>Sendaishinko</t>
  </si>
  <si>
    <t>JPSGM</t>
  </si>
  <si>
    <t>Sendaishiogama</t>
  </si>
  <si>
    <t>JPSSU</t>
  </si>
  <si>
    <t>Sensyu</t>
  </si>
  <si>
    <t>JPSZK</t>
  </si>
  <si>
    <t>Senzaki</t>
  </si>
  <si>
    <t>JPSES</t>
  </si>
  <si>
    <t>Sesoko</t>
  </si>
  <si>
    <t>JPSTN</t>
  </si>
  <si>
    <t>Setana</t>
  </si>
  <si>
    <t>JPSET</t>
  </si>
  <si>
    <t>Seto</t>
  </si>
  <si>
    <t>JPSXT</t>
  </si>
  <si>
    <t>Seto, Kagawa</t>
  </si>
  <si>
    <t>JPSTT</t>
  </si>
  <si>
    <t>Seto, Kagoshima</t>
  </si>
  <si>
    <t>JPSTD</t>
  </si>
  <si>
    <t>Setoda</t>
  </si>
  <si>
    <t>JPSEZ</t>
  </si>
  <si>
    <t>Sezaki</t>
  </si>
  <si>
    <t>JPSHR</t>
  </si>
  <si>
    <t>Shari</t>
  </si>
  <si>
    <t>JPSBU</t>
  </si>
  <si>
    <t>Shibaura</t>
  </si>
  <si>
    <t>JPSBY</t>
  </si>
  <si>
    <t>Shibayama</t>
  </si>
  <si>
    <t>JPBKW</t>
  </si>
  <si>
    <t>Shibukawa</t>
  </si>
  <si>
    <t>JPSKB</t>
  </si>
  <si>
    <t>JPSBS</t>
  </si>
  <si>
    <t>Shibushi</t>
  </si>
  <si>
    <t>JPSCH</t>
  </si>
  <si>
    <t>Shichirinagahama</t>
  </si>
  <si>
    <t>JPSCR</t>
  </si>
  <si>
    <t>Shichirui</t>
  </si>
  <si>
    <t>JPSID</t>
  </si>
  <si>
    <t>Shido</t>
  </si>
  <si>
    <t>JPSIG</t>
  </si>
  <si>
    <t>Shigei</t>
  </si>
  <si>
    <t>JPSGI</t>
  </si>
  <si>
    <t>Shigetomi</t>
  </si>
  <si>
    <t>JPSIN</t>
  </si>
  <si>
    <t>Shiinoki</t>
  </si>
  <si>
    <t>JPSKM</t>
  </si>
  <si>
    <t>Shikama</t>
  </si>
  <si>
    <t>JPSIK</t>
  </si>
  <si>
    <t>Shikamachi</t>
  </si>
  <si>
    <t>JPSTJ</t>
  </si>
  <si>
    <t>Shikata</t>
  </si>
  <si>
    <t>JPSAR</t>
  </si>
  <si>
    <t>Shikaura</t>
  </si>
  <si>
    <t>JPSKN</t>
  </si>
  <si>
    <t>Shikinejima</t>
  </si>
  <si>
    <t>JPSMB</t>
  </si>
  <si>
    <t>Shimabara</t>
  </si>
  <si>
    <t>JPSIM</t>
  </si>
  <si>
    <t>Shimama</t>
  </si>
  <si>
    <t>JPSMM</t>
  </si>
  <si>
    <t>Shimamaki</t>
  </si>
  <si>
    <t>JPSNU</t>
  </si>
  <si>
    <t>Shimanoura</t>
  </si>
  <si>
    <t>JPSHZ</t>
  </si>
  <si>
    <t>Shimazuya</t>
  </si>
  <si>
    <t>JPSMZ</t>
  </si>
  <si>
    <t>Shimizu</t>
  </si>
  <si>
    <t>JPSMO</t>
  </si>
  <si>
    <t>Shimoda, Kochi</t>
  </si>
  <si>
    <t>JPSIA</t>
  </si>
  <si>
    <t>Shimoda, Kumamoto</t>
  </si>
  <si>
    <t>JPSDA</t>
  </si>
  <si>
    <t>Shimoda, Nagasaki</t>
  </si>
  <si>
    <t>JPSMD</t>
  </si>
  <si>
    <t>Shimoda, Shizuoka</t>
  </si>
  <si>
    <t>JPSMR</t>
  </si>
  <si>
    <t>Shimodomari/Mikame</t>
  </si>
  <si>
    <t>JPSMH</t>
  </si>
  <si>
    <t>Shimohisage</t>
  </si>
  <si>
    <t>JPSWA</t>
  </si>
  <si>
    <t>Shimokawaguchi</t>
  </si>
  <si>
    <t>JPSOO</t>
  </si>
  <si>
    <t>Shimonokae</t>
  </si>
  <si>
    <t>JPSHS</t>
  </si>
  <si>
    <t>Shimonoseki</t>
  </si>
  <si>
    <t>JPSMT</t>
  </si>
  <si>
    <t>Shimotsu</t>
  </si>
  <si>
    <t>JPSTI</t>
  </si>
  <si>
    <t>Shimotsui</t>
  </si>
  <si>
    <t>JPSSA</t>
  </si>
  <si>
    <t>Shimotsuura</t>
  </si>
  <si>
    <t>JPSHG</t>
  </si>
  <si>
    <t>Shinagawa, Tokyo</t>
  </si>
  <si>
    <t>JPSHN</t>
  </si>
  <si>
    <t>Shingu</t>
  </si>
  <si>
    <t>JPSZI</t>
  </si>
  <si>
    <t>Shinjima</t>
  </si>
  <si>
    <t>JPSKW</t>
  </si>
  <si>
    <t>Shinkawa, Aichi</t>
  </si>
  <si>
    <t>JPSNK</t>
  </si>
  <si>
    <t>Shinkawa, Kagoshima</t>
  </si>
  <si>
    <t>JPSHK</t>
  </si>
  <si>
    <t>Shinkiba</t>
  </si>
  <si>
    <t>JPSHJ</t>
  </si>
  <si>
    <t>Shinko</t>
  </si>
  <si>
    <t>JPSMJ</t>
  </si>
  <si>
    <t>Shinmoji</t>
  </si>
  <si>
    <t>JPSNJ</t>
  </si>
  <si>
    <t>Shinojima</t>
  </si>
  <si>
    <t>JPSNW</t>
  </si>
  <si>
    <t>Shinokawa</t>
  </si>
  <si>
    <t>JPSNZ</t>
  </si>
  <si>
    <t>Shinzaike</t>
  </si>
  <si>
    <t>JPSGT</t>
  </si>
  <si>
    <t>Shiogatani</t>
  </si>
  <si>
    <t>JPSOH</t>
  </si>
  <si>
    <t>Shiohama</t>
  </si>
  <si>
    <t>JPSIO</t>
  </si>
  <si>
    <t>Shioya, Ishikawa</t>
  </si>
  <si>
    <t>JPSYA</t>
  </si>
  <si>
    <t>Shioya, Okinawa</t>
  </si>
  <si>
    <t>JPSYG</t>
  </si>
  <si>
    <t>Shioyagamoto</t>
  </si>
  <si>
    <t>JPSRX</t>
  </si>
  <si>
    <t>Shirahama, Chiba</t>
  </si>
  <si>
    <t>JPSRH</t>
  </si>
  <si>
    <t>Shirahama, Kagawa</t>
  </si>
  <si>
    <t>JPSHH</t>
  </si>
  <si>
    <t>Shirahama, Kagoshima</t>
  </si>
  <si>
    <t>JPSIR</t>
  </si>
  <si>
    <t>Shirahama, Nagasaki</t>
  </si>
  <si>
    <t>JPSIH</t>
  </si>
  <si>
    <t>Shirahama, Okinawa</t>
  </si>
  <si>
    <t>JPSRT</t>
  </si>
  <si>
    <t>Shirakata</t>
  </si>
  <si>
    <t>JPSRA</t>
  </si>
  <si>
    <t>Shiraki</t>
  </si>
  <si>
    <t>JPSKU</t>
  </si>
  <si>
    <t>Shiraku</t>
  </si>
  <si>
    <t>JPSRO</t>
  </si>
  <si>
    <t>Shiraoi</t>
  </si>
  <si>
    <t>JPSYZ</t>
  </si>
  <si>
    <t>Shiriyazaki</t>
  </si>
  <si>
    <t>JPSRJ</t>
  </si>
  <si>
    <t>Shiro</t>
  </si>
  <si>
    <t>JPSJR</t>
  </si>
  <si>
    <t>Shiroko</t>
  </si>
  <si>
    <t>JPSRK</t>
  </si>
  <si>
    <t>Shirosaki</t>
  </si>
  <si>
    <t>JPSRS</t>
  </si>
  <si>
    <t>Shirose</t>
  </si>
  <si>
    <t>JPSTR</t>
  </si>
  <si>
    <t>Shirotori</t>
  </si>
  <si>
    <t>JPSSJ</t>
  </si>
  <si>
    <t>Shisakajima</t>
  </si>
  <si>
    <t>JPSSH</t>
  </si>
  <si>
    <t>Shishiboe</t>
  </si>
  <si>
    <t>JPSJI</t>
  </si>
  <si>
    <t>Shishijima, Kagawa</t>
  </si>
  <si>
    <t>JPSJM</t>
  </si>
  <si>
    <t>Shishijima, Kagoshima</t>
  </si>
  <si>
    <t>JPSIS</t>
  </si>
  <si>
    <t>Shishikui</t>
  </si>
  <si>
    <t>JPSSM</t>
  </si>
  <si>
    <t>Shishimi</t>
  </si>
  <si>
    <t>JPSTB</t>
  </si>
  <si>
    <t>Shitaba</t>
  </si>
  <si>
    <t>JPSNO</t>
  </si>
  <si>
    <t>Shitanoe</t>
  </si>
  <si>
    <t>JPSIT</t>
  </si>
  <si>
    <t>Shitanoura</t>
  </si>
  <si>
    <t>JPSDK</t>
  </si>
  <si>
    <t>Shitooke</t>
  </si>
  <si>
    <t>JPSZG</t>
  </si>
  <si>
    <t>Shizugawa</t>
  </si>
  <si>
    <t>JPSZU</t>
  </si>
  <si>
    <t>Shizuura</t>
  </si>
  <si>
    <t>JPSNN</t>
  </si>
  <si>
    <t>Shonan</t>
  </si>
  <si>
    <t>JPSYO</t>
  </si>
  <si>
    <t>Shoura</t>
  </si>
  <si>
    <t>JPSNR</t>
  </si>
  <si>
    <t>Shukunoura</t>
  </si>
  <si>
    <t>JPSHU</t>
  </si>
  <si>
    <t>Shushi</t>
  </si>
  <si>
    <t>JPSDU</t>
  </si>
  <si>
    <t>Sodegaura</t>
  </si>
  <si>
    <t>JPSOG</t>
  </si>
  <si>
    <t>Sogo</t>
  </si>
  <si>
    <t>JPSNI</t>
  </si>
  <si>
    <t>Sonai/Taketomi</t>
  </si>
  <si>
    <t>JPSNA</t>
  </si>
  <si>
    <t>Sonai/Yonaguni</t>
  </si>
  <si>
    <t>JPSNE</t>
  </si>
  <si>
    <t>Sone</t>
  </si>
  <si>
    <t>JPSGX</t>
  </si>
  <si>
    <t>Sonogi</t>
  </si>
  <si>
    <t>JPSOR</t>
  </si>
  <si>
    <t>Sonoura</t>
  </si>
  <si>
    <t>JPSYM</t>
  </si>
  <si>
    <t>Sonoyama</t>
  </si>
  <si>
    <t>JPSOT</t>
  </si>
  <si>
    <t>Sotodomari/Nishiumi</t>
  </si>
  <si>
    <t>JPSMA</t>
  </si>
  <si>
    <t>Souma</t>
  </si>
  <si>
    <t>JPSOY</t>
  </si>
  <si>
    <t>Soya</t>
  </si>
  <si>
    <t>JPSOZ</t>
  </si>
  <si>
    <t>Sozu</t>
  </si>
  <si>
    <t>JPSUG</t>
  </si>
  <si>
    <t>Suga</t>
  </si>
  <si>
    <t>JPSUU</t>
  </si>
  <si>
    <t>Sugawa</t>
  </si>
  <si>
    <t>JPSGE</t>
  </si>
  <si>
    <t>Suge</t>
  </si>
  <si>
    <t>JPSUR</t>
  </si>
  <si>
    <t>Sugeura</t>
  </si>
  <si>
    <t>JPSUK</t>
  </si>
  <si>
    <t>Sukumowan</t>
  </si>
  <si>
    <t>JPSMI</t>
  </si>
  <si>
    <t>Sumie</t>
  </si>
  <si>
    <t>JPSUM</t>
  </si>
  <si>
    <t>Suminoe</t>
  </si>
  <si>
    <t>JPSMY</t>
  </si>
  <si>
    <t>Sumiyoshi</t>
  </si>
  <si>
    <t>JPSUH</t>
  </si>
  <si>
    <t>Sumoto, Hyogo</t>
  </si>
  <si>
    <t>JPSUT</t>
  </si>
  <si>
    <t>Sumoto, Kumamoto</t>
  </si>
  <si>
    <t>JPSXM</t>
  </si>
  <si>
    <t>Sunami</t>
  </si>
  <si>
    <t>JPSUE</t>
  </si>
  <si>
    <t>Sunoe</t>
  </si>
  <si>
    <t>JPSUS</t>
  </si>
  <si>
    <t>Susa</t>
  </si>
  <si>
    <t>JPSUZ</t>
  </si>
  <si>
    <t>Susaki</t>
  </si>
  <si>
    <t>JPSTU</t>
  </si>
  <si>
    <t>Suttsu</t>
  </si>
  <si>
    <t>JPSUW</t>
  </si>
  <si>
    <t>Suwa</t>
  </si>
  <si>
    <t>JPTBR</t>
  </si>
  <si>
    <t>Tabira</t>
  </si>
  <si>
    <t>JPTBU</t>
  </si>
  <si>
    <t>Tabu</t>
  </si>
  <si>
    <t>JPTAB</t>
  </si>
  <si>
    <t>Tabugawa</t>
  </si>
  <si>
    <t>JPTBN</t>
  </si>
  <si>
    <t>Tachibana</t>
  </si>
  <si>
    <t>JPTAC</t>
  </si>
  <si>
    <t>Tachiyama</t>
  </si>
  <si>
    <t>JPTDN</t>
  </si>
  <si>
    <t>Tadanoumi</t>
  </si>
  <si>
    <t>JPTAD</t>
  </si>
  <si>
    <t>Tadotsu</t>
  </si>
  <si>
    <t>JPTAG</t>
  </si>
  <si>
    <t>Tagi</t>
  </si>
  <si>
    <t>JPTAO</t>
  </si>
  <si>
    <t>Tago</t>
  </si>
  <si>
    <t>JPTGO</t>
  </si>
  <si>
    <t>Tagonoura</t>
  </si>
  <si>
    <t>JPTAR</t>
  </si>
  <si>
    <t>Tahara</t>
  </si>
  <si>
    <t>JPTAZ</t>
  </si>
  <si>
    <t>Tai</t>
  </si>
  <si>
    <t>JPTKW</t>
  </si>
  <si>
    <t>Tainokawa</t>
  </si>
  <si>
    <t>JPTAL</t>
  </si>
  <si>
    <t>Tainouchi</t>
  </si>
  <si>
    <t>JPTIN</t>
  </si>
  <si>
    <t>Tainoura</t>
  </si>
  <si>
    <t>JPTAQ</t>
  </si>
  <si>
    <t>Taira</t>
  </si>
  <si>
    <t>JPTDT</t>
  </si>
  <si>
    <t>Tairadate</t>
  </si>
  <si>
    <t>JPTIA</t>
  </si>
  <si>
    <t>Taisha</t>
  </si>
  <si>
    <t>JPTZA</t>
  </si>
  <si>
    <t>Taiza</t>
  </si>
  <si>
    <t>JPTAJ</t>
  </si>
  <si>
    <t>Tajiri</t>
  </si>
  <si>
    <t>JPTJR</t>
  </si>
  <si>
    <t>Tajiri, Tottori</t>
  </si>
  <si>
    <t>JPTKD</t>
  </si>
  <si>
    <t>Takada</t>
  </si>
  <si>
    <t>JPTAH</t>
  </si>
  <si>
    <t>Takahama, Ehime</t>
  </si>
  <si>
    <t>JPTKH</t>
  </si>
  <si>
    <t>Takahama/Amakusa</t>
  </si>
  <si>
    <t>JPTAK</t>
  </si>
  <si>
    <t>Takamatsu</t>
  </si>
  <si>
    <t>JPTMJ</t>
  </si>
  <si>
    <t>Takami</t>
  </si>
  <si>
    <t>JPTAA</t>
  </si>
  <si>
    <t>Takamijima</t>
  </si>
  <si>
    <t>JPTNB</t>
  </si>
  <si>
    <t>Takanabe</t>
  </si>
  <si>
    <t>JPTKC</t>
  </si>
  <si>
    <t>Takanokuchi</t>
  </si>
  <si>
    <t>JPTKK</t>
  </si>
  <si>
    <t>Takaoka</t>
  </si>
  <si>
    <t>JPTJI</t>
  </si>
  <si>
    <t>Takarajima</t>
  </si>
  <si>
    <t>JPTSG</t>
  </si>
  <si>
    <t>Takasago</t>
  </si>
  <si>
    <t>JPTJK</t>
  </si>
  <si>
    <t>Takashima/Masuda</t>
  </si>
  <si>
    <t>JPTSM</t>
  </si>
  <si>
    <t>Takashima/Nishisonogi</t>
  </si>
  <si>
    <t>JPTXK</t>
  </si>
  <si>
    <t>Takasu, Fukui</t>
  </si>
  <si>
    <t>JPTKG</t>
  </si>
  <si>
    <t>Takasu, Kagoshima</t>
  </si>
  <si>
    <t>JPTEE</t>
  </si>
  <si>
    <t>Take</t>
  </si>
  <si>
    <t>JPTDJ</t>
  </si>
  <si>
    <t>Takedatsu</t>
  </si>
  <si>
    <t>JPTHR</t>
  </si>
  <si>
    <t>Takehara</t>
  </si>
  <si>
    <t>JPTEA</t>
  </si>
  <si>
    <t>Takena</t>
  </si>
  <si>
    <t>JPTKE</t>
  </si>
  <si>
    <t>Takeno</t>
  </si>
  <si>
    <t>JPTAS</t>
  </si>
  <si>
    <t>Takeshiki</t>
  </si>
  <si>
    <t>JPTSX</t>
  </si>
  <si>
    <t>Takeshima</t>
  </si>
  <si>
    <t>JPTTH</t>
  </si>
  <si>
    <t>Taketomihigashi</t>
  </si>
  <si>
    <t>JPTKT</t>
  </si>
  <si>
    <t>Taketoyo</t>
  </si>
  <si>
    <t>JPTKZ</t>
  </si>
  <si>
    <t>Takezaki</t>
  </si>
  <si>
    <t>JPTKI</t>
  </si>
  <si>
    <t>Taki</t>
  </si>
  <si>
    <t>JPTKM</t>
  </si>
  <si>
    <t>Takuma</t>
  </si>
  <si>
    <t>JPTKU</t>
  </si>
  <si>
    <t>Takuno</t>
  </si>
  <si>
    <t>JPTAM</t>
  </si>
  <si>
    <t>Tamano</t>
  </si>
  <si>
    <t>JPTMN</t>
  </si>
  <si>
    <t>Tamanoura</t>
  </si>
  <si>
    <t>JPTMS</t>
  </si>
  <si>
    <t>Tamatsu, Ehime</t>
  </si>
  <si>
    <t>JPTMT</t>
  </si>
  <si>
    <t>Tamatsu, Okayama</t>
  </si>
  <si>
    <t>JPTAE</t>
  </si>
  <si>
    <t>Tanabe</t>
  </si>
  <si>
    <t>JPTAN</t>
  </si>
  <si>
    <t>Tanagawa</t>
  </si>
  <si>
    <t>JPTNK</t>
  </si>
  <si>
    <t>Tanasoko</t>
  </si>
  <si>
    <t>JPTNY</t>
  </si>
  <si>
    <t>Taniyama</t>
  </si>
  <si>
    <t>JPTAW</t>
  </si>
  <si>
    <t>Tannowa</t>
  </si>
  <si>
    <t>JPTHM</t>
  </si>
  <si>
    <t>Tanohama</t>
  </si>
  <si>
    <t>JPTUR</t>
  </si>
  <si>
    <t>Tanoura, Ehime</t>
  </si>
  <si>
    <t>JPTNR</t>
  </si>
  <si>
    <t>Tanoura, Kumamoto</t>
  </si>
  <si>
    <t>JPTNU</t>
  </si>
  <si>
    <t>Tanoura/Kitakyushu</t>
  </si>
  <si>
    <t>JPTNW</t>
  </si>
  <si>
    <t>Tanowaki</t>
  </si>
  <si>
    <t>JPTRH</t>
  </si>
  <si>
    <t>Tarugahama</t>
  </si>
  <si>
    <t>JPTMZ</t>
  </si>
  <si>
    <t>Tarumizu</t>
  </si>
  <si>
    <t>JPTSS</t>
  </si>
  <si>
    <t>Tasumi</t>
  </si>
  <si>
    <t>JPTET</t>
  </si>
  <si>
    <t>Tateishi, Ehime</t>
  </si>
  <si>
    <t>JPTTS</t>
  </si>
  <si>
    <t>Tateishi, Kagawa</t>
  </si>
  <si>
    <t>JPTTY</t>
  </si>
  <si>
    <t>Tateyama</t>
  </si>
  <si>
    <t>JPTAT</t>
  </si>
  <si>
    <t>Tatsugo</t>
  </si>
  <si>
    <t>JPTYU</t>
  </si>
  <si>
    <t>Tayui</t>
  </si>
  <si>
    <t>JPTEI</t>
  </si>
  <si>
    <t>Tei</t>
  </si>
  <si>
    <t>JPTIS</t>
  </si>
  <si>
    <t>Teishi</t>
  </si>
  <si>
    <t>JPTEK</t>
  </si>
  <si>
    <t>Tekutsuku</t>
  </si>
  <si>
    <t>JPTRD</t>
  </si>
  <si>
    <t>Teradomari</t>
  </si>
  <si>
    <t>JPTZU</t>
  </si>
  <si>
    <t>Terazu/Matsue</t>
  </si>
  <si>
    <t>JPTRZ</t>
  </si>
  <si>
    <t>Terazu/Yatsuka</t>
  </si>
  <si>
    <t>JPTSI</t>
  </si>
  <si>
    <t>Teshima</t>
  </si>
  <si>
    <t>JPTSO</t>
  </si>
  <si>
    <t>Teshio</t>
  </si>
  <si>
    <t>JPTEU</t>
  </si>
  <si>
    <t>Teuchi</t>
  </si>
  <si>
    <t>JPTER</t>
  </si>
  <si>
    <t>Teuri</t>
  </si>
  <si>
    <t>JPTOB</t>
  </si>
  <si>
    <t>Toba</t>
  </si>
  <si>
    <t>JPTBT</t>
  </si>
  <si>
    <t>Tobata/Kitakyushu</t>
  </si>
  <si>
    <t>JPTBO</t>
  </si>
  <si>
    <t>Tobo</t>
  </si>
  <si>
    <t>JPTOD</t>
  </si>
  <si>
    <t>Todohokke</t>
  </si>
  <si>
    <t>JPTOJ</t>
  </si>
  <si>
    <t>JPTOC</t>
  </si>
  <si>
    <t>Togane</t>
  </si>
  <si>
    <t>JPTOG</t>
  </si>
  <si>
    <t>Togi</t>
  </si>
  <si>
    <t>JPTGC</t>
  </si>
  <si>
    <t>Toguchi</t>
  </si>
  <si>
    <t>JPTDA</t>
  </si>
  <si>
    <t>Tohda</t>
  </si>
  <si>
    <t>JPTOI</t>
  </si>
  <si>
    <t>Toi</t>
  </si>
  <si>
    <t>JPTJM</t>
  </si>
  <si>
    <t>Tojima</t>
  </si>
  <si>
    <t>JPTOK</t>
  </si>
  <si>
    <t>Tokachi</t>
  </si>
  <si>
    <t>JPTKA</t>
  </si>
  <si>
    <t>Tokai</t>
  </si>
  <si>
    <t>JPTJS</t>
  </si>
  <si>
    <t>Tokashiki</t>
  </si>
  <si>
    <t>JPTTU</t>
  </si>
  <si>
    <t>Tokitsu</t>
  </si>
  <si>
    <t>JPTXN</t>
  </si>
  <si>
    <t>Tokoname</t>
  </si>
  <si>
    <t>JPTKO</t>
  </si>
  <si>
    <t>Tokonami</t>
  </si>
  <si>
    <t>JPTKR</t>
  </si>
  <si>
    <t>Tokoro</t>
  </si>
  <si>
    <t>JPTCC</t>
  </si>
  <si>
    <t>Tokuchi</t>
  </si>
  <si>
    <t>JPTKJ</t>
  </si>
  <si>
    <t>Tokujin</t>
  </si>
  <si>
    <t>JPTKS</t>
  </si>
  <si>
    <t>Tokushima</t>
  </si>
  <si>
    <t>JPTKY</t>
  </si>
  <si>
    <t>Tokuyama</t>
  </si>
  <si>
    <t>JPTXD</t>
  </si>
  <si>
    <t>Tokuyamakudamatsu</t>
  </si>
  <si>
    <t>JPTYO</t>
  </si>
  <si>
    <t>Tokyo</t>
  </si>
  <si>
    <t>JPTMK</t>
  </si>
  <si>
    <t>Tomakomai</t>
  </si>
  <si>
    <t>JPTJJ</t>
  </si>
  <si>
    <t>Tomamae</t>
  </si>
  <si>
    <t>JPTMR</t>
  </si>
  <si>
    <t>Tomari, Okinawa</t>
  </si>
  <si>
    <t>JPTMA</t>
  </si>
  <si>
    <t>Tomari/Shiribeshi</t>
  </si>
  <si>
    <t>JPTRR</t>
  </si>
  <si>
    <t>Tomariura</t>
  </si>
  <si>
    <t>JPTME</t>
  </si>
  <si>
    <t>Tomie</t>
  </si>
  <si>
    <t>JPTMM</t>
  </si>
  <si>
    <t>Tomiku</t>
  </si>
  <si>
    <t>JPTMO</t>
  </si>
  <si>
    <t>Tomioka, Kumamoto</t>
  </si>
  <si>
    <t>JPTOM</t>
  </si>
  <si>
    <t>Tomioka, Tokushima</t>
  </si>
  <si>
    <t>JPTMU</t>
  </si>
  <si>
    <t>Tomitsu</t>
  </si>
  <si>
    <t>JPTND</t>
  </si>
  <si>
    <t>Tonda</t>
  </si>
  <si>
    <t>JPTNO</t>
  </si>
  <si>
    <t>Tonosho</t>
  </si>
  <si>
    <t>JPTNH</t>
  </si>
  <si>
    <t>Tonoshohigash</t>
  </si>
  <si>
    <t>JPTON</t>
  </si>
  <si>
    <t>Tonoura</t>
  </si>
  <si>
    <t>JPTRO</t>
  </si>
  <si>
    <t>Tororo</t>
  </si>
  <si>
    <t>JPTSZ</t>
  </si>
  <si>
    <t>Tosashimizu</t>
  </si>
  <si>
    <t>JPTJO</t>
  </si>
  <si>
    <t>Toshima, Hyogo</t>
  </si>
  <si>
    <t>JPTOX</t>
  </si>
  <si>
    <t>Toshima/Tokyo</t>
  </si>
  <si>
    <t>JPTOT</t>
  </si>
  <si>
    <t>Totoro</t>
  </si>
  <si>
    <t>JPTTJ</t>
  </si>
  <si>
    <t>Tottori</t>
  </si>
  <si>
    <t>JPTOU</t>
  </si>
  <si>
    <t>Touyo</t>
  </si>
  <si>
    <t>JPTOY</t>
  </si>
  <si>
    <t>Toyama</t>
  </si>
  <si>
    <t>JPTOS</t>
  </si>
  <si>
    <t>Toyamashinko</t>
  </si>
  <si>
    <t>JPTYJ</t>
  </si>
  <si>
    <t>Toyohama, Aichi</t>
  </si>
  <si>
    <t>JPTYH</t>
  </si>
  <si>
    <t>Toyohama, Kagawa</t>
  </si>
  <si>
    <t>JPTHS</t>
  </si>
  <si>
    <t>Toyohashi</t>
  </si>
  <si>
    <t>JPTUS</t>
  </si>
  <si>
    <t>Toyoshige</t>
  </si>
  <si>
    <t>JPTYA</t>
  </si>
  <si>
    <t>Toyota</t>
  </si>
  <si>
    <t>JPTYR</t>
  </si>
  <si>
    <t>Toyoura</t>
  </si>
  <si>
    <t>JPTSU</t>
  </si>
  <si>
    <t>Tsu</t>
  </si>
  <si>
    <t>JPTCH</t>
  </si>
  <si>
    <t>Tsuchiura</t>
  </si>
  <si>
    <t>JPTUD</t>
  </si>
  <si>
    <t>Tsuda</t>
  </si>
  <si>
    <t>JPTUI</t>
  </si>
  <si>
    <t>Tsui</t>
  </si>
  <si>
    <t>JPTYN</t>
  </si>
  <si>
    <t>Tsuiyama</t>
  </si>
  <si>
    <t>JPTWA</t>
  </si>
  <si>
    <t>Tsukinokawa</t>
  </si>
  <si>
    <t>JPTMI</t>
  </si>
  <si>
    <t>Tsukumi</t>
  </si>
  <si>
    <t>JPTUU</t>
  </si>
  <si>
    <t>Tsukumo</t>
  </si>
  <si>
    <t>JPTNA</t>
  </si>
  <si>
    <t>Tsuna</t>
  </si>
  <si>
    <t>JPTNI</t>
  </si>
  <si>
    <t>Tsuneishi</t>
  </si>
  <si>
    <t>JPTNS</t>
  </si>
  <si>
    <t>Tsunoshima</t>
  </si>
  <si>
    <t>JPTRG</t>
  </si>
  <si>
    <t>Tsuruga</t>
  </si>
  <si>
    <t>JPTRU</t>
  </si>
  <si>
    <t>Tsurumi, Okayama</t>
  </si>
  <si>
    <t>JPTSK</t>
  </si>
  <si>
    <t>Tsurusaki</t>
  </si>
  <si>
    <t>JPTRC</t>
  </si>
  <si>
    <t>Tsuruuchi</t>
  </si>
  <si>
    <t>JPTSH</t>
  </si>
  <si>
    <t>Tsushi</t>
  </si>
  <si>
    <t>JPTST</t>
  </si>
  <si>
    <t>Tsutsu</t>
  </si>
  <si>
    <t>JPTTM</t>
  </si>
  <si>
    <t>Tsutsumi</t>
  </si>
  <si>
    <t>JPTYP</t>
  </si>
  <si>
    <t>Tsuyoshi</t>
  </si>
  <si>
    <t>JPTTK</t>
  </si>
  <si>
    <t>Tsuzuki Ku</t>
  </si>
  <si>
    <t>JPUBJ</t>
  </si>
  <si>
    <t>Ube</t>
  </si>
  <si>
    <t>JPUBY</t>
  </si>
  <si>
    <t>Ubuyu</t>
  </si>
  <si>
    <t>JPUHH</t>
  </si>
  <si>
    <t>Uchihana</t>
  </si>
  <si>
    <t>JPUCN</t>
  </si>
  <si>
    <t>Uchinomi</t>
  </si>
  <si>
    <t>JPUUR</t>
  </si>
  <si>
    <t>Uchinoura</t>
  </si>
  <si>
    <t>JPUNU</t>
  </si>
  <si>
    <t>Uchinourahetsuka</t>
  </si>
  <si>
    <t>JPUCH</t>
  </si>
  <si>
    <t>Uchiumi</t>
  </si>
  <si>
    <t>JPUCU</t>
  </si>
  <si>
    <t>Uchiura, Fukui</t>
  </si>
  <si>
    <t>JPUCR</t>
  </si>
  <si>
    <t>Uchiura, Ishikawa</t>
  </si>
  <si>
    <t>JPUDD</t>
  </si>
  <si>
    <t>Udo</t>
  </si>
  <si>
    <t>JPUDO</t>
  </si>
  <si>
    <t>Udono</t>
  </si>
  <si>
    <t>JPUEC</t>
  </si>
  <si>
    <t>Uechi</t>
  </si>
  <si>
    <t>JPUGA</t>
  </si>
  <si>
    <t>Uga</t>
  </si>
  <si>
    <t>JPUGU</t>
  </si>
  <si>
    <t>Ugusu</t>
  </si>
  <si>
    <t>JPUJI</t>
  </si>
  <si>
    <t>Ujina</t>
  </si>
  <si>
    <t>JPUJY</t>
  </si>
  <si>
    <t>Ujiyamada</t>
  </si>
  <si>
    <t>JPUKJ</t>
  </si>
  <si>
    <t>Ukejima</t>
  </si>
  <si>
    <t>JPUKN</t>
  </si>
  <si>
    <t>Uken</t>
  </si>
  <si>
    <t>JPUKT</t>
  </si>
  <si>
    <t>Ukitsu</t>
  </si>
  <si>
    <t>JPUKI</t>
  </si>
  <si>
    <t>Ukui</t>
  </si>
  <si>
    <t>JPUMG</t>
  </si>
  <si>
    <t>Umagoe</t>
  </si>
  <si>
    <t>JPUNO</t>
  </si>
  <si>
    <t>Uno</t>
  </si>
  <si>
    <t>JPUNS</t>
  </si>
  <si>
    <t>Unoshima</t>
  </si>
  <si>
    <t>JPUNT</t>
  </si>
  <si>
    <t>Unten</t>
  </si>
  <si>
    <t>JPUOM</t>
  </si>
  <si>
    <t>Uomi</t>
  </si>
  <si>
    <t>JPUOU</t>
  </si>
  <si>
    <t>Uozu, Shimane</t>
  </si>
  <si>
    <t>JPUOZ</t>
  </si>
  <si>
    <t>Uozu, Toyama</t>
  </si>
  <si>
    <t>JPURA</t>
  </si>
  <si>
    <t>Ura</t>
  </si>
  <si>
    <t>JPURG</t>
  </si>
  <si>
    <t>Uraga</t>
  </si>
  <si>
    <t>JPURM</t>
  </si>
  <si>
    <t>Uragami</t>
  </si>
  <si>
    <t>JPUAO</t>
  </si>
  <si>
    <t>Urago</t>
  </si>
  <si>
    <t>JPURH</t>
  </si>
  <si>
    <t>Urahara</t>
  </si>
  <si>
    <t>JPURK</t>
  </si>
  <si>
    <t>Urakawa</t>
  </si>
  <si>
    <t>JPUNM</t>
  </si>
  <si>
    <t>Uranomae</t>
  </si>
  <si>
    <t>JPURR</t>
  </si>
  <si>
    <t>Urashiro</t>
  </si>
  <si>
    <t>JPURS</t>
  </si>
  <si>
    <t>Urasoko</t>
  </si>
  <si>
    <t>JPUSA</t>
  </si>
  <si>
    <t>Usa/Tosa</t>
  </si>
  <si>
    <t>JPUBK</t>
  </si>
  <si>
    <t>Ushibuka</t>
  </si>
  <si>
    <t>JPUSG</t>
  </si>
  <si>
    <t>Ushigakubijima</t>
  </si>
  <si>
    <t>JPUSH</t>
  </si>
  <si>
    <t>Ushimado</t>
  </si>
  <si>
    <t>JPUSI</t>
  </si>
  <si>
    <t>Ushine</t>
  </si>
  <si>
    <t>JPUST</t>
  </si>
  <si>
    <t>Ushitsu</t>
  </si>
  <si>
    <t>JPUSJ</t>
  </si>
  <si>
    <t>Usujiri</t>
  </si>
  <si>
    <t>JPUKA</t>
  </si>
  <si>
    <t>Usuka</t>
  </si>
  <si>
    <t>JPUSK</t>
  </si>
  <si>
    <t>Usuki</t>
  </si>
  <si>
    <t>JPUSN</t>
  </si>
  <si>
    <t>Usuno</t>
  </si>
  <si>
    <t>JPUSU</t>
  </si>
  <si>
    <t>Usunoura</t>
  </si>
  <si>
    <t>JPUTZ</t>
  </si>
  <si>
    <t>Utazu</t>
  </si>
  <si>
    <t>JPUTM</t>
  </si>
  <si>
    <t>Utsumi, Aichi</t>
  </si>
  <si>
    <t>JPUTS</t>
  </si>
  <si>
    <t>Utsumi, Hiroshima</t>
  </si>
  <si>
    <t>JPUWA</t>
  </si>
  <si>
    <t>Uwajima</t>
  </si>
  <si>
    <t>JPUZK</t>
  </si>
  <si>
    <t>Uzuki</t>
  </si>
  <si>
    <t>JPWDA</t>
  </si>
  <si>
    <t>JPWAD</t>
  </si>
  <si>
    <t>Wadomari</t>
  </si>
  <si>
    <t>JPWAI</t>
  </si>
  <si>
    <t>Waita</t>
  </si>
  <si>
    <t>JPWJM</t>
  </si>
  <si>
    <t>Wajima</t>
  </si>
  <si>
    <t>JPWTU</t>
  </si>
  <si>
    <t>Wakamatsu, Nagasaki</t>
  </si>
  <si>
    <t>JPWAM</t>
  </si>
  <si>
    <t>Wakamatsu/Kitakyushu</t>
  </si>
  <si>
    <t>JPWKT</t>
  </si>
  <si>
    <t>Wakatsu</t>
  </si>
  <si>
    <t>JPWAK</t>
  </si>
  <si>
    <t>Wakayama</t>
  </si>
  <si>
    <t>JPWKI</t>
  </si>
  <si>
    <t>Wakimisaki</t>
  </si>
  <si>
    <t>JPWMT</t>
  </si>
  <si>
    <t>Wakimoto</t>
  </si>
  <si>
    <t>JPWKW</t>
  </si>
  <si>
    <t>Wakinosawa</t>
  </si>
  <si>
    <t>JPWKZ</t>
  </si>
  <si>
    <t>Wakizaki</t>
  </si>
  <si>
    <t>JPWKJ</t>
  </si>
  <si>
    <t>Wakkanai</t>
  </si>
  <si>
    <t>JPWKR</t>
  </si>
  <si>
    <t>Wakura</t>
  </si>
  <si>
    <t>JPWAN</t>
  </si>
  <si>
    <t>Wan</t>
  </si>
  <si>
    <t>JPWNI</t>
  </si>
  <si>
    <t>Waniura</t>
  </si>
  <si>
    <t>JPWNA</t>
  </si>
  <si>
    <t>Wano</t>
  </si>
  <si>
    <t>JPWSB</t>
  </si>
  <si>
    <t>Washibeyanoura</t>
  </si>
  <si>
    <t>JPWAT</t>
  </si>
  <si>
    <t>Watanoha</t>
  </si>
  <si>
    <t>JPYCH</t>
  </si>
  <si>
    <t>Yachiyo</t>
  </si>
  <si>
    <t>JPYNE</t>
  </si>
  <si>
    <t>Yaene</t>
  </si>
  <si>
    <t>JPYAG</t>
  </si>
  <si>
    <t>Yagi, Hyogo</t>
  </si>
  <si>
    <t>JPYGI</t>
  </si>
  <si>
    <t>Yagi, Iwate</t>
  </si>
  <si>
    <t>JPYGR</t>
  </si>
  <si>
    <t>Yagishiri</t>
  </si>
  <si>
    <t>JPYZU</t>
  </si>
  <si>
    <t>Yaizu</t>
  </si>
  <si>
    <t>JPYKU</t>
  </si>
  <si>
    <t>Yakuzu</t>
  </si>
  <si>
    <t>JPYQD</t>
  </si>
  <si>
    <t>Yamada</t>
  </si>
  <si>
    <t>JPYAD</t>
  </si>
  <si>
    <t>Yamada, Iwate</t>
  </si>
  <si>
    <t>JPYMD</t>
  </si>
  <si>
    <t>Yamada, Okayama</t>
  </si>
  <si>
    <t>JPYAM</t>
  </si>
  <si>
    <t>Yamagawa</t>
  </si>
  <si>
    <t>JPYMG</t>
  </si>
  <si>
    <t>Yamaguchi</t>
  </si>
  <si>
    <t>JPYGH</t>
  </si>
  <si>
    <t>Yamaguchihigashi</t>
  </si>
  <si>
    <t>JPYMN</t>
  </si>
  <si>
    <t>Yamanoura</t>
  </si>
  <si>
    <t>JPYMT</t>
  </si>
  <si>
    <t>Yamatani</t>
  </si>
  <si>
    <t>JPYAA</t>
  </si>
  <si>
    <t>Yanagi</t>
  </si>
  <si>
    <t>JPYAN</t>
  </si>
  <si>
    <t>Yanai</t>
  </si>
  <si>
    <t>JPYNI</t>
  </si>
  <si>
    <t>Yani</t>
  </si>
  <si>
    <t>JPYNN</t>
  </si>
  <si>
    <t>Yanma</t>
  </si>
  <si>
    <t>JPYSG</t>
  </si>
  <si>
    <t>Yasugi</t>
  </si>
  <si>
    <t>JPYAS</t>
  </si>
  <si>
    <t>Yasumiya</t>
  </si>
  <si>
    <t>JPYMA</t>
  </si>
  <si>
    <t>Yasurahama</t>
  </si>
  <si>
    <t>JPYAT</t>
  </si>
  <si>
    <t>Yatsushiro</t>
  </si>
  <si>
    <t>JPYWT</t>
  </si>
  <si>
    <t>Yawata/Kitakyushu</t>
  </si>
  <si>
    <t>JPYWH</t>
  </si>
  <si>
    <t>Yawatahama</t>
  </si>
  <si>
    <t>JPYBK</t>
  </si>
  <si>
    <t>Yobuko</t>
  </si>
  <si>
    <t>JPYIC</t>
  </si>
  <si>
    <t>Yoichi</t>
  </si>
  <si>
    <t>JPYOC</t>
  </si>
  <si>
    <t>Yoichigaura</t>
  </si>
  <si>
    <t>JPYKK</t>
  </si>
  <si>
    <t>Yokkaichi</t>
  </si>
  <si>
    <t>JPYOK</t>
  </si>
  <si>
    <t>Yokohama</t>
  </si>
  <si>
    <t>JPYKS</t>
  </si>
  <si>
    <t>Yokoshima/Kurahashi</t>
  </si>
  <si>
    <t>JPYOS</t>
  </si>
  <si>
    <t>Yokosuka</t>
  </si>
  <si>
    <t>JPYKT</t>
  </si>
  <si>
    <t>Yokota, Hiroshima</t>
  </si>
  <si>
    <t>JPYOG</t>
  </si>
  <si>
    <t>Yonegura</t>
  </si>
  <si>
    <t>JPYNZ</t>
  </si>
  <si>
    <t>Yonouzu</t>
  </si>
  <si>
    <t>JPYOR</t>
  </si>
  <si>
    <t>Yoro</t>
  </si>
  <si>
    <t>JPYSS</t>
  </si>
  <si>
    <t>Yoshiase</t>
  </si>
  <si>
    <t>JPYDA</t>
  </si>
  <si>
    <t>Yoshida, Aichi</t>
  </si>
  <si>
    <t>JPYSD</t>
  </si>
  <si>
    <t>Yoshida, Ehime</t>
  </si>
  <si>
    <t>JPYSM</t>
  </si>
  <si>
    <t>Yoshima</t>
  </si>
  <si>
    <t>JPYSN</t>
  </si>
  <si>
    <t>Yoshinozaki</t>
  </si>
  <si>
    <t>JPYHI</t>
  </si>
  <si>
    <t>Yoshiumi</t>
  </si>
  <si>
    <t>JPYSU</t>
  </si>
  <si>
    <t>Yoshiura</t>
  </si>
  <si>
    <t>JPYSR</t>
  </si>
  <si>
    <t>Yoshiura/Misumi</t>
  </si>
  <si>
    <t>JPYHA</t>
  </si>
  <si>
    <t>Yoshiura/Yunotsu</t>
  </si>
  <si>
    <t>JPYSZ</t>
  </si>
  <si>
    <t>Yoshizu</t>
  </si>
  <si>
    <t>JPYOT</t>
  </si>
  <si>
    <t>Yotsukura</t>
  </si>
  <si>
    <t>JPYOU</t>
  </si>
  <si>
    <t>Youra</t>
  </si>
  <si>
    <t>JPYSH</t>
  </si>
  <si>
    <t>Yuasahiro</t>
  </si>
  <si>
    <t>JPYBT</t>
  </si>
  <si>
    <t>Yubetsu</t>
  </si>
  <si>
    <t>JPYDM</t>
  </si>
  <si>
    <t>Yudomari</t>
  </si>
  <si>
    <t>JPYGE</t>
  </si>
  <si>
    <t>Yuge</t>
  </si>
  <si>
    <t>JPYUK</t>
  </si>
  <si>
    <t>Yuki</t>
  </si>
  <si>
    <t>JPYMC</t>
  </si>
  <si>
    <t>Yumachi</t>
  </si>
  <si>
    <t>JPYMU</t>
  </si>
  <si>
    <t>Yumugi</t>
  </si>
  <si>
    <t>JPYNM</t>
  </si>
  <si>
    <t>Yunomochiki</t>
  </si>
  <si>
    <t>JPYNT</t>
  </si>
  <si>
    <t>Yunotsu</t>
  </si>
  <si>
    <t>JPYRA</t>
  </si>
  <si>
    <t>Yura, Hyogo</t>
  </si>
  <si>
    <t>JPYUR</t>
  </si>
  <si>
    <t>Yura, Wakayama</t>
  </si>
  <si>
    <t>JPYUJ</t>
  </si>
  <si>
    <t>Yura, Yamagata</t>
  </si>
  <si>
    <t>JPYUA</t>
  </si>
  <si>
    <t>Yura, Yamaguchi</t>
  </si>
  <si>
    <t>JPYRG</t>
  </si>
  <si>
    <t>Yurigahama</t>
  </si>
  <si>
    <t>JPYUS</t>
  </si>
  <si>
    <t>Yusu</t>
  </si>
  <si>
    <t>JPYTI</t>
  </si>
  <si>
    <t>Yutai</t>
  </si>
  <si>
    <t>JPYUU</t>
  </si>
  <si>
    <t>Yuu</t>
  </si>
  <si>
    <t>JPYWN</t>
  </si>
  <si>
    <t>Yuwan</t>
  </si>
  <si>
    <t>JPZMM</t>
  </si>
  <si>
    <t>Zamami</t>
  </si>
  <si>
    <t>JPAXZ</t>
  </si>
  <si>
    <t>Zushi</t>
  </si>
  <si>
    <t>KEKIL</t>
  </si>
  <si>
    <t>Kilindini</t>
  </si>
  <si>
    <t>KEKIS</t>
  </si>
  <si>
    <t>Kisumu</t>
  </si>
  <si>
    <t>KELAU</t>
  </si>
  <si>
    <t>Lamu</t>
  </si>
  <si>
    <t>KEMYD</t>
  </si>
  <si>
    <t>Malindi</t>
  </si>
  <si>
    <t>KEMBA</t>
  </si>
  <si>
    <t>Mombasa</t>
  </si>
  <si>
    <t>KESIA</t>
  </si>
  <si>
    <t>Siaya</t>
  </si>
  <si>
    <t>KHCHE</t>
  </si>
  <si>
    <t>Cheko</t>
  </si>
  <si>
    <t>KHKOS</t>
  </si>
  <si>
    <t>KHKKO</t>
  </si>
  <si>
    <t>Kas Kong</t>
  </si>
  <si>
    <t>KHPNH</t>
  </si>
  <si>
    <t>Phnom Penh</t>
  </si>
  <si>
    <t>KIBIR</t>
  </si>
  <si>
    <t>Birnie Island</t>
  </si>
  <si>
    <t>KIEBI</t>
  </si>
  <si>
    <t>Enderbury Island</t>
  </si>
  <si>
    <t>KIFIS</t>
  </si>
  <si>
    <t>Fanning Islands</t>
  </si>
  <si>
    <t>KIHUL</t>
  </si>
  <si>
    <t>Hull Island</t>
  </si>
  <si>
    <t>KIMCK</t>
  </si>
  <si>
    <t>Mckean Island</t>
  </si>
  <si>
    <t>KINIK</t>
  </si>
  <si>
    <t>Nikumaroro</t>
  </si>
  <si>
    <t>KIPHO</t>
  </si>
  <si>
    <t>Phoenix Islands</t>
  </si>
  <si>
    <t>KISYI</t>
  </si>
  <si>
    <t>Sydney Island</t>
  </si>
  <si>
    <t>KITRW</t>
  </si>
  <si>
    <t>Tarawa</t>
  </si>
  <si>
    <t>KIWNI</t>
  </si>
  <si>
    <t>Washington Islands</t>
  </si>
  <si>
    <t>KMAJN</t>
  </si>
  <si>
    <t>Anjouan Apt</t>
  </si>
  <si>
    <t>KMFOU</t>
  </si>
  <si>
    <t>Foumboni, Moheli</t>
  </si>
  <si>
    <t>KMYVA</t>
  </si>
  <si>
    <t>Moroni</t>
  </si>
  <si>
    <t>KMMUT</t>
  </si>
  <si>
    <t>Mutsamudu, Anjouan</t>
  </si>
  <si>
    <t>KNBAS</t>
  </si>
  <si>
    <t>Basseterre, Saint Kitts</t>
  </si>
  <si>
    <t>KNCHA</t>
  </si>
  <si>
    <t>KNNEV</t>
  </si>
  <si>
    <t>Nevis</t>
  </si>
  <si>
    <t>KPCHO</t>
  </si>
  <si>
    <t>Chongjin</t>
  </si>
  <si>
    <t>KPGEN</t>
  </si>
  <si>
    <t>Gensan</t>
  </si>
  <si>
    <t>KPHAE</t>
  </si>
  <si>
    <t>Haeju</t>
  </si>
  <si>
    <t>KPHGM</t>
  </si>
  <si>
    <t>Hungnam</t>
  </si>
  <si>
    <t>KPNAM</t>
  </si>
  <si>
    <t>Nampo</t>
  </si>
  <si>
    <t>KPODA</t>
  </si>
  <si>
    <t>Odaejin</t>
  </si>
  <si>
    <t>KPRIW</t>
  </si>
  <si>
    <t>Riwon</t>
  </si>
  <si>
    <t>KPSAM</t>
  </si>
  <si>
    <t>Samcha do</t>
  </si>
  <si>
    <t>KPSIN</t>
  </si>
  <si>
    <t>Sinpo</t>
  </si>
  <si>
    <t>KPSON</t>
  </si>
  <si>
    <t>Songjin</t>
  </si>
  <si>
    <t>KPWON</t>
  </si>
  <si>
    <t>Wonsan</t>
  </si>
  <si>
    <t>KRAWL</t>
  </si>
  <si>
    <t>Aewol</t>
  </si>
  <si>
    <t>KRANJ</t>
  </si>
  <si>
    <t>Anjeong</t>
  </si>
  <si>
    <t>KRBIN</t>
  </si>
  <si>
    <t>Biin</t>
  </si>
  <si>
    <t>KRBOR</t>
  </si>
  <si>
    <t>Boryeong</t>
  </si>
  <si>
    <t>KRBUK</t>
  </si>
  <si>
    <t>Bupyong/Incheon</t>
  </si>
  <si>
    <t>KRPUS</t>
  </si>
  <si>
    <t>Busan</t>
  </si>
  <si>
    <t>KRBNP</t>
  </si>
  <si>
    <t>Busan New Port</t>
  </si>
  <si>
    <t>KRBJG</t>
  </si>
  <si>
    <t>Busanjin-Gu</t>
  </si>
  <si>
    <t>KRCJA</t>
  </si>
  <si>
    <t>Chuja</t>
  </si>
  <si>
    <t>KRCGY</t>
  </si>
  <si>
    <t>Chungyang</t>
  </si>
  <si>
    <t>KRDBL</t>
  </si>
  <si>
    <t>Daebul/Yeongam-gun</t>
  </si>
  <si>
    <t>KRDCN</t>
  </si>
  <si>
    <t>Daecheon</t>
  </si>
  <si>
    <t>KRDHS</t>
  </si>
  <si>
    <t>Daeheuksando</t>
  </si>
  <si>
    <t>KRTSN</t>
  </si>
  <si>
    <t>Daesan/Seosan</t>
  </si>
  <si>
    <t>KRTJI</t>
  </si>
  <si>
    <t>Dangjin</t>
  </si>
  <si>
    <t>KRDDO</t>
  </si>
  <si>
    <t>Dokdo</t>
  </si>
  <si>
    <t>KRTGH</t>
  </si>
  <si>
    <t>Donghae</t>
  </si>
  <si>
    <t>KRGGH</t>
  </si>
  <si>
    <t>Gageohyangri</t>
  </si>
  <si>
    <t>KRGDO</t>
  </si>
  <si>
    <t>Galdoo</t>
  </si>
  <si>
    <t>KRKCN</t>
  </si>
  <si>
    <t>Gamcheon/Busan</t>
  </si>
  <si>
    <t>KRGGU</t>
  </si>
  <si>
    <t>Ganggu</t>
  </si>
  <si>
    <t>KRKJE</t>
  </si>
  <si>
    <t>Geoje</t>
  </si>
  <si>
    <t>KRGMD</t>
  </si>
  <si>
    <t>Geomundo</t>
  </si>
  <si>
    <t>KRKHN</t>
  </si>
  <si>
    <t>Gohyeon/Geoje</t>
  </si>
  <si>
    <t>KRKUV</t>
  </si>
  <si>
    <t>Gunsan</t>
  </si>
  <si>
    <t>KRGRP</t>
  </si>
  <si>
    <t>Guryongpo</t>
  </si>
  <si>
    <t>KRKAN</t>
  </si>
  <si>
    <t>Gwangyang</t>
  </si>
  <si>
    <t>KRGIN</t>
  </si>
  <si>
    <t>Gyeongin</t>
  </si>
  <si>
    <t>KRHLM</t>
  </si>
  <si>
    <t>Hallim</t>
  </si>
  <si>
    <t>KRHAR</t>
  </si>
  <si>
    <t>Haryana</t>
  </si>
  <si>
    <t>KRHDO</t>
  </si>
  <si>
    <t>Hongdo</t>
  </si>
  <si>
    <t>KRHAS</t>
  </si>
  <si>
    <t>Hosan</t>
  </si>
  <si>
    <t>KRHPO</t>
  </si>
  <si>
    <t>Hupo</t>
  </si>
  <si>
    <t>KRHHP</t>
  </si>
  <si>
    <t>Hwahungpo</t>
  </si>
  <si>
    <t>KRHSN</t>
  </si>
  <si>
    <t>Hwasun</t>
  </si>
  <si>
    <t>KRINC</t>
  </si>
  <si>
    <t>Incheon</t>
  </si>
  <si>
    <t>KRCHG</t>
  </si>
  <si>
    <t>Janghang/Seocheon-gun</t>
  </si>
  <si>
    <t>KRCHA</t>
  </si>
  <si>
    <t>Jeju</t>
  </si>
  <si>
    <t>KRCHF</t>
  </si>
  <si>
    <t>Jinhae</t>
  </si>
  <si>
    <t>KRJMJ</t>
  </si>
  <si>
    <t>Jumunjin</t>
  </si>
  <si>
    <t>KRJHA</t>
  </si>
  <si>
    <t>Junghwa</t>
  </si>
  <si>
    <t>KRKDO</t>
  </si>
  <si>
    <t>Kukdo</t>
  </si>
  <si>
    <t>KRKWA</t>
  </si>
  <si>
    <t>Kwangyang</t>
  </si>
  <si>
    <t>KRMAS</t>
  </si>
  <si>
    <t>Masan</t>
  </si>
  <si>
    <t>KRMIP</t>
  </si>
  <si>
    <t>Mipo/Ulsan</t>
  </si>
  <si>
    <t>KRMOK</t>
  </si>
  <si>
    <t>Mokpo</t>
  </si>
  <si>
    <t>KRMUK</t>
  </si>
  <si>
    <t>Mukho/Donghae</t>
  </si>
  <si>
    <t>KRNRD</t>
  </si>
  <si>
    <t>Narodo</t>
  </si>
  <si>
    <t>KRNDS</t>
  </si>
  <si>
    <t>Nokdongsin</t>
  </si>
  <si>
    <t>KROKK</t>
  </si>
  <si>
    <t>Okgye/Gangneung</t>
  </si>
  <si>
    <t>KROKP</t>
  </si>
  <si>
    <t>Okpo/Geoje</t>
  </si>
  <si>
    <t>KRONS</t>
  </si>
  <si>
    <t>Onsan/Ulsan</t>
  </si>
  <si>
    <t>KRKPO</t>
  </si>
  <si>
    <t>Pohang</t>
  </si>
  <si>
    <t>KRPTK</t>
  </si>
  <si>
    <t>Pyeongtaek</t>
  </si>
  <si>
    <t>KRSUK</t>
  </si>
  <si>
    <t>Samcheok</t>
  </si>
  <si>
    <t>KRSCP</t>
  </si>
  <si>
    <t>Samcheonpo/Sacheon</t>
  </si>
  <si>
    <t>KRSWD</t>
  </si>
  <si>
    <t>Sangwangdeungdo</t>
  </si>
  <si>
    <t>KRSPO</t>
  </si>
  <si>
    <t>Seogwipo</t>
  </si>
  <si>
    <t>KRSSP</t>
  </si>
  <si>
    <t>Seongsan-po</t>
  </si>
  <si>
    <t>KRSEL</t>
  </si>
  <si>
    <t>Seoul</t>
  </si>
  <si>
    <t>KRSMA</t>
  </si>
  <si>
    <t>Shinma</t>
  </si>
  <si>
    <t>KRSHG</t>
  </si>
  <si>
    <t>Sinhang/Pohang</t>
  </si>
  <si>
    <t>KRSHO</t>
  </si>
  <si>
    <t>Sokcho</t>
  </si>
  <si>
    <t>KRSGG</t>
  </si>
  <si>
    <t>Songgong</t>
  </si>
  <si>
    <t>KRSBU</t>
  </si>
  <si>
    <t>South Busan</t>
  </si>
  <si>
    <t>KRSUO</t>
  </si>
  <si>
    <t>Suwon</t>
  </si>
  <si>
    <t>KRTAN</t>
  </si>
  <si>
    <t>Taean-gun</t>
  </si>
  <si>
    <t>KRTGA</t>
  </si>
  <si>
    <t>Tonghae</t>
  </si>
  <si>
    <t>KRTYG</t>
  </si>
  <si>
    <t>Tongyeong</t>
  </si>
  <si>
    <t>KRULL</t>
  </si>
  <si>
    <t>Ulleung</t>
  </si>
  <si>
    <t>KRUSN</t>
  </si>
  <si>
    <t>Ulsan</t>
  </si>
  <si>
    <t>KRWND</t>
  </si>
  <si>
    <t>Wando-gun</t>
  </si>
  <si>
    <t>KRYPD</t>
  </si>
  <si>
    <t>Yeonpyeongdo</t>
  </si>
  <si>
    <t>KRYOS</t>
  </si>
  <si>
    <t>Yeosu</t>
  </si>
  <si>
    <t>KRYOC</t>
  </si>
  <si>
    <t>Yochon</t>
  </si>
  <si>
    <t>KRYGP</t>
  </si>
  <si>
    <t>Yonggipo</t>
  </si>
  <si>
    <t>KWSAL</t>
  </si>
  <si>
    <t>As Salimiyah</t>
  </si>
  <si>
    <t>KWKHT</t>
  </si>
  <si>
    <t>As Sulaybikhat</t>
  </si>
  <si>
    <t>KWJBD</t>
  </si>
  <si>
    <t>Jebel Dhana</t>
  </si>
  <si>
    <t>KWKWM</t>
  </si>
  <si>
    <t>Khor al Mufatta</t>
  </si>
  <si>
    <t>KWKWI</t>
  </si>
  <si>
    <t>Kuwait</t>
  </si>
  <si>
    <t>KWMIB</t>
  </si>
  <si>
    <t>Mina' 'Abd Allah</t>
  </si>
  <si>
    <t>KWMEA</t>
  </si>
  <si>
    <t>Mina' al Ahmadi</t>
  </si>
  <si>
    <t>KWMIS</t>
  </si>
  <si>
    <t>Mina Saud</t>
  </si>
  <si>
    <t>KWSAA</t>
  </si>
  <si>
    <t>Shuaiba</t>
  </si>
  <si>
    <t>KWSWK</t>
  </si>
  <si>
    <t>Shuwaikh</t>
  </si>
  <si>
    <t>KYGEC</t>
  </si>
  <si>
    <t>Georgetown, Grand Cayman</t>
  </si>
  <si>
    <t>KZAAU</t>
  </si>
  <si>
    <t>Aktau</t>
  </si>
  <si>
    <t>KZBTN</t>
  </si>
  <si>
    <t>Bautino</t>
  </si>
  <si>
    <t>KZTAU</t>
  </si>
  <si>
    <t>Temirtau</t>
  </si>
  <si>
    <t>LBACT</t>
  </si>
  <si>
    <t>Amchit</t>
  </si>
  <si>
    <t>LBBEY</t>
  </si>
  <si>
    <t>Beirut</t>
  </si>
  <si>
    <t>LBLN8</t>
  </si>
  <si>
    <t>Bekaa</t>
  </si>
  <si>
    <t>LBBRU</t>
  </si>
  <si>
    <t>Brummana</t>
  </si>
  <si>
    <t>LBBYL</t>
  </si>
  <si>
    <t>Byblos</t>
  </si>
  <si>
    <t>LBCHK</t>
  </si>
  <si>
    <t>Chekka</t>
  </si>
  <si>
    <t>LBDRA</t>
  </si>
  <si>
    <t>Dora</t>
  </si>
  <si>
    <t>LBJIE</t>
  </si>
  <si>
    <t>Jieh</t>
  </si>
  <si>
    <t>LBKHA</t>
  </si>
  <si>
    <t>Khalde</t>
  </si>
  <si>
    <t>LBOUZ</t>
  </si>
  <si>
    <t>Ouzai</t>
  </si>
  <si>
    <t>LBSAY</t>
  </si>
  <si>
    <t>LBSEL</t>
  </si>
  <si>
    <t>Selaata</t>
  </si>
  <si>
    <t>LBSUR</t>
  </si>
  <si>
    <t>Sur (Tyre)</t>
  </si>
  <si>
    <t>LBKYE</t>
  </si>
  <si>
    <t>Tripoli</t>
  </si>
  <si>
    <t>LBZHR</t>
  </si>
  <si>
    <t>Zahrani Terminal</t>
  </si>
  <si>
    <t>LBZUK</t>
  </si>
  <si>
    <t>Zouk</t>
  </si>
  <si>
    <t>LCCAS</t>
  </si>
  <si>
    <t>Castries</t>
  </si>
  <si>
    <t>LCCDS</t>
  </si>
  <si>
    <t>Cul de Sac</t>
  </si>
  <si>
    <t>LCVIF</t>
  </si>
  <si>
    <t>Vieux Fort</t>
  </si>
  <si>
    <t>LKBTC</t>
  </si>
  <si>
    <t>Batticoloa</t>
  </si>
  <si>
    <t>LKBRW</t>
  </si>
  <si>
    <t>Beruwala</t>
  </si>
  <si>
    <t>LKCMB</t>
  </si>
  <si>
    <t>Colombo</t>
  </si>
  <si>
    <t>LKGAL</t>
  </si>
  <si>
    <t>Galle</t>
  </si>
  <si>
    <t>LKHBA</t>
  </si>
  <si>
    <t>Hambantota</t>
  </si>
  <si>
    <t>LKJAF</t>
  </si>
  <si>
    <t>Jaffna</t>
  </si>
  <si>
    <t>LKJCT</t>
  </si>
  <si>
    <t>Jaya Container Terminal</t>
  </si>
  <si>
    <t>LKKAL</t>
  </si>
  <si>
    <t>Kalpitiya</t>
  </si>
  <si>
    <t>LKKNK</t>
  </si>
  <si>
    <t>Kankesanturai</t>
  </si>
  <si>
    <t>LKKAY</t>
  </si>
  <si>
    <t>Kayts</t>
  </si>
  <si>
    <t>LKKCT</t>
  </si>
  <si>
    <t>Koggala</t>
  </si>
  <si>
    <t>LKKON</t>
  </si>
  <si>
    <t>Kondavattavan</t>
  </si>
  <si>
    <t>LKMAN</t>
  </si>
  <si>
    <t>Mannar</t>
  </si>
  <si>
    <t>LKMAW</t>
  </si>
  <si>
    <t>Mawella</t>
  </si>
  <si>
    <t>LKMUL</t>
  </si>
  <si>
    <t>Mulativu</t>
  </si>
  <si>
    <t>LKOLU</t>
  </si>
  <si>
    <t>Oluvil</t>
  </si>
  <si>
    <t>LKPPE</t>
  </si>
  <si>
    <t>Point Pedro</t>
  </si>
  <si>
    <t>LKSGT</t>
  </si>
  <si>
    <t>South Asia Gateway Terminal</t>
  </si>
  <si>
    <t>LKTAL</t>
  </si>
  <si>
    <t>Talaimannar</t>
  </si>
  <si>
    <t>LKTRR</t>
  </si>
  <si>
    <t>Trincomalee</t>
  </si>
  <si>
    <t>LKUCT</t>
  </si>
  <si>
    <t>Unity Container Terminal</t>
  </si>
  <si>
    <t>LRUCN</t>
  </si>
  <si>
    <t>Buchanan</t>
  </si>
  <si>
    <t>LRCMT</t>
  </si>
  <si>
    <t>Cape Mount</t>
  </si>
  <si>
    <t>LRCPA</t>
  </si>
  <si>
    <t>Cape Palmas</t>
  </si>
  <si>
    <t>LRFIM</t>
  </si>
  <si>
    <t>Fimibo</t>
  </si>
  <si>
    <t>LRGBS</t>
  </si>
  <si>
    <t>Grand Bassa</t>
  </si>
  <si>
    <t>LRGRE</t>
  </si>
  <si>
    <t>Greenville</t>
  </si>
  <si>
    <t>LRHAR</t>
  </si>
  <si>
    <t>Harper</t>
  </si>
  <si>
    <t>LRLOB</t>
  </si>
  <si>
    <t>Lower Buchanan</t>
  </si>
  <si>
    <t>LRMAR</t>
  </si>
  <si>
    <t>Marshall</t>
  </si>
  <si>
    <t>LRMLW</t>
  </si>
  <si>
    <t>Monrovia</t>
  </si>
  <si>
    <t>LRRVC</t>
  </si>
  <si>
    <t>River Cess</t>
  </si>
  <si>
    <t>LRROX</t>
  </si>
  <si>
    <t>Robertsport</t>
  </si>
  <si>
    <t>LRSAB</t>
  </si>
  <si>
    <t>Sarioe Bay</t>
  </si>
  <si>
    <t>LRSAZ</t>
  </si>
  <si>
    <t>Sasstown</t>
  </si>
  <si>
    <t>LRSNI</t>
  </si>
  <si>
    <t>Sinoe</t>
  </si>
  <si>
    <t>LRTRT</t>
  </si>
  <si>
    <t>Trade Town</t>
  </si>
  <si>
    <t>LTBOT</t>
  </si>
  <si>
    <t>LTKLJ</t>
  </si>
  <si>
    <t>Klaipeda</t>
  </si>
  <si>
    <t>LTMLM</t>
  </si>
  <si>
    <t>Malku ilankos juru uosto PVP/Klaipeda</t>
  </si>
  <si>
    <t>LTMOM</t>
  </si>
  <si>
    <t>Molo juru uosto PVP/Klaipeda</t>
  </si>
  <si>
    <t>LTPLM</t>
  </si>
  <si>
    <t>Pilies juru uosto PVP/Klaipeda</t>
  </si>
  <si>
    <t>LUBKM</t>
  </si>
  <si>
    <t>Bech-Kleinmacher</t>
  </si>
  <si>
    <t>LUEZT</t>
  </si>
  <si>
    <t>Esch-sur-Alzette</t>
  </si>
  <si>
    <t>LUZXC</t>
  </si>
  <si>
    <t>Grundhof</t>
  </si>
  <si>
    <t>LUHDK</t>
  </si>
  <si>
    <t>Huldange</t>
  </si>
  <si>
    <t>LULUX</t>
  </si>
  <si>
    <t>Luxembourg</t>
  </si>
  <si>
    <t>LUMRT</t>
  </si>
  <si>
    <t>Mertert</t>
  </si>
  <si>
    <t>LUXXX</t>
  </si>
  <si>
    <t>LUROD</t>
  </si>
  <si>
    <t>Rodange</t>
  </si>
  <si>
    <t>LUWLG</t>
  </si>
  <si>
    <t>Wormeldange</t>
  </si>
  <si>
    <t>LVAIN</t>
  </si>
  <si>
    <t>Ainazi</t>
  </si>
  <si>
    <t>LVAIZ</t>
  </si>
  <si>
    <t>Aizkraukle</t>
  </si>
  <si>
    <t>LVB9G</t>
  </si>
  <si>
    <t>Baldone</t>
  </si>
  <si>
    <t>LVBMT</t>
  </si>
  <si>
    <t>Baltmarine Terminal, Riga</t>
  </si>
  <si>
    <t>LVEGE</t>
  </si>
  <si>
    <t>Engure</t>
  </si>
  <si>
    <t>LVJPS</t>
  </si>
  <si>
    <t>Jekabpils</t>
  </si>
  <si>
    <t>LVUTY</t>
  </si>
  <si>
    <t>Karsava</t>
  </si>
  <si>
    <t>LVLMS</t>
  </si>
  <si>
    <t>Lapmezciems</t>
  </si>
  <si>
    <t>LVLPX</t>
  </si>
  <si>
    <t>Liepaja</t>
  </si>
  <si>
    <t>LVBNH</t>
  </si>
  <si>
    <t>Ludza</t>
  </si>
  <si>
    <t>LVZVT</t>
  </si>
  <si>
    <t>Marupe</t>
  </si>
  <si>
    <t>LVMRX</t>
  </si>
  <si>
    <t>Mersrags</t>
  </si>
  <si>
    <t>LVORE</t>
  </si>
  <si>
    <t>Ogre</t>
  </si>
  <si>
    <t>LVRIX</t>
  </si>
  <si>
    <t>Riga</t>
  </si>
  <si>
    <t>LVROJ</t>
  </si>
  <si>
    <t>Roja</t>
  </si>
  <si>
    <t>LVROP</t>
  </si>
  <si>
    <t>Ropazi</t>
  </si>
  <si>
    <t>LVRUM</t>
  </si>
  <si>
    <t>Rumbula</t>
  </si>
  <si>
    <t>LVSAL</t>
  </si>
  <si>
    <t>Salacgriva</t>
  </si>
  <si>
    <t>LVSKU</t>
  </si>
  <si>
    <t>Skulte</t>
  </si>
  <si>
    <t>LVSTO</t>
  </si>
  <si>
    <t>Stopini</t>
  </si>
  <si>
    <t>LVXRT</t>
  </si>
  <si>
    <t>Tiraine</t>
  </si>
  <si>
    <t>LVLM8</t>
  </si>
  <si>
    <t>Ungurpils</t>
  </si>
  <si>
    <t>LVVNT</t>
  </si>
  <si>
    <t>Ventspils</t>
  </si>
  <si>
    <t>LYABK</t>
  </si>
  <si>
    <t>Abu Kammash</t>
  </si>
  <si>
    <t>LYABA</t>
  </si>
  <si>
    <t>Al Bayda</t>
  </si>
  <si>
    <t>LYKHO</t>
  </si>
  <si>
    <t>Al Khums</t>
  </si>
  <si>
    <t>LYAPO</t>
  </si>
  <si>
    <t>Apollonia</t>
  </si>
  <si>
    <t>LYESI</t>
  </si>
  <si>
    <t>As Sidr</t>
  </si>
  <si>
    <t>LYZAW</t>
  </si>
  <si>
    <t>Az Zawiyah</t>
  </si>
  <si>
    <t>LYBAR</t>
  </si>
  <si>
    <t>Bardiyah</t>
  </si>
  <si>
    <t>LYBEN</t>
  </si>
  <si>
    <t>Bingazi (Benghazi)</t>
  </si>
  <si>
    <t>LYBUA</t>
  </si>
  <si>
    <t>Bu'ayrat al Hasun</t>
  </si>
  <si>
    <t>LYDRX</t>
  </si>
  <si>
    <t>Darnah</t>
  </si>
  <si>
    <t>LYBOU</t>
  </si>
  <si>
    <t>El Bouri</t>
  </si>
  <si>
    <t>LYELK</t>
  </si>
  <si>
    <t>El Choms</t>
  </si>
  <si>
    <t>LYLMQ</t>
  </si>
  <si>
    <t>Marsa Brega</t>
  </si>
  <si>
    <t>LYMEH</t>
  </si>
  <si>
    <t>Marsa El Hania</t>
  </si>
  <si>
    <t>LYMHR</t>
  </si>
  <si>
    <t>Marsa el Hariga</t>
  </si>
  <si>
    <t>LYMTH</t>
  </si>
  <si>
    <t>Melittah</t>
  </si>
  <si>
    <t>LYMEL</t>
  </si>
  <si>
    <t>Mellitah (Qasr Ahmed)</t>
  </si>
  <si>
    <t>LYMRA</t>
  </si>
  <si>
    <t>Misurata</t>
  </si>
  <si>
    <t>LYRLA</t>
  </si>
  <si>
    <t>Ras Lanuf</t>
  </si>
  <si>
    <t>LYSRT</t>
  </si>
  <si>
    <t>Sirte (Surt)</t>
  </si>
  <si>
    <t>LYSOU</t>
  </si>
  <si>
    <t>Soussah</t>
  </si>
  <si>
    <t>LYTAG</t>
  </si>
  <si>
    <t>Tagiura</t>
  </si>
  <si>
    <t>LYTOB</t>
  </si>
  <si>
    <t>Tobruk</t>
  </si>
  <si>
    <t>LYTOA</t>
  </si>
  <si>
    <t>Toulmeitha</t>
  </si>
  <si>
    <t>LYTIP</t>
  </si>
  <si>
    <t>LYTUK</t>
  </si>
  <si>
    <t>Tukrah</t>
  </si>
  <si>
    <t>LYZLI</t>
  </si>
  <si>
    <t>Zliten</t>
  </si>
  <si>
    <t>LYZUA</t>
  </si>
  <si>
    <t>Zuara</t>
  </si>
  <si>
    <t>MAAGA</t>
  </si>
  <si>
    <t>Agadir</t>
  </si>
  <si>
    <t>MASMD</t>
  </si>
  <si>
    <t>MAAHU</t>
  </si>
  <si>
    <t>MAANZ</t>
  </si>
  <si>
    <t>Anza</t>
  </si>
  <si>
    <t>MAD2V</t>
  </si>
  <si>
    <t>Ar Rommani</t>
  </si>
  <si>
    <t>MAASI</t>
  </si>
  <si>
    <t>Asilah</t>
  </si>
  <si>
    <t>MAAZE</t>
  </si>
  <si>
    <t>Azemmour</t>
  </si>
  <si>
    <t>MABJD</t>
  </si>
  <si>
    <t>Bir-Jdid</t>
  </si>
  <si>
    <t>MACAS</t>
  </si>
  <si>
    <t>Casablanca</t>
  </si>
  <si>
    <t>MAVIL</t>
  </si>
  <si>
    <t>Dakhla</t>
  </si>
  <si>
    <t>MAELJ</t>
  </si>
  <si>
    <t>El Jadida</t>
  </si>
  <si>
    <t>MAESS</t>
  </si>
  <si>
    <t>Essaouira</t>
  </si>
  <si>
    <t>MAJFL</t>
  </si>
  <si>
    <t>Jorf Lasfar</t>
  </si>
  <si>
    <t>MANNA</t>
  </si>
  <si>
    <t>Kenitra (ex Port Lyautey)</t>
  </si>
  <si>
    <t>MAEUN</t>
  </si>
  <si>
    <t>Laayoune (El Aaiun)</t>
  </si>
  <si>
    <t>MALAR</t>
  </si>
  <si>
    <t>Larache</t>
  </si>
  <si>
    <t>MAMOH</t>
  </si>
  <si>
    <t>Mohammedia</t>
  </si>
  <si>
    <t>MANDR</t>
  </si>
  <si>
    <t>Nador</t>
  </si>
  <si>
    <t>MARBA</t>
  </si>
  <si>
    <t>Rabat</t>
  </si>
  <si>
    <t>MARNA</t>
  </si>
  <si>
    <t>Roches Noires</t>
  </si>
  <si>
    <t>MASFI</t>
  </si>
  <si>
    <t>Safi</t>
  </si>
  <si>
    <t>MASAL</t>
  </si>
  <si>
    <t>MASII</t>
  </si>
  <si>
    <t>Sidi Ifni</t>
  </si>
  <si>
    <t>MA6KN</t>
  </si>
  <si>
    <t>Souq Larb'A Al Gharb</t>
  </si>
  <si>
    <t>MAPTM</t>
  </si>
  <si>
    <t>Tanger Med</t>
  </si>
  <si>
    <t>MATNG</t>
  </si>
  <si>
    <t>Tangier</t>
  </si>
  <si>
    <t>MATEM</t>
  </si>
  <si>
    <t>Temara</t>
  </si>
  <si>
    <t>MATTU</t>
  </si>
  <si>
    <t>MCMON</t>
  </si>
  <si>
    <t>Monaco</t>
  </si>
  <si>
    <t>MCMCM</t>
  </si>
  <si>
    <t>Monte-Carlo</t>
  </si>
  <si>
    <t>MDGIU</t>
  </si>
  <si>
    <t>Giurgiulesti</t>
  </si>
  <si>
    <t>MDXXX</t>
  </si>
  <si>
    <t>MEBAR</t>
  </si>
  <si>
    <t>MEBIJ</t>
  </si>
  <si>
    <t>Bijela</t>
  </si>
  <si>
    <t>MEBUD</t>
  </si>
  <si>
    <t>Budva</t>
  </si>
  <si>
    <t>MEHNO</t>
  </si>
  <si>
    <t>Hercegnovi</t>
  </si>
  <si>
    <t>MEIGL</t>
  </si>
  <si>
    <t>Igalo</t>
  </si>
  <si>
    <t>MEKOT</t>
  </si>
  <si>
    <t>Kotor</t>
  </si>
  <si>
    <t>MEPVC</t>
  </si>
  <si>
    <t>Petrovac</t>
  </si>
  <si>
    <t>MERSN</t>
  </si>
  <si>
    <t>Risan (Risano)</t>
  </si>
  <si>
    <t>METIV</t>
  </si>
  <si>
    <t>Tivat</t>
  </si>
  <si>
    <t>MEULC</t>
  </si>
  <si>
    <t>Ulcinj</t>
  </si>
  <si>
    <t>MEZEL</t>
  </si>
  <si>
    <t>Zelenika</t>
  </si>
  <si>
    <t>MFGES</t>
  </si>
  <si>
    <t>Galisbay</t>
  </si>
  <si>
    <t>MFMAR</t>
  </si>
  <si>
    <t>Marigot</t>
  </si>
  <si>
    <t>MGADK</t>
  </si>
  <si>
    <t>Androka</t>
  </si>
  <si>
    <t>MGANM</t>
  </si>
  <si>
    <t>Antalaha</t>
  </si>
  <si>
    <t>MGDIE</t>
  </si>
  <si>
    <t>Antsiranana</t>
  </si>
  <si>
    <t>MGBRR</t>
  </si>
  <si>
    <t>Barren Islands</t>
  </si>
  <si>
    <t>MGBMD</t>
  </si>
  <si>
    <t>Belo</t>
  </si>
  <si>
    <t>MGBPY</t>
  </si>
  <si>
    <t>Besalampy</t>
  </si>
  <si>
    <t>MGBIK</t>
  </si>
  <si>
    <t>Brickaville</t>
  </si>
  <si>
    <t>MGEHL</t>
  </si>
  <si>
    <t>Ehoala</t>
  </si>
  <si>
    <t>MGRVA</t>
  </si>
  <si>
    <t>Farafangana</t>
  </si>
  <si>
    <t>MGFTU</t>
  </si>
  <si>
    <t>Fort Dauphin (Toalagnaro)</t>
  </si>
  <si>
    <t>MGHLV</t>
  </si>
  <si>
    <t>Hell-Ville</t>
  </si>
  <si>
    <t>MGVVB</t>
  </si>
  <si>
    <t>Mahanoro</t>
  </si>
  <si>
    <t>MGMXT</t>
  </si>
  <si>
    <t>Maintirano</t>
  </si>
  <si>
    <t>MGMJN</t>
  </si>
  <si>
    <t>Majunga (Mahajanga)</t>
  </si>
  <si>
    <t>MGWVK</t>
  </si>
  <si>
    <t>Manakara</t>
  </si>
  <si>
    <t>MGWMR</t>
  </si>
  <si>
    <t>Mananara</t>
  </si>
  <si>
    <t>MGMNJ</t>
  </si>
  <si>
    <t>Mananjary</t>
  </si>
  <si>
    <t>MGMOB</t>
  </si>
  <si>
    <t>Manombo</t>
  </si>
  <si>
    <t>MGWMN</t>
  </si>
  <si>
    <t>Maroantsetra</t>
  </si>
  <si>
    <t>MGMXM</t>
  </si>
  <si>
    <t>Morombe</t>
  </si>
  <si>
    <t>MGMOQ</t>
  </si>
  <si>
    <t>Morondava</t>
  </si>
  <si>
    <t>MGNOS</t>
  </si>
  <si>
    <t>Nosy-Be</t>
  </si>
  <si>
    <t>MGNOV</t>
  </si>
  <si>
    <t>Nosy-Varika</t>
  </si>
  <si>
    <t>MGPSL</t>
  </si>
  <si>
    <t>Port Saint Louis</t>
  </si>
  <si>
    <t>MGSVB</t>
  </si>
  <si>
    <t>Sambava</t>
  </si>
  <si>
    <t>MGDWB</t>
  </si>
  <si>
    <t>Soalala</t>
  </si>
  <si>
    <t>MGTMM</t>
  </si>
  <si>
    <t>Tamatave (Toamasina)</t>
  </si>
  <si>
    <t>MGTOA</t>
  </si>
  <si>
    <t>Toamasina</t>
  </si>
  <si>
    <t>MGTLE</t>
  </si>
  <si>
    <t>Tulear (Toliara)</t>
  </si>
  <si>
    <t>MGVAT</t>
  </si>
  <si>
    <t>Vatomandry</t>
  </si>
  <si>
    <t>MGVEH</t>
  </si>
  <si>
    <t>Vehiperro</t>
  </si>
  <si>
    <t>MHMAJ</t>
  </si>
  <si>
    <t>Majuro</t>
  </si>
  <si>
    <t>MHTAR</t>
  </si>
  <si>
    <t>Taroa</t>
  </si>
  <si>
    <t>MKDKJ</t>
  </si>
  <si>
    <t>Demir Kapija</t>
  </si>
  <si>
    <t>MKNOD</t>
  </si>
  <si>
    <t>Novi Dojran</t>
  </si>
  <si>
    <t>MKRAD</t>
  </si>
  <si>
    <t>Radovis</t>
  </si>
  <si>
    <t>MKSNI</t>
  </si>
  <si>
    <t>Sveti Nikole</t>
  </si>
  <si>
    <t>MMAKY</t>
  </si>
  <si>
    <t>Akyab (Sittwe)</t>
  </si>
  <si>
    <t>MMBSX</t>
  </si>
  <si>
    <t>Bassein</t>
  </si>
  <si>
    <t>MMBIL</t>
  </si>
  <si>
    <t>Bilin</t>
  </si>
  <si>
    <t>MMBOG</t>
  </si>
  <si>
    <t>Bogale</t>
  </si>
  <si>
    <t>MMHEB</t>
  </si>
  <si>
    <t>Henzada</t>
  </si>
  <si>
    <t>MMINS</t>
  </si>
  <si>
    <t>Insein</t>
  </si>
  <si>
    <t>MMKYA</t>
  </si>
  <si>
    <t>Kyaiklat</t>
  </si>
  <si>
    <t>MMKYP</t>
  </si>
  <si>
    <t>Kyaukpyu</t>
  </si>
  <si>
    <t>MMMXE</t>
  </si>
  <si>
    <t>Male</t>
  </si>
  <si>
    <t>MMMAR</t>
  </si>
  <si>
    <t>Martaban</t>
  </si>
  <si>
    <t>MMMNU</t>
  </si>
  <si>
    <t>Mawlamyine (Moulmein)</t>
  </si>
  <si>
    <t>MMMER</t>
  </si>
  <si>
    <t>Mergui</t>
  </si>
  <si>
    <t>MMMUR</t>
  </si>
  <si>
    <t>Murdon</t>
  </si>
  <si>
    <t>MMPEG</t>
  </si>
  <si>
    <t>Pegu</t>
  </si>
  <si>
    <t>MMTAS</t>
  </si>
  <si>
    <t>Tah Sala</t>
  </si>
  <si>
    <t>MMTEN</t>
  </si>
  <si>
    <t>Tanintharyi</t>
  </si>
  <si>
    <t>MMTAV</t>
  </si>
  <si>
    <t>Tavoy</t>
  </si>
  <si>
    <t>MMTER</t>
  </si>
  <si>
    <t>Terutao Island</t>
  </si>
  <si>
    <t>MMSNW</t>
  </si>
  <si>
    <t>Thandwe (ex Sandoway)</t>
  </si>
  <si>
    <t>MMTHA</t>
  </si>
  <si>
    <t>Thaton</t>
  </si>
  <si>
    <t>MMVIC</t>
  </si>
  <si>
    <t>Victoria Point</t>
  </si>
  <si>
    <t>MMRGN</t>
  </si>
  <si>
    <t>Yangon</t>
  </si>
  <si>
    <t>MMXYE</t>
  </si>
  <si>
    <t>Ye</t>
  </si>
  <si>
    <t>MOMFM</t>
  </si>
  <si>
    <t>MPSPN</t>
  </si>
  <si>
    <t>Saipan</t>
  </si>
  <si>
    <t>MQFDF</t>
  </si>
  <si>
    <t>Fort-de-France</t>
  </si>
  <si>
    <t>MQLER</t>
  </si>
  <si>
    <t>Le Robert</t>
  </si>
  <si>
    <t>MQSPI</t>
  </si>
  <si>
    <t>Saint Pierre</t>
  </si>
  <si>
    <t>MRNDB</t>
  </si>
  <si>
    <t>Nouadhibou</t>
  </si>
  <si>
    <t>MRNKC</t>
  </si>
  <si>
    <t>Nouakchott</t>
  </si>
  <si>
    <t>MRPCE</t>
  </si>
  <si>
    <t>Point Central</t>
  </si>
  <si>
    <t>MRROS</t>
  </si>
  <si>
    <t>Rosso</t>
  </si>
  <si>
    <t>MSLTB</t>
  </si>
  <si>
    <t>Little Bay</t>
  </si>
  <si>
    <t>MSPLY</t>
  </si>
  <si>
    <t>MTBAL</t>
  </si>
  <si>
    <t>Balzan</t>
  </si>
  <si>
    <t>MTBZE</t>
  </si>
  <si>
    <t>Birzebbugia</t>
  </si>
  <si>
    <t>MTBLA</t>
  </si>
  <si>
    <t>Blata l'Bajda</t>
  </si>
  <si>
    <t>MTCKW</t>
  </si>
  <si>
    <t>Cirkewwa</t>
  </si>
  <si>
    <t>MTDMP</t>
  </si>
  <si>
    <t>Delimara</t>
  </si>
  <si>
    <t>MTFLO</t>
  </si>
  <si>
    <t>Floriana</t>
  </si>
  <si>
    <t>MTGHA</t>
  </si>
  <si>
    <t>Ghargur</t>
  </si>
  <si>
    <t>MTGZI</t>
  </si>
  <si>
    <t>Gzira</t>
  </si>
  <si>
    <t>MTKIR</t>
  </si>
  <si>
    <t>Kirkop</t>
  </si>
  <si>
    <t>MTDIS</t>
  </si>
  <si>
    <t>Malta Freeport Distripark</t>
  </si>
  <si>
    <t>MTMSA</t>
  </si>
  <si>
    <t>Marsa</t>
  </si>
  <si>
    <t>MTMSX</t>
  </si>
  <si>
    <t>Marsamxett</t>
  </si>
  <si>
    <t>MTMSS</t>
  </si>
  <si>
    <t>Marsaskala</t>
  </si>
  <si>
    <t>MTMAR</t>
  </si>
  <si>
    <t>Marsaxlokk</t>
  </si>
  <si>
    <t>MTMGZ</t>
  </si>
  <si>
    <t>Mgarr, Gozo</t>
  </si>
  <si>
    <t>MTSPB</t>
  </si>
  <si>
    <t>Saint Paul's Bay (San Pawl il-Bahar)</t>
  </si>
  <si>
    <t>MTSLM</t>
  </si>
  <si>
    <t>Sliema</t>
  </si>
  <si>
    <t>MTTAR</t>
  </si>
  <si>
    <t>Tarxien</t>
  </si>
  <si>
    <t>MTMLA</t>
  </si>
  <si>
    <t>Valletta</t>
  </si>
  <si>
    <t>MUBAM</t>
  </si>
  <si>
    <t>Bambous</t>
  </si>
  <si>
    <t>MUCUR</t>
  </si>
  <si>
    <t>Curepipe</t>
  </si>
  <si>
    <t>MUPLU</t>
  </si>
  <si>
    <t>Port Louis</t>
  </si>
  <si>
    <t>MUPMA</t>
  </si>
  <si>
    <t>Port Mathurin</t>
  </si>
  <si>
    <t>MUTAM</t>
  </si>
  <si>
    <t>Tamarin</t>
  </si>
  <si>
    <t>MVADU</t>
  </si>
  <si>
    <t>Addu</t>
  </si>
  <si>
    <t>MVKEL</t>
  </si>
  <si>
    <t>Kelai</t>
  </si>
  <si>
    <t>MVMLE</t>
  </si>
  <si>
    <t>MWTHY</t>
  </si>
  <si>
    <t>Thyolo</t>
  </si>
  <si>
    <t>MXANH</t>
  </si>
  <si>
    <t>Acanceh</t>
  </si>
  <si>
    <t>MXACA</t>
  </si>
  <si>
    <t>Acapulco</t>
  </si>
  <si>
    <t>MXACM</t>
  </si>
  <si>
    <t>Acolman</t>
  </si>
  <si>
    <t>MXAPR</t>
  </si>
  <si>
    <t>Agua Prieta</t>
  </si>
  <si>
    <t>MXATM</t>
  </si>
  <si>
    <t>Altamira</t>
  </si>
  <si>
    <t>MXAVD</t>
  </si>
  <si>
    <t>Alvarado</t>
  </si>
  <si>
    <t>MXAOB</t>
  </si>
  <si>
    <t>Alvaro Obregon</t>
  </si>
  <si>
    <t>MXATN</t>
  </si>
  <si>
    <t>MXARZ</t>
  </si>
  <si>
    <t>Arizpe</t>
  </si>
  <si>
    <t>MXABB</t>
  </si>
  <si>
    <t>Atunes</t>
  </si>
  <si>
    <t>MXEA2</t>
  </si>
  <si>
    <t>Barretal</t>
  </si>
  <si>
    <t>MXBDR</t>
  </si>
  <si>
    <t>MXCSL</t>
  </si>
  <si>
    <t>Cabo San Lucas</t>
  </si>
  <si>
    <t>MXZCA</t>
  </si>
  <si>
    <t>MXAAO</t>
  </si>
  <si>
    <t>Camargo</t>
  </si>
  <si>
    <t>MXCPE</t>
  </si>
  <si>
    <t>Campeche</t>
  </si>
  <si>
    <t>MXCNT</t>
  </si>
  <si>
    <t>Cantarell</t>
  </si>
  <si>
    <t>MXCAT</t>
  </si>
  <si>
    <t>Cayo Arcas Terminal</t>
  </si>
  <si>
    <t>MXCED</t>
  </si>
  <si>
    <t>Cedros</t>
  </si>
  <si>
    <t>MXCRI</t>
  </si>
  <si>
    <t>Cedros Island</t>
  </si>
  <si>
    <t>MXCTM</t>
  </si>
  <si>
    <t>Chetumal</t>
  </si>
  <si>
    <t>MXCME</t>
  </si>
  <si>
    <t>Ciudad del Carmen</t>
  </si>
  <si>
    <t>MXCDD</t>
  </si>
  <si>
    <t>Ciudad Madero</t>
  </si>
  <si>
    <t>MXRBV</t>
  </si>
  <si>
    <t>MXCSG</t>
  </si>
  <si>
    <t>MXCOA</t>
  </si>
  <si>
    <t>Coatzacoalcos</t>
  </si>
  <si>
    <t>MXCTX</t>
  </si>
  <si>
    <t>Cotaxtla</t>
  </si>
  <si>
    <t>MXCZM</t>
  </si>
  <si>
    <t>Cozumel</t>
  </si>
  <si>
    <t>MXCTL</t>
  </si>
  <si>
    <t>Cuautla</t>
  </si>
  <si>
    <t>MXDHD</t>
  </si>
  <si>
    <t>Dolores Hidalgo</t>
  </si>
  <si>
    <t>MXDBT</t>
  </si>
  <si>
    <t>Dos Bocas Terminal</t>
  </si>
  <si>
    <t>MXELD</t>
  </si>
  <si>
    <t>Eldorado</t>
  </si>
  <si>
    <t>MXEPM</t>
  </si>
  <si>
    <t>Empalme</t>
  </si>
  <si>
    <t>MXESE</t>
  </si>
  <si>
    <t>Ensenada</t>
  </si>
  <si>
    <t>MXFRN</t>
  </si>
  <si>
    <t>Frontera</t>
  </si>
  <si>
    <t>MXGET</t>
  </si>
  <si>
    <t>MXGRA</t>
  </si>
  <si>
    <t>Granjas</t>
  </si>
  <si>
    <t>MXGSV</t>
  </si>
  <si>
    <t>Guasave</t>
  </si>
  <si>
    <t>MXGYM</t>
  </si>
  <si>
    <t>Guaymas</t>
  </si>
  <si>
    <t>MXHTO</t>
  </si>
  <si>
    <t>MXHUN</t>
  </si>
  <si>
    <t>MXISJ</t>
  </si>
  <si>
    <t>Isla Mujeres</t>
  </si>
  <si>
    <t>MXSMI</t>
  </si>
  <si>
    <t>Isla San Marcos</t>
  </si>
  <si>
    <t>MXZIH</t>
  </si>
  <si>
    <t>Ixtapa/Zihuatanejo</t>
  </si>
  <si>
    <t>MXZIP</t>
  </si>
  <si>
    <t>Ixtapaluca</t>
  </si>
  <si>
    <t>MXJZA</t>
  </si>
  <si>
    <t>Jerez</t>
  </si>
  <si>
    <t>MXJMN</t>
  </si>
  <si>
    <t>MXJDZ</t>
  </si>
  <si>
    <t>MXLAP</t>
  </si>
  <si>
    <t>MXLTJ</t>
  </si>
  <si>
    <t>La Troje</t>
  </si>
  <si>
    <t>MXLZC</t>
  </si>
  <si>
    <t>MXLTO</t>
  </si>
  <si>
    <t>Loreto</t>
  </si>
  <si>
    <t>MXMHT</t>
  </si>
  <si>
    <t>Magdalena/Hostotipaquillo</t>
  </si>
  <si>
    <t>MXZLO</t>
  </si>
  <si>
    <t>MXMAZ</t>
  </si>
  <si>
    <t>Mazamitla</t>
  </si>
  <si>
    <t>MXMZT</t>
  </si>
  <si>
    <t>Mazatlan</t>
  </si>
  <si>
    <t>MXMID</t>
  </si>
  <si>
    <t>MXMTT</t>
  </si>
  <si>
    <t>Minatitlan</t>
  </si>
  <si>
    <t>MXMRE</t>
  </si>
  <si>
    <t>Morro Redondo</t>
  </si>
  <si>
    <t>MXNAN</t>
  </si>
  <si>
    <t>Nanchital</t>
  </si>
  <si>
    <t>MXNAU</t>
  </si>
  <si>
    <t>Nautla</t>
  </si>
  <si>
    <t>MXOBR</t>
  </si>
  <si>
    <t>MXPAJ</t>
  </si>
  <si>
    <t>Pajaritos</t>
  </si>
  <si>
    <t>MXPIC</t>
  </si>
  <si>
    <t>Pichilingue</t>
  </si>
  <si>
    <t>MXPCM</t>
  </si>
  <si>
    <t>Playa del Carmen</t>
  </si>
  <si>
    <t>MXPIB</t>
  </si>
  <si>
    <t>Port Isabel</t>
  </si>
  <si>
    <t>MXPGO</t>
  </si>
  <si>
    <t>Progreso</t>
  </si>
  <si>
    <t>MXPTA</t>
  </si>
  <si>
    <t>Puerta</t>
  </si>
  <si>
    <t>MXPNG</t>
  </si>
  <si>
    <t>MXPMD</t>
  </si>
  <si>
    <t>Puerto Madero</t>
  </si>
  <si>
    <t>MXPMX</t>
  </si>
  <si>
    <t>MXPMS</t>
  </si>
  <si>
    <t>Puerto Morelos</t>
  </si>
  <si>
    <t>MXPPE</t>
  </si>
  <si>
    <t>MXPVR</t>
  </si>
  <si>
    <t>Puerto Vallarta</t>
  </si>
  <si>
    <t>MXPBJ</t>
  </si>
  <si>
    <t>Punta Baja</t>
  </si>
  <si>
    <t>MXPVN</t>
  </si>
  <si>
    <t>Punta Venado</t>
  </si>
  <si>
    <t>MXRBG</t>
  </si>
  <si>
    <t>Rabon Grande/Coatzacoalcos</t>
  </si>
  <si>
    <t>MXRST</t>
  </si>
  <si>
    <t>Rosarito Terminal</t>
  </si>
  <si>
    <t>MXSCX</t>
  </si>
  <si>
    <t>Salina Cruz</t>
  </si>
  <si>
    <t>MXSBS</t>
  </si>
  <si>
    <t>San Blas</t>
  </si>
  <si>
    <t>MXSCR</t>
  </si>
  <si>
    <t>MXSJC</t>
  </si>
  <si>
    <t>San Juan de la Costa</t>
  </si>
  <si>
    <t>MXSLO</t>
  </si>
  <si>
    <t>MXSGX</t>
  </si>
  <si>
    <t>San Miguel Xoxtla</t>
  </si>
  <si>
    <t>MXSN2</t>
  </si>
  <si>
    <t>MXTPX</t>
  </si>
  <si>
    <t>Santa Cruz Tepexpan</t>
  </si>
  <si>
    <t>MXSRL</t>
  </si>
  <si>
    <t>Santa Rosalia</t>
  </si>
  <si>
    <t>MXSTT</t>
  </si>
  <si>
    <t>Santa Teresa</t>
  </si>
  <si>
    <t>MXTAK</t>
  </si>
  <si>
    <t>Takuntah</t>
  </si>
  <si>
    <t>MXTMP</t>
  </si>
  <si>
    <t>Tamaulipas</t>
  </si>
  <si>
    <t>MXTAM</t>
  </si>
  <si>
    <t>Tampico</t>
  </si>
  <si>
    <t>MXTCU</t>
  </si>
  <si>
    <t>Tecuala</t>
  </si>
  <si>
    <t>MXTXH</t>
  </si>
  <si>
    <t>Telixtlahuaca</t>
  </si>
  <si>
    <t>MXTEN</t>
  </si>
  <si>
    <t>MX4TE</t>
  </si>
  <si>
    <t>Tepetlixpac</t>
  </si>
  <si>
    <t>MXTXC</t>
  </si>
  <si>
    <t>Tiaxcala</t>
  </si>
  <si>
    <t>MXTIJ</t>
  </si>
  <si>
    <t>Tijuana</t>
  </si>
  <si>
    <t>MXTJT</t>
  </si>
  <si>
    <t>Tlalpan</t>
  </si>
  <si>
    <t>MXTPB</t>
  </si>
  <si>
    <t>Topolobampo</t>
  </si>
  <si>
    <t>MXTUX</t>
  </si>
  <si>
    <t>Tuxpan</t>
  </si>
  <si>
    <t>MXVER</t>
  </si>
  <si>
    <t>Veracruz</t>
  </si>
  <si>
    <t>MXVNR</t>
  </si>
  <si>
    <t>MXXAL</t>
  </si>
  <si>
    <t>Xalostoc</t>
  </si>
  <si>
    <t>MX9AS</t>
  </si>
  <si>
    <t>Xochimancas</t>
  </si>
  <si>
    <t>MXYUK</t>
  </si>
  <si>
    <t>Yukalpeten</t>
  </si>
  <si>
    <t>MXYKN</t>
  </si>
  <si>
    <t>MXZKP</t>
  </si>
  <si>
    <t>Zakapu</t>
  </si>
  <si>
    <t>MXZRZ</t>
  </si>
  <si>
    <t>MXXIH</t>
  </si>
  <si>
    <t>Zihuatanejo</t>
  </si>
  <si>
    <t>MYABU</t>
  </si>
  <si>
    <t>Abu</t>
  </si>
  <si>
    <t>MYANG</t>
  </si>
  <si>
    <t>Angsi</t>
  </si>
  <si>
    <t>MYBAG</t>
  </si>
  <si>
    <t>Bagan Datok</t>
  </si>
  <si>
    <t>MYBWH</t>
  </si>
  <si>
    <t>Bagan Luar (Butterworth)</t>
  </si>
  <si>
    <t>MYBKP</t>
  </si>
  <si>
    <t>Bakapit</t>
  </si>
  <si>
    <t>MYBMA</t>
  </si>
  <si>
    <t>Bandar Maharani</t>
  </si>
  <si>
    <t>MYBTK</t>
  </si>
  <si>
    <t>Bandar Tenggara</t>
  </si>
  <si>
    <t>MYBDV</t>
  </si>
  <si>
    <t>Bandau, Sabah</t>
  </si>
  <si>
    <t>MYBGU</t>
  </si>
  <si>
    <t>Bangau</t>
  </si>
  <si>
    <t>MYBBA</t>
  </si>
  <si>
    <t>Batu Batu, Sabah</t>
  </si>
  <si>
    <t>MYTJH</t>
  </si>
  <si>
    <t>Batu Gajah</t>
  </si>
  <si>
    <t>MYBLI</t>
  </si>
  <si>
    <t>Batu Lintang, Sarawak</t>
  </si>
  <si>
    <t>MYBAT</t>
  </si>
  <si>
    <t>Batu Pahat</t>
  </si>
  <si>
    <t>MYBAU</t>
  </si>
  <si>
    <t>Bau, Sarawak</t>
  </si>
  <si>
    <t>MYBEA</t>
  </si>
  <si>
    <t>Beaufort</t>
  </si>
  <si>
    <t>MYBLG</t>
  </si>
  <si>
    <t>Belaga, Sarawak</t>
  </si>
  <si>
    <t>MYBEL</t>
  </si>
  <si>
    <t>Beluran, Sabah</t>
  </si>
  <si>
    <t>MYBNT</t>
  </si>
  <si>
    <t>Benut, Johor</t>
  </si>
  <si>
    <t>MYBTG</t>
  </si>
  <si>
    <t>Betong, Sarawak</t>
  </si>
  <si>
    <t>MYBIA</t>
  </si>
  <si>
    <t>Biawak, Sarawak</t>
  </si>
  <si>
    <t>MYBNG</t>
  </si>
  <si>
    <t>Binatang, Sarawak</t>
  </si>
  <si>
    <t>MYBTN</t>
  </si>
  <si>
    <t>Bintangor</t>
  </si>
  <si>
    <t>MYBTU</t>
  </si>
  <si>
    <t>Bintulu, Sarawak</t>
  </si>
  <si>
    <t>MYBGG</t>
  </si>
  <si>
    <t>Bunan Gega, Sarawak</t>
  </si>
  <si>
    <t>MYBGK</t>
  </si>
  <si>
    <t>Bunga Kekwa</t>
  </si>
  <si>
    <t>MYBGR</t>
  </si>
  <si>
    <t>Bunga Raya</t>
  </si>
  <si>
    <t>MYCAK</t>
  </si>
  <si>
    <t>Cakerawala Terminal</t>
  </si>
  <si>
    <t>MYCEN</t>
  </si>
  <si>
    <t>Cendor</t>
  </si>
  <si>
    <t>MYDDW</t>
  </si>
  <si>
    <t>Danjindawai</t>
  </si>
  <si>
    <t>MYDRO</t>
  </si>
  <si>
    <t>Daro, Sarawak</t>
  </si>
  <si>
    <t>MYEND</t>
  </si>
  <si>
    <t>Endau</t>
  </si>
  <si>
    <t>MYHUM</t>
  </si>
  <si>
    <t>Hutan Melintang</t>
  </si>
  <si>
    <t>MYJAM</t>
  </si>
  <si>
    <t>Jambongan, Sabah</t>
  </si>
  <si>
    <t>MYJHB</t>
  </si>
  <si>
    <t>Johor Bahru</t>
  </si>
  <si>
    <t>MYKAB</t>
  </si>
  <si>
    <t>Kabong, Sarawak</t>
  </si>
  <si>
    <t>MYTKP</t>
  </si>
  <si>
    <t>Kampong Tanjong Kupang</t>
  </si>
  <si>
    <t>MYTLA</t>
  </si>
  <si>
    <t>Kampung Tanjung Langsat</t>
  </si>
  <si>
    <t>MYKES</t>
  </si>
  <si>
    <t>Kejit</t>
  </si>
  <si>
    <t>MYKEM</t>
  </si>
  <si>
    <t>Kemaman</t>
  </si>
  <si>
    <t>MYKET</t>
  </si>
  <si>
    <t>Kertih</t>
  </si>
  <si>
    <t>MYKIJ</t>
  </si>
  <si>
    <t>Kijal</t>
  </si>
  <si>
    <t>MYKIK</t>
  </si>
  <si>
    <t>Kikeh</t>
  </si>
  <si>
    <t>MYKIM</t>
  </si>
  <si>
    <t>Kimanis, Sabah</t>
  </si>
  <si>
    <t>MYKBD</t>
  </si>
  <si>
    <t>Kota Belud, Sabah</t>
  </si>
  <si>
    <t>MYKBR</t>
  </si>
  <si>
    <t>Kota Bharu</t>
  </si>
  <si>
    <t>MYBKI</t>
  </si>
  <si>
    <t>Kota Kinabalu, Sabah</t>
  </si>
  <si>
    <t>MYKSS</t>
  </si>
  <si>
    <t>Kota Sarang Semut</t>
  </si>
  <si>
    <t>MYKTI</t>
  </si>
  <si>
    <t>Kota Tinggi</t>
  </si>
  <si>
    <t>MYKRE</t>
  </si>
  <si>
    <t>Krety</t>
  </si>
  <si>
    <t>MYKBA</t>
  </si>
  <si>
    <t>Kuala Baram</t>
  </si>
  <si>
    <t>MYKBE</t>
  </si>
  <si>
    <t>Kuala Belud, Sabah</t>
  </si>
  <si>
    <t>MYKBS</t>
  </si>
  <si>
    <t>Kuala Besar</t>
  </si>
  <si>
    <t>MYBST</t>
  </si>
  <si>
    <t>Kuala Besut</t>
  </si>
  <si>
    <t>MYDGN</t>
  </si>
  <si>
    <t>Kuala Dungun</t>
  </si>
  <si>
    <t>MYKUG</t>
  </si>
  <si>
    <t>Kuala Gula</t>
  </si>
  <si>
    <t>MYKKH</t>
  </si>
  <si>
    <t>Kuala Kedah</t>
  </si>
  <si>
    <t>MYKPU</t>
  </si>
  <si>
    <t>Kuala Penyu, Sabah</t>
  </si>
  <si>
    <t>MYKPS</t>
  </si>
  <si>
    <t>Kuala Perlis</t>
  </si>
  <si>
    <t>MYPRN</t>
  </si>
  <si>
    <t>Kuala Rompin</t>
  </si>
  <si>
    <t>MYKSD</t>
  </si>
  <si>
    <t>Kuala Sedili</t>
  </si>
  <si>
    <t>MYKSG</t>
  </si>
  <si>
    <t>Kuala Segama, Sabah</t>
  </si>
  <si>
    <t>MYKSL</t>
  </si>
  <si>
    <t>Kuala Selangor</t>
  </si>
  <si>
    <t>MYTGG</t>
  </si>
  <si>
    <t>Kuala Terengganu</t>
  </si>
  <si>
    <t>MYKUA</t>
  </si>
  <si>
    <t>Kuantan (Tanjong Gelang)</t>
  </si>
  <si>
    <t>MYKCH</t>
  </si>
  <si>
    <t>Kuching, Sarawak</t>
  </si>
  <si>
    <t>MYKUD</t>
  </si>
  <si>
    <t>Kudat, Sabah</t>
  </si>
  <si>
    <t>MYKKP</t>
  </si>
  <si>
    <t>Kukup</t>
  </si>
  <si>
    <t>MYKUN</t>
  </si>
  <si>
    <t>Kunak, Sabah</t>
  </si>
  <si>
    <t>MYLBH</t>
  </si>
  <si>
    <t>Labuan Haji</t>
  </si>
  <si>
    <t>MYLBU</t>
  </si>
  <si>
    <t>Labuan, Sabah</t>
  </si>
  <si>
    <t>MYLDU</t>
  </si>
  <si>
    <t>Lahad Datu, Sabah</t>
  </si>
  <si>
    <t>MYLGK</t>
  </si>
  <si>
    <t>Langkawi</t>
  </si>
  <si>
    <t>MYLWY</t>
  </si>
  <si>
    <t>Lawas, Sarawak</t>
  </si>
  <si>
    <t>MYLMN</t>
  </si>
  <si>
    <t>Limbang, Sarawak</t>
  </si>
  <si>
    <t>MYLGG</t>
  </si>
  <si>
    <t>Lingga, Sarawak</t>
  </si>
  <si>
    <t>MYLUM</t>
  </si>
  <si>
    <t>MYLUN</t>
  </si>
  <si>
    <t>Lundu, Sarawak</t>
  </si>
  <si>
    <t>MYLUT</t>
  </si>
  <si>
    <t>Lutong, Sarawak</t>
  </si>
  <si>
    <t>MYMKZ</t>
  </si>
  <si>
    <t>Malacca</t>
  </si>
  <si>
    <t>MYMAN</t>
  </si>
  <si>
    <t>Manjung</t>
  </si>
  <si>
    <t>MYMUR</t>
  </si>
  <si>
    <t>Marudi, Sarawak</t>
  </si>
  <si>
    <t>MYMEM</t>
  </si>
  <si>
    <t>Mempakul, Sabah</t>
  </si>
  <si>
    <t>MYMBK</t>
  </si>
  <si>
    <t>Merbok</t>
  </si>
  <si>
    <t>MYMEP</t>
  </si>
  <si>
    <t>Mersing</t>
  </si>
  <si>
    <t>MYMYY</t>
  </si>
  <si>
    <t>Miri, Sarawak</t>
  </si>
  <si>
    <t>MYMUA</t>
  </si>
  <si>
    <t>Muar</t>
  </si>
  <si>
    <t>MYMUD</t>
  </si>
  <si>
    <t>Muda Marine Terminal</t>
  </si>
  <si>
    <t>MYMKM</t>
  </si>
  <si>
    <t>Mukah, Sarawak</t>
  </si>
  <si>
    <t>MYMEN</t>
  </si>
  <si>
    <t>Nenasi</t>
  </si>
  <si>
    <t>MYNII</t>
  </si>
  <si>
    <t>Nilai</t>
  </si>
  <si>
    <t>MYSNP</t>
  </si>
  <si>
    <t>North Pt</t>
  </si>
  <si>
    <t>MYLPK</t>
  </si>
  <si>
    <t>Northport/Pt Klang</t>
  </si>
  <si>
    <t>MYPAL</t>
  </si>
  <si>
    <t>Paloh, Sarawak</t>
  </si>
  <si>
    <t>MYPAN</t>
  </si>
  <si>
    <t>Panchang</t>
  </si>
  <si>
    <t>MYPAS</t>
  </si>
  <si>
    <t>Pasir Gogok</t>
  </si>
  <si>
    <t>MYPGU</t>
  </si>
  <si>
    <t>Pasir Gudang, Johor</t>
  </si>
  <si>
    <t>MYPHI</t>
  </si>
  <si>
    <t>Pasir Hitam</t>
  </si>
  <si>
    <t>MYPED</t>
  </si>
  <si>
    <t>Pedena</t>
  </si>
  <si>
    <t>MYPEN</t>
  </si>
  <si>
    <t>Penang (Georgetown)</t>
  </si>
  <si>
    <t>MYPMT</t>
  </si>
  <si>
    <t>Penara Marine Terminal</t>
  </si>
  <si>
    <t>MYPND</t>
  </si>
  <si>
    <t>Pending</t>
  </si>
  <si>
    <t>MYPGG</t>
  </si>
  <si>
    <t>Pengerang</t>
  </si>
  <si>
    <t>MYPKK</t>
  </si>
  <si>
    <t>Pengkalan Kubor</t>
  </si>
  <si>
    <t>MYRAI</t>
  </si>
  <si>
    <t>Perai</t>
  </si>
  <si>
    <t>MYPOW</t>
  </si>
  <si>
    <t>Pontian</t>
  </si>
  <si>
    <t>MYPDI</t>
  </si>
  <si>
    <t>Port Dickson</t>
  </si>
  <si>
    <t>MYXPQ</t>
  </si>
  <si>
    <t>Port Klang (Ferry Port)</t>
  </si>
  <si>
    <t>MYPKG</t>
  </si>
  <si>
    <t>Port Klang (Pelabuhan Klang)</t>
  </si>
  <si>
    <t>MYPRA</t>
  </si>
  <si>
    <t>Prai</t>
  </si>
  <si>
    <t>MYPBA</t>
  </si>
  <si>
    <t>Pulau Batik, Sabah</t>
  </si>
  <si>
    <t>MYBRU</t>
  </si>
  <si>
    <t>Pulau Bruit</t>
  </si>
  <si>
    <t>MYLAU</t>
  </si>
  <si>
    <t>Pulau Indah</t>
  </si>
  <si>
    <t>MYPJK</t>
  </si>
  <si>
    <t>Pulau Jarak</t>
  </si>
  <si>
    <t>MYPPI</t>
  </si>
  <si>
    <t>Pulau Pisang</t>
  </si>
  <si>
    <t>MYPTB</t>
  </si>
  <si>
    <t>Pulau Tambisan, Sabah</t>
  </si>
  <si>
    <t>MYPUN</t>
  </si>
  <si>
    <t>Punang, Sarawak</t>
  </si>
  <si>
    <t>MYREJ</t>
  </si>
  <si>
    <t>Rejang, Sarawak</t>
  </si>
  <si>
    <t>MYSBT</t>
  </si>
  <si>
    <t>Sabahat</t>
  </si>
  <si>
    <t>MYSAM</t>
  </si>
  <si>
    <t>Samu</t>
  </si>
  <si>
    <t>MYSDK</t>
  </si>
  <si>
    <t>Sandakan, Sabah</t>
  </si>
  <si>
    <t>MYSAR</t>
  </si>
  <si>
    <t>Sarikei</t>
  </si>
  <si>
    <t>MYSGM</t>
  </si>
  <si>
    <t>Segamat</t>
  </si>
  <si>
    <t>MYSEJ</t>
  </si>
  <si>
    <t>Sejingkat, Sarawak</t>
  </si>
  <si>
    <t>MYSEL</t>
  </si>
  <si>
    <t>Selalang, Sarawak</t>
  </si>
  <si>
    <t>MYBSE</t>
  </si>
  <si>
    <t>Sematan, Sarawak</t>
  </si>
  <si>
    <t>MYSMM</t>
  </si>
  <si>
    <t>Semporna, Sabah</t>
  </si>
  <si>
    <t>MYSNR</t>
  </si>
  <si>
    <t>Senari - Sarawak</t>
  </si>
  <si>
    <t>MYSEP</t>
  </si>
  <si>
    <t>Sepang, Selangor</t>
  </si>
  <si>
    <t>MYSHA</t>
  </si>
  <si>
    <t>Shah Alam</t>
  </si>
  <si>
    <t>MYSBW</t>
  </si>
  <si>
    <t>Sibu, Sarawak</t>
  </si>
  <si>
    <t>MYSIJ</t>
  </si>
  <si>
    <t>Sijingkat</t>
  </si>
  <si>
    <t>MYSIL</t>
  </si>
  <si>
    <t>Silay</t>
  </si>
  <si>
    <t>MYSMG</t>
  </si>
  <si>
    <t>Simanggang, Sarawak</t>
  </si>
  <si>
    <t>MYSPG</t>
  </si>
  <si>
    <t>Simpangan, Sabah</t>
  </si>
  <si>
    <t>MYSMJ</t>
  </si>
  <si>
    <t>Simunjan, Sarawak</t>
  </si>
  <si>
    <t>MYSDM</t>
  </si>
  <si>
    <t>Sindumin</t>
  </si>
  <si>
    <t>MYSPT</t>
  </si>
  <si>
    <t>Sipitang, Sabah</t>
  </si>
  <si>
    <t>MYSIR</t>
  </si>
  <si>
    <t>Siran</t>
  </si>
  <si>
    <t>MYSRK</t>
  </si>
  <si>
    <t>Sirikin, Sarawak</t>
  </si>
  <si>
    <t>MYSME</t>
  </si>
  <si>
    <t>Sri Medan</t>
  </si>
  <si>
    <t>MYSDR</t>
  </si>
  <si>
    <t>Sundar, Sarawak</t>
  </si>
  <si>
    <t>MYSUM</t>
  </si>
  <si>
    <t>Sungai Merah</t>
  </si>
  <si>
    <t>MYSRE</t>
  </si>
  <si>
    <t>Sungai Rengit</t>
  </si>
  <si>
    <t>MYSUW</t>
  </si>
  <si>
    <t>Sungai Way</t>
  </si>
  <si>
    <t>MYTAI</t>
  </si>
  <si>
    <t>Tampoi</t>
  </si>
  <si>
    <t>MYTTE</t>
  </si>
  <si>
    <t>Tandjung Tengelili</t>
  </si>
  <si>
    <t>MYTBA</t>
  </si>
  <si>
    <t>Tanjong Baran</t>
  </si>
  <si>
    <t>MYTBE</t>
  </si>
  <si>
    <t>Tanjong Berhala</t>
  </si>
  <si>
    <t>MYTBI</t>
  </si>
  <si>
    <t>Tanjong Bin</t>
  </si>
  <si>
    <t>MYTDA</t>
  </si>
  <si>
    <t>Tanjong Dawai</t>
  </si>
  <si>
    <t>MYTKI</t>
  </si>
  <si>
    <t>Tanjong Kidurong</t>
  </si>
  <si>
    <t>MYTSR</t>
  </si>
  <si>
    <t>Tanjong Surat</t>
  </si>
  <si>
    <t>MYTGE</t>
  </si>
  <si>
    <t>Tanjung Gelang</t>
  </si>
  <si>
    <t>MYTAG</t>
  </si>
  <si>
    <t>Tanjung Lembung</t>
  </si>
  <si>
    <t>MYTMP</t>
  </si>
  <si>
    <t>Tanjung Manis</t>
  </si>
  <si>
    <t>MYTPP</t>
  </si>
  <si>
    <t>Tanjung Pelepas</t>
  </si>
  <si>
    <t>MYTAT</t>
  </si>
  <si>
    <t>Tapis Terminal</t>
  </si>
  <si>
    <t>MYTWU</t>
  </si>
  <si>
    <t>Tawau, Sabah</t>
  </si>
  <si>
    <t>MYTAS</t>
  </si>
  <si>
    <t>Telok Intan</t>
  </si>
  <si>
    <t>MYTRM</t>
  </si>
  <si>
    <t>Telok Ramunia</t>
  </si>
  <si>
    <t>MYTGO</t>
  </si>
  <si>
    <t>Tembungo</t>
  </si>
  <si>
    <t>MYTEN</t>
  </si>
  <si>
    <t>Tengku, Sabah</t>
  </si>
  <si>
    <t>MYASQ</t>
  </si>
  <si>
    <t>Teronoh</t>
  </si>
  <si>
    <t>MYTOD</t>
  </si>
  <si>
    <t>Tioman</t>
  </si>
  <si>
    <t>MYTMG</t>
  </si>
  <si>
    <t>Tomanggong</t>
  </si>
  <si>
    <t>MYTUB</t>
  </si>
  <si>
    <t>Tubau</t>
  </si>
  <si>
    <t>MYTMB</t>
  </si>
  <si>
    <t>Tumbum</t>
  </si>
  <si>
    <t>MYTUM</t>
  </si>
  <si>
    <t>Tumpat</t>
  </si>
  <si>
    <t>MYTUN</t>
  </si>
  <si>
    <t>Tungku</t>
  </si>
  <si>
    <t>MYWAL</t>
  </si>
  <si>
    <t>Wallace Bay, Sabah</t>
  </si>
  <si>
    <t>MYWES</t>
  </si>
  <si>
    <t>Weston, Sabah</t>
  </si>
  <si>
    <t>MZANO</t>
  </si>
  <si>
    <t>Angoche</t>
  </si>
  <si>
    <t>MZBEW</t>
  </si>
  <si>
    <t>Beira</t>
  </si>
  <si>
    <t>MZBEL</t>
  </si>
  <si>
    <t>Bela Vista</t>
  </si>
  <si>
    <t>MZINE</t>
  </si>
  <si>
    <t>Chinde</t>
  </si>
  <si>
    <t>MZIBO</t>
  </si>
  <si>
    <t>Ibo</t>
  </si>
  <si>
    <t>MZINH</t>
  </si>
  <si>
    <t>Inhambane</t>
  </si>
  <si>
    <t>MZMCU</t>
  </si>
  <si>
    <t>Macuse</t>
  </si>
  <si>
    <t>MZMPM</t>
  </si>
  <si>
    <t>Maputo</t>
  </si>
  <si>
    <t>MZMSG</t>
  </si>
  <si>
    <t>Massinga</t>
  </si>
  <si>
    <t>MZMAT</t>
  </si>
  <si>
    <t>Matola</t>
  </si>
  <si>
    <t>MZMEM</t>
  </si>
  <si>
    <t>Memba</t>
  </si>
  <si>
    <t>MZMZQ</t>
  </si>
  <si>
    <t>Mocambique</t>
  </si>
  <si>
    <t>MZMZB</t>
  </si>
  <si>
    <t>MZMMW</t>
  </si>
  <si>
    <t>Moma</t>
  </si>
  <si>
    <t>MZMOR</t>
  </si>
  <si>
    <t>Morrumbene</t>
  </si>
  <si>
    <t>MZMNC</t>
  </si>
  <si>
    <t>Nacala</t>
  </si>
  <si>
    <t>MZNSO</t>
  </si>
  <si>
    <t>Nova Sofala</t>
  </si>
  <si>
    <t>MZPEB</t>
  </si>
  <si>
    <t>Pebane</t>
  </si>
  <si>
    <t>MZPOL</t>
  </si>
  <si>
    <t>Pemba</t>
  </si>
  <si>
    <t>MZPBE</t>
  </si>
  <si>
    <t>Porto Belo</t>
  </si>
  <si>
    <t>MZUEL</t>
  </si>
  <si>
    <t>Quelimane</t>
  </si>
  <si>
    <t>NALUD</t>
  </si>
  <si>
    <t>NARUA</t>
  </si>
  <si>
    <t>Ruacana</t>
  </si>
  <si>
    <t>NAWVB</t>
  </si>
  <si>
    <t>Walvis Bay</t>
  </si>
  <si>
    <t>NCBUG</t>
  </si>
  <si>
    <t>Baie Ugue</t>
  </si>
  <si>
    <t>NCDUS</t>
  </si>
  <si>
    <t>Ducos</t>
  </si>
  <si>
    <t>NCKOU</t>
  </si>
  <si>
    <t>Kouaoua</t>
  </si>
  <si>
    <t>NCMTD</t>
  </si>
  <si>
    <t>Mont-Dore</t>
  </si>
  <si>
    <t>NCNAK</t>
  </si>
  <si>
    <t>NCNEP</t>
  </si>
  <si>
    <t>NCNOU</t>
  </si>
  <si>
    <t>NCPOR</t>
  </si>
  <si>
    <t>Poro</t>
  </si>
  <si>
    <t>NCPNY</t>
  </si>
  <si>
    <t>Prony</t>
  </si>
  <si>
    <t>NCTHI</t>
  </si>
  <si>
    <t>Thio</t>
  </si>
  <si>
    <t>NCTON</t>
  </si>
  <si>
    <t>Tontouta</t>
  </si>
  <si>
    <t>NCVAV</t>
  </si>
  <si>
    <t>Vavouto</t>
  </si>
  <si>
    <t>NCWAL</t>
  </si>
  <si>
    <t>Wala</t>
  </si>
  <si>
    <t>NGABF</t>
  </si>
  <si>
    <t>Abo</t>
  </si>
  <si>
    <t>NGABO</t>
  </si>
  <si>
    <t>Abonnema</t>
  </si>
  <si>
    <t>NGADO</t>
  </si>
  <si>
    <t>NGABM</t>
  </si>
  <si>
    <t>Agbami</t>
  </si>
  <si>
    <t>NGAKP</t>
  </si>
  <si>
    <t>Akpo</t>
  </si>
  <si>
    <t>NGANB</t>
  </si>
  <si>
    <t>Anambra</t>
  </si>
  <si>
    <t>NGANT</t>
  </si>
  <si>
    <t>Anta</t>
  </si>
  <si>
    <t>NGANA</t>
  </si>
  <si>
    <t>Antan</t>
  </si>
  <si>
    <t>NGAPP</t>
  </si>
  <si>
    <t>Apapa</t>
  </si>
  <si>
    <t>NGBAD</t>
  </si>
  <si>
    <t>Badagri</t>
  </si>
  <si>
    <t>NGBON</t>
  </si>
  <si>
    <t>Bonny</t>
  </si>
  <si>
    <t>NGBRA</t>
  </si>
  <si>
    <t>Brass</t>
  </si>
  <si>
    <t>NGBUR</t>
  </si>
  <si>
    <t>Burutu</t>
  </si>
  <si>
    <t>NGCBQ</t>
  </si>
  <si>
    <t>Calabar</t>
  </si>
  <si>
    <t>NGDEN</t>
  </si>
  <si>
    <t>Denema</t>
  </si>
  <si>
    <t>NGEAT</t>
  </si>
  <si>
    <t>Ea Terminal</t>
  </si>
  <si>
    <t>NGEBO</t>
  </si>
  <si>
    <t>Ebok Terminal</t>
  </si>
  <si>
    <t>NGEKE</t>
  </si>
  <si>
    <t>Eket</t>
  </si>
  <si>
    <t>NGERT</t>
  </si>
  <si>
    <t>Erha Terminal</t>
  </si>
  <si>
    <t>NGESC</t>
  </si>
  <si>
    <t>Escravos</t>
  </si>
  <si>
    <t>NGFLM</t>
  </si>
  <si>
    <t>Falomo</t>
  </si>
  <si>
    <t>NGFOR</t>
  </si>
  <si>
    <t>Forcados</t>
  </si>
  <si>
    <t>NGGRP</t>
  </si>
  <si>
    <t>Greek Port</t>
  </si>
  <si>
    <t>NGIMA</t>
  </si>
  <si>
    <t>Ima</t>
  </si>
  <si>
    <t>NGKT7</t>
  </si>
  <si>
    <t>Katsina</t>
  </si>
  <si>
    <t>NGKIR</t>
  </si>
  <si>
    <t>Kirikakiri</t>
  </si>
  <si>
    <t>NGKOK</t>
  </si>
  <si>
    <t>Koko</t>
  </si>
  <si>
    <t>NGKUL</t>
  </si>
  <si>
    <t>Kula</t>
  </si>
  <si>
    <t>NGLOS</t>
  </si>
  <si>
    <t>Lagos</t>
  </si>
  <si>
    <t>NGODU</t>
  </si>
  <si>
    <t>Odudu Terminal</t>
  </si>
  <si>
    <t>NGOKN</t>
  </si>
  <si>
    <t>Okono</t>
  </si>
  <si>
    <t>NGOKR</t>
  </si>
  <si>
    <t>Okrika</t>
  </si>
  <si>
    <t>NGOKW</t>
  </si>
  <si>
    <t>Okwori</t>
  </si>
  <si>
    <t>NGONN</t>
  </si>
  <si>
    <t>Onne</t>
  </si>
  <si>
    <t>NGORO</t>
  </si>
  <si>
    <t>Oron</t>
  </si>
  <si>
    <t>NGOSO</t>
  </si>
  <si>
    <t>Oso</t>
  </si>
  <si>
    <t>NGOYO</t>
  </si>
  <si>
    <t>NGPHC</t>
  </si>
  <si>
    <t>Port Harcourt</t>
  </si>
  <si>
    <t>NGOBO</t>
  </si>
  <si>
    <t>Que Oboe Terminal/Eket</t>
  </si>
  <si>
    <t>NGSOT</t>
  </si>
  <si>
    <t>Sango Otta</t>
  </si>
  <si>
    <t>NGSPL</t>
  </si>
  <si>
    <t>Sapele</t>
  </si>
  <si>
    <t>NGTIN</t>
  </si>
  <si>
    <t>Tincan/Lagos</t>
  </si>
  <si>
    <t>NGUKP</t>
  </si>
  <si>
    <t>Ukpokiti</t>
  </si>
  <si>
    <t>NGUSA</t>
  </si>
  <si>
    <t>Usan FPSO</t>
  </si>
  <si>
    <t>NGWAR</t>
  </si>
  <si>
    <t>Warri</t>
  </si>
  <si>
    <t>NIBEF</t>
  </si>
  <si>
    <t>Bluefields</t>
  </si>
  <si>
    <t>NICIO</t>
  </si>
  <si>
    <t>Corinto</t>
  </si>
  <si>
    <t>NIELB</t>
  </si>
  <si>
    <t>El Bluff</t>
  </si>
  <si>
    <t>NILM8</t>
  </si>
  <si>
    <t>Las Maderas</t>
  </si>
  <si>
    <t>NIMAC</t>
  </si>
  <si>
    <t>Masachapa</t>
  </si>
  <si>
    <t>NIMSP</t>
  </si>
  <si>
    <t>Masatepe</t>
  </si>
  <si>
    <t>NIPRI</t>
  </si>
  <si>
    <t>Prinzapolca</t>
  </si>
  <si>
    <t>NIPUZ</t>
  </si>
  <si>
    <t>Puerto Cabezas</t>
  </si>
  <si>
    <t>NIPIB</t>
  </si>
  <si>
    <t>Puerto Isabel</t>
  </si>
  <si>
    <t>NIPSN</t>
  </si>
  <si>
    <t>Puerto Sandino</t>
  </si>
  <si>
    <t>NIRAM</t>
  </si>
  <si>
    <t>Rama</t>
  </si>
  <si>
    <t>NISJS</t>
  </si>
  <si>
    <t>San Juan del Sur</t>
  </si>
  <si>
    <t>NITPA</t>
  </si>
  <si>
    <t>Tipitapa</t>
  </si>
  <si>
    <t>NI8LG</t>
  </si>
  <si>
    <t>Totogalpa</t>
  </si>
  <si>
    <t>NLAAM</t>
  </si>
  <si>
    <t>Aalsmeer</t>
  </si>
  <si>
    <t>NLAMB</t>
  </si>
  <si>
    <t>Aalsmeerderbrug</t>
  </si>
  <si>
    <t>NLAHO</t>
  </si>
  <si>
    <t>Achthoven</t>
  </si>
  <si>
    <t>NLAKL</t>
  </si>
  <si>
    <t>Akersloot</t>
  </si>
  <si>
    <t>NLABL</t>
  </si>
  <si>
    <t>Alblasserdam</t>
  </si>
  <si>
    <t>NLAWD</t>
  </si>
  <si>
    <t>Albrandswaard</t>
  </si>
  <si>
    <t>NLAML</t>
  </si>
  <si>
    <t>Ameland</t>
  </si>
  <si>
    <t>NLAME</t>
  </si>
  <si>
    <t>Amersfoort</t>
  </si>
  <si>
    <t>NLAMS</t>
  </si>
  <si>
    <t>Amsterdam</t>
  </si>
  <si>
    <t>NLBGE</t>
  </si>
  <si>
    <t>Baambrugge</t>
  </si>
  <si>
    <t>NLBRA</t>
  </si>
  <si>
    <t>Baarland</t>
  </si>
  <si>
    <t>NLBAN</t>
  </si>
  <si>
    <t>Bant</t>
  </si>
  <si>
    <t>NLBGO</t>
  </si>
  <si>
    <t>Barsingerhorn</t>
  </si>
  <si>
    <t>NLBHM</t>
  </si>
  <si>
    <t>Bartlehiem</t>
  </si>
  <si>
    <t>NLBSL</t>
  </si>
  <si>
    <t>Beesel</t>
  </si>
  <si>
    <t>NLBTS</t>
  </si>
  <si>
    <t>Beets</t>
  </si>
  <si>
    <t>NLBEG</t>
  </si>
  <si>
    <t>Bergen aan Zee</t>
  </si>
  <si>
    <t>NLBGI</t>
  </si>
  <si>
    <t>Bergerheide</t>
  </si>
  <si>
    <t>NLBLU</t>
  </si>
  <si>
    <t>Berlicum</t>
  </si>
  <si>
    <t>NLBEV</t>
  </si>
  <si>
    <t>Beverwijk</t>
  </si>
  <si>
    <t>NLBNZ</t>
  </si>
  <si>
    <t>Biddinghuizen</t>
  </si>
  <si>
    <t>NLBIT</t>
  </si>
  <si>
    <t>Biest</t>
  </si>
  <si>
    <t>NLBDR</t>
  </si>
  <si>
    <t>Bilderdam</t>
  </si>
  <si>
    <t>NLBNM</t>
  </si>
  <si>
    <t>Binnenmaas</t>
  </si>
  <si>
    <t>NLBDA</t>
  </si>
  <si>
    <t>Birdaard</t>
  </si>
  <si>
    <t>NLBNH</t>
  </si>
  <si>
    <t>Boarnsterhim</t>
  </si>
  <si>
    <t>NLBOG</t>
  </si>
  <si>
    <t>Bodegraven</t>
  </si>
  <si>
    <t>NLBZW</t>
  </si>
  <si>
    <t>Boornzwaag</t>
  </si>
  <si>
    <t>NLBWW</t>
  </si>
  <si>
    <t>Boornzwaag over de Wielen</t>
  </si>
  <si>
    <t>NLBGW</t>
  </si>
  <si>
    <t>Borgsweer</t>
  </si>
  <si>
    <t>NLBOR</t>
  </si>
  <si>
    <t>Borssele</t>
  </si>
  <si>
    <t>NLBSH</t>
  </si>
  <si>
    <t>Bosscherheide</t>
  </si>
  <si>
    <t>NLBOT</t>
  </si>
  <si>
    <t>Botlek</t>
  </si>
  <si>
    <t>NLBTA</t>
  </si>
  <si>
    <t>Bourtange</t>
  </si>
  <si>
    <t>NLBVI</t>
  </si>
  <si>
    <t>Bovensmilde</t>
  </si>
  <si>
    <t>NLBRS</t>
  </si>
  <si>
    <t>Breskens</t>
  </si>
  <si>
    <t>NLBRO</t>
  </si>
  <si>
    <t>Brouwershaven</t>
  </si>
  <si>
    <t>NLBUD</t>
  </si>
  <si>
    <t>Budel</t>
  </si>
  <si>
    <t>NLBNU</t>
  </si>
  <si>
    <t>Buggenum</t>
  </si>
  <si>
    <t>NLBNE</t>
  </si>
  <si>
    <t>Bunde</t>
  </si>
  <si>
    <t>NLBVG</t>
  </si>
  <si>
    <t>Burgervlotbrug</t>
  </si>
  <si>
    <t>NLBHS</t>
  </si>
  <si>
    <t>Burghsluis</t>
  </si>
  <si>
    <t>NLBWE</t>
  </si>
  <si>
    <t>Burgwerd</t>
  </si>
  <si>
    <t>NLSSO</t>
  </si>
  <si>
    <t>Bussloo</t>
  </si>
  <si>
    <t>NLCZD</t>
  </si>
  <si>
    <t>Cadzand</t>
  </si>
  <si>
    <t>NLCPD</t>
  </si>
  <si>
    <t>Camperduin</t>
  </si>
  <si>
    <t>NLCPI</t>
  </si>
  <si>
    <t>Capelle aan den IJssel</t>
  </si>
  <si>
    <t>NLCRI</t>
  </si>
  <si>
    <t>NLCDP</t>
  </si>
  <si>
    <t>De Cocksdorp</t>
  </si>
  <si>
    <t>NLDHK</t>
  </si>
  <si>
    <t>De Haukes</t>
  </si>
  <si>
    <t>NLDHE</t>
  </si>
  <si>
    <t>De Heen</t>
  </si>
  <si>
    <t>NLDKO</t>
  </si>
  <si>
    <t>De Kooy</t>
  </si>
  <si>
    <t>NLDRP</t>
  </si>
  <si>
    <t>De Rijp</t>
  </si>
  <si>
    <t>NLRUY</t>
  </si>
  <si>
    <t>de Ruyter</t>
  </si>
  <si>
    <t>NLDSO</t>
  </si>
  <si>
    <t>De Strook</t>
  </si>
  <si>
    <t>NLDST</t>
  </si>
  <si>
    <t>Deest</t>
  </si>
  <si>
    <t>NLDZL</t>
  </si>
  <si>
    <t>Delfzijl</t>
  </si>
  <si>
    <t>NLDMK</t>
  </si>
  <si>
    <t>Demmerik</t>
  </si>
  <si>
    <t>NLDBM</t>
  </si>
  <si>
    <t>Den Bommel</t>
  </si>
  <si>
    <t>NLDHR</t>
  </si>
  <si>
    <t>Den Helder</t>
  </si>
  <si>
    <t>NLDHO</t>
  </si>
  <si>
    <t>Den Hool</t>
  </si>
  <si>
    <t>NLDEV</t>
  </si>
  <si>
    <t>Deventer</t>
  </si>
  <si>
    <t>NLDVB</t>
  </si>
  <si>
    <t>Dieverbrug</t>
  </si>
  <si>
    <t>NLDWA</t>
  </si>
  <si>
    <t>Dodewaard</t>
  </si>
  <si>
    <t>NLDOK</t>
  </si>
  <si>
    <t>Dokkum</t>
  </si>
  <si>
    <t>NLDBR</t>
  </si>
  <si>
    <t>Domburg</t>
  </si>
  <si>
    <t>NLDSI</t>
  </si>
  <si>
    <t>Doodstil</t>
  </si>
  <si>
    <t>NLDOR</t>
  </si>
  <si>
    <t>Dordrecht</t>
  </si>
  <si>
    <t>NLND5</t>
  </si>
  <si>
    <t>Dreischor</t>
  </si>
  <si>
    <t>NLDUM</t>
  </si>
  <si>
    <t>Dreumel</t>
  </si>
  <si>
    <t>NLDRL</t>
  </si>
  <si>
    <t>Driel</t>
  </si>
  <si>
    <t>NLDSM</t>
  </si>
  <si>
    <t>Driesum</t>
  </si>
  <si>
    <t>NLDVT</t>
  </si>
  <si>
    <t>Duivendrecht</t>
  </si>
  <si>
    <t>NLDUG</t>
  </si>
  <si>
    <t>Dukenburg</t>
  </si>
  <si>
    <t>NLECD</t>
  </si>
  <si>
    <t>Echteld</t>
  </si>
  <si>
    <t>NLEHU</t>
  </si>
  <si>
    <t>Echtenerbrug</t>
  </si>
  <si>
    <t>NLEFE</t>
  </si>
  <si>
    <t>Eefde</t>
  </si>
  <si>
    <t>NLEEM</t>
  </si>
  <si>
    <t>Eemshaven</t>
  </si>
  <si>
    <t>NLEWO</t>
  </si>
  <si>
    <t>Eernewoude</t>
  </si>
  <si>
    <t>NLEKK</t>
  </si>
  <si>
    <t>Ekkersrijt</t>
  </si>
  <si>
    <t>NLELX</t>
  </si>
  <si>
    <t>Ell</t>
  </si>
  <si>
    <t>NLEPL</t>
  </si>
  <si>
    <t>Empel</t>
  </si>
  <si>
    <t>NLERA</t>
  </si>
  <si>
    <t>Erica</t>
  </si>
  <si>
    <t>NLEUR</t>
  </si>
  <si>
    <t>Europoort</t>
  </si>
  <si>
    <t>NLANK</t>
  </si>
  <si>
    <t>Everingen</t>
  </si>
  <si>
    <t>NLEWK</t>
  </si>
  <si>
    <t>Ewijk</t>
  </si>
  <si>
    <t>NLEXZ</t>
  </si>
  <si>
    <t>Exmorrazijl</t>
  </si>
  <si>
    <t>NLFJA</t>
  </si>
  <si>
    <t>Fonejacht</t>
  </si>
  <si>
    <t>NLFKP</t>
  </si>
  <si>
    <t>Fraamklap</t>
  </si>
  <si>
    <t>NLGKN</t>
  </si>
  <si>
    <t>Gaarkeuken</t>
  </si>
  <si>
    <t>NLGWO</t>
  </si>
  <si>
    <t>Garmerwolde</t>
  </si>
  <si>
    <t>NLGSS</t>
  </si>
  <si>
    <t>Gasselternijveen</t>
  </si>
  <si>
    <t>NLGWU</t>
  </si>
  <si>
    <t>Geeuwenbrug</t>
  </si>
  <si>
    <t>NLGLL</t>
  </si>
  <si>
    <t>Geulle</t>
  </si>
  <si>
    <t>NLGHO</t>
  </si>
  <si>
    <t>Giethoorn</t>
  </si>
  <si>
    <t>NLGDR</t>
  </si>
  <si>
    <t>Goedereede</t>
  </si>
  <si>
    <t>NLGUN</t>
  </si>
  <si>
    <t>Goudriaan</t>
  </si>
  <si>
    <t>NLGBG</t>
  </si>
  <si>
    <t>Gramsbergen</t>
  </si>
  <si>
    <t>NLGRK</t>
  </si>
  <si>
    <t>Groenendijk</t>
  </si>
  <si>
    <t>NLGRW</t>
  </si>
  <si>
    <t>Groeneweg</t>
  </si>
  <si>
    <t>NLGWD</t>
  </si>
  <si>
    <t>Groenewoud</t>
  </si>
  <si>
    <t>NLGRQ</t>
  </si>
  <si>
    <t>Groningen</t>
  </si>
  <si>
    <t>NLGDO</t>
  </si>
  <si>
    <t>Groot Dochteren</t>
  </si>
  <si>
    <t>NLHFN</t>
  </si>
  <si>
    <t>Haaften</t>
  </si>
  <si>
    <t>NLHBK</t>
  </si>
  <si>
    <t>Haaldersbroek</t>
  </si>
  <si>
    <t>NLHLR</t>
  </si>
  <si>
    <t>Haarlemmerliede</t>
  </si>
  <si>
    <t>NLHST</t>
  </si>
  <si>
    <t>Haghorst</t>
  </si>
  <si>
    <t>NLHAN</t>
  </si>
  <si>
    <t>Hansweert/Schore</t>
  </si>
  <si>
    <t>NLHGS</t>
  </si>
  <si>
    <t>Hardinxveld</t>
  </si>
  <si>
    <t>NLHRE</t>
  </si>
  <si>
    <t>NLHAR</t>
  </si>
  <si>
    <t>Harlingen</t>
  </si>
  <si>
    <t>NLHSK</t>
  </si>
  <si>
    <t>Harskamp</t>
  </si>
  <si>
    <t>NLHTM</t>
  </si>
  <si>
    <t>Hattem</t>
  </si>
  <si>
    <t>NLHVE</t>
  </si>
  <si>
    <t>Havelte</t>
  </si>
  <si>
    <t>NLHZK</t>
  </si>
  <si>
    <t>Hazeldonk</t>
  </si>
  <si>
    <t>NLHSW</t>
  </si>
  <si>
    <t>Heeswijk</t>
  </si>
  <si>
    <t>NLHKO</t>
  </si>
  <si>
    <t>Hekendorp</t>
  </si>
  <si>
    <t>NLHSL</t>
  </si>
  <si>
    <t>Hellevoetsluis</t>
  </si>
  <si>
    <t>NLHLM</t>
  </si>
  <si>
    <t>Helmond</t>
  </si>
  <si>
    <t>NLHPE</t>
  </si>
  <si>
    <t>Hempens</t>
  </si>
  <si>
    <t>NLHGL</t>
  </si>
  <si>
    <t>Hengelo</t>
  </si>
  <si>
    <t>NLHNZ</t>
  </si>
  <si>
    <t>Hengstdijk</t>
  </si>
  <si>
    <t>NLHUK</t>
  </si>
  <si>
    <t>Heukelum</t>
  </si>
  <si>
    <t>NLHUM</t>
  </si>
  <si>
    <t>Heumen</t>
  </si>
  <si>
    <t>NLHKM</t>
  </si>
  <si>
    <t>Hijkersmilde</t>
  </si>
  <si>
    <t>NLHVK</t>
  </si>
  <si>
    <t>Hilvarenbeek</t>
  </si>
  <si>
    <t>NLHVH</t>
  </si>
  <si>
    <t>Hoek van Holland</t>
  </si>
  <si>
    <t>NLHSO</t>
  </si>
  <si>
    <t>Holsloot</t>
  </si>
  <si>
    <t>NLHOT</t>
  </si>
  <si>
    <t>Holt</t>
  </si>
  <si>
    <t>NLHME</t>
  </si>
  <si>
    <t>Holtheme</t>
  </si>
  <si>
    <t>NLHLW</t>
  </si>
  <si>
    <t>Holwerd</t>
  </si>
  <si>
    <t>NLHTN</t>
  </si>
  <si>
    <t>Hontenisse</t>
  </si>
  <si>
    <t>NLHPL</t>
  </si>
  <si>
    <t>Hoofdplaat</t>
  </si>
  <si>
    <t>NLHMI</t>
  </si>
  <si>
    <t>Hoogersmilde</t>
  </si>
  <si>
    <t>NLHKK</t>
  </si>
  <si>
    <t>Hoogkerk</t>
  </si>
  <si>
    <t>NLHGM</t>
  </si>
  <si>
    <t>Hoogmade</t>
  </si>
  <si>
    <t>NLHPT</t>
  </si>
  <si>
    <t>Hoptille</t>
  </si>
  <si>
    <t>NLHUN</t>
  </si>
  <si>
    <t>Hunsel</t>
  </si>
  <si>
    <t>NLIJM</t>
  </si>
  <si>
    <t>IJmuiden/Velsen</t>
  </si>
  <si>
    <t>NLISM</t>
  </si>
  <si>
    <t>IJsselmuiden</t>
  </si>
  <si>
    <t>NLSL7</t>
  </si>
  <si>
    <t>Ijsselsteyn</t>
  </si>
  <si>
    <t>NLILO</t>
  </si>
  <si>
    <t>Illikhoven</t>
  </si>
  <si>
    <t>NLITR</t>
  </si>
  <si>
    <t>Itteren</t>
  </si>
  <si>
    <t>NLKKO</t>
  </si>
  <si>
    <t>Kakeshoek</t>
  </si>
  <si>
    <t>NLKAM</t>
  </si>
  <si>
    <t>Kampen</t>
  </si>
  <si>
    <t>NLKTN</t>
  </si>
  <si>
    <t>Kantens</t>
  </si>
  <si>
    <t>NLKTV</t>
  </si>
  <si>
    <t>Katerveer</t>
  </si>
  <si>
    <t>NLKAT</t>
  </si>
  <si>
    <t>Kats</t>
  </si>
  <si>
    <t>NLKWR</t>
  </si>
  <si>
    <t>Katwijk aan den Rijn</t>
  </si>
  <si>
    <t>NLKNT</t>
  </si>
  <si>
    <t>Keent</t>
  </si>
  <si>
    <t>NLKZV</t>
  </si>
  <si>
    <t>Keizersveer</t>
  </si>
  <si>
    <t>NLKPE</t>
  </si>
  <si>
    <t>Kelpen</t>
  </si>
  <si>
    <t>NLKRD</t>
  </si>
  <si>
    <t>Kerkdriel</t>
  </si>
  <si>
    <t>NLKHV</t>
  </si>
  <si>
    <t>Ketelhaven</t>
  </si>
  <si>
    <t>NLKLZ</t>
  </si>
  <si>
    <t>Klazienaveen</t>
  </si>
  <si>
    <t>NLKLV</t>
  </si>
  <si>
    <t>Kloosterveen</t>
  </si>
  <si>
    <t>NLKLU</t>
  </si>
  <si>
    <t>Klundert</t>
  </si>
  <si>
    <t>NLKHR</t>
  </si>
  <si>
    <t>Kolhorn</t>
  </si>
  <si>
    <t>NLKLM</t>
  </si>
  <si>
    <t>Kollum</t>
  </si>
  <si>
    <t>NLIJK</t>
  </si>
  <si>
    <t>Krabbendijke</t>
  </si>
  <si>
    <t>NLKMS</t>
  </si>
  <si>
    <t>Krammersluizen</t>
  </si>
  <si>
    <t>NLKRE</t>
  </si>
  <si>
    <t>Kreil</t>
  </si>
  <si>
    <t>NLKHO</t>
  </si>
  <si>
    <t>Kuikhorne</t>
  </si>
  <si>
    <t>NLLTS</t>
  </si>
  <si>
    <t>Laatste Stuiver</t>
  </si>
  <si>
    <t>NLLZA</t>
  </si>
  <si>
    <t>Lage Zwaluwe</t>
  </si>
  <si>
    <t>NLLGD</t>
  </si>
  <si>
    <t>Lageland</t>
  </si>
  <si>
    <t>NLLWE</t>
  </si>
  <si>
    <t>Lalleweer</t>
  </si>
  <si>
    <t>NLLGB</t>
  </si>
  <si>
    <t>Landgoed Baest</t>
  </si>
  <si>
    <t>NLLGI</t>
  </si>
  <si>
    <t>Langelille</t>
  </si>
  <si>
    <t>NLLWG</t>
  </si>
  <si>
    <t>Langeweg</t>
  </si>
  <si>
    <t>NLLAN</t>
  </si>
  <si>
    <t>Lauwersoog</t>
  </si>
  <si>
    <t>NLLES</t>
  </si>
  <si>
    <t>Leens</t>
  </si>
  <si>
    <t>NLLWR</t>
  </si>
  <si>
    <t>Leeuwarden</t>
  </si>
  <si>
    <t>NLLRU</t>
  </si>
  <si>
    <t>Leimuiderbrug</t>
  </si>
  <si>
    <t>NLLEM</t>
  </si>
  <si>
    <t>Lemsterland</t>
  </si>
  <si>
    <t>NLLEO</t>
  </si>
  <si>
    <t>Leons</t>
  </si>
  <si>
    <t>NLTTE</t>
  </si>
  <si>
    <t>Lettele</t>
  </si>
  <si>
    <t>NLLIE</t>
  </si>
  <si>
    <t>Lienden</t>
  </si>
  <si>
    <t>NLLIJ</t>
  </si>
  <si>
    <t>Lijnden</t>
  </si>
  <si>
    <t>NLLME</t>
  </si>
  <si>
    <t>Limmel</t>
  </si>
  <si>
    <t>NLLWO</t>
  </si>
  <si>
    <t>Lippenwoude</t>
  </si>
  <si>
    <t>NLLIT</t>
  </si>
  <si>
    <t>Lith</t>
  </si>
  <si>
    <t>NLLTO</t>
  </si>
  <si>
    <t>Lithoijen</t>
  </si>
  <si>
    <t>NLLNO</t>
  </si>
  <si>
    <t>Loenersloot</t>
  </si>
  <si>
    <t>NLMHU</t>
  </si>
  <si>
    <t>Maarhuizen</t>
  </si>
  <si>
    <t>NLMSB</t>
  </si>
  <si>
    <t>Maasbracht</t>
  </si>
  <si>
    <t>NLMSL</t>
  </si>
  <si>
    <t>Maassluis</t>
  </si>
  <si>
    <t>NLMST</t>
  </si>
  <si>
    <t>Maastricht</t>
  </si>
  <si>
    <t>NLMAK</t>
  </si>
  <si>
    <t>Makkum</t>
  </si>
  <si>
    <t>NLMJA</t>
  </si>
  <si>
    <t>Mandjeswaard</t>
  </si>
  <si>
    <t>NLMKN</t>
  </si>
  <si>
    <t>Marken</t>
  </si>
  <si>
    <t>NLMEW</t>
  </si>
  <si>
    <t>Meerlo-Wansum</t>
  </si>
  <si>
    <t>NLMNU</t>
  </si>
  <si>
    <t>Menaldum</t>
  </si>
  <si>
    <t>NLMSW</t>
  </si>
  <si>
    <t>Mensingeweer</t>
  </si>
  <si>
    <t>NLMEP</t>
  </si>
  <si>
    <t>Meppel</t>
  </si>
  <si>
    <t>NLMEH</t>
  </si>
  <si>
    <t>Mesch</t>
  </si>
  <si>
    <t>NLGE7</t>
  </si>
  <si>
    <t>Meteren</t>
  </si>
  <si>
    <t>NLMLA</t>
  </si>
  <si>
    <t>Middelaar</t>
  </si>
  <si>
    <t>NLMID</t>
  </si>
  <si>
    <t>Middelburg</t>
  </si>
  <si>
    <t>NLMIH</t>
  </si>
  <si>
    <t>Middelharnis</t>
  </si>
  <si>
    <t>NLMDU</t>
  </si>
  <si>
    <t>Middelstum</t>
  </si>
  <si>
    <t>NLMDI</t>
  </si>
  <si>
    <t>Middenbeemster</t>
  </si>
  <si>
    <t>NLMWD</t>
  </si>
  <si>
    <t>Midwolda</t>
  </si>
  <si>
    <t>NLMIE</t>
  </si>
  <si>
    <t>Mierlo</t>
  </si>
  <si>
    <t>NLMNH</t>
  </si>
  <si>
    <t>Mijnsheerenland</t>
  </si>
  <si>
    <t>NLMDT</t>
  </si>
  <si>
    <t>Mildert</t>
  </si>
  <si>
    <t>NLMLR</t>
  </si>
  <si>
    <t>Millingen aan de Rijn</t>
  </si>
  <si>
    <t>NLMOE</t>
  </si>
  <si>
    <t>Moerdijk</t>
  </si>
  <si>
    <t>NLMGT</t>
  </si>
  <si>
    <t>Molengat</t>
  </si>
  <si>
    <t>NLMOL</t>
  </si>
  <si>
    <t>Molenhoek</t>
  </si>
  <si>
    <t>NLMOK</t>
  </si>
  <si>
    <t>Mook</t>
  </si>
  <si>
    <t>NLMUD</t>
  </si>
  <si>
    <t>Muiden</t>
  </si>
  <si>
    <t>NLMDG</t>
  </si>
  <si>
    <t>Muiderberg</t>
  </si>
  <si>
    <t>NLMKE</t>
  </si>
  <si>
    <t>Munnekeburen</t>
  </si>
  <si>
    <t>NLNEC</t>
  </si>
  <si>
    <t>Neck</t>
  </si>
  <si>
    <t>NLNST</t>
  </si>
  <si>
    <t>Nederasselt</t>
  </si>
  <si>
    <t>NLNTJ</t>
  </si>
  <si>
    <t>Neeltje Jans</t>
  </si>
  <si>
    <t>NLNES</t>
  </si>
  <si>
    <t>Nes</t>
  </si>
  <si>
    <t>NLNSA</t>
  </si>
  <si>
    <t>Nes aan de Amstel</t>
  </si>
  <si>
    <t>NLNSU</t>
  </si>
  <si>
    <t>Nessersluis</t>
  </si>
  <si>
    <t>NLNAM</t>
  </si>
  <si>
    <t>Nieuw-Amsterdam</t>
  </si>
  <si>
    <t>NLNIU</t>
  </si>
  <si>
    <t>Nieuwdorp</t>
  </si>
  <si>
    <t>NLNBU</t>
  </si>
  <si>
    <t>Nieuwe Brug</t>
  </si>
  <si>
    <t>NLNSZ</t>
  </si>
  <si>
    <t>Nieuwe Statenzijl</t>
  </si>
  <si>
    <t>NLNBG</t>
  </si>
  <si>
    <t>Nieuwerbrug</t>
  </si>
  <si>
    <t>NLN8W</t>
  </si>
  <si>
    <t>Nieuwerkerke</t>
  </si>
  <si>
    <t>NLNWO</t>
  </si>
  <si>
    <t>Nieuwolda</t>
  </si>
  <si>
    <t>NLNSD</t>
  </si>
  <si>
    <t>Nieuw-Scheemda</t>
  </si>
  <si>
    <t>NLNGV</t>
  </si>
  <si>
    <t>Nigtevecht</t>
  </si>
  <si>
    <t>NLNZJ</t>
  </si>
  <si>
    <t>Nijezijl</t>
  </si>
  <si>
    <t>NLNZ8</t>
  </si>
  <si>
    <t>Noordeloos</t>
  </si>
  <si>
    <t>NLNWJ</t>
  </si>
  <si>
    <t>Noordwelle</t>
  </si>
  <si>
    <t>NLNDL</t>
  </si>
  <si>
    <t>Noordwijk aan Zee</t>
  </si>
  <si>
    <t>NLNRG</t>
  </si>
  <si>
    <t>Norg</t>
  </si>
  <si>
    <t>NLODL</t>
  </si>
  <si>
    <t>Odiliapeel</t>
  </si>
  <si>
    <t>NLOGP</t>
  </si>
  <si>
    <t>Ooltgensplaat</t>
  </si>
  <si>
    <t>NLOOS</t>
  </si>
  <si>
    <t>Oosterhout</t>
  </si>
  <si>
    <t>NLOLS</t>
  </si>
  <si>
    <t>Oosterlittens</t>
  </si>
  <si>
    <t>NLOME</t>
  </si>
  <si>
    <t>Oostermeer</t>
  </si>
  <si>
    <t>NLOHM</t>
  </si>
  <si>
    <t>Oosthem</t>
  </si>
  <si>
    <t>NLOHZ</t>
  </si>
  <si>
    <t>Oosthuizen</t>
  </si>
  <si>
    <t>NLOMH</t>
  </si>
  <si>
    <t>Oostmahorn</t>
  </si>
  <si>
    <t>NLOSS</t>
  </si>
  <si>
    <t>Oss</t>
  </si>
  <si>
    <t>NLOZL</t>
  </si>
  <si>
    <t>Ossenzijl</t>
  </si>
  <si>
    <t>NLORL</t>
  </si>
  <si>
    <t>Oterleek</t>
  </si>
  <si>
    <t>NLOGN</t>
  </si>
  <si>
    <t>Oud Gein</t>
  </si>
  <si>
    <t>NLA2Z</t>
  </si>
  <si>
    <t>Oud-Alblas</t>
  </si>
  <si>
    <t>NLOHW</t>
  </si>
  <si>
    <t>Oude Schouw</t>
  </si>
  <si>
    <t>NLOGA</t>
  </si>
  <si>
    <t>Oudega</t>
  </si>
  <si>
    <t>NLORJ</t>
  </si>
  <si>
    <t>Oudenrijn</t>
  </si>
  <si>
    <t>NLODR</t>
  </si>
  <si>
    <t>Ouderkerk aan de Amstel</t>
  </si>
  <si>
    <t>NLOSG</t>
  </si>
  <si>
    <t>Oud-Sabbinge</t>
  </si>
  <si>
    <t>NLOZU</t>
  </si>
  <si>
    <t>Oud-Zuilen</t>
  </si>
  <si>
    <t>NLOVG</t>
  </si>
  <si>
    <t>Overberg</t>
  </si>
  <si>
    <t>NLOSK</t>
  </si>
  <si>
    <t>Overschild</t>
  </si>
  <si>
    <t>NLPHL</t>
  </si>
  <si>
    <t>Panheel</t>
  </si>
  <si>
    <t>NLPER</t>
  </si>
  <si>
    <t>Pernis</t>
  </si>
  <si>
    <t>NLPZI</t>
  </si>
  <si>
    <t>Pieterzijl</t>
  </si>
  <si>
    <t>NLPTG</t>
  </si>
  <si>
    <t>Poortugaal</t>
  </si>
  <si>
    <t>NLRPL</t>
  </si>
  <si>
    <t>Ramspol</t>
  </si>
  <si>
    <t>NLREW</t>
  </si>
  <si>
    <t>Reimerswaal</t>
  </si>
  <si>
    <t>NLRNK</t>
  </si>
  <si>
    <t>Renkum</t>
  </si>
  <si>
    <t>NLRID</t>
  </si>
  <si>
    <t>Ridderkerk</t>
  </si>
  <si>
    <t>NLRED</t>
  </si>
  <si>
    <t>Ried</t>
  </si>
  <si>
    <t>NLRSW</t>
  </si>
  <si>
    <t>Rijnsaterwoude</t>
  </si>
  <si>
    <t>NLRIJ</t>
  </si>
  <si>
    <t>Rijs</t>
  </si>
  <si>
    <t>NLRSH</t>
  </si>
  <si>
    <t>Rijsenhout</t>
  </si>
  <si>
    <t>NLRLA</t>
  </si>
  <si>
    <t>Rilland</t>
  </si>
  <si>
    <t>NLXXX</t>
  </si>
  <si>
    <t>NLRBO</t>
  </si>
  <si>
    <t>Robbenoord</t>
  </si>
  <si>
    <t>NLROC</t>
  </si>
  <si>
    <t>Rockanje</t>
  </si>
  <si>
    <t>NLRST</t>
  </si>
  <si>
    <t>Roosteren</t>
  </si>
  <si>
    <t>NLRTM</t>
  </si>
  <si>
    <t>Rotterdam</t>
  </si>
  <si>
    <t>NLROZ</t>
  </si>
  <si>
    <t>Rozenburg</t>
  </si>
  <si>
    <t>NLRTG</t>
  </si>
  <si>
    <t>Rustenburg</t>
  </si>
  <si>
    <t>NLRUT</t>
  </si>
  <si>
    <t>Rutten</t>
  </si>
  <si>
    <t>NLSAB</t>
  </si>
  <si>
    <t>NLSVG</t>
  </si>
  <si>
    <t>Sas van Gent</t>
  </si>
  <si>
    <t>NLSBU</t>
  </si>
  <si>
    <t>Schagerbrug</t>
  </si>
  <si>
    <t>NLSKW</t>
  </si>
  <si>
    <t>Schalkwijk</t>
  </si>
  <si>
    <t>NLSRD</t>
  </si>
  <si>
    <t>Scharendijke</t>
  </si>
  <si>
    <t>NLSMZ</t>
  </si>
  <si>
    <t>Scheemderzwaag</t>
  </si>
  <si>
    <t>NLSHO</t>
  </si>
  <si>
    <t>Schermerhorn</t>
  </si>
  <si>
    <t>NLZE5</t>
  </si>
  <si>
    <t>Scherpenisse</t>
  </si>
  <si>
    <t>NLSCE</t>
  </si>
  <si>
    <t>Scheveningen</t>
  </si>
  <si>
    <t>NLSCI</t>
  </si>
  <si>
    <t>Schiedam</t>
  </si>
  <si>
    <t>NLSMO</t>
  </si>
  <si>
    <t>Schiermonnikoog</t>
  </si>
  <si>
    <t>NLSDW</t>
  </si>
  <si>
    <t>Schildwolde</t>
  </si>
  <si>
    <t>NLSRL</t>
  </si>
  <si>
    <t>Schoorl</t>
  </si>
  <si>
    <t>NLSZL</t>
  </si>
  <si>
    <t>Schoterzijl</t>
  </si>
  <si>
    <t>NLSWL</t>
  </si>
  <si>
    <t>Schouwerzijl</t>
  </si>
  <si>
    <t>NLGRA</t>
  </si>
  <si>
    <t>'s-Gravendeel</t>
  </si>
  <si>
    <t>NLGRZ</t>
  </si>
  <si>
    <t>'s-Gravenzande</t>
  </si>
  <si>
    <t>NLHTB</t>
  </si>
  <si>
    <t>'s-Hertogenbosch</t>
  </si>
  <si>
    <t>NLSBS</t>
  </si>
  <si>
    <t>Sijbrandahuis</t>
  </si>
  <si>
    <t>NLSAR</t>
  </si>
  <si>
    <t>Sint Andries</t>
  </si>
  <si>
    <t>NLSMV</t>
  </si>
  <si>
    <t>Sint Maartensvlotbrug</t>
  </si>
  <si>
    <t>NLANC</t>
  </si>
  <si>
    <t>Sint Pancras</t>
  </si>
  <si>
    <t>NLSNN</t>
  </si>
  <si>
    <t>Sint-Annaland</t>
  </si>
  <si>
    <t>NLSWK</t>
  </si>
  <si>
    <t>Sleeuwijk</t>
  </si>
  <si>
    <t>NLSKG</t>
  </si>
  <si>
    <t>Slijkenburg</t>
  </si>
  <si>
    <t>NLSKM</t>
  </si>
  <si>
    <t>Slikkendam</t>
  </si>
  <si>
    <t>NLSLO</t>
  </si>
  <si>
    <t>Slochteren</t>
  </si>
  <si>
    <t>NLSLT</t>
  </si>
  <si>
    <t>Sloten</t>
  </si>
  <si>
    <t>NLSLU</t>
  </si>
  <si>
    <t>Sluiskil</t>
  </si>
  <si>
    <t>NLSML</t>
  </si>
  <si>
    <t>Smallingerland</t>
  </si>
  <si>
    <t>NLSMI</t>
  </si>
  <si>
    <t>Smilde</t>
  </si>
  <si>
    <t>NLSON</t>
  </si>
  <si>
    <t>Son</t>
  </si>
  <si>
    <t>NLSPI</t>
  </si>
  <si>
    <t>Spijkenisse</t>
  </si>
  <si>
    <t>NLSCA</t>
  </si>
  <si>
    <t>Sprang</t>
  </si>
  <si>
    <t>NLSAT</t>
  </si>
  <si>
    <t>Stad aan 't Haringvliet</t>
  </si>
  <si>
    <t>NLSDM</t>
  </si>
  <si>
    <t>Stadsdam</t>
  </si>
  <si>
    <t>NLSDB</t>
  </si>
  <si>
    <t>Standdaarbuiten</t>
  </si>
  <si>
    <t>NLSVN</t>
  </si>
  <si>
    <t>Stavenisse</t>
  </si>
  <si>
    <t>NLSTD</t>
  </si>
  <si>
    <t>Stellendam</t>
  </si>
  <si>
    <t>NLSKL</t>
  </si>
  <si>
    <t>Stieltjeskanaal</t>
  </si>
  <si>
    <t>NLSOP</t>
  </si>
  <si>
    <t>Stolpen</t>
  </si>
  <si>
    <t>NLSPV</t>
  </si>
  <si>
    <t>Stolpervlotbrug</t>
  </si>
  <si>
    <t>NLSPT</t>
  </si>
  <si>
    <t>Stompetoren</t>
  </si>
  <si>
    <t>NLSRE</t>
  </si>
  <si>
    <t>Streefkerk</t>
  </si>
  <si>
    <t>NLSRT</t>
  </si>
  <si>
    <t>Stroe</t>
  </si>
  <si>
    <t>NLKRI</t>
  </si>
  <si>
    <t>'t Kruis</t>
  </si>
  <si>
    <t>NLLKN</t>
  </si>
  <si>
    <t>'t Leuken</t>
  </si>
  <si>
    <t>NLSTO</t>
  </si>
  <si>
    <t>'t Stort</t>
  </si>
  <si>
    <t>NLTWA</t>
  </si>
  <si>
    <t>'t Waar</t>
  </si>
  <si>
    <t>NLTHD</t>
  </si>
  <si>
    <t>Ter Heijde</t>
  </si>
  <si>
    <t>NLTRO</t>
  </si>
  <si>
    <t>Terhorne</t>
  </si>
  <si>
    <t>NLTMZ</t>
  </si>
  <si>
    <t>Termunterzijl</t>
  </si>
  <si>
    <t>NLTNZ</t>
  </si>
  <si>
    <t>Terneuzen</t>
  </si>
  <si>
    <t>NLTSL</t>
  </si>
  <si>
    <t>Terschelling</t>
  </si>
  <si>
    <t>NLTEX</t>
  </si>
  <si>
    <t>Texel</t>
  </si>
  <si>
    <t>NLTHO</t>
  </si>
  <si>
    <t>Tholen</t>
  </si>
  <si>
    <t>NLTKW</t>
  </si>
  <si>
    <t>Tjerkwerd</t>
  </si>
  <si>
    <t>NLTKM</t>
  </si>
  <si>
    <t>Tolkamer</t>
  </si>
  <si>
    <t>NLTOK</t>
  </si>
  <si>
    <t>Tollebeek</t>
  </si>
  <si>
    <t>NLTOR</t>
  </si>
  <si>
    <t>Torontostraat</t>
  </si>
  <si>
    <t>NLTUL</t>
  </si>
  <si>
    <t>Tuil</t>
  </si>
  <si>
    <t>NLUFE</t>
  </si>
  <si>
    <t>Uffelte</t>
  </si>
  <si>
    <t>NLUTR</t>
  </si>
  <si>
    <t>Uitermeer</t>
  </si>
  <si>
    <t>NLUTG</t>
  </si>
  <si>
    <t>Uitgeest</t>
  </si>
  <si>
    <t>NLULR</t>
  </si>
  <si>
    <t>Ulrum</t>
  </si>
  <si>
    <t>NLUMO</t>
  </si>
  <si>
    <t>Urmond</t>
  </si>
  <si>
    <t>NLNPZ</t>
  </si>
  <si>
    <t>Usquert</t>
  </si>
  <si>
    <t>NLVKS</t>
  </si>
  <si>
    <t>Valkenisse</t>
  </si>
  <si>
    <t>NLVAR</t>
  </si>
  <si>
    <t>Varsen</t>
  </si>
  <si>
    <t>NLNEV</t>
  </si>
  <si>
    <t>Veen</t>
  </si>
  <si>
    <t>NLVNO</t>
  </si>
  <si>
    <t>Veenoord</t>
  </si>
  <si>
    <t>NLVER</t>
  </si>
  <si>
    <t>NLVEL</t>
  </si>
  <si>
    <t>Velsen</t>
  </si>
  <si>
    <t>NLVSN</t>
  </si>
  <si>
    <t>Velsen-Noord</t>
  </si>
  <si>
    <t>NLVIE</t>
  </si>
  <si>
    <t>Vierlingsbeek</t>
  </si>
  <si>
    <t>NLVVL</t>
  </si>
  <si>
    <t>Vierverlaten</t>
  </si>
  <si>
    <t>NLVLA</t>
  </si>
  <si>
    <t>Vlaardingen</t>
  </si>
  <si>
    <t>NLVLL</t>
  </si>
  <si>
    <t>Vlieland</t>
  </si>
  <si>
    <t>NLVLI</t>
  </si>
  <si>
    <t>Vlissingen</t>
  </si>
  <si>
    <t>NLVGB</t>
  </si>
  <si>
    <t>Voetangelbrug</t>
  </si>
  <si>
    <t>NLVKR</t>
  </si>
  <si>
    <t>Volkerak</t>
  </si>
  <si>
    <t>NLVDN</t>
  </si>
  <si>
    <t>Vredenduin</t>
  </si>
  <si>
    <t>NLVRA</t>
  </si>
  <si>
    <t>Vrouwenakker</t>
  </si>
  <si>
    <t>NLWAA</t>
  </si>
  <si>
    <t>Waalre</t>
  </si>
  <si>
    <t>NLWDE</t>
  </si>
  <si>
    <t>Waarde</t>
  </si>
  <si>
    <t>NLWGW</t>
  </si>
  <si>
    <t>Wageningen</t>
  </si>
  <si>
    <t>NLWSO</t>
  </si>
  <si>
    <t>Walsoorden</t>
  </si>
  <si>
    <t>NLWAS</t>
  </si>
  <si>
    <t>Wanssum</t>
  </si>
  <si>
    <t>NLWHU</t>
  </si>
  <si>
    <t>Warfhuizen</t>
  </si>
  <si>
    <t>NLWTN</t>
  </si>
  <si>
    <t>Warten</t>
  </si>
  <si>
    <t>NLWHZ</t>
  </si>
  <si>
    <t>Waterhuizen</t>
  </si>
  <si>
    <t>NLWKS</t>
  </si>
  <si>
    <t>Weakens</t>
  </si>
  <si>
    <t>NLWHO</t>
  </si>
  <si>
    <t>Wehe-den Hoorn</t>
  </si>
  <si>
    <t>NLWEL</t>
  </si>
  <si>
    <t>Well</t>
  </si>
  <si>
    <t>NLWRP</t>
  </si>
  <si>
    <t>Welsrijp</t>
  </si>
  <si>
    <t>NLWKD</t>
  </si>
  <si>
    <t>Werkendam</t>
  </si>
  <si>
    <t>NLWBO</t>
  </si>
  <si>
    <t>Westbroek</t>
  </si>
  <si>
    <t>NLWBK</t>
  </si>
  <si>
    <t>Westerbork</t>
  </si>
  <si>
    <t>NLWGD</t>
  </si>
  <si>
    <t>West-Graftdijk</t>
  </si>
  <si>
    <t>NLWKP</t>
  </si>
  <si>
    <t>Westkapelle</t>
  </si>
  <si>
    <t>NLWTE</t>
  </si>
  <si>
    <t>West-Terschelling</t>
  </si>
  <si>
    <t>NLWTZ</t>
  </si>
  <si>
    <t>Westzaan</t>
  </si>
  <si>
    <t>NLWEU</t>
  </si>
  <si>
    <t>Weurt</t>
  </si>
  <si>
    <t>NLWRG</t>
  </si>
  <si>
    <t>Wieringen/Den Oever</t>
  </si>
  <si>
    <t>NLWGR</t>
  </si>
  <si>
    <t>Wieringermeer</t>
  </si>
  <si>
    <t>NLWIG</t>
  </si>
  <si>
    <t>Wijnbergen</t>
  </si>
  <si>
    <t>NLWHD</t>
  </si>
  <si>
    <t>Wilhelminadorp</t>
  </si>
  <si>
    <t>NLWNS</t>
  </si>
  <si>
    <t>Winsum</t>
  </si>
  <si>
    <t>NLWIU</t>
  </si>
  <si>
    <t>Wiuwert</t>
  </si>
  <si>
    <t>NLWKG</t>
  </si>
  <si>
    <t>Wolsumerketting</t>
  </si>
  <si>
    <t>NLMKM</t>
  </si>
  <si>
    <t>Wonseradeel/Makkum</t>
  </si>
  <si>
    <t>NLWKU</t>
  </si>
  <si>
    <t>Workum</t>
  </si>
  <si>
    <t>NLWMO</t>
  </si>
  <si>
    <t>Wormer</t>
  </si>
  <si>
    <t>NLWCM</t>
  </si>
  <si>
    <t>Woudrichem</t>
  </si>
  <si>
    <t>NLZAA</t>
  </si>
  <si>
    <t>Zaandam</t>
  </si>
  <si>
    <t>NLZPO</t>
  </si>
  <si>
    <t>Zandpol</t>
  </si>
  <si>
    <t>NLZVG</t>
  </si>
  <si>
    <t>Zevenbergen</t>
  </si>
  <si>
    <t>NLZIE</t>
  </si>
  <si>
    <t>Zierikzee</t>
  </si>
  <si>
    <t>NLZPS</t>
  </si>
  <si>
    <t>Zijpersluis</t>
  </si>
  <si>
    <t>NLZOU</t>
  </si>
  <si>
    <t>Zoeterwoude</t>
  </si>
  <si>
    <t>NLZLD</t>
  </si>
  <si>
    <t>Zoutelande</t>
  </si>
  <si>
    <t>NLZBO</t>
  </si>
  <si>
    <t>Zuidbroek</t>
  </si>
  <si>
    <t>NLZEI</t>
  </si>
  <si>
    <t>Zuideinde</t>
  </si>
  <si>
    <t>NLZDL</t>
  </si>
  <si>
    <t>Zuidlaren</t>
  </si>
  <si>
    <t>NLZHO</t>
  </si>
  <si>
    <t>Zwaanshoek</t>
  </si>
  <si>
    <t>NLZWS</t>
  </si>
  <si>
    <t>Zwartsluis</t>
  </si>
  <si>
    <t>NLZWI</t>
  </si>
  <si>
    <t>NLZWN</t>
  </si>
  <si>
    <t>Zwinderen</t>
  </si>
  <si>
    <t>NOAAA</t>
  </si>
  <si>
    <t>NOABE</t>
  </si>
  <si>
    <t>Abelnes</t>
  </si>
  <si>
    <t>NOABV</t>
  </si>
  <si>
    <t>NOAAF</t>
  </si>
  <si>
    <t>NOAGD</t>
  </si>
  <si>
    <t>Agdenes</t>
  </si>
  <si>
    <t>NOAFT</t>
  </si>
  <si>
    <t>Agnefest</t>
  </si>
  <si>
    <t>NOAGO</t>
  </si>
  <si>
    <t>NOAGK</t>
  </si>
  <si>
    <t>NOAHM</t>
  </si>
  <si>
    <t>NOAKK</t>
  </si>
  <si>
    <t>Akkarfjord</t>
  </si>
  <si>
    <t>NOAKM</t>
  </si>
  <si>
    <t>NOALE</t>
  </si>
  <si>
    <t>NOAES</t>
  </si>
  <si>
    <t>NOALS</t>
  </si>
  <si>
    <t>Alstahaug</t>
  </si>
  <si>
    <t>NOALF</t>
  </si>
  <si>
    <t>Alta</t>
  </si>
  <si>
    <t>NOAAV</t>
  </si>
  <si>
    <t>NOALV</t>
  </si>
  <si>
    <t>Alvika</t>
  </si>
  <si>
    <t>NOAND</t>
  </si>
  <si>
    <t>NOADN</t>
  </si>
  <si>
    <t>Andenes</t>
  </si>
  <si>
    <t>NOADY</t>
  </si>
  <si>
    <t>NOAFS</t>
  </si>
  <si>
    <t>Anfinnsletta</t>
  </si>
  <si>
    <t>NOANS</t>
  </si>
  <si>
    <t>Ansnes</t>
  </si>
  <si>
    <t>NOAAN</t>
  </si>
  <si>
    <t>NOARH</t>
  </si>
  <si>
    <t>NOARD</t>
  </si>
  <si>
    <t>NOARE</t>
  </si>
  <si>
    <t>Arendal</t>
  </si>
  <si>
    <t>NOARF</t>
  </si>
  <si>
    <t>Arnafjord</t>
  </si>
  <si>
    <t>NOARM</t>
  </si>
  <si>
    <t>NOASY</t>
  </si>
  <si>
    <t>NOASL</t>
  </si>
  <si>
    <t>Askvoll</t>
  </si>
  <si>
    <t>NOATA</t>
  </si>
  <si>
    <t>NOATL</t>
  </si>
  <si>
    <t>NOAUK</t>
  </si>
  <si>
    <t>Aukra</t>
  </si>
  <si>
    <t>NOAUE</t>
  </si>
  <si>
    <t>Aure</t>
  </si>
  <si>
    <t>NOAUL</t>
  </si>
  <si>
    <t>Aurland</t>
  </si>
  <si>
    <t>NOASV</t>
  </si>
  <si>
    <t>Austevoll</t>
  </si>
  <si>
    <t>NOASH</t>
  </si>
  <si>
    <t>Austrheim</t>
  </si>
  <si>
    <t>NOAUS</t>
  </si>
  <si>
    <t>Austvika</t>
  </si>
  <si>
    <t>NOAVA</t>
  </si>
  <si>
    <t>Avaldsnes</t>
  </si>
  <si>
    <t>NOAVE</t>
  </si>
  <si>
    <t>NOBLS</t>
  </si>
  <si>
    <t>Balestrand</t>
  </si>
  <si>
    <t>NOBLL</t>
  </si>
  <si>
    <t>Ballangen</t>
  </si>
  <si>
    <t>NOBSD</t>
  </si>
  <si>
    <t>Ballstad</t>
  </si>
  <si>
    <t>NOBAF</t>
  </si>
  <si>
    <t>Balsfjord</t>
  </si>
  <si>
    <t>NOBAL</t>
  </si>
  <si>
    <t>NOBAM</t>
  </si>
  <si>
    <t>Bamble</t>
  </si>
  <si>
    <t>NOBAR</t>
  </si>
  <si>
    <t>NOBJF</t>
  </si>
  <si>
    <t>NOBEJ</t>
  </si>
  <si>
    <t>Beiarn</t>
  </si>
  <si>
    <t>NOBEL</t>
  </si>
  <si>
    <t>Bellvika</t>
  </si>
  <si>
    <t>NOBER</t>
  </si>
  <si>
    <t>Berg</t>
  </si>
  <si>
    <t>NOBGO</t>
  </si>
  <si>
    <t>Bergen</t>
  </si>
  <si>
    <t>NOBGN</t>
  </si>
  <si>
    <t>Bergneset</t>
  </si>
  <si>
    <t>NOBFJ</t>
  </si>
  <si>
    <t>Bergsfjord</t>
  </si>
  <si>
    <t>NOBVG</t>
  </si>
  <si>
    <t>NOBIN</t>
  </si>
  <si>
    <t>Bindal</t>
  </si>
  <si>
    <t>NOBIS</t>
  </si>
  <si>
    <t>Bismo</t>
  </si>
  <si>
    <t>NOBJY</t>
  </si>
  <si>
    <t>NOBKV</t>
  </si>
  <si>
    <t>Bjerkvik</t>
  </si>
  <si>
    <t>NOBJD</t>
  </si>
  <si>
    <t>Bjordal</t>
  </si>
  <si>
    <t>NOBJX</t>
  </si>
  <si>
    <t>NOBJU</t>
  </si>
  <si>
    <t>Bjugn</t>
  </si>
  <si>
    <t>NOBLK</t>
  </si>
  <si>
    <t>Bleik</t>
  </si>
  <si>
    <t>NOBLO</t>
  </si>
  <si>
    <t>Blokken</t>
  </si>
  <si>
    <t>NOBLV</t>
  </si>
  <si>
    <t>NOBOO</t>
  </si>
  <si>
    <t>NOBOG</t>
  </si>
  <si>
    <t>Bogen</t>
  </si>
  <si>
    <t>NOBON</t>
  </si>
  <si>
    <t>Bognes</t>
  </si>
  <si>
    <t>NOOYB</t>
  </si>
  <si>
    <t>NOBOK</t>
  </si>
  <si>
    <t>Bokn</t>
  </si>
  <si>
    <t>NOBOM</t>
  </si>
  <si>
    <t>NOBOE</t>
  </si>
  <si>
    <t>NOBOS</t>
  </si>
  <si>
    <t>Borkenes</t>
  </si>
  <si>
    <t>NOBRR</t>
  </si>
  <si>
    <t>NOSBT</t>
  </si>
  <si>
    <t>NOBTN</t>
  </si>
  <si>
    <t>Botnaneset - Flora</t>
  </si>
  <si>
    <t>NOBTH</t>
  </si>
  <si>
    <t>Botnhamn</t>
  </si>
  <si>
    <t>NOBOV</t>
  </si>
  <si>
    <t>NOBKD</t>
  </si>
  <si>
    <t>Brakstad</t>
  </si>
  <si>
    <t>NOBRN</t>
  </si>
  <si>
    <t>Brandasund</t>
  </si>
  <si>
    <t>NOBSF</t>
  </si>
  <si>
    <t>Brandsfjord</t>
  </si>
  <si>
    <t>NOBRV</t>
  </si>
  <si>
    <t>NOBVR</t>
  </si>
  <si>
    <t>Breiviga</t>
  </si>
  <si>
    <t>NOBVB</t>
  </si>
  <si>
    <t>Breivikbotn</t>
  </si>
  <si>
    <t>NOBKS</t>
  </si>
  <si>
    <t>Brekstad</t>
  </si>
  <si>
    <t>NOBRE</t>
  </si>
  <si>
    <t>Bremanger</t>
  </si>
  <si>
    <t>NOBRH</t>
  </si>
  <si>
    <t>Brensholmen</t>
  </si>
  <si>
    <t>NOBTS</t>
  </si>
  <si>
    <t>Brettesnes</t>
  </si>
  <si>
    <t>NOBVK</t>
  </si>
  <si>
    <t>Brevik</t>
  </si>
  <si>
    <t>NOBRO</t>
  </si>
  <si>
    <t>NOBNN</t>
  </si>
  <si>
    <t>NOBUG</t>
  </si>
  <si>
    <t>NOBUF</t>
  </si>
  <si>
    <t>Burfjord</t>
  </si>
  <si>
    <t>NOBUV</t>
  </si>
  <si>
    <t>Buvika</t>
  </si>
  <si>
    <t>NOBYN</t>
  </si>
  <si>
    <t>NOBYS</t>
  </si>
  <si>
    <t>Bygstad</t>
  </si>
  <si>
    <t>NOBYR</t>
  </si>
  <si>
    <t>NODFJ</t>
  </si>
  <si>
    <t>NODSF</t>
  </si>
  <si>
    <t>Dale</t>
  </si>
  <si>
    <t>NODIM</t>
  </si>
  <si>
    <t>Dimmelsvik</t>
  </si>
  <si>
    <t>NODIR</t>
  </si>
  <si>
    <t>Dirdal</t>
  </si>
  <si>
    <t>NODJU</t>
  </si>
  <si>
    <t>Djupvik</t>
  </si>
  <si>
    <t>NODOL</t>
  </si>
  <si>
    <t>NODON</t>
  </si>
  <si>
    <t>NODRG</t>
  </si>
  <si>
    <t>Drag</t>
  </si>
  <si>
    <t>NODRM</t>
  </si>
  <si>
    <t>Drammen</t>
  </si>
  <si>
    <t>NODRK</t>
  </si>
  <si>
    <t>NODUS</t>
  </si>
  <si>
    <t>Dusavik</t>
  </si>
  <si>
    <t>NODYY</t>
  </si>
  <si>
    <t>NODYL</t>
  </si>
  <si>
    <t>NODYD</t>
  </si>
  <si>
    <t>Dyrstad</t>
  </si>
  <si>
    <t>NODYR</t>
  </si>
  <si>
    <t>Dyrvik</t>
  </si>
  <si>
    <t>NOEGE</t>
  </si>
  <si>
    <t>Egersund</t>
  </si>
  <si>
    <t>NOEGG</t>
  </si>
  <si>
    <t>NOEID</t>
  </si>
  <si>
    <t>Eid</t>
  </si>
  <si>
    <t>NOEIF</t>
  </si>
  <si>
    <t>Eidangerfjorden</t>
  </si>
  <si>
    <t>NOEDE</t>
  </si>
  <si>
    <t>Eide</t>
  </si>
  <si>
    <t>NOEDS</t>
  </si>
  <si>
    <t>Eide Sotra</t>
  </si>
  <si>
    <t>NOEDT</t>
  </si>
  <si>
    <t>Eidet</t>
  </si>
  <si>
    <t>NOEDF</t>
  </si>
  <si>
    <t>Eidfjord</t>
  </si>
  <si>
    <t>NOEDD</t>
  </si>
  <si>
    <t>Eidsdal</t>
  </si>
  <si>
    <t>NOEIL</t>
  </si>
  <si>
    <t>Eidslandet</t>
  </si>
  <si>
    <t>NOEGD</t>
  </si>
  <si>
    <t>Eigersund</t>
  </si>
  <si>
    <t>NOEKF</t>
  </si>
  <si>
    <t>Eikefet</t>
  </si>
  <si>
    <t>NOEIK</t>
  </si>
  <si>
    <t>Eikefjord</t>
  </si>
  <si>
    <t>NOELO</t>
  </si>
  <si>
    <t>Eikelandsosen</t>
  </si>
  <si>
    <t>NOEVV</t>
  </si>
  <si>
    <t>Eivindvik</t>
  </si>
  <si>
    <t>NOELL</t>
  </si>
  <si>
    <t>NOELN</t>
  </si>
  <si>
    <t>NOENG</t>
  </si>
  <si>
    <t>Engene</t>
  </si>
  <si>
    <t>NOERF</t>
  </si>
  <si>
    <t>Erfjord - Suldal</t>
  </si>
  <si>
    <t>NODDY</t>
  </si>
  <si>
    <t>Espenesbogen</t>
  </si>
  <si>
    <t>NOESP</t>
  </si>
  <si>
    <t>Espevik</t>
  </si>
  <si>
    <t>NOETN</t>
  </si>
  <si>
    <t>Etne</t>
  </si>
  <si>
    <t>NOEVT</t>
  </si>
  <si>
    <t>Evenestangen</t>
  </si>
  <si>
    <t>NOEYD</t>
  </si>
  <si>
    <t>Eydehavn</t>
  </si>
  <si>
    <t>NOFAX</t>
  </si>
  <si>
    <t>Fagerstrand</t>
  </si>
  <si>
    <t>NOFAN</t>
  </si>
  <si>
    <t>Farsund</t>
  </si>
  <si>
    <t>NOFAU</t>
  </si>
  <si>
    <t>Fauske</t>
  </si>
  <si>
    <t>NOFED</t>
  </si>
  <si>
    <t>Fedje</t>
  </si>
  <si>
    <t>NOFSV</t>
  </si>
  <si>
    <t>NOFND</t>
  </si>
  <si>
    <t>Finneid</t>
  </si>
  <si>
    <t>NOFIN</t>
  </si>
  <si>
    <t>Finneidfjord</t>
  </si>
  <si>
    <t>NOFFB</t>
  </si>
  <si>
    <t>Finnfjordbotn</t>
  </si>
  <si>
    <t>NOFNY</t>
  </si>
  <si>
    <t>NOFNE</t>
  </si>
  <si>
    <t>Finnsnes</t>
  </si>
  <si>
    <t>NOFSK</t>
  </si>
  <si>
    <t>NOFST</t>
  </si>
  <si>
    <t>Fiskarstrand</t>
  </si>
  <si>
    <t>NOFBL</t>
  </si>
  <si>
    <t>NOFIT</t>
  </si>
  <si>
    <t>Fitjar</t>
  </si>
  <si>
    <t>NOFJA</t>
  </si>
  <si>
    <t>Fjaler</t>
  </si>
  <si>
    <t>NOFYS</t>
  </si>
  <si>
    <t>NOFJE</t>
  </si>
  <si>
    <t>Fjell</t>
  </si>
  <si>
    <t>NOFJL</t>
  </si>
  <si>
    <t>Fjelldal</t>
  </si>
  <si>
    <t>NOFSD</t>
  </si>
  <si>
    <t>Fjellstrand</t>
  </si>
  <si>
    <t>NOFKS</t>
  </si>
  <si>
    <t>Flakstad</t>
  </si>
  <si>
    <t>NOFLA</t>
  </si>
  <si>
    <t>NOFLT</t>
  </si>
  <si>
    <t>Flatanger</t>
  </si>
  <si>
    <t>NOFLY</t>
  </si>
  <si>
    <t>NOFFD</t>
  </si>
  <si>
    <t>Flekkefjord</t>
  </si>
  <si>
    <t>NOFLM</t>
  </si>
  <si>
    <t>Flem</t>
  </si>
  <si>
    <t>NOFLR</t>
  </si>
  <si>
    <t>Flora</t>
  </si>
  <si>
    <t>NOFRO</t>
  </si>
  <si>
    <t>NOFLO</t>
  </si>
  <si>
    <t>NOFOL</t>
  </si>
  <si>
    <t>Follafoss</t>
  </si>
  <si>
    <t>NOFNN</t>
  </si>
  <si>
    <t>Fonnes</t>
  </si>
  <si>
    <t>NOFDE</t>
  </si>
  <si>
    <t>NOFNS</t>
  </si>
  <si>
    <t>Fornes</t>
  </si>
  <si>
    <t>NOFON</t>
  </si>
  <si>
    <t>NOFOR</t>
  </si>
  <si>
    <t>Forsand</t>
  </si>
  <si>
    <t>NOFSL</t>
  </si>
  <si>
    <t>NOFRS</t>
  </si>
  <si>
    <t>Forus</t>
  </si>
  <si>
    <t>NOFOS</t>
  </si>
  <si>
    <t>NOFSN</t>
  </si>
  <si>
    <t>Fosnes</t>
  </si>
  <si>
    <t>NOFOI</t>
  </si>
  <si>
    <t>Fossing</t>
  </si>
  <si>
    <t>NOFRE</t>
  </si>
  <si>
    <t>NOOLT</t>
  </si>
  <si>
    <t>Frafjord</t>
  </si>
  <si>
    <t>NOFRK</t>
  </si>
  <si>
    <t>Fredrikstad</t>
  </si>
  <si>
    <t>NOFRJ</t>
  </si>
  <si>
    <t>Frei</t>
  </si>
  <si>
    <t>NOFKG</t>
  </si>
  <si>
    <t>Frekhaug</t>
  </si>
  <si>
    <t>NOFOA</t>
  </si>
  <si>
    <t>Froan</t>
  </si>
  <si>
    <t>NOFRN</t>
  </si>
  <si>
    <t>Frogn</t>
  </si>
  <si>
    <t>NOFRT</t>
  </si>
  <si>
    <t>Frosta</t>
  </si>
  <si>
    <t>NOFRA</t>
  </si>
  <si>
    <t>NOFUS</t>
  </si>
  <si>
    <t>Fusa</t>
  </si>
  <si>
    <t>NOGAM</t>
  </si>
  <si>
    <t>Gamvik</t>
  </si>
  <si>
    <t>NOGAU</t>
  </si>
  <si>
    <t>Gaular</t>
  </si>
  <si>
    <t>NOGPN</t>
  </si>
  <si>
    <t>Gaupne</t>
  </si>
  <si>
    <t>NOGIL</t>
  </si>
  <si>
    <t>NOGIS</t>
  </si>
  <si>
    <t>Giske</t>
  </si>
  <si>
    <t>NOGIK</t>
  </si>
  <si>
    <t>Gismarvik</t>
  </si>
  <si>
    <t>NOGJM</t>
  </si>
  <si>
    <t>Gjemnes</t>
  </si>
  <si>
    <t>NOROM</t>
  </si>
  <si>
    <t>Gjerdsvika</t>
  </si>
  <si>
    <t>NOGJS</t>
  </si>
  <si>
    <t>Gjesdal</t>
  </si>
  <si>
    <t>NOGJV</t>
  </si>
  <si>
    <t>NOGJD</t>
  </si>
  <si>
    <t>NONZL</t>
  </si>
  <si>
    <t>NOGLO</t>
  </si>
  <si>
    <t>Glomfjord</t>
  </si>
  <si>
    <t>NOGLP</t>
  </si>
  <si>
    <t>Gloppen</t>
  </si>
  <si>
    <t>NOGOO</t>
  </si>
  <si>
    <t>NOGRV</t>
  </si>
  <si>
    <t>Granvin</t>
  </si>
  <si>
    <t>NOGRT</t>
  </si>
  <si>
    <t>Gratangen</t>
  </si>
  <si>
    <t>NOGRD</t>
  </si>
  <si>
    <t>Gravdal</t>
  </si>
  <si>
    <t>NOGTD</t>
  </si>
  <si>
    <t>Grimstad</t>
  </si>
  <si>
    <t>NOGRP</t>
  </si>
  <si>
    <t>Grip</t>
  </si>
  <si>
    <t>NOGOT</t>
  </si>
  <si>
    <t>NOGRF</t>
  </si>
  <si>
    <t>Grovfjord</t>
  </si>
  <si>
    <t>NOGRY</t>
  </si>
  <si>
    <t>Gryllefjord</t>
  </si>
  <si>
    <t>NOGRS</t>
  </si>
  <si>
    <t>Grytestranda</t>
  </si>
  <si>
    <t>NOGUD</t>
  </si>
  <si>
    <t>Gudvangen</t>
  </si>
  <si>
    <t>NOGUL</t>
  </si>
  <si>
    <t>Gulen</t>
  </si>
  <si>
    <t>NOGHV</t>
  </si>
  <si>
    <t>NOGUR</t>
  </si>
  <si>
    <t>Gursken</t>
  </si>
  <si>
    <t>NOGUT</t>
  </si>
  <si>
    <t>Gutvik</t>
  </si>
  <si>
    <t>NOHAA</t>
  </si>
  <si>
    <t>NOHAD</t>
  </si>
  <si>
    <t>Hadsel</t>
  </si>
  <si>
    <t>NOHEM</t>
  </si>
  <si>
    <t>NOHAL</t>
  </si>
  <si>
    <t>Halden</t>
  </si>
  <si>
    <t>NOHLS</t>
  </si>
  <si>
    <t>Halsa</t>
  </si>
  <si>
    <t>NOHSA</t>
  </si>
  <si>
    <t>NOHAZ</t>
  </si>
  <si>
    <t>NOHAN</t>
  </si>
  <si>
    <t>Halvorshavn</t>
  </si>
  <si>
    <t>NOHMY</t>
  </si>
  <si>
    <t>NONIA</t>
  </si>
  <si>
    <t>NOHFL</t>
  </si>
  <si>
    <t>Hammerfall</t>
  </si>
  <si>
    <t>NOHFT</t>
  </si>
  <si>
    <t>Hammerfest</t>
  </si>
  <si>
    <t>NOHBT</t>
  </si>
  <si>
    <t>Hamnbukt - Porsanger</t>
  </si>
  <si>
    <t>NOHOT</t>
  </si>
  <si>
    <t>NOHAE</t>
  </si>
  <si>
    <t>Hansnes</t>
  </si>
  <si>
    <t>NOHAR</t>
  </si>
  <si>
    <t>Haram</t>
  </si>
  <si>
    <t>NOHRI</t>
  </si>
  <si>
    <t>Hareid</t>
  </si>
  <si>
    <t>NOHRS</t>
  </si>
  <si>
    <t>NOHRD</t>
  </si>
  <si>
    <t>Harstad</t>
  </si>
  <si>
    <t>NOHVK</t>
  </si>
  <si>
    <t>Hasvik</t>
  </si>
  <si>
    <t>NOHAU</t>
  </si>
  <si>
    <t>Haugesund</t>
  </si>
  <si>
    <t>NOHSV</t>
  </si>
  <si>
    <t>Hausvikstrand</t>
  </si>
  <si>
    <t>NOHVI</t>
  </si>
  <si>
    <t>NOHAV</t>
  </si>
  <si>
    <t>NOHGR</t>
  </si>
  <si>
    <t>Hegreneset</t>
  </si>
  <si>
    <t>NOHEK</t>
  </si>
  <si>
    <t>Hekkelstrand</t>
  </si>
  <si>
    <t>NOHLE</t>
  </si>
  <si>
    <t>Helle - Forsand</t>
  </si>
  <si>
    <t>NOHKR</t>
  </si>
  <si>
    <t>NOHSY</t>
  </si>
  <si>
    <t>Hellesylt</t>
  </si>
  <si>
    <t>NOHEV</t>
  </si>
  <si>
    <t>NOHEL</t>
  </si>
  <si>
    <t>Hellvik</t>
  </si>
  <si>
    <t>NOHME</t>
  </si>
  <si>
    <t>Hemne</t>
  </si>
  <si>
    <t>NOHMS</t>
  </si>
  <si>
    <t>Hemnes</t>
  </si>
  <si>
    <t>NOHNE</t>
  </si>
  <si>
    <t>Hemnesberget</t>
  </si>
  <si>
    <t>NOHEN</t>
  </si>
  <si>
    <t>NOHEF</t>
  </si>
  <si>
    <t>Herfjord</t>
  </si>
  <si>
    <t>NOHER</t>
  </si>
  <si>
    <t>Hermansverk</t>
  </si>
  <si>
    <t>NOHEY</t>
  </si>
  <si>
    <t>NOHRO</t>
  </si>
  <si>
    <t>NOHRY</t>
  </si>
  <si>
    <t>NOHET</t>
  </si>
  <si>
    <t>NOHRR</t>
  </si>
  <si>
    <t>Herre</t>
  </si>
  <si>
    <t>NOHES</t>
  </si>
  <si>
    <t>Hestvika</t>
  </si>
  <si>
    <t>NOHIT</t>
  </si>
  <si>
    <t>Hitra</t>
  </si>
  <si>
    <t>NOHJL</t>
  </si>
  <si>
    <t>Hjelmeland</t>
  </si>
  <si>
    <t>NOHJJ</t>
  </si>
  <si>
    <t>Hjelset</t>
  </si>
  <si>
    <t>NOHJO</t>
  </si>
  <si>
    <t>NOHOF</t>
  </si>
  <si>
    <t>Hof</t>
  </si>
  <si>
    <t>NOHOG</t>
  </si>
  <si>
    <t>NOHOA</t>
  </si>
  <si>
    <t>Holla</t>
  </si>
  <si>
    <t>NOHLL</t>
  </si>
  <si>
    <t>NOHOL</t>
  </si>
  <si>
    <t>Holmestrand</t>
  </si>
  <si>
    <t>NOHOK</t>
  </si>
  <si>
    <t>Hommelvik</t>
  </si>
  <si>
    <t>NOHVG</t>
  </si>
  <si>
    <t>Hopen</t>
  </si>
  <si>
    <t>NOHRV</t>
  </si>
  <si>
    <t>Hordvik</t>
  </si>
  <si>
    <t>NOHOO</t>
  </si>
  <si>
    <t>NOHOR</t>
  </si>
  <si>
    <t>Horten</t>
  </si>
  <si>
    <t>NOHSL</t>
  </si>
  <si>
    <t>Hovland</t>
  </si>
  <si>
    <t>NOHYR</t>
  </si>
  <si>
    <t>NOHLB</t>
  </si>
  <si>
    <t>NOHHA</t>
  </si>
  <si>
    <t>Hufthammar</t>
  </si>
  <si>
    <t>NOHMV</t>
  </si>
  <si>
    <t>Hummelvik</t>
  </si>
  <si>
    <t>NOHUD</t>
  </si>
  <si>
    <t>Hundeidvika</t>
  </si>
  <si>
    <t>NOHUR</t>
  </si>
  <si>
    <t>Hurum</t>
  </si>
  <si>
    <t>NOHUS</t>
  </si>
  <si>
    <t>Husnes</t>
  </si>
  <si>
    <t>NOHSO</t>
  </si>
  <si>
    <t>NOHSS</t>
  </si>
  <si>
    <t>NOHOY</t>
  </si>
  <si>
    <t>NOHVA</t>
  </si>
  <si>
    <t>Hvaler</t>
  </si>
  <si>
    <t>NOHVS</t>
  </si>
  <si>
    <t>Hvasser</t>
  </si>
  <si>
    <t>NOHYL</t>
  </si>
  <si>
    <t>Hyllestad</t>
  </si>
  <si>
    <t>NOIBE</t>
  </si>
  <si>
    <t>Ibestad</t>
  </si>
  <si>
    <t>NOIGE</t>
  </si>
  <si>
    <t>NOIGL</t>
  </si>
  <si>
    <t>Iglandsvik</t>
  </si>
  <si>
    <t>NOIKR</t>
  </si>
  <si>
    <t>Ikornnes</t>
  </si>
  <si>
    <t>NOIND</t>
  </si>
  <si>
    <t>NOISY</t>
  </si>
  <si>
    <t>NOIDR</t>
  </si>
  <si>
    <t>Inndyr</t>
  </si>
  <si>
    <t>NOINN</t>
  </si>
  <si>
    <t>Innhavet</t>
  </si>
  <si>
    <t>NOINV</t>
  </si>
  <si>
    <t>Innvik</t>
  </si>
  <si>
    <t>NOJAN</t>
  </si>
  <si>
    <t>Jakobsnes</t>
  </si>
  <si>
    <t>NOJOY</t>
  </si>
  <si>
    <t>NOJEL</t>
  </si>
  <si>
    <t>NOJON</t>
  </si>
  <si>
    <t>Jondal</t>
  </si>
  <si>
    <t>NOJOS</t>
  </si>
  <si>
    <t>NOJOV</t>
  </si>
  <si>
    <t>NOKAB</t>
  </si>
  <si>
    <t>NOKAF</t>
  </si>
  <si>
    <t>NOKDF</t>
  </si>
  <si>
    <t>Kaldfjord</t>
  </si>
  <si>
    <t>NOKVG</t>
  </si>
  <si>
    <t>NOKAN</t>
  </si>
  <si>
    <t>Kalvneset</t>
  </si>
  <si>
    <t>NOKMO</t>
  </si>
  <si>
    <t>Kambo</t>
  </si>
  <si>
    <t>NOKMN</t>
  </si>
  <si>
    <t>NOKAY</t>
  </si>
  <si>
    <t>NOKMY</t>
  </si>
  <si>
    <t>NOKAR</t>
  </si>
  <si>
    <t>NOKAH</t>
  </si>
  <si>
    <t>NOKPG</t>
  </si>
  <si>
    <t>Kaupanger</t>
  </si>
  <si>
    <t>NOKIL</t>
  </si>
  <si>
    <t>Kilvik</t>
  </si>
  <si>
    <t>NOKIV</t>
  </si>
  <si>
    <t>Kinsarvik</t>
  </si>
  <si>
    <t>NOKIR</t>
  </si>
  <si>
    <t>Kirkehamn</t>
  </si>
  <si>
    <t>NOKKN</t>
  </si>
  <si>
    <t>Kirkenes</t>
  </si>
  <si>
    <t>NOKJE</t>
  </si>
  <si>
    <t>NOKJF</t>
  </si>
  <si>
    <t>NOKMS</t>
  </si>
  <si>
    <t>NOKJK</t>
  </si>
  <si>
    <t>NOKJB</t>
  </si>
  <si>
    <t>NOKLE</t>
  </si>
  <si>
    <t>NOKRV</t>
  </si>
  <si>
    <t>Knarrevik</t>
  </si>
  <si>
    <t>NOKBV</t>
  </si>
  <si>
    <t>NOKON</t>
  </si>
  <si>
    <t>Kollsnes</t>
  </si>
  <si>
    <t>NOKOL</t>
  </si>
  <si>
    <t>Kolvereid</t>
  </si>
  <si>
    <t>NOKGF</t>
  </si>
  <si>
    <t>Kongsfjord</t>
  </si>
  <si>
    <t>NOKOP</t>
  </si>
  <si>
    <t>Kopervik</t>
  </si>
  <si>
    <t>NOKRA</t>
  </si>
  <si>
    <t>NOKRS</t>
  </si>
  <si>
    <t>Kristiansand</t>
  </si>
  <si>
    <t>NOKSU</t>
  </si>
  <si>
    <t>Kristiansund</t>
  </si>
  <si>
    <t>NOKVL</t>
  </si>
  <si>
    <t>Kristoffervalen</t>
  </si>
  <si>
    <t>NOKUV</t>
  </si>
  <si>
    <t>Kuvika</t>
  </si>
  <si>
    <t>NOKVR</t>
  </si>
  <si>
    <t>NOKVF</t>
  </si>
  <si>
    <t>NOKVS</t>
  </si>
  <si>
    <t>Kvalsund</t>
  </si>
  <si>
    <t>NOKVV</t>
  </si>
  <si>
    <t>Kvalvika</t>
  </si>
  <si>
    <t>NOKVM</t>
  </si>
  <si>
    <t>Kvam</t>
  </si>
  <si>
    <t>NOKVN</t>
  </si>
  <si>
    <t>NOKDL</t>
  </si>
  <si>
    <t>Kvanndal</t>
  </si>
  <si>
    <t>NOKVH</t>
  </si>
  <si>
    <t>Kvinnherad</t>
  </si>
  <si>
    <t>NOKIA</t>
  </si>
  <si>
    <t>Kvithylla</t>
  </si>
  <si>
    <t>NOKSY</t>
  </si>
  <si>
    <t>NOKYR</t>
  </si>
  <si>
    <t>NOLVG</t>
  </si>
  <si>
    <t>NOLAD</t>
  </si>
  <si>
    <t>Langesund</t>
  </si>
  <si>
    <t>NOLAG</t>
  </si>
  <si>
    <t>NOLAN</t>
  </si>
  <si>
    <t>NOLAO</t>
  </si>
  <si>
    <t>NOLGS</t>
  </si>
  <si>
    <t>Langstein</t>
  </si>
  <si>
    <t>NOLRD</t>
  </si>
  <si>
    <t>NOLRK</t>
  </si>
  <si>
    <t>Larkollen</t>
  </si>
  <si>
    <t>NONZC</t>
  </si>
  <si>
    <t>Larsnes</t>
  </si>
  <si>
    <t>NOLAR</t>
  </si>
  <si>
    <t>Larvik</t>
  </si>
  <si>
    <t>NOLVK</t>
  </si>
  <si>
    <t>Laukvik</t>
  </si>
  <si>
    <t>NOLAV</t>
  </si>
  <si>
    <t>Lavangen</t>
  </si>
  <si>
    <t>NOLEB</t>
  </si>
  <si>
    <t>Lebesby</t>
  </si>
  <si>
    <t>NOLEK</t>
  </si>
  <si>
    <t>Leikanger</t>
  </si>
  <si>
    <t>NOLNE</t>
  </si>
  <si>
    <t>Leines</t>
  </si>
  <si>
    <t>NOLEF</t>
  </si>
  <si>
    <t>Leirfjord</t>
  </si>
  <si>
    <t>NOLEP</t>
  </si>
  <si>
    <t>Leirpollen</t>
  </si>
  <si>
    <t>NOLRI</t>
  </si>
  <si>
    <t>Leirvik</t>
  </si>
  <si>
    <t>NOLEA</t>
  </si>
  <si>
    <t>Leirvik i Hyllestad</t>
  </si>
  <si>
    <t>NOLKA</t>
  </si>
  <si>
    <t>Leka</t>
  </si>
  <si>
    <t>NOLKN</t>
  </si>
  <si>
    <t>Leknes</t>
  </si>
  <si>
    <t>NOLKV</t>
  </si>
  <si>
    <t>Leksvik</t>
  </si>
  <si>
    <t>NOLAS</t>
  </si>
  <si>
    <t>NOLAY</t>
  </si>
  <si>
    <t>NOLES</t>
  </si>
  <si>
    <t>Lenvik</t>
  </si>
  <si>
    <t>NOLRE</t>
  </si>
  <si>
    <t>Lessremman</t>
  </si>
  <si>
    <t>NOLEV</t>
  </si>
  <si>
    <t>Levanger</t>
  </si>
  <si>
    <t>NOLIA</t>
  </si>
  <si>
    <t>NOLIE</t>
  </si>
  <si>
    <t>NOLID</t>
  </si>
  <si>
    <t>Liland</t>
  </si>
  <si>
    <t>NOLIL</t>
  </si>
  <si>
    <t>Lillesand</t>
  </si>
  <si>
    <t>NOLIN</t>
  </si>
  <si>
    <t>NOLDS</t>
  </si>
  <si>
    <t>Lindesnes</t>
  </si>
  <si>
    <t>NOLFF</t>
  </si>
  <si>
    <t>Listraumen</t>
  </si>
  <si>
    <t>NOLIT</t>
  </si>
  <si>
    <t>Litangen</t>
  </si>
  <si>
    <t>NOLOD</t>
  </si>
  <si>
    <t>NOLOE</t>
  </si>
  <si>
    <t>Loen</t>
  </si>
  <si>
    <t>NOLON</t>
  </si>
  <si>
    <t>NOLOP</t>
  </si>
  <si>
    <t>Loppa</t>
  </si>
  <si>
    <t>NOLOV</t>
  </si>
  <si>
    <t>Lovund</t>
  </si>
  <si>
    <t>NOLRA</t>
  </si>
  <si>
    <t>Lura</t>
  </si>
  <si>
    <t>NOLUR</t>
  </si>
  <si>
    <t>NOLUS</t>
  </si>
  <si>
    <t>Luster</t>
  </si>
  <si>
    <t>NOLUL</t>
  </si>
  <si>
    <t>Lutelandet</t>
  </si>
  <si>
    <t>NOLYN</t>
  </si>
  <si>
    <t>Lyngen</t>
  </si>
  <si>
    <t>NOLYD</t>
  </si>
  <si>
    <t>Lyngseidet</t>
  </si>
  <si>
    <t>NOLYS</t>
  </si>
  <si>
    <t>Lysaker</t>
  </si>
  <si>
    <t>NOLYF</t>
  </si>
  <si>
    <t>Lysebotn</t>
  </si>
  <si>
    <t>NOLSU</t>
  </si>
  <si>
    <t>NOMLM</t>
  </si>
  <si>
    <t>Malm</t>
  </si>
  <si>
    <t>NOMAY</t>
  </si>
  <si>
    <t>NOMAV</t>
  </si>
  <si>
    <t>NOMAK</t>
  </si>
  <si>
    <t>Malvik</t>
  </si>
  <si>
    <t>NOMAN</t>
  </si>
  <si>
    <t>Mandal</t>
  </si>
  <si>
    <t>NOMGR</t>
  </si>
  <si>
    <t>Manger</t>
  </si>
  <si>
    <t>NOMSF</t>
  </si>
  <si>
    <t>Masfjorden</t>
  </si>
  <si>
    <t>NOMSY</t>
  </si>
  <si>
    <t>NOMAT</t>
  </si>
  <si>
    <t>Matre - Masfjorden</t>
  </si>
  <si>
    <t>NOMAH</t>
  </si>
  <si>
    <t>Maurholen</t>
  </si>
  <si>
    <t>NOMAU</t>
  </si>
  <si>
    <t>Mausund</t>
  </si>
  <si>
    <t>NOMEH</t>
  </si>
  <si>
    <t>Mehamn</t>
  </si>
  <si>
    <t>NOMLD</t>
  </si>
  <si>
    <t>Meland</t>
  </si>
  <si>
    <t>NOMEL</t>
  </si>
  <si>
    <t>Melbu</t>
  </si>
  <si>
    <t>NOMLS</t>
  </si>
  <si>
    <t>Melhus</t>
  </si>
  <si>
    <t>NOMLK</t>
  </si>
  <si>
    <t>NOMEY</t>
  </si>
  <si>
    <t>NOMEV</t>
  </si>
  <si>
    <t>Melsomvik</t>
  </si>
  <si>
    <t>NOMEN</t>
  </si>
  <si>
    <t>Menstad</t>
  </si>
  <si>
    <t>NOMID</t>
  </si>
  <si>
    <t>Midsund</t>
  </si>
  <si>
    <t>NOMIT</t>
  </si>
  <si>
    <t>Misten</t>
  </si>
  <si>
    <t>NOMIS</t>
  </si>
  <si>
    <t>NOMVV</t>
  </si>
  <si>
    <t>NOMSD</t>
  </si>
  <si>
    <t>NOMQN</t>
  </si>
  <si>
    <t>Mo i Rana</t>
  </si>
  <si>
    <t>NOMOD</t>
  </si>
  <si>
    <t>Modalen</t>
  </si>
  <si>
    <t>NOMOL</t>
  </si>
  <si>
    <t>Molde</t>
  </si>
  <si>
    <t>NOMLT</t>
  </si>
  <si>
    <t>Moldtustranda</t>
  </si>
  <si>
    <t>NOMOV</t>
  </si>
  <si>
    <t>NOMON</t>
  </si>
  <si>
    <t>Mongstad</t>
  </si>
  <si>
    <t>NOMOB</t>
  </si>
  <si>
    <t>Mongstadbase</t>
  </si>
  <si>
    <t>NOMOR</t>
  </si>
  <si>
    <t>NOMJF</t>
  </si>
  <si>
    <t>NOMSK</t>
  </si>
  <si>
    <t>Moskenes</t>
  </si>
  <si>
    <t>NOMSS</t>
  </si>
  <si>
    <t>Moss</t>
  </si>
  <si>
    <t>NOMOS</t>
  </si>
  <si>
    <t>Mosterhamn</t>
  </si>
  <si>
    <t>NOMSV</t>
  </si>
  <si>
    <t>Mosvik</t>
  </si>
  <si>
    <t>NOMRV</t>
  </si>
  <si>
    <t>Muruvika</t>
  </si>
  <si>
    <t>NOMYO</t>
  </si>
  <si>
    <t>NOOSY</t>
  </si>
  <si>
    <t>Namsos</t>
  </si>
  <si>
    <t>NODSN</t>
  </si>
  <si>
    <t>Nannestad</t>
  </si>
  <si>
    <t>NONRY</t>
  </si>
  <si>
    <t>NONVK</t>
  </si>
  <si>
    <t>Narvik</t>
  </si>
  <si>
    <t>NONAU</t>
  </si>
  <si>
    <t>Naustdal</t>
  </si>
  <si>
    <t>NONSN</t>
  </si>
  <si>
    <t>Nesna</t>
  </si>
  <si>
    <t>NONEO</t>
  </si>
  <si>
    <t>Nesodden</t>
  </si>
  <si>
    <t>NONSB</t>
  </si>
  <si>
    <t>Nesseby</t>
  </si>
  <si>
    <t>NONST</t>
  </si>
  <si>
    <t>Nesset</t>
  </si>
  <si>
    <t>NONEV</t>
  </si>
  <si>
    <t>Nevlunghamn</t>
  </si>
  <si>
    <t>NONOD</t>
  </si>
  <si>
    <t>Norddal</t>
  </si>
  <si>
    <t>NONFD</t>
  </si>
  <si>
    <t>Nordfjordeid</t>
  </si>
  <si>
    <t>NONFO</t>
  </si>
  <si>
    <t>Nordfosen</t>
  </si>
  <si>
    <t>NONOK</t>
  </si>
  <si>
    <t>Nordkapp</t>
  </si>
  <si>
    <t>NONKB</t>
  </si>
  <si>
    <t>Nordkjosbotn</t>
  </si>
  <si>
    <t>NONOL</t>
  </si>
  <si>
    <t>Nordlenangen</t>
  </si>
  <si>
    <t>NONOM</t>
  </si>
  <si>
    <t>Nordmela</t>
  </si>
  <si>
    <t>NONOR</t>
  </si>
  <si>
    <t>Nordreisa</t>
  </si>
  <si>
    <t>NONSF</t>
  </si>
  <si>
    <t>NONHS</t>
  </si>
  <si>
    <t>Norheimsund</t>
  </si>
  <si>
    <t>NONTY</t>
  </si>
  <si>
    <t>NOZNJ</t>
  </si>
  <si>
    <t>Nusfjord</t>
  </si>
  <si>
    <t>NONYE</t>
  </si>
  <si>
    <t>Nyelv</t>
  </si>
  <si>
    <t>NONYH</t>
  </si>
  <si>
    <t>Nyhamna</t>
  </si>
  <si>
    <t>NOODD</t>
  </si>
  <si>
    <t>Odda</t>
  </si>
  <si>
    <t>NOOKF</t>
  </si>
  <si>
    <t>NOOKS</t>
  </si>
  <si>
    <t>Oksnes</t>
  </si>
  <si>
    <t>NOOLD</t>
  </si>
  <si>
    <t>Olden</t>
  </si>
  <si>
    <t>NOOLL</t>
  </si>
  <si>
    <t>Olderdalen</t>
  </si>
  <si>
    <t>NOOLR</t>
  </si>
  <si>
    <t>Oldervik</t>
  </si>
  <si>
    <t>NOOLN</t>
  </si>
  <si>
    <t>NOOLV</t>
  </si>
  <si>
    <t>NOOMA</t>
  </si>
  <si>
    <t>Omastranda</t>
  </si>
  <si>
    <t>NOOMB</t>
  </si>
  <si>
    <t>Ombo</t>
  </si>
  <si>
    <t>NOOPG</t>
  </si>
  <si>
    <t>NOORK</t>
  </si>
  <si>
    <t>Orkanger</t>
  </si>
  <si>
    <t>NOORD</t>
  </si>
  <si>
    <t>Orkdal</t>
  </si>
  <si>
    <t>NOOLA</t>
  </si>
  <si>
    <t>NOSVI</t>
  </si>
  <si>
    <t>NOOSG</t>
  </si>
  <si>
    <t>NOORS</t>
  </si>
  <si>
    <t>NOORV</t>
  </si>
  <si>
    <t>Ortnevik</t>
  </si>
  <si>
    <t>NOOOS</t>
  </si>
  <si>
    <t>Os</t>
  </si>
  <si>
    <t>NOOSN</t>
  </si>
  <si>
    <t>Osen</t>
  </si>
  <si>
    <t>NOOSL</t>
  </si>
  <si>
    <t>Oslo</t>
  </si>
  <si>
    <t>NOOSE</t>
  </si>
  <si>
    <t>Osnes - Vindafjord</t>
  </si>
  <si>
    <t>NOOST</t>
  </si>
  <si>
    <t>NOOTO</t>
  </si>
  <si>
    <t>NOOTA</t>
  </si>
  <si>
    <t>NOOYG</t>
  </si>
  <si>
    <t>NOPAR</t>
  </si>
  <si>
    <t>Porsanger</t>
  </si>
  <si>
    <t>NOPOR</t>
  </si>
  <si>
    <t>Porsgrunn</t>
  </si>
  <si>
    <t>NORAD</t>
  </si>
  <si>
    <t>NORAY</t>
  </si>
  <si>
    <t>NORAF</t>
  </si>
  <si>
    <t>Rafnes</t>
  </si>
  <si>
    <t>NORMB</t>
  </si>
  <si>
    <t>Ramberg</t>
  </si>
  <si>
    <t>NORAM</t>
  </si>
  <si>
    <t>Ramsund</t>
  </si>
  <si>
    <t>NORMV</t>
  </si>
  <si>
    <t>Ramsvika</t>
  </si>
  <si>
    <t>NORNA</t>
  </si>
  <si>
    <t>Rana</t>
  </si>
  <si>
    <t>NORDB</t>
  </si>
  <si>
    <t>Randaberg</t>
  </si>
  <si>
    <t>NORBV</t>
  </si>
  <si>
    <t>Raudbergvika</t>
  </si>
  <si>
    <t>NORSD</t>
  </si>
  <si>
    <t>Raudsand</t>
  </si>
  <si>
    <t>NORAU</t>
  </si>
  <si>
    <t>Rauma</t>
  </si>
  <si>
    <t>NORES</t>
  </si>
  <si>
    <t>Raunes - Vindafjord</t>
  </si>
  <si>
    <t>NOREE</t>
  </si>
  <si>
    <t>Re</t>
  </si>
  <si>
    <t>NORFJ</t>
  </si>
  <si>
    <t>Reinfjord</t>
  </si>
  <si>
    <t>NOREK</t>
  </si>
  <si>
    <t>Rekefjord</t>
  </si>
  <si>
    <t>NOREN</t>
  </si>
  <si>
    <t>NOREP</t>
  </si>
  <si>
    <t>Repparfjord</t>
  </si>
  <si>
    <t>NORPV</t>
  </si>
  <si>
    <t>NORIV</t>
  </si>
  <si>
    <t>Risavika</t>
  </si>
  <si>
    <t>NORIS</t>
  </si>
  <si>
    <t>NORSH</t>
  </si>
  <si>
    <t>NORSS</t>
  </si>
  <si>
    <t>Rissa</t>
  </si>
  <si>
    <t>NOROA</t>
  </si>
  <si>
    <t>Roan</t>
  </si>
  <si>
    <t>NORDY</t>
  </si>
  <si>
    <t>NOROG</t>
  </si>
  <si>
    <t>Rognan</t>
  </si>
  <si>
    <t>NORVK</t>
  </si>
  <si>
    <t>NORET</t>
  </si>
  <si>
    <t>NOROV</t>
  </si>
  <si>
    <t>Rovde</t>
  </si>
  <si>
    <t>NORUB</t>
  </si>
  <si>
    <t>Rubbestadneset</t>
  </si>
  <si>
    <t>NORUN</t>
  </si>
  <si>
    <t>Runde</t>
  </si>
  <si>
    <t>NORTL</t>
  </si>
  <si>
    <t>Rutledal</t>
  </si>
  <si>
    <t>NORYF</t>
  </si>
  <si>
    <t>Rypefjord</t>
  </si>
  <si>
    <t>NOSAL</t>
  </si>
  <si>
    <t>Salangen</t>
  </si>
  <si>
    <t>NOSAC</t>
  </si>
  <si>
    <t>Salangsverket</t>
  </si>
  <si>
    <t>NOSBU</t>
  </si>
  <si>
    <t>Salsbruket</t>
  </si>
  <si>
    <t>NOSDL</t>
  </si>
  <si>
    <t>Saltdal</t>
  </si>
  <si>
    <t>NOSAT</t>
  </si>
  <si>
    <t>Salten</t>
  </si>
  <si>
    <t>NOSLH</t>
  </si>
  <si>
    <t>Salthella</t>
  </si>
  <si>
    <t>NOSAM</t>
  </si>
  <si>
    <t>Samnanger</t>
  </si>
  <si>
    <t>NOSAX</t>
  </si>
  <si>
    <t>NOSAF</t>
  </si>
  <si>
    <t>Sandeid</t>
  </si>
  <si>
    <t>NOSAS</t>
  </si>
  <si>
    <t>Sandnes</t>
  </si>
  <si>
    <t>NOSSJ</t>
  </si>
  <si>
    <t>NOSAY</t>
  </si>
  <si>
    <t>NOSDI</t>
  </si>
  <si>
    <t>Sandvika</t>
  </si>
  <si>
    <t>NOSAI</t>
  </si>
  <si>
    <t>Sandviksberget</t>
  </si>
  <si>
    <t>NOANN</t>
  </si>
  <si>
    <t>Sannidal</t>
  </si>
  <si>
    <t>NOSPG</t>
  </si>
  <si>
    <t>Sarpsborg</t>
  </si>
  <si>
    <t>NOSAU</t>
  </si>
  <si>
    <t>Sauda</t>
  </si>
  <si>
    <t>NOSID</t>
  </si>
  <si>
    <t>NOSVL</t>
  </si>
  <si>
    <t>NOSJE</t>
  </si>
  <si>
    <t>Selje</t>
  </si>
  <si>
    <t>NOSEJ</t>
  </si>
  <si>
    <t>Seljeli</t>
  </si>
  <si>
    <t>NOSEV</t>
  </si>
  <si>
    <t>Selva</t>
  </si>
  <si>
    <t>NOSJH</t>
  </si>
  <si>
    <t>Senjahopen</t>
  </si>
  <si>
    <t>NOSRD</t>
  </si>
  <si>
    <t>Sigerfjord</t>
  </si>
  <si>
    <t>NOSIH</t>
  </si>
  <si>
    <t>Siholmen</t>
  </si>
  <si>
    <t>NOSRV</t>
  </si>
  <si>
    <t>NOSSS</t>
  </si>
  <si>
    <t>Sistranda</t>
  </si>
  <si>
    <t>NOSJO</t>
  </si>
  <si>
    <t>NOSJV</t>
  </si>
  <si>
    <t>NOSJU</t>
  </si>
  <si>
    <t>NOSAA</t>
  </si>
  <si>
    <t>Skaland</t>
  </si>
  <si>
    <t>NOSKV</t>
  </si>
  <si>
    <t>NOSEI</t>
  </si>
  <si>
    <t>NOSKL</t>
  </si>
  <si>
    <t>NOSRH</t>
  </si>
  <si>
    <t>Skarholmen</t>
  </si>
  <si>
    <t>NOSKZ</t>
  </si>
  <si>
    <t>NOSAN</t>
  </si>
  <si>
    <t>Skaun</t>
  </si>
  <si>
    <t>NOSKB</t>
  </si>
  <si>
    <t>Skibotn</t>
  </si>
  <si>
    <t>NOSKE</t>
  </si>
  <si>
    <t>Skien</t>
  </si>
  <si>
    <t>NOSKF</t>
  </si>
  <si>
    <t>Skiftun</t>
  </si>
  <si>
    <t>NOSPK</t>
  </si>
  <si>
    <t>Skipavik</t>
  </si>
  <si>
    <t>NOSIP</t>
  </si>
  <si>
    <t>Skipavik - Gulen</t>
  </si>
  <si>
    <t>NOSKH</t>
  </si>
  <si>
    <t>NOSKI</t>
  </si>
  <si>
    <t>NOSKY</t>
  </si>
  <si>
    <t>NOSLN</t>
  </si>
  <si>
    <t>Skjolden</t>
  </si>
  <si>
    <t>NOSKO</t>
  </si>
  <si>
    <t>Skodje</t>
  </si>
  <si>
    <t>NOSKX</t>
  </si>
  <si>
    <t>Skogn</t>
  </si>
  <si>
    <t>NOSGT</t>
  </si>
  <si>
    <t>Skorgeneset</t>
  </si>
  <si>
    <t>NOSRK</t>
  </si>
  <si>
    <t>Skrolsvik</t>
  </si>
  <si>
    <t>NOSRO</t>
  </si>
  <si>
    <t>Skrova</t>
  </si>
  <si>
    <t>NOSKU</t>
  </si>
  <si>
    <t>Skudeneshavn</t>
  </si>
  <si>
    <t>NOSLG</t>
  </si>
  <si>
    <t>Slagentangen</t>
  </si>
  <si>
    <t>NOSLM</t>
  </si>
  <si>
    <t>Slemmestad</t>
  </si>
  <si>
    <t>NOSLV</t>
  </si>
  <si>
    <t>NOSMO</t>
  </si>
  <si>
    <t>NOROY</t>
  </si>
  <si>
    <t>NOSNF</t>
  </si>
  <si>
    <t>Snefjord</t>
  </si>
  <si>
    <t>NOSNV</t>
  </si>
  <si>
    <t>Snekkevik</t>
  </si>
  <si>
    <t>NOSNI</t>
  </si>
  <si>
    <t>Snillfjord</t>
  </si>
  <si>
    <t>NOSOG</t>
  </si>
  <si>
    <t>Sogndal</t>
  </si>
  <si>
    <t>NOSNE</t>
  </si>
  <si>
    <t>NOSOK</t>
  </si>
  <si>
    <t>Sokndal</t>
  </si>
  <si>
    <t>NOSLD</t>
  </si>
  <si>
    <t>Solund</t>
  </si>
  <si>
    <t>NOSMN</t>
  </si>
  <si>
    <t>NOSOR</t>
  </si>
  <si>
    <t>NOSOF</t>
  </si>
  <si>
    <t>NOSOJ</t>
  </si>
  <si>
    <t>NOSRA</t>
  </si>
  <si>
    <t>NOSLX</t>
  </si>
  <si>
    <t>Sortland</t>
  </si>
  <si>
    <t>NOSVR</t>
  </si>
  <si>
    <t>NOSRX</t>
  </si>
  <si>
    <t>Sotra</t>
  </si>
  <si>
    <t>NOSOV</t>
  </si>
  <si>
    <t>NODER</t>
  </si>
  <si>
    <t>Sperrebotn</t>
  </si>
  <si>
    <t>NOSPV</t>
  </si>
  <si>
    <t>Spjelkavik</t>
  </si>
  <si>
    <t>NOSDT</t>
  </si>
  <si>
    <t>Stadlandet</t>
  </si>
  <si>
    <t>NOSAK</t>
  </si>
  <si>
    <t>Stakkvik</t>
  </si>
  <si>
    <t>NOSUZ</t>
  </si>
  <si>
    <t>Stamsund</t>
  </si>
  <si>
    <t>NOSNL</t>
  </si>
  <si>
    <t>Standal</t>
  </si>
  <si>
    <t>NOSHT</t>
  </si>
  <si>
    <t>Stanghelle</t>
  </si>
  <si>
    <t>NOSTA</t>
  </si>
  <si>
    <t>Stathelle</t>
  </si>
  <si>
    <t>NOSVG</t>
  </si>
  <si>
    <t>Stavanger</t>
  </si>
  <si>
    <t>NOSTV</t>
  </si>
  <si>
    <t>Stavern</t>
  </si>
  <si>
    <t>NOSVT</t>
  </si>
  <si>
    <t>Stavneset - Rissa</t>
  </si>
  <si>
    <t>NOSTG</t>
  </si>
  <si>
    <t>Steigen</t>
  </si>
  <si>
    <t>NOSNS</t>
  </si>
  <si>
    <t>NOSTE</t>
  </si>
  <si>
    <t>Steinkjer</t>
  </si>
  <si>
    <t>NOSTH</t>
  </si>
  <si>
    <t>Steinshamn</t>
  </si>
  <si>
    <t>NOSTI</t>
  </si>
  <si>
    <t>Steinvig</t>
  </si>
  <si>
    <t>NOSTY</t>
  </si>
  <si>
    <t>NOSTJ</t>
  </si>
  <si>
    <t>NOSTX</t>
  </si>
  <si>
    <t>NOSTK</t>
  </si>
  <si>
    <t>Stokke</t>
  </si>
  <si>
    <t>NOSKK</t>
  </si>
  <si>
    <t>Stokksund</t>
  </si>
  <si>
    <t>NOSTO</t>
  </si>
  <si>
    <t>NOSKN</t>
  </si>
  <si>
    <t>Stokmarknes</t>
  </si>
  <si>
    <t>NOSRP</t>
  </si>
  <si>
    <t>Stord</t>
  </si>
  <si>
    <t>NOSBA</t>
  </si>
  <si>
    <t>Stord base</t>
  </si>
  <si>
    <t>NOSDZ</t>
  </si>
  <si>
    <t>Stordal</t>
  </si>
  <si>
    <t>NOSTB</t>
  </si>
  <si>
    <t>NOSRS</t>
  </si>
  <si>
    <t>Storesund</t>
  </si>
  <si>
    <t>NOSTF</t>
  </si>
  <si>
    <t>Storfjord</t>
  </si>
  <si>
    <t>NOSOY</t>
  </si>
  <si>
    <t>NOSTD</t>
  </si>
  <si>
    <t>Strand</t>
  </si>
  <si>
    <t>NOSRN</t>
  </si>
  <si>
    <t>Stranda</t>
  </si>
  <si>
    <t>NOSTZ</t>
  </si>
  <si>
    <t>NOUME</t>
  </si>
  <si>
    <t>Straume</t>
  </si>
  <si>
    <t>NOSGJ</t>
  </si>
  <si>
    <t>Straumsgjerde</t>
  </si>
  <si>
    <t>NOSSO</t>
  </si>
  <si>
    <t>NOSRM</t>
  </si>
  <si>
    <t>Straumsnes</t>
  </si>
  <si>
    <t>NOSTR</t>
  </si>
  <si>
    <t>Stryn</t>
  </si>
  <si>
    <t>NOSTU</t>
  </si>
  <si>
    <t>Stura</t>
  </si>
  <si>
    <t>NOSUA</t>
  </si>
  <si>
    <t>Sula</t>
  </si>
  <si>
    <t>NOSUL</t>
  </si>
  <si>
    <t>Suldal</t>
  </si>
  <si>
    <t>NOSND</t>
  </si>
  <si>
    <t>Sund</t>
  </si>
  <si>
    <t>NOUND</t>
  </si>
  <si>
    <t>NOSIS</t>
  </si>
  <si>
    <t>Sunde</t>
  </si>
  <si>
    <t>NOSUN</t>
  </si>
  <si>
    <t>NOSUR</t>
  </si>
  <si>
    <t>Surnadal</t>
  </si>
  <si>
    <t>NOSUS</t>
  </si>
  <si>
    <t>Susort</t>
  </si>
  <si>
    <t>NOSVB</t>
  </si>
  <si>
    <t>Svartebukt</t>
  </si>
  <si>
    <t>NOSVO</t>
  </si>
  <si>
    <t>Sveio</t>
  </si>
  <si>
    <t>NOSVE</t>
  </si>
  <si>
    <t>Svelgen</t>
  </si>
  <si>
    <t>NOSVV</t>
  </si>
  <si>
    <t>Svelvik</t>
  </si>
  <si>
    <t>NOSVJ</t>
  </si>
  <si>
    <t>NOSOS</t>
  </si>
  <si>
    <t>NOSYK</t>
  </si>
  <si>
    <t>Sykkylven</t>
  </si>
  <si>
    <t>NOTAL</t>
  </si>
  <si>
    <t>NOTAA</t>
  </si>
  <si>
    <t>Tana</t>
  </si>
  <si>
    <t>NOTAE</t>
  </si>
  <si>
    <t>Tananger</t>
  </si>
  <si>
    <t>NOTAU</t>
  </si>
  <si>
    <t>Tau</t>
  </si>
  <si>
    <t>NOTOY</t>
  </si>
  <si>
    <t>NOTIN</t>
  </si>
  <si>
    <t>Tingvoll</t>
  </si>
  <si>
    <t>NOTBO</t>
  </si>
  <si>
    <t>Tjeldbergodden</t>
  </si>
  <si>
    <t>NOTJS</t>
  </si>
  <si>
    <t>Tjeldsund</t>
  </si>
  <si>
    <t>NOTJO</t>
  </si>
  <si>
    <t>NOTJR</t>
  </si>
  <si>
    <t>NOTJL</t>
  </si>
  <si>
    <t>NOTOF</t>
  </si>
  <si>
    <t>Tofte - Hurum</t>
  </si>
  <si>
    <t>NOTOM</t>
  </si>
  <si>
    <t>Tomrefjord</t>
  </si>
  <si>
    <t>NOTNN</t>
  </si>
  <si>
    <t>Tonnes</t>
  </si>
  <si>
    <t>NOTON</t>
  </si>
  <si>
    <t>NOTAV</t>
  </si>
  <si>
    <t>NOTJU</t>
  </si>
  <si>
    <t>NOTOR</t>
  </si>
  <si>
    <t>Torsken</t>
  </si>
  <si>
    <t>NOTVA</t>
  </si>
  <si>
    <t>NOTVI</t>
  </si>
  <si>
    <t>Torvika</t>
  </si>
  <si>
    <t>NOTOV</t>
  </si>
  <si>
    <t>Tovik</t>
  </si>
  <si>
    <t>NOTRN</t>
  </si>
  <si>
    <t>NOTRY</t>
  </si>
  <si>
    <t>NOTRO</t>
  </si>
  <si>
    <t>NONZY</t>
  </si>
  <si>
    <t>Tromsdalen</t>
  </si>
  <si>
    <t>NOTOS</t>
  </si>
  <si>
    <t>NOTMV</t>
  </si>
  <si>
    <t>Tromvik</t>
  </si>
  <si>
    <t>NOTRD</t>
  </si>
  <si>
    <t>Trondheim</t>
  </si>
  <si>
    <t>NOTUF</t>
  </si>
  <si>
    <t>Tufjorden</t>
  </si>
  <si>
    <t>NOTUS</t>
  </si>
  <si>
    <t>Tustna</t>
  </si>
  <si>
    <t>NOTVE</t>
  </si>
  <si>
    <t>Tvedestrand</t>
  </si>
  <si>
    <t>NOTYF</t>
  </si>
  <si>
    <t>Tysfjord</t>
  </si>
  <si>
    <t>NOTYN</t>
  </si>
  <si>
    <t>Tysnes</t>
  </si>
  <si>
    <t>NOTSB</t>
  </si>
  <si>
    <t>Tyssebotn</t>
  </si>
  <si>
    <t>NOTSX</t>
  </si>
  <si>
    <t>Tyssedal</t>
  </si>
  <si>
    <t>NOTYV</t>
  </si>
  <si>
    <t>NOTYT</t>
  </si>
  <si>
    <t>NOULL</t>
  </si>
  <si>
    <t>Ullensvang</t>
  </si>
  <si>
    <t>NOUBO</t>
  </si>
  <si>
    <t>NOULE</t>
  </si>
  <si>
    <t>Ulstein</t>
  </si>
  <si>
    <t>NOULS</t>
  </si>
  <si>
    <t>Ulsteinvik</t>
  </si>
  <si>
    <t>NOUVK</t>
  </si>
  <si>
    <t>Ulvik</t>
  </si>
  <si>
    <t>NOUSD</t>
  </si>
  <si>
    <t>Uskedalen</t>
  </si>
  <si>
    <t>NOUTG</t>
  </si>
  <si>
    <t>NOUTH</t>
  </si>
  <si>
    <t>Uthaug</t>
  </si>
  <si>
    <t>NOUTN</t>
  </si>
  <si>
    <t>Utne</t>
  </si>
  <si>
    <t>NOUTS</t>
  </si>
  <si>
    <t>Utsira</t>
  </si>
  <si>
    <t>NOUTV</t>
  </si>
  <si>
    <t>Utvorda</t>
  </si>
  <si>
    <t>NOVHM</t>
  </si>
  <si>
    <t>Vadheim</t>
  </si>
  <si>
    <t>NOVDS</t>
  </si>
  <si>
    <t>NOVOH</t>
  </si>
  <si>
    <t>NOVGN</t>
  </si>
  <si>
    <t>NOVGY</t>
  </si>
  <si>
    <t>NOVVG</t>
  </si>
  <si>
    <t>NOVAK</t>
  </si>
  <si>
    <t>Vaksdal</t>
  </si>
  <si>
    <t>NOVBE</t>
  </si>
  <si>
    <t>Valberg</t>
  </si>
  <si>
    <t>NOVAG</t>
  </si>
  <si>
    <t>NOVAD</t>
  </si>
  <si>
    <t>Valldal</t>
  </si>
  <si>
    <t>NOVLS</t>
  </si>
  <si>
    <t>Vallersund</t>
  </si>
  <si>
    <t>NOVAL</t>
  </si>
  <si>
    <t>NOVAE</t>
  </si>
  <si>
    <t>Valsneset</t>
  </si>
  <si>
    <t>NOVNN</t>
  </si>
  <si>
    <t>Vannavalen</t>
  </si>
  <si>
    <t>NOVAN</t>
  </si>
  <si>
    <t>Vanvikan-Leksvik</t>
  </si>
  <si>
    <t>NOVAY</t>
  </si>
  <si>
    <t>Vanylven</t>
  </si>
  <si>
    <t>NOVAO</t>
  </si>
  <si>
    <t>NOVEY</t>
  </si>
  <si>
    <t>NOVTL</t>
  </si>
  <si>
    <t>Vartdal</t>
  </si>
  <si>
    <t>NOVTS</t>
  </si>
  <si>
    <t>Vats</t>
  </si>
  <si>
    <t>NOVMD</t>
  </si>
  <si>
    <t>NOVEF</t>
  </si>
  <si>
    <t>Vefsn</t>
  </si>
  <si>
    <t>NOVEG</t>
  </si>
  <si>
    <t>Vega</t>
  </si>
  <si>
    <t>NOVEO</t>
  </si>
  <si>
    <t>NOVER</t>
  </si>
  <si>
    <t>Verdal</t>
  </si>
  <si>
    <t>NOVRR</t>
  </si>
  <si>
    <t>Verran</t>
  </si>
  <si>
    <t>NOVST</t>
  </si>
  <si>
    <t>Vestnes</t>
  </si>
  <si>
    <t>NOVVY</t>
  </si>
  <si>
    <t>NOVEV</t>
  </si>
  <si>
    <t>Vevelstad</t>
  </si>
  <si>
    <t>NOVIS</t>
  </si>
  <si>
    <t>Vik - Sogn</t>
  </si>
  <si>
    <t>NOIKA</t>
  </si>
  <si>
    <t>Vikan</t>
  </si>
  <si>
    <t>NOVSM</t>
  </si>
  <si>
    <t>NOVIL</t>
  </si>
  <si>
    <t>Vikedal</t>
  </si>
  <si>
    <t>NOVHN</t>
  </si>
  <si>
    <t>Vikholmen</t>
  </si>
  <si>
    <t>NOVKK</t>
  </si>
  <si>
    <t>Vikkilen</t>
  </si>
  <si>
    <t>NOVKN</t>
  </si>
  <si>
    <t>Vikna</t>
  </si>
  <si>
    <t>NOVIF</t>
  </si>
  <si>
    <t>Vindafjord</t>
  </si>
  <si>
    <t>NOVNS</t>
  </si>
  <si>
    <t>Vingsand</t>
  </si>
  <si>
    <t>NOVNJ</t>
  </si>
  <si>
    <t>NOVSN</t>
  </si>
  <si>
    <t>Visnes - Eide</t>
  </si>
  <si>
    <t>NOVDL</t>
  </si>
  <si>
    <t>Vistdal</t>
  </si>
  <si>
    <t>NOVDA</t>
  </si>
  <si>
    <t>Volda</t>
  </si>
  <si>
    <t>NOVLL</t>
  </si>
  <si>
    <t>Voll</t>
  </si>
  <si>
    <t>NOSAG</t>
  </si>
  <si>
    <t>Vormedal</t>
  </si>
  <si>
    <t>NOYTO</t>
  </si>
  <si>
    <t>NPLLU</t>
  </si>
  <si>
    <t>Nawalparasi</t>
  </si>
  <si>
    <t>NRINU</t>
  </si>
  <si>
    <t>Nauru Island</t>
  </si>
  <si>
    <t>NUALO</t>
  </si>
  <si>
    <t>Alofi</t>
  </si>
  <si>
    <t>NUIUE</t>
  </si>
  <si>
    <t>Niue Island</t>
  </si>
  <si>
    <t>NZAKA</t>
  </si>
  <si>
    <t>Akaroa</t>
  </si>
  <si>
    <t>NZAKL</t>
  </si>
  <si>
    <t>Auckland</t>
  </si>
  <si>
    <t>NZBLU</t>
  </si>
  <si>
    <t>Bluff</t>
  </si>
  <si>
    <t>NZBUW</t>
  </si>
  <si>
    <t>Burnham Wharf</t>
  </si>
  <si>
    <t>NZCSA</t>
  </si>
  <si>
    <t>Chelsea</t>
  </si>
  <si>
    <t>NZDPC</t>
  </si>
  <si>
    <t>Deep Cove</t>
  </si>
  <si>
    <t>NZDEV</t>
  </si>
  <si>
    <t>NZGIS</t>
  </si>
  <si>
    <t>Gisborne</t>
  </si>
  <si>
    <t>NZGMN</t>
  </si>
  <si>
    <t>Greymouth</t>
  </si>
  <si>
    <t>NZKBZ</t>
  </si>
  <si>
    <t>Kaikoura</t>
  </si>
  <si>
    <t>NZKAU</t>
  </si>
  <si>
    <t>Kauri Point</t>
  </si>
  <si>
    <t>NZLYT</t>
  </si>
  <si>
    <t>Lyttelton</t>
  </si>
  <si>
    <t>NZMAR</t>
  </si>
  <si>
    <t>Maari Terminal FPSO</t>
  </si>
  <si>
    <t>NZMAP</t>
  </si>
  <si>
    <t>Marsden Point</t>
  </si>
  <si>
    <t>NZMAB</t>
  </si>
  <si>
    <t>Matiatia Bay</t>
  </si>
  <si>
    <t>NZMFN</t>
  </si>
  <si>
    <t>Milford Sound</t>
  </si>
  <si>
    <t>NZNPE</t>
  </si>
  <si>
    <t>Napier</t>
  </si>
  <si>
    <t>NZNSN</t>
  </si>
  <si>
    <t>NZNPL</t>
  </si>
  <si>
    <t>New Plymouth</t>
  </si>
  <si>
    <t>NZOTU</t>
  </si>
  <si>
    <t>NZONE</t>
  </si>
  <si>
    <t>Onehunga (Manukau Harbour)</t>
  </si>
  <si>
    <t>NZOPX</t>
  </si>
  <si>
    <t>Opua</t>
  </si>
  <si>
    <t>NZORR</t>
  </si>
  <si>
    <t>Otago Harbour</t>
  </si>
  <si>
    <t>NZOTT</t>
  </si>
  <si>
    <t>Otematata</t>
  </si>
  <si>
    <t>NZPCN</t>
  </si>
  <si>
    <t>NZPOE</t>
  </si>
  <si>
    <t>Port Chalmers</t>
  </si>
  <si>
    <t>NZPON</t>
  </si>
  <si>
    <t>NZRAR</t>
  </si>
  <si>
    <t>Raroa FPSO</t>
  </si>
  <si>
    <t>NZRAV</t>
  </si>
  <si>
    <t>Ravensbourne</t>
  </si>
  <si>
    <t>NZOLT</t>
  </si>
  <si>
    <t>Rolleston</t>
  </si>
  <si>
    <t>NZRUS</t>
  </si>
  <si>
    <t>Russel</t>
  </si>
  <si>
    <t>NZSEA</t>
  </si>
  <si>
    <t>NZSHB</t>
  </si>
  <si>
    <t>Shelly Bay</t>
  </si>
  <si>
    <t>NZTHH</t>
  </si>
  <si>
    <t>Taharoa</t>
  </si>
  <si>
    <t>NZTAK</t>
  </si>
  <si>
    <t>Takapuna</t>
  </si>
  <si>
    <t>NZHMB</t>
  </si>
  <si>
    <t>Tamaki</t>
  </si>
  <si>
    <t>NZTKH</t>
  </si>
  <si>
    <t>Tarakohe</t>
  </si>
  <si>
    <t>NZTRG</t>
  </si>
  <si>
    <t>Tauranga</t>
  </si>
  <si>
    <t>NZTIU</t>
  </si>
  <si>
    <t>Timaru</t>
  </si>
  <si>
    <t>NZTWI</t>
  </si>
  <si>
    <t>Tiwai Point-Bluff Port</t>
  </si>
  <si>
    <t>NZTRY</t>
  </si>
  <si>
    <t>Tryphena</t>
  </si>
  <si>
    <t>NZUMU</t>
  </si>
  <si>
    <t>Umuroa FPSO</t>
  </si>
  <si>
    <t>NZWKE</t>
  </si>
  <si>
    <t>Waiheke Island</t>
  </si>
  <si>
    <t>NZWTG</t>
  </si>
  <si>
    <t>Waitangi</t>
  </si>
  <si>
    <t>NZWAG</t>
  </si>
  <si>
    <t>Wanganui</t>
  </si>
  <si>
    <t>NZWLG</t>
  </si>
  <si>
    <t>NZWSZ</t>
  </si>
  <si>
    <t>NZWHN</t>
  </si>
  <si>
    <t>Whangaparapara</t>
  </si>
  <si>
    <t>NZWRE</t>
  </si>
  <si>
    <t>Whangarei</t>
  </si>
  <si>
    <t>NZWHR</t>
  </si>
  <si>
    <t>Whangaroa</t>
  </si>
  <si>
    <t>OMDQM</t>
  </si>
  <si>
    <t>Duqm</t>
  </si>
  <si>
    <t>OMFAH</t>
  </si>
  <si>
    <t>Fahal</t>
  </si>
  <si>
    <t>OMMFH</t>
  </si>
  <si>
    <t>Mina' al Fahl</t>
  </si>
  <si>
    <t>OMSTQ</t>
  </si>
  <si>
    <t>Mina Sultan Qaboos, Muscat</t>
  </si>
  <si>
    <t>OMMCT</t>
  </si>
  <si>
    <t>Muscat</t>
  </si>
  <si>
    <t>OMMUT</t>
  </si>
  <si>
    <t>Muthra</t>
  </si>
  <si>
    <t>OMOPQ</t>
  </si>
  <si>
    <t>Port Qaboos</t>
  </si>
  <si>
    <t>OMSUL</t>
  </si>
  <si>
    <t>Port Sultan</t>
  </si>
  <si>
    <t>OMQAL</t>
  </si>
  <si>
    <t>Qalhat</t>
  </si>
  <si>
    <t>OMQUO</t>
  </si>
  <si>
    <t>Quoin Island</t>
  </si>
  <si>
    <t>OMRAY</t>
  </si>
  <si>
    <t>Raysut</t>
  </si>
  <si>
    <t>OMSLL</t>
  </si>
  <si>
    <t>Salalah</t>
  </si>
  <si>
    <t>OMSOH</t>
  </si>
  <si>
    <t>Sohar</t>
  </si>
  <si>
    <t>PAAGD</t>
  </si>
  <si>
    <t>Aguadulce</t>
  </si>
  <si>
    <t>PAPAM</t>
  </si>
  <si>
    <t>Almirante</t>
  </si>
  <si>
    <t>PAACO</t>
  </si>
  <si>
    <t>Ancon</t>
  </si>
  <si>
    <t>PAPBM</t>
  </si>
  <si>
    <t>PABLB</t>
  </si>
  <si>
    <t>PABAY</t>
  </si>
  <si>
    <t>Bayano</t>
  </si>
  <si>
    <t>PABCC</t>
  </si>
  <si>
    <t>PABOC</t>
  </si>
  <si>
    <t>Bocas del Toro</t>
  </si>
  <si>
    <t>PACZZ</t>
  </si>
  <si>
    <t>PACHA</t>
  </si>
  <si>
    <t>Charco Azul</t>
  </si>
  <si>
    <t>PACHG</t>
  </si>
  <si>
    <t>PACTD</t>
  </si>
  <si>
    <t>Chitre</t>
  </si>
  <si>
    <t>PAONX</t>
  </si>
  <si>
    <t>PACTB</t>
  </si>
  <si>
    <t>PAELE</t>
  </si>
  <si>
    <t>El Real</t>
  </si>
  <si>
    <t>PAGBA</t>
  </si>
  <si>
    <t>Gamboa</t>
  </si>
  <si>
    <t>PAGTN</t>
  </si>
  <si>
    <t>Gatun</t>
  </si>
  <si>
    <t>PAG8L</t>
  </si>
  <si>
    <t>Gualaca</t>
  </si>
  <si>
    <t>PAHER</t>
  </si>
  <si>
    <t>Herrera</t>
  </si>
  <si>
    <t>PAPLP</t>
  </si>
  <si>
    <t>La Palma</t>
  </si>
  <si>
    <t>PAMNP</t>
  </si>
  <si>
    <t>Las Minas</t>
  </si>
  <si>
    <t>PAMIT</t>
  </si>
  <si>
    <t>PAMEL</t>
  </si>
  <si>
    <t>Melones</t>
  </si>
  <si>
    <t>PAMFS</t>
  </si>
  <si>
    <t>Miraflores</t>
  </si>
  <si>
    <t>PAPTY</t>
  </si>
  <si>
    <t>PAPAI</t>
  </si>
  <si>
    <t>Paraiso</t>
  </si>
  <si>
    <t>PAPAY</t>
  </si>
  <si>
    <t>Payardi</t>
  </si>
  <si>
    <t>PAPED</t>
  </si>
  <si>
    <t>Pedregal</t>
  </si>
  <si>
    <t>PAPES</t>
  </si>
  <si>
    <t>PAPBE</t>
  </si>
  <si>
    <t>Portobelo</t>
  </si>
  <si>
    <t>PAAML</t>
  </si>
  <si>
    <t>Puerto Armuelles</t>
  </si>
  <si>
    <t>PAPCA</t>
  </si>
  <si>
    <t>Puerto Caimito</t>
  </si>
  <si>
    <t>PAGDE</t>
  </si>
  <si>
    <t>PAROD</t>
  </si>
  <si>
    <t>Rodman</t>
  </si>
  <si>
    <t>PASCL</t>
  </si>
  <si>
    <t>PATBG</t>
  </si>
  <si>
    <t>Taboguilla</t>
  </si>
  <si>
    <t>PATOC</t>
  </si>
  <si>
    <t>Tocumen</t>
  </si>
  <si>
    <t>PAVAC</t>
  </si>
  <si>
    <t>Vacamonte</t>
  </si>
  <si>
    <t>PEANC</t>
  </si>
  <si>
    <t>PEATI</t>
  </si>
  <si>
    <t>Atico</t>
  </si>
  <si>
    <t>PEPUB</t>
  </si>
  <si>
    <t>Bayovar</t>
  </si>
  <si>
    <t>PECAB</t>
  </si>
  <si>
    <t>PECLL</t>
  </si>
  <si>
    <t>Callao</t>
  </si>
  <si>
    <t>PECHY</t>
  </si>
  <si>
    <t>Chancay</t>
  </si>
  <si>
    <t>PECHM</t>
  </si>
  <si>
    <t>Chimbote</t>
  </si>
  <si>
    <t>PECON</t>
  </si>
  <si>
    <t>PEEEN</t>
  </si>
  <si>
    <t>PEGSM</t>
  </si>
  <si>
    <t>General San Martin</t>
  </si>
  <si>
    <t>PEHCO</t>
  </si>
  <si>
    <t>Huacho</t>
  </si>
  <si>
    <t>PEHUY</t>
  </si>
  <si>
    <t>Huarmey</t>
  </si>
  <si>
    <t>PEILQ</t>
  </si>
  <si>
    <t>Ilo</t>
  </si>
  <si>
    <t>PEIQT</t>
  </si>
  <si>
    <t>Iquitos</t>
  </si>
  <si>
    <t>PELPP</t>
  </si>
  <si>
    <t>La Pampilla</t>
  </si>
  <si>
    <t>PELAG</t>
  </si>
  <si>
    <t>Lagunas</t>
  </si>
  <si>
    <t>PELIM</t>
  </si>
  <si>
    <t>Lima</t>
  </si>
  <si>
    <t>PELOB</t>
  </si>
  <si>
    <t>Lobitos</t>
  </si>
  <si>
    <t>PELOO</t>
  </si>
  <si>
    <t>Los Organos</t>
  </si>
  <si>
    <t>PEMRI</t>
  </si>
  <si>
    <t>Matarani</t>
  </si>
  <si>
    <t>PEMLQ</t>
  </si>
  <si>
    <t>Mollendo</t>
  </si>
  <si>
    <t>PENGS</t>
  </si>
  <si>
    <t>Negritos</t>
  </si>
  <si>
    <t>PEPAC</t>
  </si>
  <si>
    <t>Pacasmayo</t>
  </si>
  <si>
    <t>PEPAI</t>
  </si>
  <si>
    <t>Paita</t>
  </si>
  <si>
    <t>PEPMC</t>
  </si>
  <si>
    <t>Pampa Melchorita</t>
  </si>
  <si>
    <t>PEPAM</t>
  </si>
  <si>
    <t>Paramonga</t>
  </si>
  <si>
    <t>PEPMT</t>
  </si>
  <si>
    <t>Pimentel</t>
  </si>
  <si>
    <t>PEPIO</t>
  </si>
  <si>
    <t>Pisco</t>
  </si>
  <si>
    <t>PEPCL</t>
  </si>
  <si>
    <t>Pucallpa</t>
  </si>
  <si>
    <t>PEPCH</t>
  </si>
  <si>
    <t>Puerto Chicama</t>
  </si>
  <si>
    <t>PEPEM</t>
  </si>
  <si>
    <t>Puerto Maldonado</t>
  </si>
  <si>
    <t>PEPUN</t>
  </si>
  <si>
    <t>Puno</t>
  </si>
  <si>
    <t>PEPLO</t>
  </si>
  <si>
    <t>Punta Lobitos</t>
  </si>
  <si>
    <t>PESVY</t>
  </si>
  <si>
    <t>Salaverry</t>
  </si>
  <si>
    <t>PEBAR</t>
  </si>
  <si>
    <t>San Bartolo</t>
  </si>
  <si>
    <t>PESJA</t>
  </si>
  <si>
    <t>San Juan</t>
  </si>
  <si>
    <t>PESNX</t>
  </si>
  <si>
    <t>San Nicolas</t>
  </si>
  <si>
    <t>PESUP</t>
  </si>
  <si>
    <t>Supe</t>
  </si>
  <si>
    <t>PETYL</t>
  </si>
  <si>
    <t>Talara</t>
  </si>
  <si>
    <t>PETDM</t>
  </si>
  <si>
    <t>Tambo de Mora</t>
  </si>
  <si>
    <t>PETAG</t>
  </si>
  <si>
    <t>Tambo Grande</t>
  </si>
  <si>
    <t>PETRU</t>
  </si>
  <si>
    <t>PEYMS</t>
  </si>
  <si>
    <t>Yurimaguas</t>
  </si>
  <si>
    <t>PFAHU</t>
  </si>
  <si>
    <t>Ahurei</t>
  </si>
  <si>
    <t>PFHHT</t>
  </si>
  <si>
    <t>Atoll Hereheretue</t>
  </si>
  <si>
    <t>PFAUT</t>
  </si>
  <si>
    <t>Auti</t>
  </si>
  <si>
    <t>PFBOB</t>
  </si>
  <si>
    <t>Bora-Bora</t>
  </si>
  <si>
    <t>PFFAT</t>
  </si>
  <si>
    <t>Fatu Hiva</t>
  </si>
  <si>
    <t>PFHEU</t>
  </si>
  <si>
    <t>Hatiheu</t>
  </si>
  <si>
    <t>PFIKI</t>
  </si>
  <si>
    <t>Ikitake</t>
  </si>
  <si>
    <t>PFMOE</t>
  </si>
  <si>
    <t>Moerai</t>
  </si>
  <si>
    <t>PFOTP</t>
  </si>
  <si>
    <t>Otepa</t>
  </si>
  <si>
    <t>PFPPT</t>
  </si>
  <si>
    <t>Papeete</t>
  </si>
  <si>
    <t>PFRVV</t>
  </si>
  <si>
    <t>Raivavae</t>
  </si>
  <si>
    <t>PFTAI</t>
  </si>
  <si>
    <t>Taiohae</t>
  </si>
  <si>
    <t>PFTUP</t>
  </si>
  <si>
    <t>Tupana</t>
  </si>
  <si>
    <t>PFUTU</t>
  </si>
  <si>
    <t>Uturoa</t>
  </si>
  <si>
    <t>PFVAI</t>
  </si>
  <si>
    <t>Vaitape</t>
  </si>
  <si>
    <t>PGABW</t>
  </si>
  <si>
    <t>Abau</t>
  </si>
  <si>
    <t>PGAHO</t>
  </si>
  <si>
    <t>Ahioma</t>
  </si>
  <si>
    <t>PGAIA</t>
  </si>
  <si>
    <t>Aiambak</t>
  </si>
  <si>
    <t>PGAKI</t>
  </si>
  <si>
    <t>Akinum</t>
  </si>
  <si>
    <t>PGALC</t>
  </si>
  <si>
    <t>Alcester Island</t>
  </si>
  <si>
    <t>PGGUR</t>
  </si>
  <si>
    <t>Alotau</t>
  </si>
  <si>
    <t>PGAMI</t>
  </si>
  <si>
    <t>Amio</t>
  </si>
  <si>
    <t>PGANB</t>
  </si>
  <si>
    <t>Anewa Bay</t>
  </si>
  <si>
    <t>PGBOI</t>
  </si>
  <si>
    <t>Boigu Island</t>
  </si>
  <si>
    <t>PGBOR</t>
  </si>
  <si>
    <t>Boroko</t>
  </si>
  <si>
    <t>PGBUA</t>
  </si>
  <si>
    <t>Buka</t>
  </si>
  <si>
    <t>PGBNA</t>
  </si>
  <si>
    <t>Buna</t>
  </si>
  <si>
    <t>PGCAU</t>
  </si>
  <si>
    <t>Caution Bay</t>
  </si>
  <si>
    <t>PGCFG</t>
  </si>
  <si>
    <t>Conflict Group</t>
  </si>
  <si>
    <t>PGDAU</t>
  </si>
  <si>
    <t>Daru</t>
  </si>
  <si>
    <t>PGDBL</t>
  </si>
  <si>
    <t>Deboyne Lagoon</t>
  </si>
  <si>
    <t>PGFIN</t>
  </si>
  <si>
    <t>Finschhafen</t>
  </si>
  <si>
    <t>PGFUB</t>
  </si>
  <si>
    <t>Fulleborn</t>
  </si>
  <si>
    <t>PGGMI</t>
  </si>
  <si>
    <t>Gasmata Island</t>
  </si>
  <si>
    <t>PGGAW</t>
  </si>
  <si>
    <t>Gawa Island</t>
  </si>
  <si>
    <t>PGGIL</t>
  </si>
  <si>
    <t>Gilau</t>
  </si>
  <si>
    <t>PGGEI</t>
  </si>
  <si>
    <t>Green Islands</t>
  </si>
  <si>
    <t>PGHKN</t>
  </si>
  <si>
    <t>Hoskins</t>
  </si>
  <si>
    <t>PGKAI</t>
  </si>
  <si>
    <t>Kaibola</t>
  </si>
  <si>
    <t>PGKRK</t>
  </si>
  <si>
    <t>Kairuku</t>
  </si>
  <si>
    <t>PGKPP</t>
  </si>
  <si>
    <t>Kakapo</t>
  </si>
  <si>
    <t>PGKLO</t>
  </si>
  <si>
    <t>Kalo</t>
  </si>
  <si>
    <t>PGKRX</t>
  </si>
  <si>
    <t>Karkar Is</t>
  </si>
  <si>
    <t>PGKVG</t>
  </si>
  <si>
    <t>Kavieng</t>
  </si>
  <si>
    <t>PGKMA</t>
  </si>
  <si>
    <t>Kerema</t>
  </si>
  <si>
    <t>PGKIE</t>
  </si>
  <si>
    <t>Kieta</t>
  </si>
  <si>
    <t>PGKIM</t>
  </si>
  <si>
    <t>Kimbe</t>
  </si>
  <si>
    <t>PGUNG</t>
  </si>
  <si>
    <t>Kiunga</t>
  </si>
  <si>
    <t>PGKOP</t>
  </si>
  <si>
    <t>Kopi</t>
  </si>
  <si>
    <t>PGKUL</t>
  </si>
  <si>
    <t>Kumul</t>
  </si>
  <si>
    <t>PGLAE</t>
  </si>
  <si>
    <t>Lae</t>
  </si>
  <si>
    <t>PGLAK</t>
  </si>
  <si>
    <t>Lakuramau</t>
  </si>
  <si>
    <t>PGLAM</t>
  </si>
  <si>
    <t>Lambom Island</t>
  </si>
  <si>
    <t>PGLLA</t>
  </si>
  <si>
    <t>Laughlan Atoll</t>
  </si>
  <si>
    <t>PGLNV</t>
  </si>
  <si>
    <t>Lihir Island</t>
  </si>
  <si>
    <t>PGLOL</t>
  </si>
  <si>
    <t>Loloho</t>
  </si>
  <si>
    <t>PGLOM</t>
  </si>
  <si>
    <t>Lombrum</t>
  </si>
  <si>
    <t>PGLDT</t>
  </si>
  <si>
    <t>Londolovit</t>
  </si>
  <si>
    <t>PGLOR</t>
  </si>
  <si>
    <t>Lorengau, Manus Island</t>
  </si>
  <si>
    <t>PGMAG</t>
  </si>
  <si>
    <t>Madang</t>
  </si>
  <si>
    <t>PGMAM</t>
  </si>
  <si>
    <t>Manam Island</t>
  </si>
  <si>
    <t>PGMIE</t>
  </si>
  <si>
    <t>Mielelek</t>
  </si>
  <si>
    <t>PGMIS</t>
  </si>
  <si>
    <t>Misima Island</t>
  </si>
  <si>
    <t>PGMTK</t>
  </si>
  <si>
    <t>Motukea Island</t>
  </si>
  <si>
    <t>PGATN</t>
  </si>
  <si>
    <t>Namatanai</t>
  </si>
  <si>
    <t>PGNAP</t>
  </si>
  <si>
    <t>Napa Napa</t>
  </si>
  <si>
    <t>PGROR</t>
  </si>
  <si>
    <t>Orobay</t>
  </si>
  <si>
    <t>PGPDO</t>
  </si>
  <si>
    <t>Pondo Harbour</t>
  </si>
  <si>
    <t>PGPOM</t>
  </si>
  <si>
    <t>Port Moresby</t>
  </si>
  <si>
    <t>PGRAB</t>
  </si>
  <si>
    <t>Rabaul</t>
  </si>
  <si>
    <t>PGRAM</t>
  </si>
  <si>
    <t>Rambutyo Island</t>
  </si>
  <si>
    <t>PGRNR</t>
  </si>
  <si>
    <t>Robinson River</t>
  </si>
  <si>
    <t>PGRVI</t>
  </si>
  <si>
    <t>Russel Island</t>
  </si>
  <si>
    <t>PGSAI</t>
  </si>
  <si>
    <t>Saibai</t>
  </si>
  <si>
    <t>PGSMU</t>
  </si>
  <si>
    <t>Salamaua</t>
  </si>
  <si>
    <t>PGSQT</t>
  </si>
  <si>
    <t>Samarai</t>
  </si>
  <si>
    <t>PGSCH</t>
  </si>
  <si>
    <t>Schauten</t>
  </si>
  <si>
    <t>PGSPL</t>
  </si>
  <si>
    <t>Sipul</t>
  </si>
  <si>
    <t>PGSOI</t>
  </si>
  <si>
    <t>Sokar Island</t>
  </si>
  <si>
    <t>PGTGL</t>
  </si>
  <si>
    <t>Tagula</t>
  </si>
  <si>
    <t>PGTLW</t>
  </si>
  <si>
    <t>Talasea</t>
  </si>
  <si>
    <t>PGTAM</t>
  </si>
  <si>
    <t>Tambanum</t>
  </si>
  <si>
    <t>PGTAI</t>
  </si>
  <si>
    <t>Tambutyo Island</t>
  </si>
  <si>
    <t>PGTMI</t>
  </si>
  <si>
    <t>Tami Island</t>
  </si>
  <si>
    <t>PGTAU</t>
  </si>
  <si>
    <t>Taugu Island</t>
  </si>
  <si>
    <t>PGTOI</t>
  </si>
  <si>
    <t>Tolokiwa Island</t>
  </si>
  <si>
    <t>PGTFI</t>
  </si>
  <si>
    <t>Tufi</t>
  </si>
  <si>
    <t>PGULA</t>
  </si>
  <si>
    <t>Ulamona</t>
  </si>
  <si>
    <t>PGVLA</t>
  </si>
  <si>
    <t>Vailala</t>
  </si>
  <si>
    <t>PGVAI</t>
  </si>
  <si>
    <t>Vanimo</t>
  </si>
  <si>
    <t>PGWAT</t>
  </si>
  <si>
    <t>Watabung</t>
  </si>
  <si>
    <t>PGWWK</t>
  </si>
  <si>
    <t>Wewak</t>
  </si>
  <si>
    <t>PGWOK</t>
  </si>
  <si>
    <t>Woodlark</t>
  </si>
  <si>
    <t>PGYEN</t>
  </si>
  <si>
    <t>Yentchan</t>
  </si>
  <si>
    <t>PGRKU</t>
  </si>
  <si>
    <t>Yule Island</t>
  </si>
  <si>
    <t>PHABU</t>
  </si>
  <si>
    <t>Abulug</t>
  </si>
  <si>
    <t>PHADL</t>
  </si>
  <si>
    <t>Adlay/Bislig</t>
  </si>
  <si>
    <t>PHAHE</t>
  </si>
  <si>
    <t>Aheron/Ozamis</t>
  </si>
  <si>
    <t>PHAJU</t>
  </si>
  <si>
    <t>Ajuy</t>
  </si>
  <si>
    <t>PHALA</t>
  </si>
  <si>
    <t>Alasang/Siain</t>
  </si>
  <si>
    <t>PHALB</t>
  </si>
  <si>
    <t>Albuera</t>
  </si>
  <si>
    <t>PHALC</t>
  </si>
  <si>
    <t>Alcoy</t>
  </si>
  <si>
    <t>PHALE</t>
  </si>
  <si>
    <t>Aleran/Ozamis</t>
  </si>
  <si>
    <t>PHAMU</t>
  </si>
  <si>
    <t>Amunitan/Aparri</t>
  </si>
  <si>
    <t>PHANA</t>
  </si>
  <si>
    <t>Anakan/Masao</t>
  </si>
  <si>
    <t>PHANT</t>
  </si>
  <si>
    <t>Antipolo</t>
  </si>
  <si>
    <t>PHAPR</t>
  </si>
  <si>
    <t>Aparri, Luzon</t>
  </si>
  <si>
    <t>PHARA</t>
  </si>
  <si>
    <t>Aras Asan/Bislig</t>
  </si>
  <si>
    <t>PHAST</t>
  </si>
  <si>
    <t>Astorga</t>
  </si>
  <si>
    <t>PHATI</t>
  </si>
  <si>
    <t>Atimonan/Siain</t>
  </si>
  <si>
    <t>PHBAB</t>
  </si>
  <si>
    <t>Babato/Dadiangas</t>
  </si>
  <si>
    <t>PHBCD</t>
  </si>
  <si>
    <t>Bacolod, Negros</t>
  </si>
  <si>
    <t>PHBCO</t>
  </si>
  <si>
    <t>Bacon/Legaspi</t>
  </si>
  <si>
    <t>PHBAC</t>
  </si>
  <si>
    <t>Bacong</t>
  </si>
  <si>
    <t>PHBCU</t>
  </si>
  <si>
    <t>Baculin/Mati</t>
  </si>
  <si>
    <t>PHBGC</t>
  </si>
  <si>
    <t>Bagac</t>
  </si>
  <si>
    <t>PHBNQ</t>
  </si>
  <si>
    <t>Baganga/Mati</t>
  </si>
  <si>
    <t>PHBGI</t>
  </si>
  <si>
    <t>Bagui Bay/San Fernando</t>
  </si>
  <si>
    <t>PHBAG</t>
  </si>
  <si>
    <t>Baguio</t>
  </si>
  <si>
    <t>PHBAI</t>
  </si>
  <si>
    <t>Bais/Dumaguete</t>
  </si>
  <si>
    <t>PHBLC</t>
  </si>
  <si>
    <t>Balabac, Palawan</t>
  </si>
  <si>
    <t>PHBAL</t>
  </si>
  <si>
    <t>Balaboe</t>
  </si>
  <si>
    <t>PHBLA</t>
  </si>
  <si>
    <t>Balanga/Batan</t>
  </si>
  <si>
    <t>PHBLN</t>
  </si>
  <si>
    <t>Balengan/Siain</t>
  </si>
  <si>
    <t>PHBQA</t>
  </si>
  <si>
    <t>Baler/Siain</t>
  </si>
  <si>
    <t>PHBGS</t>
  </si>
  <si>
    <t>Balingasag</t>
  </si>
  <si>
    <t>PHBLT</t>
  </si>
  <si>
    <t>Balintang/Puerto Princesa</t>
  </si>
  <si>
    <t>PHBLG</t>
  </si>
  <si>
    <t>Balogo/Batangas</t>
  </si>
  <si>
    <t>PHBLU</t>
  </si>
  <si>
    <t>Balumo/Zamboanga</t>
  </si>
  <si>
    <t>PHBNW</t>
  </si>
  <si>
    <t>Banawan/Dadiangas</t>
  </si>
  <si>
    <t>PHBTY</t>
  </si>
  <si>
    <t>Bantayon/San Jose</t>
  </si>
  <si>
    <t>PHBRB</t>
  </si>
  <si>
    <t>Barobo/Bislig</t>
  </si>
  <si>
    <t>PHBRT</t>
  </si>
  <si>
    <t>Barton/Puerto Princesa</t>
  </si>
  <si>
    <t>PHBSO</t>
  </si>
  <si>
    <t>Basco</t>
  </si>
  <si>
    <t>PHBSY</t>
  </si>
  <si>
    <t>Basey/Catbalogan</t>
  </si>
  <si>
    <t>PHBAS</t>
  </si>
  <si>
    <t>Basiauang/Dadiangas</t>
  </si>
  <si>
    <t>PHBTN</t>
  </si>
  <si>
    <t>Bataan, Mariveles</t>
  </si>
  <si>
    <t>PHBTG</t>
  </si>
  <si>
    <t>Batangas/Luzon</t>
  </si>
  <si>
    <t>PHBTS</t>
  </si>
  <si>
    <t>Batarasa/Puerto Princesa</t>
  </si>
  <si>
    <t>PHBAT</t>
  </si>
  <si>
    <t>Batonbaton</t>
  </si>
  <si>
    <t>PHBAU</t>
  </si>
  <si>
    <t>Bauan/Batangas</t>
  </si>
  <si>
    <t>PHBNG</t>
  </si>
  <si>
    <t>Bauang</t>
  </si>
  <si>
    <t>PHBYS</t>
  </si>
  <si>
    <t>Bayabas/Bislig</t>
  </si>
  <si>
    <t>PHBYP</t>
  </si>
  <si>
    <t>Bayang Point</t>
  </si>
  <si>
    <t>PHBYW</t>
  </si>
  <si>
    <t>Bayawan/Dumaguete</t>
  </si>
  <si>
    <t>PHBYB</t>
  </si>
  <si>
    <t>Baybay/Tacloban</t>
  </si>
  <si>
    <t>PHBIN</t>
  </si>
  <si>
    <t>PHBPH</t>
  </si>
  <si>
    <t>Bislig, Mindanao</t>
  </si>
  <si>
    <t>PHBIY</t>
  </si>
  <si>
    <t>Biyawa/Davao</t>
  </si>
  <si>
    <t>PHBOA</t>
  </si>
  <si>
    <t>Boac, Marinduque</t>
  </si>
  <si>
    <t>PHBOG</t>
  </si>
  <si>
    <t>Bogo</t>
  </si>
  <si>
    <t>PHBLP</t>
  </si>
  <si>
    <t>Bolos Point/Aparri</t>
  </si>
  <si>
    <t>PHBOR</t>
  </si>
  <si>
    <t>Boracay</t>
  </si>
  <si>
    <t>PHBGV</t>
  </si>
  <si>
    <t>Borongan</t>
  </si>
  <si>
    <t>PHBOS</t>
  </si>
  <si>
    <t>Boston/Davao</t>
  </si>
  <si>
    <t>PHBRP</t>
  </si>
  <si>
    <t>Brookes Point, Palawan</t>
  </si>
  <si>
    <t>PHBGR</t>
  </si>
  <si>
    <t>Bucar Grande/Suriagao</t>
  </si>
  <si>
    <t>PHBUD</t>
  </si>
  <si>
    <t>Budbud/Davao</t>
  </si>
  <si>
    <t>PHBUG</t>
  </si>
  <si>
    <t>Bugo</t>
  </si>
  <si>
    <t>PHBUL</t>
  </si>
  <si>
    <t>Bulan, Luzon</t>
  </si>
  <si>
    <t>PHBUR</t>
  </si>
  <si>
    <t>Burdeos, Polillo Isl</t>
  </si>
  <si>
    <t>PHBXU</t>
  </si>
  <si>
    <t>Butuan Bay/Masao</t>
  </si>
  <si>
    <t>PHCAB</t>
  </si>
  <si>
    <t>Cabugao Bay/Legaspi</t>
  </si>
  <si>
    <t>PHCAZ</t>
  </si>
  <si>
    <t>PHCGY</t>
  </si>
  <si>
    <t>Cagayan de Oro, Mindanao</t>
  </si>
  <si>
    <t>PHCDN</t>
  </si>
  <si>
    <t>Cagdianao</t>
  </si>
  <si>
    <t>PHCAJ</t>
  </si>
  <si>
    <t>Cajidiocan, Visayan Isl</t>
  </si>
  <si>
    <t>PHCCG</t>
  </si>
  <si>
    <t>Calag-Calag/Dumaguete</t>
  </si>
  <si>
    <t>PHCGT</t>
  </si>
  <si>
    <t>Calaguitan/Tacloban</t>
  </si>
  <si>
    <t>PHCLP</t>
  </si>
  <si>
    <t>Calapan/Batangas</t>
  </si>
  <si>
    <t>PHCBY</t>
  </si>
  <si>
    <t>Calbayog, Samar</t>
  </si>
  <si>
    <t>PHCDB</t>
  </si>
  <si>
    <t>Caldera Bay/Zamboanga</t>
  </si>
  <si>
    <t>PHCWY</t>
  </si>
  <si>
    <t>Calowayan/Catabalogan</t>
  </si>
  <si>
    <t>PHCUG</t>
  </si>
  <si>
    <t>Calubian, Leyte</t>
  </si>
  <si>
    <t>PHCGP</t>
  </si>
  <si>
    <t>Calug Point/Zamboanga</t>
  </si>
  <si>
    <t>PHCML</t>
  </si>
  <si>
    <t>Camalagawan/Aparri</t>
  </si>
  <si>
    <t>PHCAM</t>
  </si>
  <si>
    <t>Camarines Norte/Jose Panganiban</t>
  </si>
  <si>
    <t>PHCGM</t>
  </si>
  <si>
    <t>Camiguin Island/Aparri</t>
  </si>
  <si>
    <t>PHCNY</t>
  </si>
  <si>
    <t>Canaybon/Catbalogan</t>
  </si>
  <si>
    <t>PHCNT</t>
  </si>
  <si>
    <t>Cantilan/Surigao</t>
  </si>
  <si>
    <t>PHCPL</t>
  </si>
  <si>
    <t>Capalonga/Siain</t>
  </si>
  <si>
    <t>PHCPC</t>
  </si>
  <si>
    <t>Capoocan</t>
  </si>
  <si>
    <t>PHCRG</t>
  </si>
  <si>
    <t>Caraga/Mati</t>
  </si>
  <si>
    <t>PHCRA</t>
  </si>
  <si>
    <t>Carigara</t>
  </si>
  <si>
    <t>PHCGG</t>
  </si>
  <si>
    <t>Casiguran/Siain</t>
  </si>
  <si>
    <t>PHCST</t>
  </si>
  <si>
    <t>PHCSB</t>
  </si>
  <si>
    <t>Casul Bay/Ozamis</t>
  </si>
  <si>
    <t>PHCTB</t>
  </si>
  <si>
    <t>Catamon Bay/Iloilo</t>
  </si>
  <si>
    <t>PHCUN</t>
  </si>
  <si>
    <t>Catanauan</t>
  </si>
  <si>
    <t>PHCTS</t>
  </si>
  <si>
    <t>Catbalogan, Samar</t>
  </si>
  <si>
    <t>PHCVE</t>
  </si>
  <si>
    <t>Cavite, Luzon</t>
  </si>
  <si>
    <t>PHCEB</t>
  </si>
  <si>
    <t>Cebu</t>
  </si>
  <si>
    <t>PHCLV</t>
  </si>
  <si>
    <t>Claveria/Aparri</t>
  </si>
  <si>
    <t>PHCGI</t>
  </si>
  <si>
    <t>Corregidor Island</t>
  </si>
  <si>
    <t>PHCBO</t>
  </si>
  <si>
    <t>Cotabato, Mindanao</t>
  </si>
  <si>
    <t>PHCSI</t>
  </si>
  <si>
    <t>Culasi</t>
  </si>
  <si>
    <t>PHCUJ</t>
  </si>
  <si>
    <t>Culion</t>
  </si>
  <si>
    <t>PHCMO</t>
  </si>
  <si>
    <t>Currimao</t>
  </si>
  <si>
    <t>PHCUR</t>
  </si>
  <si>
    <t>Curuan/Zamboanga</t>
  </si>
  <si>
    <t>PHDCB</t>
  </si>
  <si>
    <t>Dahikan Bay</t>
  </si>
  <si>
    <t>PHDNO</t>
  </si>
  <si>
    <t>Danao</t>
  </si>
  <si>
    <t>PHDVO</t>
  </si>
  <si>
    <t>Davao, Mindanao</t>
  </si>
  <si>
    <t>PHDPT</t>
  </si>
  <si>
    <t>Diapitan/Siain</t>
  </si>
  <si>
    <t>PHDRB</t>
  </si>
  <si>
    <t>Diaraboan/Siain</t>
  </si>
  <si>
    <t>PHDIC</t>
  </si>
  <si>
    <t>Diculum/Zamboanga</t>
  </si>
  <si>
    <t>PHDID</t>
  </si>
  <si>
    <t>Didadongan/Aparri</t>
  </si>
  <si>
    <t>PHDDW</t>
  </si>
  <si>
    <t>Dinadiawan/Aparri</t>
  </si>
  <si>
    <t>PHDNG</t>
  </si>
  <si>
    <t>Dinagat Island/Surigao</t>
  </si>
  <si>
    <t>PHDNL</t>
  </si>
  <si>
    <t>Dinalongan/Siain</t>
  </si>
  <si>
    <t>PHDGL</t>
  </si>
  <si>
    <t>Dingalan/Siain</t>
  </si>
  <si>
    <t>PHDIO</t>
  </si>
  <si>
    <t>Diotorin/Siain</t>
  </si>
  <si>
    <t>PHDPL</t>
  </si>
  <si>
    <t>Dipolog/Ozamis</t>
  </si>
  <si>
    <t>PHDIR</t>
  </si>
  <si>
    <t>Dirgalan</t>
  </si>
  <si>
    <t>PHDIV</t>
  </si>
  <si>
    <t>Divilacan/Aparri</t>
  </si>
  <si>
    <t>PHDUL</t>
  </si>
  <si>
    <t>Dulag</t>
  </si>
  <si>
    <t>PHDGT</t>
  </si>
  <si>
    <t>Dumaguete</t>
  </si>
  <si>
    <t>PHENI</t>
  </si>
  <si>
    <t>El Nido/Puerto Princesa</t>
  </si>
  <si>
    <t>PHGAC</t>
  </si>
  <si>
    <t>Gachitorena/Jose Panganiban</t>
  </si>
  <si>
    <t>PHGHE</t>
  </si>
  <si>
    <t>Garcia Hernandez</t>
  </si>
  <si>
    <t>PHGAS</t>
  </si>
  <si>
    <t>Gasan</t>
  </si>
  <si>
    <t>PHGNI</t>
  </si>
  <si>
    <t>General Island/Bislig</t>
  </si>
  <si>
    <t>PHGES</t>
  </si>
  <si>
    <t>General Santos</t>
  </si>
  <si>
    <t>PHGGG</t>
  </si>
  <si>
    <t>Gigaquit, Mindanao</t>
  </si>
  <si>
    <t>PHGGM</t>
  </si>
  <si>
    <t>Gigmoto, Catanduanes</t>
  </si>
  <si>
    <t>PHGIN</t>
  </si>
  <si>
    <t>Gingoog/Masao</t>
  </si>
  <si>
    <t>PHGHG</t>
  </si>
  <si>
    <t>Guihulngan</t>
  </si>
  <si>
    <t>PHGMS</t>
  </si>
  <si>
    <t>Guimaras/Iloilo</t>
  </si>
  <si>
    <t>PHGUN</t>
  </si>
  <si>
    <t>Guiuan</t>
  </si>
  <si>
    <t>PHHYB</t>
  </si>
  <si>
    <t>Hagnava Bay</t>
  </si>
  <si>
    <t>PHAQE</t>
  </si>
  <si>
    <t>Hamtic</t>
  </si>
  <si>
    <t>PHHIJ</t>
  </si>
  <si>
    <t>Hijo Wharf/Davao</t>
  </si>
  <si>
    <t>PHHIL</t>
  </si>
  <si>
    <t>Hilongos</t>
  </si>
  <si>
    <t>PHHIM</t>
  </si>
  <si>
    <t>Himamaylan, Negros</t>
  </si>
  <si>
    <t>PHHNT</t>
  </si>
  <si>
    <t>Hinatuan/Bislig</t>
  </si>
  <si>
    <t>PHHNG</t>
  </si>
  <si>
    <t>Hinigaran/Iloilo</t>
  </si>
  <si>
    <t>PHHNB</t>
  </si>
  <si>
    <t>Hinobaan/Iloilo</t>
  </si>
  <si>
    <t>PHHON</t>
  </si>
  <si>
    <t>Hondagua/Siain</t>
  </si>
  <si>
    <t>PHHOO</t>
  </si>
  <si>
    <t>Hook Bay/Siain</t>
  </si>
  <si>
    <t>PHIGN</t>
  </si>
  <si>
    <t>Iligan, Mindanao</t>
  </si>
  <si>
    <t>PHILO</t>
  </si>
  <si>
    <t>Iloilo, Panay</t>
  </si>
  <si>
    <t>PHINP</t>
  </si>
  <si>
    <t>Inampulugan Island</t>
  </si>
  <si>
    <t>PHIPE</t>
  </si>
  <si>
    <t>Ipil/Zamboanga</t>
  </si>
  <si>
    <t>PHISL</t>
  </si>
  <si>
    <t>Isabel</t>
  </si>
  <si>
    <t>PHBCT</t>
  </si>
  <si>
    <t>Isabela, Basilan</t>
  </si>
  <si>
    <t>PHJAG</t>
  </si>
  <si>
    <t>Jagna</t>
  </si>
  <si>
    <t>PHJAS</t>
  </si>
  <si>
    <t>Jasaan</t>
  </si>
  <si>
    <t>PHJNZ</t>
  </si>
  <si>
    <t>Jimenez/Ozamis</t>
  </si>
  <si>
    <t>PHJOL</t>
  </si>
  <si>
    <t>Jolo</t>
  </si>
  <si>
    <t>PHJPM</t>
  </si>
  <si>
    <t>Jose Panganiban, Luzon</t>
  </si>
  <si>
    <t>PHKAS</t>
  </si>
  <si>
    <t>Kabasalan/Zamboanga</t>
  </si>
  <si>
    <t>PHKLM</t>
  </si>
  <si>
    <t>Kalamansig</t>
  </si>
  <si>
    <t>PHKAR</t>
  </si>
  <si>
    <t>Karomatan/Iligan</t>
  </si>
  <si>
    <t>PHKAT</t>
  </si>
  <si>
    <t>Katipunan/Ozamis</t>
  </si>
  <si>
    <t>PHKIA</t>
  </si>
  <si>
    <t>Kiamba/Dadiangas</t>
  </si>
  <si>
    <t>PHKIL</t>
  </si>
  <si>
    <t>Kilbay Point/Jose Panganiban</t>
  </si>
  <si>
    <t>PHKIN</t>
  </si>
  <si>
    <t>Kinogitan/Iligan</t>
  </si>
  <si>
    <t>PHKIP</t>
  </si>
  <si>
    <t>Kipit/Ozamis</t>
  </si>
  <si>
    <t>PHKIW</t>
  </si>
  <si>
    <t>Kiwalan/Iligan</t>
  </si>
  <si>
    <t>PHKOL</t>
  </si>
  <si>
    <t>Kolambugan/Iligan</t>
  </si>
  <si>
    <t>PHKUM</t>
  </si>
  <si>
    <t>Kumalarang/Zamboanga</t>
  </si>
  <si>
    <t>PHLPZ</t>
  </si>
  <si>
    <t>La Paz/Iloilo</t>
  </si>
  <si>
    <t>PHLRP</t>
  </si>
  <si>
    <t>La Rap/Jose Panganiban</t>
  </si>
  <si>
    <t>PHLAB</t>
  </si>
  <si>
    <t>Labason/Zamboanga</t>
  </si>
  <si>
    <t>PHLAY</t>
  </si>
  <si>
    <t>Lagondy River</t>
  </si>
  <si>
    <t>PHLAG</t>
  </si>
  <si>
    <t>Lagonoy/Jose Panganiban</t>
  </si>
  <si>
    <t>PHLGU</t>
  </si>
  <si>
    <t>Laguna</t>
  </si>
  <si>
    <t>PHLAM</t>
  </si>
  <si>
    <t>Lamit Bay/Jose Panganiban</t>
  </si>
  <si>
    <t>PHLAN</t>
  </si>
  <si>
    <t>Lanuza/Bislig</t>
  </si>
  <si>
    <t>PHLAO</t>
  </si>
  <si>
    <t>Laoag, Luzon</t>
  </si>
  <si>
    <t>PHLPU</t>
  </si>
  <si>
    <t>Lapu-Lapu, Cebu</t>
  </si>
  <si>
    <t>PHLNA</t>
  </si>
  <si>
    <t>Larena</t>
  </si>
  <si>
    <t>PHLZB</t>
  </si>
  <si>
    <t>Lazi</t>
  </si>
  <si>
    <t>PHLBK</t>
  </si>
  <si>
    <t>Lebak/Parang</t>
  </si>
  <si>
    <t>PHLGP</t>
  </si>
  <si>
    <t>Legaspi Apt, Luzon</t>
  </si>
  <si>
    <t>PHLEY</t>
  </si>
  <si>
    <t>Leyte</t>
  </si>
  <si>
    <t>PHLIA</t>
  </si>
  <si>
    <t>Lianga/Bislig</t>
  </si>
  <si>
    <t>PHLIB</t>
  </si>
  <si>
    <t>Libjo/Surigao</t>
  </si>
  <si>
    <t>PHLIM</t>
  </si>
  <si>
    <t>Limay/Bataan</t>
  </si>
  <si>
    <t>PHLIN</t>
  </si>
  <si>
    <t>Lingayen, Luzon</t>
  </si>
  <si>
    <t>PHLGG</t>
  </si>
  <si>
    <t>Lingig/Bislig</t>
  </si>
  <si>
    <t>PHLNK</t>
  </si>
  <si>
    <t>Linik/Dadiangas</t>
  </si>
  <si>
    <t>PHLPA</t>
  </si>
  <si>
    <t>Lipa</t>
  </si>
  <si>
    <t>PHLOM</t>
  </si>
  <si>
    <t>Lomuyon/Dadiangas</t>
  </si>
  <si>
    <t>PHLOP</t>
  </si>
  <si>
    <t>Long Point/Puerto Princesa</t>
  </si>
  <si>
    <t>PHLOO</t>
  </si>
  <si>
    <t>Looc Bay/San Jose</t>
  </si>
  <si>
    <t>PHLUC</t>
  </si>
  <si>
    <t>Lucanin</t>
  </si>
  <si>
    <t>PHLUG</t>
  </si>
  <si>
    <t>Lugait</t>
  </si>
  <si>
    <t>PHLUM</t>
  </si>
  <si>
    <t>Lumasal/Dadiangas</t>
  </si>
  <si>
    <t>PHLNO</t>
  </si>
  <si>
    <t>Lunao</t>
  </si>
  <si>
    <t>PHMGD</t>
  </si>
  <si>
    <t>Mabaguid</t>
  </si>
  <si>
    <t>PHMAB</t>
  </si>
  <si>
    <t>Mabini, Mindanao</t>
  </si>
  <si>
    <t>PHMCO</t>
  </si>
  <si>
    <t>Maco/Davao</t>
  </si>
  <si>
    <t>PHMCJ</t>
  </si>
  <si>
    <t>Macojalan/Ozamis</t>
  </si>
  <si>
    <t>PHNOP</t>
  </si>
  <si>
    <t>Mactan Island Apt</t>
  </si>
  <si>
    <t>PHMAD</t>
  </si>
  <si>
    <t>Madaum/Davao</t>
  </si>
  <si>
    <t>PHMGA</t>
  </si>
  <si>
    <t>Magalona/Iloilo</t>
  </si>
  <si>
    <t>PHMLS</t>
  </si>
  <si>
    <t>Magellanes/Masao</t>
  </si>
  <si>
    <t>PHMGB</t>
  </si>
  <si>
    <t>Magueda Bay/Catbalogan</t>
  </si>
  <si>
    <t>PHMAI</t>
  </si>
  <si>
    <t>Maitum/Dadiangas</t>
  </si>
  <si>
    <t>PHMAK</t>
  </si>
  <si>
    <t>Makar/Dadiangas</t>
  </si>
  <si>
    <t>PHMTI</t>
  </si>
  <si>
    <t>Makati</t>
  </si>
  <si>
    <t>PHMKC</t>
  </si>
  <si>
    <t>Makati City</t>
  </si>
  <si>
    <t>PHMLL</t>
  </si>
  <si>
    <t>Malalag/Davao</t>
  </si>
  <si>
    <t>PHMAL</t>
  </si>
  <si>
    <t>Malampaya</t>
  </si>
  <si>
    <t>PHMSB</t>
  </si>
  <si>
    <t>Malasugat Bay/Zamboanga</t>
  </si>
  <si>
    <t>PHMTP</t>
  </si>
  <si>
    <t>Malatapay</t>
  </si>
  <si>
    <t>PHMLB</t>
  </si>
  <si>
    <t>Maluso, Basilan</t>
  </si>
  <si>
    <t>PHMGI</t>
  </si>
  <si>
    <t>Mambagid</t>
  </si>
  <si>
    <t>PHMSY</t>
  </si>
  <si>
    <t>Manansalay/Batangas</t>
  </si>
  <si>
    <t>PHMNY</t>
  </si>
  <si>
    <t>Manay/Mati</t>
  </si>
  <si>
    <t>PHMGG</t>
  </si>
  <si>
    <t>Mangogoy/Bislig</t>
  </si>
  <si>
    <t>PHMNI</t>
  </si>
  <si>
    <t>Manicani</t>
  </si>
  <si>
    <t>PHMNL</t>
  </si>
  <si>
    <t>Manila</t>
  </si>
  <si>
    <t>PHMNN</t>
  </si>
  <si>
    <t>Manila North Harbour</t>
  </si>
  <si>
    <t>PHMNS</t>
  </si>
  <si>
    <t>Manila South Harbour</t>
  </si>
  <si>
    <t>PHMHT</t>
  </si>
  <si>
    <t>Marihatag, Mindanao</t>
  </si>
  <si>
    <t>PHMVS</t>
  </si>
  <si>
    <t>Mariveles, Luzon</t>
  </si>
  <si>
    <t>PHMAS</t>
  </si>
  <si>
    <t>Masao</t>
  </si>
  <si>
    <t>PHMBT</t>
  </si>
  <si>
    <t>Masbate</t>
  </si>
  <si>
    <t>PHMSC</t>
  </si>
  <si>
    <t>Masinloc/Sual</t>
  </si>
  <si>
    <t>PHMAC</t>
  </si>
  <si>
    <t>Matho Cortez/Bislig</t>
  </si>
  <si>
    <t>PHMXI</t>
  </si>
  <si>
    <t>Mati, Mindanao</t>
  </si>
  <si>
    <t>PHMTA</t>
  </si>
  <si>
    <t>Matina Aplaya/Davao</t>
  </si>
  <si>
    <t>PHMDN</t>
  </si>
  <si>
    <t>Medina</t>
  </si>
  <si>
    <t>PHMCD</t>
  </si>
  <si>
    <t>Mercedes/Jose Panganiban</t>
  </si>
  <si>
    <t>PHMIL</t>
  </si>
  <si>
    <t>Milbuk/Dadiangas</t>
  </si>
  <si>
    <t>PHMIO</t>
  </si>
  <si>
    <t>Misamis Occ./Ozamis</t>
  </si>
  <si>
    <t>PHMIC</t>
  </si>
  <si>
    <t>Misamis Or./Cagayan de Oro</t>
  </si>
  <si>
    <t>PHMSS</t>
  </si>
  <si>
    <t>Mission/Aparri</t>
  </si>
  <si>
    <t>PHMON</t>
  </si>
  <si>
    <t>Monserrat/Mati</t>
  </si>
  <si>
    <t>PHMOR</t>
  </si>
  <si>
    <t>Morong/Mariveles</t>
  </si>
  <si>
    <t>PHMUL</t>
  </si>
  <si>
    <t>Mulanay/Siain</t>
  </si>
  <si>
    <t>PHMNT</t>
  </si>
  <si>
    <t>Muntinlupa City</t>
  </si>
  <si>
    <t>PHNAB</t>
  </si>
  <si>
    <t>Nabulao Bay/Iloilo</t>
  </si>
  <si>
    <t>PHWNP</t>
  </si>
  <si>
    <t>Naga/Zamboanga</t>
  </si>
  <si>
    <t>PHNGH</t>
  </si>
  <si>
    <t>Nagh</t>
  </si>
  <si>
    <t>PHNAL</t>
  </si>
  <si>
    <t>Nalungga/Iloilo</t>
  </si>
  <si>
    <t>PHNAP</t>
  </si>
  <si>
    <t>Napsan/Puerto Princesa</t>
  </si>
  <si>
    <t>PHNAR</t>
  </si>
  <si>
    <t>Naris Point/Puerto Princesa</t>
  </si>
  <si>
    <t>PHNAS</t>
  </si>
  <si>
    <t>Nasipit/Masao</t>
  </si>
  <si>
    <t>PHNUG</t>
  </si>
  <si>
    <t>Nasugbu, Luzon</t>
  </si>
  <si>
    <t>PHNTO</t>
  </si>
  <si>
    <t>Nato</t>
  </si>
  <si>
    <t>PHNID</t>
  </si>
  <si>
    <t>Nido Terminal</t>
  </si>
  <si>
    <t>PHNON</t>
  </si>
  <si>
    <t>Nonoc/Surigao Del Norte</t>
  </si>
  <si>
    <t>PHODI</t>
  </si>
  <si>
    <t>Odiongan</t>
  </si>
  <si>
    <t>PHOLO</t>
  </si>
  <si>
    <t>Olongapo</t>
  </si>
  <si>
    <t>PHOPO</t>
  </si>
  <si>
    <t>Opol</t>
  </si>
  <si>
    <t>PHORS</t>
  </si>
  <si>
    <t>Oras/Catbalogan</t>
  </si>
  <si>
    <t>PHORA</t>
  </si>
  <si>
    <t>Orayuita</t>
  </si>
  <si>
    <t>PHORC</t>
  </si>
  <si>
    <t>Ormoc/Tacloban</t>
  </si>
  <si>
    <t>PHORL</t>
  </si>
  <si>
    <t>Oroquieta</t>
  </si>
  <si>
    <t>PHOTE</t>
  </si>
  <si>
    <t>Oteiza/Bislig</t>
  </si>
  <si>
    <t>PHOZC</t>
  </si>
  <si>
    <t>Ozamis, Mindanao</t>
  </si>
  <si>
    <t>PHPDR</t>
  </si>
  <si>
    <t>Pacio de Rozas/Batangas</t>
  </si>
  <si>
    <t>PHPAG</t>
  </si>
  <si>
    <t>Pagadian/Zamboanga</t>
  </si>
  <si>
    <t>PHPPP</t>
  </si>
  <si>
    <t>Pagudpud, Luzon</t>
  </si>
  <si>
    <t>PHPLB</t>
  </si>
  <si>
    <t>Palamit Bay/San Jose</t>
  </si>
  <si>
    <t>PHPLP</t>
  </si>
  <si>
    <t>Palapag/San Jose</t>
  </si>
  <si>
    <t>PHPLW</t>
  </si>
  <si>
    <t>Palawan/Ozamis</t>
  </si>
  <si>
    <t>PHPMT</t>
  </si>
  <si>
    <t>Pamintayan/Zamboanga</t>
  </si>
  <si>
    <t>PHPAM</t>
  </si>
  <si>
    <t>Pampanga</t>
  </si>
  <si>
    <t>PHPPL</t>
  </si>
  <si>
    <t>Pamplona/Aparri</t>
  </si>
  <si>
    <t>PHPNB</t>
  </si>
  <si>
    <t>Panabutan/Zamboanga</t>
  </si>
  <si>
    <t>PHPCN</t>
  </si>
  <si>
    <t>Panacan/Davao</t>
  </si>
  <si>
    <t>PHPCA</t>
  </si>
  <si>
    <t>Panacosa/Puerto Princesa</t>
  </si>
  <si>
    <t>PHPGT</t>
  </si>
  <si>
    <t>Pangutaran/Jolo</t>
  </si>
  <si>
    <t>PHPNN</t>
  </si>
  <si>
    <t>Paninirongan/Sanjose</t>
  </si>
  <si>
    <t>PHPRA</t>
  </si>
  <si>
    <t>Parang</t>
  </si>
  <si>
    <t>PHPSL</t>
  </si>
  <si>
    <t>Pasaleng, Luzon</t>
  </si>
  <si>
    <t>PHPAS</t>
  </si>
  <si>
    <t>Pasay, Luzon</t>
  </si>
  <si>
    <t>PHPIS</t>
  </si>
  <si>
    <t>Philippines</t>
  </si>
  <si>
    <t>PHPIN</t>
  </si>
  <si>
    <t>Pinamalayan/Batangas</t>
  </si>
  <si>
    <t>PHPLA</t>
  </si>
  <si>
    <t>Plaridel/Ozamis</t>
  </si>
  <si>
    <t>PHPDC</t>
  </si>
  <si>
    <t>Polanco, Mindanao</t>
  </si>
  <si>
    <t>PHPLL</t>
  </si>
  <si>
    <t>Polillo, Polillo Isl</t>
  </si>
  <si>
    <t>PHPLC</t>
  </si>
  <si>
    <t>Polloc</t>
  </si>
  <si>
    <t>PHPRO</t>
  </si>
  <si>
    <t>Poro/San Fernando</t>
  </si>
  <si>
    <t>PHPBA</t>
  </si>
  <si>
    <t>Port Barton/Palawan</t>
  </si>
  <si>
    <t>PHPHD</t>
  </si>
  <si>
    <t>Port Holland</t>
  </si>
  <si>
    <t>PHIRN</t>
  </si>
  <si>
    <t>Port Irene</t>
  </si>
  <si>
    <t>PHPGA</t>
  </si>
  <si>
    <t>Puerto Galera</t>
  </si>
  <si>
    <t>PHPPS</t>
  </si>
  <si>
    <t>Puerto Princesa, Palawan</t>
  </si>
  <si>
    <t>PHPUG</t>
  </si>
  <si>
    <t>Pugad/Bislig</t>
  </si>
  <si>
    <t>PHPUL</t>
  </si>
  <si>
    <t>Pulupandan</t>
  </si>
  <si>
    <t>PHPTL</t>
  </si>
  <si>
    <t>Puntalinao/Mati</t>
  </si>
  <si>
    <t>PHPNT</t>
  </si>
  <si>
    <t>Punti/Aparri</t>
  </si>
  <si>
    <t>PHQUE</t>
  </si>
  <si>
    <t>Queson/Siain</t>
  </si>
  <si>
    <t>PHQUI</t>
  </si>
  <si>
    <t>Quiddiao/Aparri</t>
  </si>
  <si>
    <t>PHQBI</t>
  </si>
  <si>
    <t>Quinabigan</t>
  </si>
  <si>
    <t>PHQBL</t>
  </si>
  <si>
    <t>Quinablagan/Mati</t>
  </si>
  <si>
    <t>PHQPT</t>
  </si>
  <si>
    <t>Quipit Bay/Ozamis</t>
  </si>
  <si>
    <t>PHREA</t>
  </si>
  <si>
    <t>Real/Siain</t>
  </si>
  <si>
    <t>PHRLN</t>
  </si>
  <si>
    <t>Romblon</t>
  </si>
  <si>
    <t>PHROM</t>
  </si>
  <si>
    <t>PHRXS</t>
  </si>
  <si>
    <t>Roxas/Puerto Princesa</t>
  </si>
  <si>
    <t>PHSBG</t>
  </si>
  <si>
    <t>Sabang</t>
  </si>
  <si>
    <t>PHSBB</t>
  </si>
  <si>
    <t>Sabbot/Siain</t>
  </si>
  <si>
    <t>PHSBY</t>
  </si>
  <si>
    <t>Sablayan/Batangas</t>
  </si>
  <si>
    <t>PHSAG</t>
  </si>
  <si>
    <t>Sagay/Iloilo</t>
  </si>
  <si>
    <t>PHSLM</t>
  </si>
  <si>
    <t>Salomague</t>
  </si>
  <si>
    <t>PHSCA</t>
  </si>
  <si>
    <t>San Carlos/Dumaguete</t>
  </si>
  <si>
    <t>PHSFE</t>
  </si>
  <si>
    <t>San Fernando, Luzon</t>
  </si>
  <si>
    <t>PHSIO</t>
  </si>
  <si>
    <t>San Ignacio/Mati</t>
  </si>
  <si>
    <t>PHSIS</t>
  </si>
  <si>
    <t>San Isidro/Sanjose</t>
  </si>
  <si>
    <t>PHSJI</t>
  </si>
  <si>
    <t>San Jose Apt, Mindoro</t>
  </si>
  <si>
    <t>PHSPQ</t>
  </si>
  <si>
    <t>San Pio Quinto/Aparri</t>
  </si>
  <si>
    <t>PHSTE</t>
  </si>
  <si>
    <t>San Teodoro/Batangas</t>
  </si>
  <si>
    <t>PHSNG</t>
  </si>
  <si>
    <t>Sangi/Cebu</t>
  </si>
  <si>
    <t>PHSAN</t>
  </si>
  <si>
    <t>Santa Ana/Aparri</t>
  </si>
  <si>
    <t>PHSCT</t>
  </si>
  <si>
    <t>Santa Catalina/Dumaguete</t>
  </si>
  <si>
    <t>PHSCR</t>
  </si>
  <si>
    <t>Santa Cruz/Sual</t>
  </si>
  <si>
    <t>PHSLU</t>
  </si>
  <si>
    <t>Santa Lucia/Puerto Princesa</t>
  </si>
  <si>
    <t>PHSMA</t>
  </si>
  <si>
    <t>Santa Maria/Zamboanga</t>
  </si>
  <si>
    <t>PHSNI</t>
  </si>
  <si>
    <t>Santa Nino</t>
  </si>
  <si>
    <t>PHSAS</t>
  </si>
  <si>
    <t>Sasa/Davao</t>
  </si>
  <si>
    <t>PHSAY</t>
  </si>
  <si>
    <t>Sayao/Batangas</t>
  </si>
  <si>
    <t>PHSMR</t>
  </si>
  <si>
    <t>Semirara</t>
  </si>
  <si>
    <t>PHSIN</t>
  </si>
  <si>
    <t>Siain, Luzon</t>
  </si>
  <si>
    <t>PHSIR</t>
  </si>
  <si>
    <t>Siari/Ozamis</t>
  </si>
  <si>
    <t>PHSIY</t>
  </si>
  <si>
    <t>Siay/Zamboanga</t>
  </si>
  <si>
    <t>PHSIG</t>
  </si>
  <si>
    <t>Sigayan/Parang</t>
  </si>
  <si>
    <t>PHSDG</t>
  </si>
  <si>
    <t>Sindangan/Ozamis</t>
  </si>
  <si>
    <t>PHXSO</t>
  </si>
  <si>
    <t>Siocon/Zamboanga</t>
  </si>
  <si>
    <t>PHSGD</t>
  </si>
  <si>
    <t>Sogod/Tacloban</t>
  </si>
  <si>
    <t>PHSOR</t>
  </si>
  <si>
    <t>Sorsogon/Legaspi</t>
  </si>
  <si>
    <t>PHSUA</t>
  </si>
  <si>
    <t>Sual</t>
  </si>
  <si>
    <t>PHSFS</t>
  </si>
  <si>
    <t>Subic Bay</t>
  </si>
  <si>
    <t>PHSKU</t>
  </si>
  <si>
    <t>Sultan Kudarat/Dadiangas</t>
  </si>
  <si>
    <t>PHSUG</t>
  </si>
  <si>
    <t>Surigao, Mindanao</t>
  </si>
  <si>
    <t>PHTBC</t>
  </si>
  <si>
    <t>Tabaco/Legaspi</t>
  </si>
  <si>
    <t>PHTBG</t>
  </si>
  <si>
    <t>Tabangoa</t>
  </si>
  <si>
    <t>PHTAC</t>
  </si>
  <si>
    <t>Tacloban, Leyte</t>
  </si>
  <si>
    <t>PHTBU</t>
  </si>
  <si>
    <t>Tagabuli/Davao</t>
  </si>
  <si>
    <t>PHTTO</t>
  </si>
  <si>
    <t>Taganito</t>
  </si>
  <si>
    <t>PHTAG</t>
  </si>
  <si>
    <t>Tagbilaran, Bohol</t>
  </si>
  <si>
    <t>PHTKW</t>
  </si>
  <si>
    <t>Tagkawayan/Siain</t>
  </si>
  <si>
    <t>PHTGO</t>
  </si>
  <si>
    <t>Tagoloan</t>
  </si>
  <si>
    <t>PHTGD</t>
  </si>
  <si>
    <t>Tagudin/San Fernando</t>
  </si>
  <si>
    <t>PHTGL</t>
  </si>
  <si>
    <t>Taguilon/Ozamis</t>
  </si>
  <si>
    <t>PHTGT</t>
  </si>
  <si>
    <t>Taguite Bay/Zamboanga</t>
  </si>
  <si>
    <t>PHTAL</t>
  </si>
  <si>
    <t>Talibon</t>
  </si>
  <si>
    <t>PHTLM</t>
  </si>
  <si>
    <t>Talomo/Davao</t>
  </si>
  <si>
    <t>PHTGN</t>
  </si>
  <si>
    <t>Tambungon/Davao</t>
  </si>
  <si>
    <t>PHTNU</t>
  </si>
  <si>
    <t>Tanauan/Tacloban</t>
  </si>
  <si>
    <t>PHTDG</t>
  </si>
  <si>
    <t>Tandag/Bislig</t>
  </si>
  <si>
    <t>PHTAN</t>
  </si>
  <si>
    <t>Tandayag</t>
  </si>
  <si>
    <t>PHTDC</t>
  </si>
  <si>
    <t>Tandoc</t>
  </si>
  <si>
    <t>PHTAY</t>
  </si>
  <si>
    <t>Taytay/Puerto Princesa</t>
  </si>
  <si>
    <t>PHTIB</t>
  </si>
  <si>
    <t>Tibungco/Davao</t>
  </si>
  <si>
    <t>PHTIN</t>
  </si>
  <si>
    <t>Tindalo Oil Field</t>
  </si>
  <si>
    <t>PHTOB</t>
  </si>
  <si>
    <t>Toboso/Dumaguete</t>
  </si>
  <si>
    <t>PHTLD</t>
  </si>
  <si>
    <t>Toledo/Cebu</t>
  </si>
  <si>
    <t>PHTLG</t>
  </si>
  <si>
    <t>Tolong/Dumaguete</t>
  </si>
  <si>
    <t>PHTLP</t>
  </si>
  <si>
    <t>Tolopo</t>
  </si>
  <si>
    <t>PHTLS</t>
  </si>
  <si>
    <t>Tolosa/Tacloban</t>
  </si>
  <si>
    <t>PHTON</t>
  </si>
  <si>
    <t>Tubigon</t>
  </si>
  <si>
    <t>PHTGI</t>
  </si>
  <si>
    <t>Tuguis/Dadiangas</t>
  </si>
  <si>
    <t>PHTGW</t>
  </si>
  <si>
    <t>Tungawan Bay/Zamboanga</t>
  </si>
  <si>
    <t>PHULY</t>
  </si>
  <si>
    <t>Ulugan Bay</t>
  </si>
  <si>
    <t>PHURR</t>
  </si>
  <si>
    <t>Umrur</t>
  </si>
  <si>
    <t>PHVCS</t>
  </si>
  <si>
    <t>Victorias, Negros</t>
  </si>
  <si>
    <t>PHVNV</t>
  </si>
  <si>
    <t>Villanueva</t>
  </si>
  <si>
    <t>PHVTL</t>
  </si>
  <si>
    <t>Vitali/Zamboanga</t>
  </si>
  <si>
    <t>PHVTO</t>
  </si>
  <si>
    <t>Vito/Iloilo</t>
  </si>
  <si>
    <t>PHWAS</t>
  </si>
  <si>
    <t>Wasag/Dadiangas</t>
  </si>
  <si>
    <t>PHWAW</t>
  </si>
  <si>
    <t>Wawa/Batangas</t>
  </si>
  <si>
    <t>PHZAM</t>
  </si>
  <si>
    <t>Zamboanga</t>
  </si>
  <si>
    <t>PKGWD</t>
  </si>
  <si>
    <t>Gwadar</t>
  </si>
  <si>
    <t>PKJIW</t>
  </si>
  <si>
    <t>Jiwani</t>
  </si>
  <si>
    <t>PKKHI</t>
  </si>
  <si>
    <t>Karachi</t>
  </si>
  <si>
    <t>PKKCT</t>
  </si>
  <si>
    <t>Karachi Container Terminal</t>
  </si>
  <si>
    <t>PKKBA</t>
  </si>
  <si>
    <t>Keti Bandar</t>
  </si>
  <si>
    <t>PKKBU</t>
  </si>
  <si>
    <t>Keti Bunder</t>
  </si>
  <si>
    <t>PKKIA</t>
  </si>
  <si>
    <t>Kiamari</t>
  </si>
  <si>
    <t>PKBQM</t>
  </si>
  <si>
    <t>Muhammad Bin Qasim/Karachi</t>
  </si>
  <si>
    <t>PKORW</t>
  </si>
  <si>
    <t>Ormara</t>
  </si>
  <si>
    <t>PKPCT</t>
  </si>
  <si>
    <t>Pakistan International Container Terminal/Karachi</t>
  </si>
  <si>
    <t>PKPSI</t>
  </si>
  <si>
    <t>Pasni</t>
  </si>
  <si>
    <t>PKQCT</t>
  </si>
  <si>
    <t>Qasim International Container Terminal/Karachi</t>
  </si>
  <si>
    <t>PLBEK</t>
  </si>
  <si>
    <t>Bielinek</t>
  </si>
  <si>
    <t>PLBRK</t>
  </si>
  <si>
    <t>Brzostek Policzko</t>
  </si>
  <si>
    <t>PLBZI</t>
  </si>
  <si>
    <t>Burzenin</t>
  </si>
  <si>
    <t>PLBYC</t>
  </si>
  <si>
    <t>Byczyna</t>
  </si>
  <si>
    <t>PLBZG</t>
  </si>
  <si>
    <t>Bydgoszcz</t>
  </si>
  <si>
    <t>PLCPL</t>
  </si>
  <si>
    <t>Chobienice</t>
  </si>
  <si>
    <t>PLCH3</t>
  </si>
  <si>
    <t>PLZAA</t>
  </si>
  <si>
    <t>Czarna</t>
  </si>
  <si>
    <t>PLCDB</t>
  </si>
  <si>
    <t>Czarna Dabrowka</t>
  </si>
  <si>
    <t>PL6MA</t>
  </si>
  <si>
    <t>PLDAR</t>
  </si>
  <si>
    <t>Darlowo</t>
  </si>
  <si>
    <t>PLDCZ</t>
  </si>
  <si>
    <t>Duczki</t>
  </si>
  <si>
    <t>PLZIC</t>
  </si>
  <si>
    <t>Dziecmierowo</t>
  </si>
  <si>
    <t>PLDZN</t>
  </si>
  <si>
    <t>Dziwnow</t>
  </si>
  <si>
    <t>PLELB</t>
  </si>
  <si>
    <t>Elblag</t>
  </si>
  <si>
    <t>PLFBK</t>
  </si>
  <si>
    <t>Frombork</t>
  </si>
  <si>
    <t>PLGDN</t>
  </si>
  <si>
    <t>Gdansk</t>
  </si>
  <si>
    <t>PLGDY</t>
  </si>
  <si>
    <t>Gdynia</t>
  </si>
  <si>
    <t>PLGKI</t>
  </si>
  <si>
    <t>Glinki</t>
  </si>
  <si>
    <t>PLGKZ</t>
  </si>
  <si>
    <t>PLZIN</t>
  </si>
  <si>
    <t>Grodziczno</t>
  </si>
  <si>
    <t>PLHEL</t>
  </si>
  <si>
    <t>Hel</t>
  </si>
  <si>
    <t>PLIYC</t>
  </si>
  <si>
    <t>Iwierzyce</t>
  </si>
  <si>
    <t>PLLUU</t>
  </si>
  <si>
    <t>Janowiec</t>
  </si>
  <si>
    <t>PLJDZ</t>
  </si>
  <si>
    <t>PLKAO</t>
  </si>
  <si>
    <t>Kamien Pomorski</t>
  </si>
  <si>
    <t>PLKYK</t>
  </si>
  <si>
    <t>Kamyk</t>
  </si>
  <si>
    <t>PLSJK</t>
  </si>
  <si>
    <t>PLMA9</t>
  </si>
  <si>
    <t>Klaj</t>
  </si>
  <si>
    <t>PLKOL</t>
  </si>
  <si>
    <t>Kolobrzeg</t>
  </si>
  <si>
    <t>PLMK9</t>
  </si>
  <si>
    <t>Konotopa</t>
  </si>
  <si>
    <t>PLKZ4</t>
  </si>
  <si>
    <t>Korzenna</t>
  </si>
  <si>
    <t>PLKLY</t>
  </si>
  <si>
    <t>Kostomloty</t>
  </si>
  <si>
    <t>PLKPW</t>
  </si>
  <si>
    <t>Kraplewo</t>
  </si>
  <si>
    <t>PLKOD</t>
  </si>
  <si>
    <t>Krosno Odrzanskie</t>
  </si>
  <si>
    <t>PLKRM</t>
  </si>
  <si>
    <t>Krynica Morska</t>
  </si>
  <si>
    <t>PLKMR</t>
  </si>
  <si>
    <t>PLLEA</t>
  </si>
  <si>
    <t>Leba</t>
  </si>
  <si>
    <t>PLLPN</t>
  </si>
  <si>
    <t>Lipiany</t>
  </si>
  <si>
    <t>PLKUY</t>
  </si>
  <si>
    <t>PLMNN</t>
  </si>
  <si>
    <t>Margonin</t>
  </si>
  <si>
    <t>PLMID</t>
  </si>
  <si>
    <t>Miedzyzdroje</t>
  </si>
  <si>
    <t>PLNXA</t>
  </si>
  <si>
    <t>Mierzyn</t>
  </si>
  <si>
    <t>PLMKW</t>
  </si>
  <si>
    <t>PLMRE</t>
  </si>
  <si>
    <t>Mrzezyno</t>
  </si>
  <si>
    <t>PLNCH</t>
  </si>
  <si>
    <t>Niechorze</t>
  </si>
  <si>
    <t>PLNWA</t>
  </si>
  <si>
    <t>Nowe Warpno</t>
  </si>
  <si>
    <t>PLNOW</t>
  </si>
  <si>
    <t>Nowy Port/Gdansk</t>
  </si>
  <si>
    <t>PLOLA</t>
  </si>
  <si>
    <t>Olawa</t>
  </si>
  <si>
    <t>PLOSD</t>
  </si>
  <si>
    <t>PLPTN</t>
  </si>
  <si>
    <t>Piatnica</t>
  </si>
  <si>
    <t>PLIT5</t>
  </si>
  <si>
    <t>PLBLZ</t>
  </si>
  <si>
    <t>Plblz</t>
  </si>
  <si>
    <t>PLPNW</t>
  </si>
  <si>
    <t>PLPLC</t>
  </si>
  <si>
    <t>Police</t>
  </si>
  <si>
    <t>PLPZN</t>
  </si>
  <si>
    <t>Pszenno</t>
  </si>
  <si>
    <t>PLRWL</t>
  </si>
  <si>
    <t>Rewal</t>
  </si>
  <si>
    <t>PLXXX</t>
  </si>
  <si>
    <t>PLROI</t>
  </si>
  <si>
    <t>Rokietnica</t>
  </si>
  <si>
    <t>PLRUC</t>
  </si>
  <si>
    <t>Ruchocice</t>
  </si>
  <si>
    <t>PLSCA</t>
  </si>
  <si>
    <t>PLSKN</t>
  </si>
  <si>
    <t>Skolwin</t>
  </si>
  <si>
    <t>PLSKJ</t>
  </si>
  <si>
    <t>Skolyszyn</t>
  </si>
  <si>
    <t>PLSOP</t>
  </si>
  <si>
    <t>Sopot</t>
  </si>
  <si>
    <t>PLSY2</t>
  </si>
  <si>
    <t>Sroczyn</t>
  </si>
  <si>
    <t>PLSPA</t>
  </si>
  <si>
    <t>Stepnica</t>
  </si>
  <si>
    <t>PLSWI</t>
  </si>
  <si>
    <t>Swinoujscie</t>
  </si>
  <si>
    <t>PLSZZ</t>
  </si>
  <si>
    <t>Szczecin</t>
  </si>
  <si>
    <t>PLTBZ</t>
  </si>
  <si>
    <t>Trzebiez</t>
  </si>
  <si>
    <t>PLURD</t>
  </si>
  <si>
    <t>Urad</t>
  </si>
  <si>
    <t>PLUST</t>
  </si>
  <si>
    <t>Ustka</t>
  </si>
  <si>
    <t>PLUMS</t>
  </si>
  <si>
    <t>Ustronie Morskie</t>
  </si>
  <si>
    <t>PLWZO</t>
  </si>
  <si>
    <t>Wegorzyno</t>
  </si>
  <si>
    <t>PLWIU</t>
  </si>
  <si>
    <t>Widuchowa</t>
  </si>
  <si>
    <t>PLWLA</t>
  </si>
  <si>
    <t>Wladyslawowo</t>
  </si>
  <si>
    <t>PLWOL</t>
  </si>
  <si>
    <t>PLWLI</t>
  </si>
  <si>
    <t>Wolin</t>
  </si>
  <si>
    <t>PLZGO</t>
  </si>
  <si>
    <t>Zagorow</t>
  </si>
  <si>
    <t>PLZNI</t>
  </si>
  <si>
    <t>Znin</t>
  </si>
  <si>
    <t>PMFSP</t>
  </si>
  <si>
    <t>PNPCN</t>
  </si>
  <si>
    <t>Pitcairn Is</t>
  </si>
  <si>
    <t>PRBQN</t>
  </si>
  <si>
    <t>Aguadilla</t>
  </si>
  <si>
    <t>PRARE</t>
  </si>
  <si>
    <t>Arecibo</t>
  </si>
  <si>
    <t>PRARR</t>
  </si>
  <si>
    <t>Arroyo/Guayama</t>
  </si>
  <si>
    <t>PRGUX</t>
  </si>
  <si>
    <t>Guanica</t>
  </si>
  <si>
    <t>PRGUY</t>
  </si>
  <si>
    <t>Guayanilla</t>
  </si>
  <si>
    <t>PRLAM</t>
  </si>
  <si>
    <t>Las Mareas (Guayama)</t>
  </si>
  <si>
    <t>PRMAZ</t>
  </si>
  <si>
    <t>PRPSE</t>
  </si>
  <si>
    <t>Ponce</t>
  </si>
  <si>
    <t>PRPJO</t>
  </si>
  <si>
    <t>Puerto de Jobos</t>
  </si>
  <si>
    <t>PRPYA</t>
  </si>
  <si>
    <t>Puerto Yabucoa</t>
  </si>
  <si>
    <t>PRSAL</t>
  </si>
  <si>
    <t>PRSJU</t>
  </si>
  <si>
    <t>PRSBS</t>
  </si>
  <si>
    <t>PTAGD</t>
  </si>
  <si>
    <t>Aguda</t>
  </si>
  <si>
    <t>PTABF</t>
  </si>
  <si>
    <t>Albufeira</t>
  </si>
  <si>
    <t>PTAGR</t>
  </si>
  <si>
    <t>Almograve</t>
  </si>
  <si>
    <t>PTADG</t>
  </si>
  <si>
    <t>PTANG</t>
  </si>
  <si>
    <t>Angeiras</t>
  </si>
  <si>
    <t>PTADH</t>
  </si>
  <si>
    <t>PTGER</t>
  </si>
  <si>
    <t>Argeriz</t>
  </si>
  <si>
    <t>PTARP</t>
  </si>
  <si>
    <t>PTAVE</t>
  </si>
  <si>
    <t>Aveiro</t>
  </si>
  <si>
    <t>PTAZM</t>
  </si>
  <si>
    <t>Azenhas do Mar</t>
  </si>
  <si>
    <t>PTBTR</t>
  </si>
  <si>
    <t>Baltar</t>
  </si>
  <si>
    <t>PTBAN</t>
  </si>
  <si>
    <t>Banatica</t>
  </si>
  <si>
    <t>PTBAO</t>
  </si>
  <si>
    <t>Barro</t>
  </si>
  <si>
    <t>PTBEI</t>
  </si>
  <si>
    <t>Beijos</t>
  </si>
  <si>
    <t>PTBNG</t>
  </si>
  <si>
    <t>Benagil</t>
  </si>
  <si>
    <t>PTBOC</t>
  </si>
  <si>
    <t>PTBRG</t>
  </si>
  <si>
    <t>Burgau</t>
  </si>
  <si>
    <t>PTBUS</t>
  </si>
  <si>
    <t>Bustos</t>
  </si>
  <si>
    <t>PTCAC</t>
  </si>
  <si>
    <t>PTCDP</t>
  </si>
  <si>
    <t>Cais do Pico</t>
  </si>
  <si>
    <t>PTCAL</t>
  </si>
  <si>
    <t>PTCML</t>
  </si>
  <si>
    <t>PTCES</t>
  </si>
  <si>
    <t>Cambres</t>
  </si>
  <si>
    <t>PTCNL</t>
  </si>
  <si>
    <t>PTCPL</t>
  </si>
  <si>
    <t>Capelo</t>
  </si>
  <si>
    <t>PTCRC</t>
  </si>
  <si>
    <t>Carrasqueira</t>
  </si>
  <si>
    <t>PTCRB</t>
  </si>
  <si>
    <t>Casa Branca</t>
  </si>
  <si>
    <t>PTCAS</t>
  </si>
  <si>
    <t>Cascais</t>
  </si>
  <si>
    <t>PTCNV</t>
  </si>
  <si>
    <t>Castelo do Neiva</t>
  </si>
  <si>
    <t>PTCNA</t>
  </si>
  <si>
    <t>Coina</t>
  </si>
  <si>
    <t>PTCLS</t>
  </si>
  <si>
    <t>Colos</t>
  </si>
  <si>
    <t>PTCAP</t>
  </si>
  <si>
    <t>Costa da Caparica</t>
  </si>
  <si>
    <t>PTDOU</t>
  </si>
  <si>
    <t>Douro</t>
  </si>
  <si>
    <t>PTXZX</t>
  </si>
  <si>
    <t>Escariz</t>
  </si>
  <si>
    <t>PTEST</t>
  </si>
  <si>
    <t>Estoril</t>
  </si>
  <si>
    <t>PTFAE</t>
  </si>
  <si>
    <t>PTFAO</t>
  </si>
  <si>
    <t>Faro</t>
  </si>
  <si>
    <t>PTFDF</t>
  </si>
  <si>
    <t>Figueira da Foz</t>
  </si>
  <si>
    <t>PTFDT</t>
  </si>
  <si>
    <t>Fonte da Telha</t>
  </si>
  <si>
    <t>PTFOZ</t>
  </si>
  <si>
    <t>Foz do Arelho</t>
  </si>
  <si>
    <t>PTFNC</t>
  </si>
  <si>
    <t>Funchal, Madeira</t>
  </si>
  <si>
    <t>PTFUZ</t>
  </si>
  <si>
    <t>Fuzeta</t>
  </si>
  <si>
    <t>PTGUA</t>
  </si>
  <si>
    <t>Guardizela</t>
  </si>
  <si>
    <t>PTGUE</t>
  </si>
  <si>
    <t>PTGIF</t>
  </si>
  <si>
    <t>PTHOR</t>
  </si>
  <si>
    <t>Horta</t>
  </si>
  <si>
    <t>PTBRA</t>
  </si>
  <si>
    <t>Joane</t>
  </si>
  <si>
    <t>PTLOS</t>
  </si>
  <si>
    <t>PTLDP</t>
  </si>
  <si>
    <t>Lajes</t>
  </si>
  <si>
    <t>PTLAJ</t>
  </si>
  <si>
    <t>Lajes das Flores</t>
  </si>
  <si>
    <t>PTLNS</t>
  </si>
  <si>
    <t>Lanheses</t>
  </si>
  <si>
    <t>PTLEP</t>
  </si>
  <si>
    <t>PTLEI</t>
  </si>
  <si>
    <t>PTLIS</t>
  </si>
  <si>
    <t>Lisboa</t>
  </si>
  <si>
    <t>PTLDR</t>
  </si>
  <si>
    <t>Lordelo</t>
  </si>
  <si>
    <t>PTLE2</t>
  </si>
  <si>
    <t>Maceira</t>
  </si>
  <si>
    <t>PTMCH</t>
  </si>
  <si>
    <t>Machico</t>
  </si>
  <si>
    <t>PTMAD</t>
  </si>
  <si>
    <t>Madalena (Madalena do Pico)</t>
  </si>
  <si>
    <t>PTMDM</t>
  </si>
  <si>
    <t>Madalena do Mar</t>
  </si>
  <si>
    <t>PTMAT</t>
  </si>
  <si>
    <t>Matosinhos</t>
  </si>
  <si>
    <t>PTMLR</t>
  </si>
  <si>
    <t>Milharado</t>
  </si>
  <si>
    <t>PTTGO</t>
  </si>
  <si>
    <t>Monte Trigo</t>
  </si>
  <si>
    <t>PTMUS</t>
  </si>
  <si>
    <t>Murches</t>
  </si>
  <si>
    <t>PTNAV</t>
  </si>
  <si>
    <t>Nariz</t>
  </si>
  <si>
    <t>PTNRD</t>
  </si>
  <si>
    <t>Nordeste</t>
  </si>
  <si>
    <t>PTOEI</t>
  </si>
  <si>
    <t>Oeiras</t>
  </si>
  <si>
    <t>PTOLH</t>
  </si>
  <si>
    <t>PTOLA</t>
  </si>
  <si>
    <t>PTPVH</t>
  </si>
  <si>
    <t>Pegoes Velhos</t>
  </si>
  <si>
    <t>PTIOR</t>
  </si>
  <si>
    <t>Penamaior</t>
  </si>
  <si>
    <t>PTPEN</t>
  </si>
  <si>
    <t>Peniche</t>
  </si>
  <si>
    <t>PTPFT</t>
  </si>
  <si>
    <t>Perafita</t>
  </si>
  <si>
    <t>PTAVP</t>
  </si>
  <si>
    <t>Pindelo</t>
  </si>
  <si>
    <t>PTPOM</t>
  </si>
  <si>
    <t>PTPDL</t>
  </si>
  <si>
    <t>Ponta Delgada</t>
  </si>
  <si>
    <t>PTPDS</t>
  </si>
  <si>
    <t>Ponte de Sor</t>
  </si>
  <si>
    <t>PTPRM</t>
  </si>
  <si>
    <t>Portimao</t>
  </si>
  <si>
    <t>PTOPO</t>
  </si>
  <si>
    <t>Porto</t>
  </si>
  <si>
    <t>PTPCZ</t>
  </si>
  <si>
    <t>Porto da Cruz</t>
  </si>
  <si>
    <t>PTPMZ</t>
  </si>
  <si>
    <t>Porto Moniz</t>
  </si>
  <si>
    <t>PTPXO</t>
  </si>
  <si>
    <t>Porto Santo Island</t>
  </si>
  <si>
    <t>PTPVC</t>
  </si>
  <si>
    <t>PTPRG</t>
  </si>
  <si>
    <t>Praia da Graciosa</t>
  </si>
  <si>
    <t>PTPRV</t>
  </si>
  <si>
    <t>PTQRT</t>
  </si>
  <si>
    <t>Quarteira</t>
  </si>
  <si>
    <t>PTRPX</t>
  </si>
  <si>
    <t>Rabo de Peixe</t>
  </si>
  <si>
    <t>PTRQU</t>
  </si>
  <si>
    <t>PTSAG</t>
  </si>
  <si>
    <t>Sagres</t>
  </si>
  <si>
    <t>PTDFZ</t>
  </si>
  <si>
    <t>Sandim</t>
  </si>
  <si>
    <t>PTSCG</t>
  </si>
  <si>
    <t>Santa Cruz da Graciosa</t>
  </si>
  <si>
    <t>PTSCF</t>
  </si>
  <si>
    <t>Santa Cruz das Flores</t>
  </si>
  <si>
    <t>PTSLZ</t>
  </si>
  <si>
    <t>Santa Luzia</t>
  </si>
  <si>
    <t>PTSMS</t>
  </si>
  <si>
    <t>Santa Maria de Sardoura</t>
  </si>
  <si>
    <t>PTSMT</t>
  </si>
  <si>
    <t>PTSMI</t>
  </si>
  <si>
    <t>PTAFR</t>
  </si>
  <si>
    <t>PTSHA</t>
  </si>
  <si>
    <t>Senhora da Hora</t>
  </si>
  <si>
    <t>PTSSB</t>
  </si>
  <si>
    <t>Sesimbra</t>
  </si>
  <si>
    <t>PTSET</t>
  </si>
  <si>
    <t>PTSIE</t>
  </si>
  <si>
    <t>Sines</t>
  </si>
  <si>
    <t>PTTER</t>
  </si>
  <si>
    <t>Terceira Island Apt</t>
  </si>
  <si>
    <t>PTTPO</t>
  </si>
  <si>
    <t>Topo</t>
  </si>
  <si>
    <t>PTTOA</t>
  </si>
  <si>
    <t>Torreira</t>
  </si>
  <si>
    <t>PTTRF</t>
  </si>
  <si>
    <t>Trafaria</t>
  </si>
  <si>
    <t>PTTUN</t>
  </si>
  <si>
    <t>Tunes</t>
  </si>
  <si>
    <t>PTVAG</t>
  </si>
  <si>
    <t>Vagueira</t>
  </si>
  <si>
    <t>PTVAB</t>
  </si>
  <si>
    <t>Valbom</t>
  </si>
  <si>
    <t>PTNGV</t>
  </si>
  <si>
    <t>Valongo</t>
  </si>
  <si>
    <t>PTVAR</t>
  </si>
  <si>
    <t>PTVEL</t>
  </si>
  <si>
    <t>Velas</t>
  </si>
  <si>
    <t>PTVDV</t>
  </si>
  <si>
    <t>Venda do Pinheiro</t>
  </si>
  <si>
    <t>PTVDC</t>
  </si>
  <si>
    <t>Viana do Castelo</t>
  </si>
  <si>
    <t>PTVLC</t>
  </si>
  <si>
    <t>PTVFD</t>
  </si>
  <si>
    <t>Vila de Frades</t>
  </si>
  <si>
    <t>PTVIC</t>
  </si>
  <si>
    <t>PTVDP</t>
  </si>
  <si>
    <t>Vila do Porto</t>
  </si>
  <si>
    <t>PTVFX</t>
  </si>
  <si>
    <t>Vila Franca de Xira</t>
  </si>
  <si>
    <t>PTVFC</t>
  </si>
  <si>
    <t>Vila Franca do Campo</t>
  </si>
  <si>
    <t>PTVNR</t>
  </si>
  <si>
    <t>Vila Nova da Rainha</t>
  </si>
  <si>
    <t>PTVNC</t>
  </si>
  <si>
    <t>Vila Nova do Corvo</t>
  </si>
  <si>
    <t>PTVRE</t>
  </si>
  <si>
    <t>PTZFM</t>
  </si>
  <si>
    <t>Zona Franca da Madeira</t>
  </si>
  <si>
    <t>PWANG</t>
  </si>
  <si>
    <t>Angaur</t>
  </si>
  <si>
    <t>PWROR</t>
  </si>
  <si>
    <t>Koror</t>
  </si>
  <si>
    <t>PYASU</t>
  </si>
  <si>
    <t>PYBCM</t>
  </si>
  <si>
    <t>PYCAA</t>
  </si>
  <si>
    <t>PYCAC</t>
  </si>
  <si>
    <t>Calera Cue</t>
  </si>
  <si>
    <t>PYAGT</t>
  </si>
  <si>
    <t>Ciudad del Este</t>
  </si>
  <si>
    <t>PYMRA</t>
  </si>
  <si>
    <t>Colonia Mariano Roque Alonso</t>
  </si>
  <si>
    <t>PYCNP</t>
  </si>
  <si>
    <t>PYENO</t>
  </si>
  <si>
    <t>PYFNX</t>
  </si>
  <si>
    <t>Fenix</t>
  </si>
  <si>
    <t>PYFUO</t>
  </si>
  <si>
    <t>Fuerte Olimpo</t>
  </si>
  <si>
    <t>PYITE</t>
  </si>
  <si>
    <t>Ita Enramada</t>
  </si>
  <si>
    <t>PYPAN</t>
  </si>
  <si>
    <t>Puerto Antequera</t>
  </si>
  <si>
    <t>PYPGU</t>
  </si>
  <si>
    <t>Puerto Guarani</t>
  </si>
  <si>
    <t>PYPCJ</t>
  </si>
  <si>
    <t>Puerto la Victoria</t>
  </si>
  <si>
    <t>PYPSA</t>
  </si>
  <si>
    <t>Puerto Sara</t>
  </si>
  <si>
    <t>PYSAN</t>
  </si>
  <si>
    <t>PYTER</t>
  </si>
  <si>
    <t>Terport (San Antonio)</t>
  </si>
  <si>
    <t>PYVLL</t>
  </si>
  <si>
    <t>Villeta</t>
  </si>
  <si>
    <t>QAASN</t>
  </si>
  <si>
    <t>Al Shaheen</t>
  </si>
  <si>
    <t>QASLW</t>
  </si>
  <si>
    <t>As Salwa</t>
  </si>
  <si>
    <t>QAHMD</t>
  </si>
  <si>
    <t>BGN/PCGN1956 - HAMAD</t>
  </si>
  <si>
    <t>QADOH</t>
  </si>
  <si>
    <t>Doha</t>
  </si>
  <si>
    <t>QAHAL</t>
  </si>
  <si>
    <t>Halul</t>
  </si>
  <si>
    <t>QAHNA</t>
  </si>
  <si>
    <t>Hanna</t>
  </si>
  <si>
    <t>QAMES</t>
  </si>
  <si>
    <t>Mesaieed</t>
  </si>
  <si>
    <t>QAQAP</t>
  </si>
  <si>
    <t>Qapco</t>
  </si>
  <si>
    <t>QAQCH</t>
  </si>
  <si>
    <t>Qchem</t>
  </si>
  <si>
    <t>QARLF</t>
  </si>
  <si>
    <t>Ras Laffan</t>
  </si>
  <si>
    <t>QAUMS</t>
  </si>
  <si>
    <t>Umm Sa'id (Mesaieed)</t>
  </si>
  <si>
    <t>RELPT</t>
  </si>
  <si>
    <t>Le Port</t>
  </si>
  <si>
    <t>REPOS</t>
  </si>
  <si>
    <t>Possession</t>
  </si>
  <si>
    <t>Réunion</t>
  </si>
  <si>
    <t>RELEU</t>
  </si>
  <si>
    <t>Saint Leu</t>
  </si>
  <si>
    <t>RESSZ</t>
  </si>
  <si>
    <t>Sainte Suzanne</t>
  </si>
  <si>
    <t>ROAGI</t>
  </si>
  <si>
    <t>Agigea</t>
  </si>
  <si>
    <t>ROBAB</t>
  </si>
  <si>
    <t>Basarabi</t>
  </si>
  <si>
    <t>ROBZI</t>
  </si>
  <si>
    <t>Bazias</t>
  </si>
  <si>
    <t>ROBCT</t>
  </si>
  <si>
    <t>Bechet</t>
  </si>
  <si>
    <t>ROBCN</t>
  </si>
  <si>
    <t>Beclean</t>
  </si>
  <si>
    <t>ROBEZ</t>
  </si>
  <si>
    <t>Bezdead</t>
  </si>
  <si>
    <t>ROCAF</t>
  </si>
  <si>
    <t>Calafat</t>
  </si>
  <si>
    <t>ROCAS</t>
  </si>
  <si>
    <t>Calarasi</t>
  </si>
  <si>
    <t>ROCEV</t>
  </si>
  <si>
    <t>Cernavoda</t>
  </si>
  <si>
    <t>ROCHL</t>
  </si>
  <si>
    <t>Chilia Veche</t>
  </si>
  <si>
    <t>ROCHN</t>
  </si>
  <si>
    <t>Chiscani</t>
  </si>
  <si>
    <t>ROCNM</t>
  </si>
  <si>
    <t>Comisani</t>
  </si>
  <si>
    <t>ROCND</t>
  </si>
  <si>
    <t>Constanta</t>
  </si>
  <si>
    <t>ROCOB</t>
  </si>
  <si>
    <t>Corabia</t>
  </si>
  <si>
    <t>ROCTS</t>
  </si>
  <si>
    <t>Cristuru Secuiesc</t>
  </si>
  <si>
    <t>RODTS</t>
  </si>
  <si>
    <t>Drobeta-Turnu Severin</t>
  </si>
  <si>
    <t>ROEFS</t>
  </si>
  <si>
    <t>Eforie Sud</t>
  </si>
  <si>
    <t>ROFET</t>
  </si>
  <si>
    <t>Fetesti</t>
  </si>
  <si>
    <t>ROFTE</t>
  </si>
  <si>
    <t>Frecatei</t>
  </si>
  <si>
    <t>ROGAL</t>
  </si>
  <si>
    <t>Galati</t>
  </si>
  <si>
    <t>ROGRG</t>
  </si>
  <si>
    <t>Giurgiu</t>
  </si>
  <si>
    <t>ROGUU</t>
  </si>
  <si>
    <t>Gruiu</t>
  </si>
  <si>
    <t>ROHAU</t>
  </si>
  <si>
    <t>Halchiu</t>
  </si>
  <si>
    <t>RORVA</t>
  </si>
  <si>
    <t>ROHDC</t>
  </si>
  <si>
    <t>Hodac</t>
  </si>
  <si>
    <t>ROISC</t>
  </si>
  <si>
    <t>Isaccea</t>
  </si>
  <si>
    <t>ROJRT</t>
  </si>
  <si>
    <t>Jaristea</t>
  </si>
  <si>
    <t>ROZUI</t>
  </si>
  <si>
    <t>Lazuri</t>
  </si>
  <si>
    <t>RO5LI</t>
  </si>
  <si>
    <t>Livezeni</t>
  </si>
  <si>
    <t>ROLUM</t>
  </si>
  <si>
    <t>Luminita</t>
  </si>
  <si>
    <t>ROLUT</t>
  </si>
  <si>
    <t>Lutita</t>
  </si>
  <si>
    <t>ROMAC</t>
  </si>
  <si>
    <t>Macin</t>
  </si>
  <si>
    <t>ROMGU</t>
  </si>
  <si>
    <t>Magureni</t>
  </si>
  <si>
    <t>ROMAH</t>
  </si>
  <si>
    <t>Mahmudia</t>
  </si>
  <si>
    <t>ROMAG</t>
  </si>
  <si>
    <t>Mangalia</t>
  </si>
  <si>
    <t>ROMED</t>
  </si>
  <si>
    <t>Medgidia</t>
  </si>
  <si>
    <t>ROMID</t>
  </si>
  <si>
    <t>Midia</t>
  </si>
  <si>
    <t>RONDI</t>
  </si>
  <si>
    <t>Navodari</t>
  </si>
  <si>
    <t>ROOJD</t>
  </si>
  <si>
    <t>Ojdula</t>
  </si>
  <si>
    <t>ROOLT</t>
  </si>
  <si>
    <t>Oltenita</t>
  </si>
  <si>
    <t>ROORV</t>
  </si>
  <si>
    <t>Orsova</t>
  </si>
  <si>
    <t>ROOVI</t>
  </si>
  <si>
    <t>Ovidiu</t>
  </si>
  <si>
    <t>ROPAU</t>
  </si>
  <si>
    <t>Paulesti</t>
  </si>
  <si>
    <t>ROPTA</t>
  </si>
  <si>
    <t>Petelea</t>
  </si>
  <si>
    <t>ROPES</t>
  </si>
  <si>
    <t>Pielesti</t>
  </si>
  <si>
    <t>ROPSE</t>
  </si>
  <si>
    <t>Pietroasele</t>
  </si>
  <si>
    <t>ROPAL</t>
  </si>
  <si>
    <t>Poarta Alba</t>
  </si>
  <si>
    <t>ROPPC</t>
  </si>
  <si>
    <t>Prelipca</t>
  </si>
  <si>
    <t>RORDE</t>
  </si>
  <si>
    <t>Rediu</t>
  </si>
  <si>
    <t>ROXXX</t>
  </si>
  <si>
    <t>RORNN</t>
  </si>
  <si>
    <t>Rosia Montana</t>
  </si>
  <si>
    <t>ROSUL</t>
  </si>
  <si>
    <t>Sulina (Port et Zone Franche)</t>
  </si>
  <si>
    <t>ROTCE</t>
  </si>
  <si>
    <t>Tulcea</t>
  </si>
  <si>
    <t>ROTR5</t>
  </si>
  <si>
    <t>Tureni</t>
  </si>
  <si>
    <t>ROTUM</t>
  </si>
  <si>
    <t>Turnu Magurele</t>
  </si>
  <si>
    <t>ROTUT</t>
  </si>
  <si>
    <t>Turturesti</t>
  </si>
  <si>
    <t>ROVTR</t>
  </si>
  <si>
    <t>Vanatori Neamt</t>
  </si>
  <si>
    <t>ROZIC</t>
  </si>
  <si>
    <t>Zimnicea</t>
  </si>
  <si>
    <t>RSAPT</t>
  </si>
  <si>
    <t>Apatin</t>
  </si>
  <si>
    <t>RSBPA</t>
  </si>
  <si>
    <t>Backa Palanka</t>
  </si>
  <si>
    <t>RSBZD</t>
  </si>
  <si>
    <t>Bezdam</t>
  </si>
  <si>
    <t>RS4SN</t>
  </si>
  <si>
    <t>Bresnica</t>
  </si>
  <si>
    <t>RSDIM</t>
  </si>
  <si>
    <t>Dimitrovgrad</t>
  </si>
  <si>
    <t>RSGNJ</t>
  </si>
  <si>
    <t>Gnjilane</t>
  </si>
  <si>
    <t>RSKMA</t>
  </si>
  <si>
    <t>Kursumlija</t>
  </si>
  <si>
    <t>RSMSD</t>
  </si>
  <si>
    <t>Mesarci</t>
  </si>
  <si>
    <t>RSPHO</t>
  </si>
  <si>
    <t>Prahovo</t>
  </si>
  <si>
    <t>RSXXX</t>
  </si>
  <si>
    <t>RSSKA</t>
  </si>
  <si>
    <t>Sremski Karlovci</t>
  </si>
  <si>
    <t>RSVGS</t>
  </si>
  <si>
    <t>Veliko Gradiste</t>
  </si>
  <si>
    <t>RSVS4</t>
  </si>
  <si>
    <t>Veternik</t>
  </si>
  <si>
    <t>RSVRA</t>
  </si>
  <si>
    <t>Vranje</t>
  </si>
  <si>
    <t>RUAKS</t>
  </si>
  <si>
    <t>Aksay</t>
  </si>
  <si>
    <t>RUSAK</t>
  </si>
  <si>
    <t>Aleksandrovsk-Sakhalinskiy</t>
  </si>
  <si>
    <t>RUABC</t>
  </si>
  <si>
    <t>Ambarchik</t>
  </si>
  <si>
    <t>RUAMV</t>
  </si>
  <si>
    <t>Amderma</t>
  </si>
  <si>
    <t>RUAMU</t>
  </si>
  <si>
    <t>Amursk</t>
  </si>
  <si>
    <t>RUDYR</t>
  </si>
  <si>
    <t>Anadyr</t>
  </si>
  <si>
    <t>RUAGK</t>
  </si>
  <si>
    <t>Angarsk</t>
  </si>
  <si>
    <t>RUARH</t>
  </si>
  <si>
    <t>Arkhangelsk</t>
  </si>
  <si>
    <t>RUARM</t>
  </si>
  <si>
    <t>Arman (Magadan)</t>
  </si>
  <si>
    <t>RUASF</t>
  </si>
  <si>
    <t>Astrakhan</t>
  </si>
  <si>
    <t>RUAZO</t>
  </si>
  <si>
    <t>Azov</t>
  </si>
  <si>
    <t>RUBGV</t>
  </si>
  <si>
    <t>Bagaevskaya</t>
  </si>
  <si>
    <t>RUBLK</t>
  </si>
  <si>
    <t>Balakhna</t>
  </si>
  <si>
    <t>RUBLN</t>
  </si>
  <si>
    <t>Balakhnya</t>
  </si>
  <si>
    <t>RUZCA</t>
  </si>
  <si>
    <t>Balozhi</t>
  </si>
  <si>
    <t>RUBLT</t>
  </si>
  <si>
    <t>Baltiysk</t>
  </si>
  <si>
    <t>RUBKH</t>
  </si>
  <si>
    <t>Bektyashka</t>
  </si>
  <si>
    <t>RUBKT</t>
  </si>
  <si>
    <t>Belaya Kalitva</t>
  </si>
  <si>
    <t>RUBEM</t>
  </si>
  <si>
    <t>Belomorsk</t>
  </si>
  <si>
    <t>RUBEL</t>
  </si>
  <si>
    <t>Belushye</t>
  </si>
  <si>
    <t>RUBER</t>
  </si>
  <si>
    <t>Beringovskiy, Port</t>
  </si>
  <si>
    <t>RUBKN</t>
  </si>
  <si>
    <t>Bolshoy Kamen</t>
  </si>
  <si>
    <t>RUBOR</t>
  </si>
  <si>
    <t>Borisova</t>
  </si>
  <si>
    <t>RUBOS</t>
  </si>
  <si>
    <t>Boshnyakovo</t>
  </si>
  <si>
    <t>RUOLB</t>
  </si>
  <si>
    <t>Bukhta Ol'ga</t>
  </si>
  <si>
    <t>RUCHA</t>
  </si>
  <si>
    <t>Chamgu</t>
  </si>
  <si>
    <t>RUCHB</t>
  </si>
  <si>
    <t>Chebarkul'</t>
  </si>
  <si>
    <t>RUCHM</t>
  </si>
  <si>
    <t>Chemashi</t>
  </si>
  <si>
    <t>RUCEE</t>
  </si>
  <si>
    <t>Cherepovets</t>
  </si>
  <si>
    <t>RUCIH</t>
  </si>
  <si>
    <t>Chikacheva</t>
  </si>
  <si>
    <t>RUCHU</t>
  </si>
  <si>
    <t>Chuya</t>
  </si>
  <si>
    <t>RUCPC</t>
  </si>
  <si>
    <t>Cpc Terminal</t>
  </si>
  <si>
    <t>RUDKA</t>
  </si>
  <si>
    <t>De-Kastri</t>
  </si>
  <si>
    <t>RUDHA</t>
  </si>
  <si>
    <t>Derbeshkinskiy</t>
  </si>
  <si>
    <t>RUDUB</t>
  </si>
  <si>
    <t>Dubna</t>
  </si>
  <si>
    <t>RUDBK</t>
  </si>
  <si>
    <t>Dubovka</t>
  </si>
  <si>
    <t>RUDUD</t>
  </si>
  <si>
    <t>Dudinka</t>
  </si>
  <si>
    <t>RUEGV</t>
  </si>
  <si>
    <t>Egvekinot</t>
  </si>
  <si>
    <t>RUEKO</t>
  </si>
  <si>
    <t>Ekonomiya</t>
  </si>
  <si>
    <t>RUFPT</t>
  </si>
  <si>
    <t>Fish Port Terminal</t>
  </si>
  <si>
    <t>RUGVY</t>
  </si>
  <si>
    <t>Gavrilov-Yam</t>
  </si>
  <si>
    <t>RUGSA</t>
  </si>
  <si>
    <t>Gorskaya</t>
  </si>
  <si>
    <t>RUGRH</t>
  </si>
  <si>
    <t>Gremikha</t>
  </si>
  <si>
    <t>RUIAA</t>
  </si>
  <si>
    <t>Igarka</t>
  </si>
  <si>
    <t>RUIOY</t>
  </si>
  <si>
    <t>Ikryanoye</t>
  </si>
  <si>
    <t>RUIDG</t>
  </si>
  <si>
    <t>Indiga</t>
  </si>
  <si>
    <t>RUIOK</t>
  </si>
  <si>
    <t>Iokanka</t>
  </si>
  <si>
    <t>RUIVO</t>
  </si>
  <si>
    <t>Ivanovo</t>
  </si>
  <si>
    <t>RUKGD</t>
  </si>
  <si>
    <t>Kaliningrad</t>
  </si>
  <si>
    <t>RUKLY</t>
  </si>
  <si>
    <t>Kalyazin</t>
  </si>
  <si>
    <t>RUKMU</t>
  </si>
  <si>
    <t>Kamskoye Ustye</t>
  </si>
  <si>
    <t>RUKAN</t>
  </si>
  <si>
    <t>Kandalaksha</t>
  </si>
  <si>
    <t>RUKAS</t>
  </si>
  <si>
    <t>Kashira</t>
  </si>
  <si>
    <t>RUKSI</t>
  </si>
  <si>
    <t>Kasimov</t>
  </si>
  <si>
    <t>RUKZP</t>
  </si>
  <si>
    <t>Kavkaz</t>
  </si>
  <si>
    <t>RUKEM</t>
  </si>
  <si>
    <t>Kem</t>
  </si>
  <si>
    <t>RUKER</t>
  </si>
  <si>
    <t>Keret</t>
  </si>
  <si>
    <t>RUKHV</t>
  </si>
  <si>
    <t>Khabarovsk</t>
  </si>
  <si>
    <t>RUKSA</t>
  </si>
  <si>
    <t>Kharasavey</t>
  </si>
  <si>
    <t>RUKTY</t>
  </si>
  <si>
    <t>Khatyrka</t>
  </si>
  <si>
    <t>RUKHO</t>
  </si>
  <si>
    <t>Kholmsk</t>
  </si>
  <si>
    <t>RUKNY</t>
  </si>
  <si>
    <t>Khvalynsk</t>
  </si>
  <si>
    <t>RUKDN</t>
  </si>
  <si>
    <t>Kildin</t>
  </si>
  <si>
    <t>RUKIM</t>
  </si>
  <si>
    <t>Kimry</t>
  </si>
  <si>
    <t>RUKIN</t>
  </si>
  <si>
    <t>Kineshma</t>
  </si>
  <si>
    <t>RUKIK</t>
  </si>
  <si>
    <t>Kirensk</t>
  </si>
  <si>
    <t>RUKYK</t>
  </si>
  <si>
    <t>Kireyevskoye</t>
  </si>
  <si>
    <t>RUKIY</t>
  </si>
  <si>
    <t>Kirovskiy</t>
  </si>
  <si>
    <t>RUKSL</t>
  </si>
  <si>
    <t>Kislaya Guba</t>
  </si>
  <si>
    <t>RUKLR</t>
  </si>
  <si>
    <t>Klinsky Rayon</t>
  </si>
  <si>
    <t>RUKYI</t>
  </si>
  <si>
    <t>Kolguyev Island</t>
  </si>
  <si>
    <t>RUKVO</t>
  </si>
  <si>
    <t>Kolpashevo</t>
  </si>
  <si>
    <t>RUKLT</t>
  </si>
  <si>
    <t>Koltogorskiye</t>
  </si>
  <si>
    <t>RUKOK</t>
  </si>
  <si>
    <t>Konakovo</t>
  </si>
  <si>
    <t>RUKPA</t>
  </si>
  <si>
    <t>Kondopoga</t>
  </si>
  <si>
    <t>RUKNL</t>
  </si>
  <si>
    <t>Konets Lug</t>
  </si>
  <si>
    <t>RUKRF</t>
  </si>
  <si>
    <t>Korf</t>
  </si>
  <si>
    <t>RUKOR</t>
  </si>
  <si>
    <t>Korsakov</t>
  </si>
  <si>
    <t>RUKMA</t>
  </si>
  <si>
    <t>Kostomuksha</t>
  </si>
  <si>
    <t>RUXC2</t>
  </si>
  <si>
    <t>Kotel'niki</t>
  </si>
  <si>
    <t>RUKOT</t>
  </si>
  <si>
    <t>Kotel'nyy</t>
  </si>
  <si>
    <t>RUKZH</t>
  </si>
  <si>
    <t>Kozhevnikovo</t>
  </si>
  <si>
    <t>RUKZM</t>
  </si>
  <si>
    <t>Kozmino Port</t>
  </si>
  <si>
    <t>RUKRR</t>
  </si>
  <si>
    <t>Krasnodar</t>
  </si>
  <si>
    <t>RUKJA</t>
  </si>
  <si>
    <t>Krasnojarsk</t>
  </si>
  <si>
    <t>RURYK</t>
  </si>
  <si>
    <t>Krasnoturansk</t>
  </si>
  <si>
    <t>RUKSO</t>
  </si>
  <si>
    <t>Krasnotur'insk</t>
  </si>
  <si>
    <t>RUKNV</t>
  </si>
  <si>
    <t>Krasnovodsk</t>
  </si>
  <si>
    <t>RUKRA</t>
  </si>
  <si>
    <t>Krasnoyarsk</t>
  </si>
  <si>
    <t>RUKRY</t>
  </si>
  <si>
    <t>Krasnyy Yar</t>
  </si>
  <si>
    <t>RUKYB</t>
  </si>
  <si>
    <t>Krasnyye Barrikady</t>
  </si>
  <si>
    <t>RUKRI</t>
  </si>
  <si>
    <t>Krivosheino</t>
  </si>
  <si>
    <t>RUKDT</t>
  </si>
  <si>
    <t>Kronshtadt</t>
  </si>
  <si>
    <t>RUKUB</t>
  </si>
  <si>
    <t>Kubekovo</t>
  </si>
  <si>
    <t>RUKLK</t>
  </si>
  <si>
    <t>Kulakovo</t>
  </si>
  <si>
    <t>RUKUR</t>
  </si>
  <si>
    <t>Kureysk</t>
  </si>
  <si>
    <t>RUBVV</t>
  </si>
  <si>
    <t>Kuril'skiy Burevestnik AFB (Burevestnik AFB)</t>
  </si>
  <si>
    <t>RULVR</t>
  </si>
  <si>
    <t>Lavrentiya</t>
  </si>
  <si>
    <t>RULAZ</t>
  </si>
  <si>
    <t>Lazarev</t>
  </si>
  <si>
    <t>RULDY</t>
  </si>
  <si>
    <t>Lebedyan'</t>
  </si>
  <si>
    <t>RULNK</t>
  </si>
  <si>
    <t>Lensk</t>
  </si>
  <si>
    <t>RULEO</t>
  </si>
  <si>
    <t>Leonova</t>
  </si>
  <si>
    <t>RULES</t>
  </si>
  <si>
    <t>Lesogorsk</t>
  </si>
  <si>
    <t>RULEU</t>
  </si>
  <si>
    <t>Leushinskiye</t>
  </si>
  <si>
    <t>RULNR</t>
  </si>
  <si>
    <t>Linakhamari</t>
  </si>
  <si>
    <t>RULUG</t>
  </si>
  <si>
    <t>Lugovoye</t>
  </si>
  <si>
    <t>RULBU</t>
  </si>
  <si>
    <t>Lyubim</t>
  </si>
  <si>
    <t>RUMAG</t>
  </si>
  <si>
    <t>Magadansky, Port</t>
  </si>
  <si>
    <t>RUMGO</t>
  </si>
  <si>
    <t>Mago</t>
  </si>
  <si>
    <t>RUMKR</t>
  </si>
  <si>
    <t>Makarovo</t>
  </si>
  <si>
    <t>RUMCX</t>
  </si>
  <si>
    <t>Makhachkala</t>
  </si>
  <si>
    <t>RUKMM</t>
  </si>
  <si>
    <t>Malaya Kheta</t>
  </si>
  <si>
    <t>RUMA2</t>
  </si>
  <si>
    <t>Malino</t>
  </si>
  <si>
    <t>RUMDY</t>
  </si>
  <si>
    <t>Mamadysh</t>
  </si>
  <si>
    <t>RUMEG</t>
  </si>
  <si>
    <t>Medvezhyegorsk</t>
  </si>
  <si>
    <t>RUMEZ</t>
  </si>
  <si>
    <t>Mezen</t>
  </si>
  <si>
    <t>RUMAS</t>
  </si>
  <si>
    <t>Miass</t>
  </si>
  <si>
    <t>RUMOG</t>
  </si>
  <si>
    <t>Mogochin</t>
  </si>
  <si>
    <t>RUMON</t>
  </si>
  <si>
    <t>Molchanovo</t>
  </si>
  <si>
    <t>RUMVO</t>
  </si>
  <si>
    <t>Moskalvo</t>
  </si>
  <si>
    <t>RUMOW</t>
  </si>
  <si>
    <t>Moskva</t>
  </si>
  <si>
    <t>RUMMK</t>
  </si>
  <si>
    <t>Murmansk</t>
  </si>
  <si>
    <t>RUMSH</t>
  </si>
  <si>
    <t>Mys Shmidta</t>
  </si>
  <si>
    <t>RUNAC</t>
  </si>
  <si>
    <t>Naberezhnyye Chelny</t>
  </si>
  <si>
    <t>RUNJK</t>
  </si>
  <si>
    <t>Nakhodka</t>
  </si>
  <si>
    <t>RUNNM</t>
  </si>
  <si>
    <t>Naryan Mar</t>
  </si>
  <si>
    <t>RUNAR</t>
  </si>
  <si>
    <t>Narym</t>
  </si>
  <si>
    <t>RUNLK</t>
  </si>
  <si>
    <t>Neftelensk</t>
  </si>
  <si>
    <t>RUNEV</t>
  </si>
  <si>
    <t>Nevelsk</t>
  </si>
  <si>
    <t>RUNIA</t>
  </si>
  <si>
    <t>Nikolayevsk-na-Amure</t>
  </si>
  <si>
    <t>RUNJC</t>
  </si>
  <si>
    <t>Nizhnevartovsk</t>
  </si>
  <si>
    <t>RUGOJ</t>
  </si>
  <si>
    <t>Nizhniy Novgorod (ex Gorkiy)</t>
  </si>
  <si>
    <t>RUNPE</t>
  </si>
  <si>
    <t>Nizhnyaya Pesha</t>
  </si>
  <si>
    <t>RUNOG</t>
  </si>
  <si>
    <t>Nogliki</t>
  </si>
  <si>
    <t>RUNDK</t>
  </si>
  <si>
    <t>Novodvinsk</t>
  </si>
  <si>
    <t>RUNMK</t>
  </si>
  <si>
    <t>Novomoskovsk</t>
  </si>
  <si>
    <t>RUNVS</t>
  </si>
  <si>
    <t>Novorossiysk</t>
  </si>
  <si>
    <t>RUOKA</t>
  </si>
  <si>
    <t>Okha, Sakhalin</t>
  </si>
  <si>
    <t>RUOHO</t>
  </si>
  <si>
    <t>Okhotsk</t>
  </si>
  <si>
    <t>RUOKZ</t>
  </si>
  <si>
    <t>Okruzhnoe</t>
  </si>
  <si>
    <t>RUOKT</t>
  </si>
  <si>
    <t>Oktyabr'skiy</t>
  </si>
  <si>
    <t>RUOYE</t>
  </si>
  <si>
    <t>Oktyabrskoye</t>
  </si>
  <si>
    <t>RUOMK</t>
  </si>
  <si>
    <t>Olekminsk</t>
  </si>
  <si>
    <t>RUOLO</t>
  </si>
  <si>
    <t>Oleniy Ostrov</t>
  </si>
  <si>
    <t>RUOLG</t>
  </si>
  <si>
    <t>Olenya, Guba</t>
  </si>
  <si>
    <t>RUOYA</t>
  </si>
  <si>
    <t>Olya</t>
  </si>
  <si>
    <t>RUONG</t>
  </si>
  <si>
    <t>Onega</t>
  </si>
  <si>
    <t>RUOZE</t>
  </si>
  <si>
    <t>Oranzherei</t>
  </si>
  <si>
    <t>RUHZO</t>
  </si>
  <si>
    <t>Orekhovo-Zuevo</t>
  </si>
  <si>
    <t>RUOZK</t>
  </si>
  <si>
    <t>Ozerko</t>
  </si>
  <si>
    <t>RUOZY</t>
  </si>
  <si>
    <t>RUPCE</t>
  </si>
  <si>
    <t>Pechenga</t>
  </si>
  <si>
    <t>RUPEX</t>
  </si>
  <si>
    <t>Pechora</t>
  </si>
  <si>
    <t>RUPGE</t>
  </si>
  <si>
    <t>Peregrebnoye</t>
  </si>
  <si>
    <t>RUPEK</t>
  </si>
  <si>
    <t>Petrokrepost</t>
  </si>
  <si>
    <t>RUPKC</t>
  </si>
  <si>
    <t>Petropavlovsk-Kamchatskiy</t>
  </si>
  <si>
    <t>RUPES</t>
  </si>
  <si>
    <t>Petrozavodsk</t>
  </si>
  <si>
    <t>RUPWE</t>
  </si>
  <si>
    <t>Pevek</t>
  </si>
  <si>
    <t>RUPNY</t>
  </si>
  <si>
    <t>Pionerskiy</t>
  </si>
  <si>
    <t>RUPTN</t>
  </si>
  <si>
    <t>Plastun</t>
  </si>
  <si>
    <t>RUPOK</t>
  </si>
  <si>
    <t>Pokrovsk</t>
  </si>
  <si>
    <t>RUPNV</t>
  </si>
  <si>
    <t>Polnovat</t>
  </si>
  <si>
    <t>RUPRN</t>
  </si>
  <si>
    <t>Poronaisk</t>
  </si>
  <si>
    <t>RUPSE</t>
  </si>
  <si>
    <t>Posyet</t>
  </si>
  <si>
    <t>RUPTP</t>
  </si>
  <si>
    <t>Potapova</t>
  </si>
  <si>
    <t>RUPYO</t>
  </si>
  <si>
    <t>Poyarkovo</t>
  </si>
  <si>
    <t>RUPRY</t>
  </si>
  <si>
    <t>Preobrazheniye</t>
  </si>
  <si>
    <t>RUPGN</t>
  </si>
  <si>
    <t>Prigorodnoye</t>
  </si>
  <si>
    <t>RUPRI</t>
  </si>
  <si>
    <t>Primorsk (Koivisto)</t>
  </si>
  <si>
    <t>RUPHS</t>
  </si>
  <si>
    <t>Prokhorovskiy</t>
  </si>
  <si>
    <t>RUPVS</t>
  </si>
  <si>
    <t>Provideniya, Bukhta</t>
  </si>
  <si>
    <t>RUPUD</t>
  </si>
  <si>
    <t>Pudozh</t>
  </si>
  <si>
    <t>RUROV</t>
  </si>
  <si>
    <t>Rostov</t>
  </si>
  <si>
    <t>RURUB</t>
  </si>
  <si>
    <t>Rubnoye</t>
  </si>
  <si>
    <t>RURDP</t>
  </si>
  <si>
    <t>Rudnaya Pristan</t>
  </si>
  <si>
    <t>RURYB</t>
  </si>
  <si>
    <t>Rybinsk</t>
  </si>
  <si>
    <t>RURZV</t>
  </si>
  <si>
    <t>Rzhev</t>
  </si>
  <si>
    <t>RUSAB</t>
  </si>
  <si>
    <t>Sabetta</t>
  </si>
  <si>
    <t>RULED</t>
  </si>
  <si>
    <t>Saint Petersburg (ex Leningrad)</t>
  </si>
  <si>
    <t>RUSLH</t>
  </si>
  <si>
    <t>Salekhard</t>
  </si>
  <si>
    <t>RUKUF</t>
  </si>
  <si>
    <t>Samara</t>
  </si>
  <si>
    <t>RURTW</t>
  </si>
  <si>
    <t>Saratov</t>
  </si>
  <si>
    <t>RUSEG</t>
  </si>
  <si>
    <t>Segezha</t>
  </si>
  <si>
    <t>RUSZZ</t>
  </si>
  <si>
    <t>Sestroretsk</t>
  </si>
  <si>
    <t>RUSEW</t>
  </si>
  <si>
    <t>Severodvinsk</t>
  </si>
  <si>
    <t>RUSVK</t>
  </si>
  <si>
    <t>Severo-Kurilsk</t>
  </si>
  <si>
    <t>RUSRM</t>
  </si>
  <si>
    <t>Severomorsk</t>
  </si>
  <si>
    <t>RUSHA</t>
  </si>
  <si>
    <t>Shakhtersk</t>
  </si>
  <si>
    <t>RUB2L</t>
  </si>
  <si>
    <t>Shebekino</t>
  </si>
  <si>
    <t>RUSIZ</t>
  </si>
  <si>
    <t>Siziman</t>
  </si>
  <si>
    <t>RUSKA</t>
  </si>
  <si>
    <t>Slavyanka</t>
  </si>
  <si>
    <t>RUAER</t>
  </si>
  <si>
    <t>Sochi</t>
  </si>
  <si>
    <t>RUSNG</t>
  </si>
  <si>
    <t>Solnechnogorsk</t>
  </si>
  <si>
    <t>RUSLK</t>
  </si>
  <si>
    <t>Solovki</t>
  </si>
  <si>
    <t>RUSSK</t>
  </si>
  <si>
    <t>Sovetsk</t>
  </si>
  <si>
    <t>RUSOG</t>
  </si>
  <si>
    <t>Sovetskaya Gavan</t>
  </si>
  <si>
    <t>RUSPA</t>
  </si>
  <si>
    <t>Spafaryeva, O</t>
  </si>
  <si>
    <t>RUSTR</t>
  </si>
  <si>
    <t>Streika</t>
  </si>
  <si>
    <t>RUSVE</t>
  </si>
  <si>
    <t>Svetlaya</t>
  </si>
  <si>
    <t>RUSTY</t>
  </si>
  <si>
    <t>Svetlyy</t>
  </si>
  <si>
    <t>RUSYZ</t>
  </si>
  <si>
    <t>Syzran</t>
  </si>
  <si>
    <t>RUTAG</t>
  </si>
  <si>
    <t>Taganrog</t>
  </si>
  <si>
    <t>RUTAM</t>
  </si>
  <si>
    <t>Taman'</t>
  </si>
  <si>
    <t>RUTAU</t>
  </si>
  <si>
    <t>Tauisk</t>
  </si>
  <si>
    <t>RUTAY</t>
  </si>
  <si>
    <t>Tayura</t>
  </si>
  <si>
    <t>RUTAZ</t>
  </si>
  <si>
    <t>Tazovskiy</t>
  </si>
  <si>
    <t>RUIKS</t>
  </si>
  <si>
    <t>Tiksi</t>
  </si>
  <si>
    <t>RUTVK</t>
  </si>
  <si>
    <t>Timashevsk</t>
  </si>
  <si>
    <t>RUTTI</t>
  </si>
  <si>
    <t>Tolyatti</t>
  </si>
  <si>
    <t>RUTOI</t>
  </si>
  <si>
    <t>Tol'yatti</t>
  </si>
  <si>
    <t>RUTRR</t>
  </si>
  <si>
    <t>Trifonov Ruchey</t>
  </si>
  <si>
    <t>RUTDO</t>
  </si>
  <si>
    <t>Trudfront</t>
  </si>
  <si>
    <t>RUTUA</t>
  </si>
  <si>
    <t>Tuapse</t>
  </si>
  <si>
    <t>RUUEL</t>
  </si>
  <si>
    <t>Uelen</t>
  </si>
  <si>
    <t>RUUGL</t>
  </si>
  <si>
    <t>Uglegorsk</t>
  </si>
  <si>
    <t>RUUGC</t>
  </si>
  <si>
    <t>Uglich</t>
  </si>
  <si>
    <t>RUUMB</t>
  </si>
  <si>
    <t>Umba</t>
  </si>
  <si>
    <t>RUURA</t>
  </si>
  <si>
    <t>Ura-Guba</t>
  </si>
  <si>
    <t>RUUCH</t>
  </si>
  <si>
    <t>Ust Chaun</t>
  </si>
  <si>
    <t>RUUKK</t>
  </si>
  <si>
    <t>Ust-Kamchatsk</t>
  </si>
  <si>
    <t>RUULU</t>
  </si>
  <si>
    <t>Ust'-Luga</t>
  </si>
  <si>
    <t>RUVNN</t>
  </si>
  <si>
    <t>Vanino</t>
  </si>
  <si>
    <t>RUVKR</t>
  </si>
  <si>
    <t>Vankarem</t>
  </si>
  <si>
    <t>RUVAR</t>
  </si>
  <si>
    <t>Varandey</t>
  </si>
  <si>
    <t>RUVAY</t>
  </si>
  <si>
    <t>Vaygach</t>
  </si>
  <si>
    <t>RUKMV</t>
  </si>
  <si>
    <t>Velikaya Kema</t>
  </si>
  <si>
    <t>RUVNY</t>
  </si>
  <si>
    <t>Venyov</t>
  </si>
  <si>
    <t>RUVYE</t>
  </si>
  <si>
    <t>Vertikoye</t>
  </si>
  <si>
    <t>RUVTM</t>
  </si>
  <si>
    <t>Vitim</t>
  </si>
  <si>
    <t>RUVIT</t>
  </si>
  <si>
    <t>Vitino</t>
  </si>
  <si>
    <t>RUVTZ</t>
  </si>
  <si>
    <t>Vityaz</t>
  </si>
  <si>
    <t>RUVVO</t>
  </si>
  <si>
    <t>Vladivostok</t>
  </si>
  <si>
    <t>RUFIP</t>
  </si>
  <si>
    <t>RUVLG</t>
  </si>
  <si>
    <t>Volga</t>
  </si>
  <si>
    <t>RUVOG</t>
  </si>
  <si>
    <t>Volgograd</t>
  </si>
  <si>
    <t>RUVZH</t>
  </si>
  <si>
    <t>Volzhsk</t>
  </si>
  <si>
    <t>RUVYP</t>
  </si>
  <si>
    <t>Vostochnyy Port</t>
  </si>
  <si>
    <t>RUVMS</t>
  </si>
  <si>
    <t>Vostokmorservice</t>
  </si>
  <si>
    <t>RUVZB</t>
  </si>
  <si>
    <t>Vozrozhdeniya, Bukhta</t>
  </si>
  <si>
    <t>RUVYG</t>
  </si>
  <si>
    <t>Vyborg</t>
  </si>
  <si>
    <t>RUVYK</t>
  </si>
  <si>
    <t>Vyksa</t>
  </si>
  <si>
    <t>RUVYS</t>
  </si>
  <si>
    <t>Vysotsk</t>
  </si>
  <si>
    <t>RUYAB</t>
  </si>
  <si>
    <t>Yagelnaya Bukhta</t>
  </si>
  <si>
    <t>RUYAM</t>
  </si>
  <si>
    <t>Yamburg</t>
  </si>
  <si>
    <t>RUIAR</t>
  </si>
  <si>
    <t>Yaroslavl</t>
  </si>
  <si>
    <t>RUYTS</t>
  </si>
  <si>
    <t>Yartsevo</t>
  </si>
  <si>
    <t>RUYEY</t>
  </si>
  <si>
    <t>Yeysk</t>
  </si>
  <si>
    <t>RUDEE</t>
  </si>
  <si>
    <t>Yuzhno-Kuril'sk</t>
  </si>
  <si>
    <t>RUZAR</t>
  </si>
  <si>
    <t>Zarubino</t>
  </si>
  <si>
    <t>RUZAO</t>
  </si>
  <si>
    <t>Zavyalova, O</t>
  </si>
  <si>
    <t>RUZEM</t>
  </si>
  <si>
    <t>Zeleniy Mys</t>
  </si>
  <si>
    <t>RUZDK</t>
  </si>
  <si>
    <t>RWNSA</t>
  </si>
  <si>
    <t>Nyagatare</t>
  </si>
  <si>
    <t>RWRUB</t>
  </si>
  <si>
    <t>Rubengera</t>
  </si>
  <si>
    <t>RWRW4</t>
  </si>
  <si>
    <t>Rwamagana</t>
  </si>
  <si>
    <t>SADMM</t>
  </si>
  <si>
    <t>Ad Dammam</t>
  </si>
  <si>
    <t>SAAHA</t>
  </si>
  <si>
    <t>Al Hada</t>
  </si>
  <si>
    <t>SAJBI</t>
  </si>
  <si>
    <t>Al Jubayl Industrial City</t>
  </si>
  <si>
    <t>SAALK</t>
  </si>
  <si>
    <t>Al Khobar</t>
  </si>
  <si>
    <t>SAKHU</t>
  </si>
  <si>
    <t>Al Khuraibah</t>
  </si>
  <si>
    <t>SAAMU</t>
  </si>
  <si>
    <t>Al Muajjiz</t>
  </si>
  <si>
    <t>SAQAH</t>
  </si>
  <si>
    <t>Al Qahmah</t>
  </si>
  <si>
    <t>SAQUN</t>
  </si>
  <si>
    <t>Al Qunfudah</t>
  </si>
  <si>
    <t>SABUR</t>
  </si>
  <si>
    <t>Buraydah</t>
  </si>
  <si>
    <t>SADHA</t>
  </si>
  <si>
    <t>Dhahran</t>
  </si>
  <si>
    <t>SADHU</t>
  </si>
  <si>
    <t>Dhuba</t>
  </si>
  <si>
    <t>SAJED</t>
  </si>
  <si>
    <t>Jeddah</t>
  </si>
  <si>
    <t>SAGIZ</t>
  </si>
  <si>
    <t>Jizan</t>
  </si>
  <si>
    <t>SAJUT</t>
  </si>
  <si>
    <t>Juaymah Terminal</t>
  </si>
  <si>
    <t>SAJUB</t>
  </si>
  <si>
    <t>Jubail</t>
  </si>
  <si>
    <t>SAKAC</t>
  </si>
  <si>
    <t>King Abdullah City</t>
  </si>
  <si>
    <t>SALIT</t>
  </si>
  <si>
    <t>SAMAK</t>
  </si>
  <si>
    <t>Makkah</t>
  </si>
  <si>
    <t>SAMAN</t>
  </si>
  <si>
    <t>Manailih</t>
  </si>
  <si>
    <t>SAMUF</t>
  </si>
  <si>
    <t>Manfouha</t>
  </si>
  <si>
    <t>SAQAL</t>
  </si>
  <si>
    <t>Qalsn</t>
  </si>
  <si>
    <t>SAQUR</t>
  </si>
  <si>
    <t>Qurayyah</t>
  </si>
  <si>
    <t>SARAB</t>
  </si>
  <si>
    <t>Rabigh</t>
  </si>
  <si>
    <t>SARAR</t>
  </si>
  <si>
    <t>Ras al Khafji</t>
  </si>
  <si>
    <t>SARAM</t>
  </si>
  <si>
    <t>Ras al Mishab</t>
  </si>
  <si>
    <t>SARAZ</t>
  </si>
  <si>
    <t>Ras Al-Khair</t>
  </si>
  <si>
    <t>SARTA</t>
  </si>
  <si>
    <t>Ras Tanura</t>
  </si>
  <si>
    <t>SASUH</t>
  </si>
  <si>
    <t>Salboukh</t>
  </si>
  <si>
    <t>SAVLA</t>
  </si>
  <si>
    <t>Umm Lajj</t>
  </si>
  <si>
    <t>SAEJH</t>
  </si>
  <si>
    <t>Wedjh</t>
  </si>
  <si>
    <t>SAYNB</t>
  </si>
  <si>
    <t>Yanbu al-Bahr</t>
  </si>
  <si>
    <t>SAYBI</t>
  </si>
  <si>
    <t>Yanbu Industrial City</t>
  </si>
  <si>
    <t>SAZUY</t>
  </si>
  <si>
    <t>Zulayfayn</t>
  </si>
  <si>
    <t>SBALB</t>
  </si>
  <si>
    <t>Allardyce Harbour, Sta Isabel Is</t>
  </si>
  <si>
    <t>SBAOB</t>
  </si>
  <si>
    <t>Aola Bay</t>
  </si>
  <si>
    <t>SBAKS</t>
  </si>
  <si>
    <t>Auki, Malaita Is</t>
  </si>
  <si>
    <t>SBCHY</t>
  </si>
  <si>
    <t>Choiseul Bay</t>
  </si>
  <si>
    <t>SBGZO</t>
  </si>
  <si>
    <t>Gizo</t>
  </si>
  <si>
    <t>SBHIR</t>
  </si>
  <si>
    <t>Honiara, Guadalcanal Is</t>
  </si>
  <si>
    <t>SBIRA</t>
  </si>
  <si>
    <t>Kirakira, San Cristobal Is</t>
  </si>
  <si>
    <t>SBLEV</t>
  </si>
  <si>
    <t>Lever Harbour</t>
  </si>
  <si>
    <t>SBLOF</t>
  </si>
  <si>
    <t>Lofung</t>
  </si>
  <si>
    <t>SBRUS</t>
  </si>
  <si>
    <t>Marau Sound, Guadalcanal Is</t>
  </si>
  <si>
    <t>SBNEM</t>
  </si>
  <si>
    <t>Nemba</t>
  </si>
  <si>
    <t>SBNOR</t>
  </si>
  <si>
    <t>Noro, New Georgia</t>
  </si>
  <si>
    <t>SBRIN</t>
  </si>
  <si>
    <t>Ringgi Cove, Kolombangara</t>
  </si>
  <si>
    <t>SBSCZ</t>
  </si>
  <si>
    <t>Santa Cruz Is</t>
  </si>
  <si>
    <t>SBSHH</t>
  </si>
  <si>
    <t>Shortland Harbour</t>
  </si>
  <si>
    <t>SBTLG</t>
  </si>
  <si>
    <t>Tulagi, Ngella</t>
  </si>
  <si>
    <t>SBVIU</t>
  </si>
  <si>
    <t>Viru Harbour</t>
  </si>
  <si>
    <t>SBXYA</t>
  </si>
  <si>
    <t>Yandina, Russell Island</t>
  </si>
  <si>
    <t>SCMAW</t>
  </si>
  <si>
    <t>SCPOV</t>
  </si>
  <si>
    <t>Port Victoria</t>
  </si>
  <si>
    <t>SCVIC</t>
  </si>
  <si>
    <t>SDMBH</t>
  </si>
  <si>
    <t>Marsa Bashayer</t>
  </si>
  <si>
    <t>SDPZU</t>
  </si>
  <si>
    <t>Port Sudan</t>
  </si>
  <si>
    <t>SDSWA</t>
  </si>
  <si>
    <t>Swakin</t>
  </si>
  <si>
    <t>SEAGB</t>
  </si>
  <si>
    <t>Agnesberg</t>
  </si>
  <si>
    <t>SEAHU</t>
  </si>
  <si>
    <t>SEALA</t>
  </si>
  <si>
    <t>Ala</t>
  </si>
  <si>
    <t>SEALF</t>
  </si>
  <si>
    <t>Alfredshem</t>
  </si>
  <si>
    <t>SEAGN</t>
  </si>
  <si>
    <t>SEALN</t>
  </si>
  <si>
    <t>SEAMA</t>
  </si>
  <si>
    <t>SEAGE</t>
  </si>
  <si>
    <t>SEANK</t>
  </si>
  <si>
    <t>Ankarsvik</t>
  </si>
  <si>
    <t>SEANN</t>
  </si>
  <si>
    <t>SEAAR</t>
  </si>
  <si>
    <t>Ar</t>
  </si>
  <si>
    <t>SEARA</t>
  </si>
  <si>
    <t>Arboga</t>
  </si>
  <si>
    <t>SEARB</t>
  </si>
  <si>
    <t>SEADG</t>
  </si>
  <si>
    <t>SEASU</t>
  </si>
  <si>
    <t>SEARK</t>
  </si>
  <si>
    <t>SEARV</t>
  </si>
  <si>
    <t>Arvika</t>
  </si>
  <si>
    <t>SEASD</t>
  </si>
  <si>
    <t>Askersund</t>
  </si>
  <si>
    <t>SEBAC</t>
  </si>
  <si>
    <t>SEBAA</t>
  </si>
  <si>
    <t>SEBAS</t>
  </si>
  <si>
    <t>SEBAT</t>
  </si>
  <si>
    <t>SEBTF</t>
  </si>
  <si>
    <t>Bengtsfors</t>
  </si>
  <si>
    <t>SEBGA</t>
  </si>
  <si>
    <t>SEBEA</t>
  </si>
  <si>
    <t>Bergkvara</t>
  </si>
  <si>
    <t>SEBER</t>
  </si>
  <si>
    <t>Bergs oljehamn</t>
  </si>
  <si>
    <t>SEBJR</t>
  </si>
  <si>
    <t>SEBLA</t>
  </si>
  <si>
    <t>Blankaholm</t>
  </si>
  <si>
    <t>SEBDQ</t>
  </si>
  <si>
    <t>SEBOH</t>
  </si>
  <si>
    <t>Bohus</t>
  </si>
  <si>
    <t>SEBOL</t>
  </si>
  <si>
    <t>Bollstabruk</t>
  </si>
  <si>
    <t>SEBOG</t>
  </si>
  <si>
    <t>Borensberg</t>
  </si>
  <si>
    <t>SEBOM</t>
  </si>
  <si>
    <t>Borgholm</t>
  </si>
  <si>
    <t>SEBLD</t>
  </si>
  <si>
    <t>Bovallstrand</t>
  </si>
  <si>
    <t>SEBVK</t>
  </si>
  <si>
    <t>SEBRE</t>
  </si>
  <si>
    <t>Bredviken</t>
  </si>
  <si>
    <t>SEBRO</t>
  </si>
  <si>
    <t>Brofjorden</t>
  </si>
  <si>
    <t>SEBRT</t>
  </si>
  <si>
    <t>Brottby</t>
  </si>
  <si>
    <t>SEBRU</t>
  </si>
  <si>
    <t>Brunflo</t>
  </si>
  <si>
    <t>SEBUR</t>
  </si>
  <si>
    <t>SEBUV</t>
  </si>
  <si>
    <t>Burgsvik</t>
  </si>
  <si>
    <t>SEBYX</t>
  </si>
  <si>
    <t>Byxelkrok</t>
  </si>
  <si>
    <t>SEDLA</t>
  </si>
  <si>
    <t>SEDEG</t>
  </si>
  <si>
    <t>Degerhamn</t>
  </si>
  <si>
    <t>SEDJP</t>
  </si>
  <si>
    <t>SEDJU</t>
  </si>
  <si>
    <t>Djurmo</t>
  </si>
  <si>
    <t>SEDJN</t>
  </si>
  <si>
    <t>SEDOM</t>
  </si>
  <si>
    <t>SEDON</t>
  </si>
  <si>
    <t>SEDRT</t>
  </si>
  <si>
    <t>Drottningholm</t>
  </si>
  <si>
    <t>SEDYN</t>
  </si>
  <si>
    <t>SEELL</t>
  </si>
  <si>
    <t>Elleholm</t>
  </si>
  <si>
    <t>SEELO</t>
  </si>
  <si>
    <t>SEENK</t>
  </si>
  <si>
    <t>SEESS</t>
  </si>
  <si>
    <t>Essvik</t>
  </si>
  <si>
    <t>SEFAK</t>
  </si>
  <si>
    <t>Fagervik</t>
  </si>
  <si>
    <t>SEFAG</t>
  </si>
  <si>
    <t>SEFKG</t>
  </si>
  <si>
    <t>SEFSB</t>
  </si>
  <si>
    <t>Falsterbo</t>
  </si>
  <si>
    <t>SEFAR</t>
  </si>
  <si>
    <t>SEFSD</t>
  </si>
  <si>
    <t>SEFIG</t>
  </si>
  <si>
    <t>Figeholm</t>
  </si>
  <si>
    <t>SEFIL</t>
  </si>
  <si>
    <t>Filipstad</t>
  </si>
  <si>
    <t>SEFIS</t>
  </si>
  <si>
    <t>SEFBK</t>
  </si>
  <si>
    <t>SEFJA</t>
  </si>
  <si>
    <t>SEFLI</t>
  </si>
  <si>
    <t>Flivik</t>
  </si>
  <si>
    <t>SEFOR</t>
  </si>
  <si>
    <t>Forsmark</t>
  </si>
  <si>
    <t>SEFRA</t>
  </si>
  <si>
    <t>SEGAM</t>
  </si>
  <si>
    <t>Gamleby</t>
  </si>
  <si>
    <t>SEGVX</t>
  </si>
  <si>
    <t>SEGLM</t>
  </si>
  <si>
    <t>Glommen</t>
  </si>
  <si>
    <t>SEGOR</t>
  </si>
  <si>
    <t>Gorsingeholm</t>
  </si>
  <si>
    <t>SEGOA</t>
  </si>
  <si>
    <t>SEGOT</t>
  </si>
  <si>
    <t>SEGKV</t>
  </si>
  <si>
    <t>Grankullavik</t>
  </si>
  <si>
    <t>SEGVN</t>
  </si>
  <si>
    <t>Gravarne</t>
  </si>
  <si>
    <t>SEGRE</t>
  </si>
  <si>
    <t>Grebbestad</t>
  </si>
  <si>
    <t>SEGRH</t>
  </si>
  <si>
    <t>Grisslehamn</t>
  </si>
  <si>
    <t>SEGNR</t>
  </si>
  <si>
    <t>SEGRD</t>
  </si>
  <si>
    <t>Grundsund</t>
  </si>
  <si>
    <t>SEGRU</t>
  </si>
  <si>
    <t>SEGUN</t>
  </si>
  <si>
    <t>Gunnebo</t>
  </si>
  <si>
    <t>SEGUB</t>
  </si>
  <si>
    <t>Gustavsberg</t>
  </si>
  <si>
    <t>SEGUS</t>
  </si>
  <si>
    <t>Gustavsvik</t>
  </si>
  <si>
    <t>SEGKS</t>
  </si>
  <si>
    <t>Gustavsvik/Stockholm</t>
  </si>
  <si>
    <t>SEHAC</t>
  </si>
  <si>
    <t>SEHLS</t>
  </si>
  <si>
    <t>SEHAS</t>
  </si>
  <si>
    <t>SEHAK</t>
  </si>
  <si>
    <t>Hallstavik</t>
  </si>
  <si>
    <t>SEHAD</t>
  </si>
  <si>
    <t>Halmstad</t>
  </si>
  <si>
    <t>SEHBG</t>
  </si>
  <si>
    <t>Hamburgsund</t>
  </si>
  <si>
    <t>SEHMR</t>
  </si>
  <si>
    <t>Hammar</t>
  </si>
  <si>
    <t>SEHAA</t>
  </si>
  <si>
    <t>Haparanda</t>
  </si>
  <si>
    <t>SEHAH</t>
  </si>
  <si>
    <t>Haraholmen</t>
  </si>
  <si>
    <t>SEHAN</t>
  </si>
  <si>
    <t>Hargshamn</t>
  </si>
  <si>
    <t>SEHND</t>
  </si>
  <si>
    <t>SEHBV</t>
  </si>
  <si>
    <t>SEHST</t>
  </si>
  <si>
    <t>Heestrand</t>
  </si>
  <si>
    <t>SEHEL</t>
  </si>
  <si>
    <t>Helsingborg</t>
  </si>
  <si>
    <t>SEHER</t>
  </si>
  <si>
    <t>SEHOG</t>
  </si>
  <si>
    <t>SEHGS</t>
  </si>
  <si>
    <t>SEHLD</t>
  </si>
  <si>
    <t>Holmsund</t>
  </si>
  <si>
    <t>SEHON</t>
  </si>
  <si>
    <t>SEHNB</t>
  </si>
  <si>
    <t>SEHNF</t>
  </si>
  <si>
    <t>SEHUV</t>
  </si>
  <si>
    <t>Hudiksvall</t>
  </si>
  <si>
    <t>SEHUN</t>
  </si>
  <si>
    <t>Hunnebostrand</t>
  </si>
  <si>
    <t>SEHUS</t>
  </si>
  <si>
    <t>SEHYP</t>
  </si>
  <si>
    <t>Hyppeln</t>
  </si>
  <si>
    <t>SEIGG</t>
  </si>
  <si>
    <t>Iggesund</t>
  </si>
  <si>
    <t>SEJAR</t>
  </si>
  <si>
    <t>SEJAT</t>
  </si>
  <si>
    <t>SEJOH</t>
  </si>
  <si>
    <t>Johannedal</t>
  </si>
  <si>
    <t>SEJKG</t>
  </si>
  <si>
    <t>SEJNA</t>
  </si>
  <si>
    <t>SEKAG</t>
  </si>
  <si>
    <t>SEKGG</t>
  </si>
  <si>
    <t>Kagghamra</t>
  </si>
  <si>
    <t>SEKAX</t>
  </si>
  <si>
    <t>Kalix</t>
  </si>
  <si>
    <t>SEKLR</t>
  </si>
  <si>
    <t>Kalmar</t>
  </si>
  <si>
    <t>SEKAL</t>
  </si>
  <si>
    <t>Kalmarsand</t>
  </si>
  <si>
    <t>SEKPS</t>
  </si>
  <si>
    <t>SEKPH</t>
  </si>
  <si>
    <t>Kappelshamn</t>
  </si>
  <si>
    <t>SEKRH</t>
  </si>
  <si>
    <t>SEKBK</t>
  </si>
  <si>
    <t>Karlholmsbruk</t>
  </si>
  <si>
    <t>SEKXV</t>
  </si>
  <si>
    <t>Karlsborg Axelvik</t>
  </si>
  <si>
    <t>SEKAN</t>
  </si>
  <si>
    <t>Karlshamn</t>
  </si>
  <si>
    <t>SEKAA</t>
  </si>
  <si>
    <t>Karlskrona</t>
  </si>
  <si>
    <t>SEKSD</t>
  </si>
  <si>
    <t>Karlstad</t>
  </si>
  <si>
    <t>SEKAK</t>
  </si>
  <si>
    <t>Karlsvik</t>
  </si>
  <si>
    <t>SEKAS</t>
  </si>
  <si>
    <t>SEKAT</t>
  </si>
  <si>
    <t>Katthammarsvik</t>
  </si>
  <si>
    <t>SEKLD</t>
  </si>
  <si>
    <t>SEKGM</t>
  </si>
  <si>
    <t>Klagshamn</t>
  </si>
  <si>
    <t>SEKLA</t>
  </si>
  <si>
    <t>SEKLI</t>
  </si>
  <si>
    <t>Klintehamn</t>
  </si>
  <si>
    <t>SEKOG</t>
  </si>
  <si>
    <t>SEKMH</t>
  </si>
  <si>
    <t>SEKVH</t>
  </si>
  <si>
    <t>Kopparverkshamnen</t>
  </si>
  <si>
    <t>SEKRF</t>
  </si>
  <si>
    <t>Kramfors</t>
  </si>
  <si>
    <t>SEKID</t>
  </si>
  <si>
    <t>Kristianstad</t>
  </si>
  <si>
    <t>SEKHN</t>
  </si>
  <si>
    <t>Kristinehamn</t>
  </si>
  <si>
    <t>SEKUB</t>
  </si>
  <si>
    <t>Kubikenborg</t>
  </si>
  <si>
    <t>SEKUV</t>
  </si>
  <si>
    <t>SEKUA</t>
  </si>
  <si>
    <t>Kungsbacka</t>
  </si>
  <si>
    <t>SEKUN</t>
  </si>
  <si>
    <t>Kungshamn</t>
  </si>
  <si>
    <t>SEKGR</t>
  </si>
  <si>
    <t>SEKVA</t>
  </si>
  <si>
    <t>Kvarnholmen</t>
  </si>
  <si>
    <t>SEKYR</t>
  </si>
  <si>
    <t>Kyrkebyn</t>
  </si>
  <si>
    <t>SEKKS</t>
  </si>
  <si>
    <t>Kyrkesund</t>
  </si>
  <si>
    <t>SELAA</t>
  </si>
  <si>
    <t>Landskrona</t>
  </si>
  <si>
    <t>SELAV</t>
  </si>
  <si>
    <t>Landvetter</t>
  </si>
  <si>
    <t>SELIO</t>
  </si>
  <si>
    <t>SELDK</t>
  </si>
  <si>
    <t>SELED</t>
  </si>
  <si>
    <t>Lilla Edet</t>
  </si>
  <si>
    <t>SELIM</t>
  </si>
  <si>
    <t>Limhamn</t>
  </si>
  <si>
    <t>SELIS</t>
  </si>
  <si>
    <t>SELJP</t>
  </si>
  <si>
    <t>Ljungsarp</t>
  </si>
  <si>
    <t>SELJU</t>
  </si>
  <si>
    <t>Ljusne</t>
  </si>
  <si>
    <t>SELOD</t>
  </si>
  <si>
    <t>SELDO</t>
  </si>
  <si>
    <t>SELOM</t>
  </si>
  <si>
    <t>Lomma</t>
  </si>
  <si>
    <t>SELOT</t>
  </si>
  <si>
    <t>SELOU</t>
  </si>
  <si>
    <t>Loudden/Stockholm</t>
  </si>
  <si>
    <t>SELVR</t>
  </si>
  <si>
    <t>SELUN</t>
  </si>
  <si>
    <t>SELUG</t>
  </si>
  <si>
    <t>Lugnvik</t>
  </si>
  <si>
    <t>SELLA</t>
  </si>
  <si>
    <t>SELYS</t>
  </si>
  <si>
    <t>Lysekil</t>
  </si>
  <si>
    <t>SEMMA</t>
  </si>
  <si>
    <t>SEMAR</t>
  </si>
  <si>
    <t>Marieberg</t>
  </si>
  <si>
    <t>SEMRF</t>
  </si>
  <si>
    <t>Mariefred</t>
  </si>
  <si>
    <t>SEMAD</t>
  </si>
  <si>
    <t>Mariestad</t>
  </si>
  <si>
    <t>SEMSD</t>
  </si>
  <si>
    <t>Marstrand</t>
  </si>
  <si>
    <t>SEMAN</t>
  </si>
  <si>
    <t>Marsviken</t>
  </si>
  <si>
    <t>SEMAV</t>
  </si>
  <si>
    <t>Marviken</t>
  </si>
  <si>
    <t>SEMEM</t>
  </si>
  <si>
    <t>Mem</t>
  </si>
  <si>
    <t>SEMOO</t>
  </si>
  <si>
    <t>Mo</t>
  </si>
  <si>
    <t>SEMLE</t>
  </si>
  <si>
    <t>SEMLO</t>
  </si>
  <si>
    <t>SEMON</t>
  </si>
  <si>
    <t>SEMOR</t>
  </si>
  <si>
    <t>SEMDM</t>
  </si>
  <si>
    <t>Munkedalshamn</t>
  </si>
  <si>
    <t>SEMUN</t>
  </si>
  <si>
    <t>Munksund</t>
  </si>
  <si>
    <t>SEMSK</t>
  </si>
  <si>
    <t>SENAS</t>
  </si>
  <si>
    <t>SENAV</t>
  </si>
  <si>
    <t>SENOL</t>
  </si>
  <si>
    <t>Nol (ports)</t>
  </si>
  <si>
    <t>SENST</t>
  </si>
  <si>
    <t>SENOG</t>
  </si>
  <si>
    <t>Nordmaling</t>
  </si>
  <si>
    <t>SENJA</t>
  </si>
  <si>
    <t>SENOR</t>
  </si>
  <si>
    <t>SENRK</t>
  </si>
  <si>
    <t>SENOT</t>
  </si>
  <si>
    <t>Norrsundet</t>
  </si>
  <si>
    <t>SENOE</t>
  </si>
  <si>
    <t>SENHN</t>
  </si>
  <si>
    <t>Nyhamn</t>
  </si>
  <si>
    <t>SENYO</t>
  </si>
  <si>
    <t>SENYN</t>
  </si>
  <si>
    <t>SEOAX</t>
  </si>
  <si>
    <t>Oaxen</t>
  </si>
  <si>
    <t>SEOBB</t>
  </si>
  <si>
    <t>Obbola</t>
  </si>
  <si>
    <t>SEOCO</t>
  </si>
  <si>
    <t>SEOEN</t>
  </si>
  <si>
    <t>SEOGR</t>
  </si>
  <si>
    <t>SEOER</t>
  </si>
  <si>
    <t>SEORT</t>
  </si>
  <si>
    <t>Ortviken</t>
  </si>
  <si>
    <t>SEORV</t>
  </si>
  <si>
    <t>SEOSK</t>
  </si>
  <si>
    <t>Oskarshamn</t>
  </si>
  <si>
    <t>SEOST</t>
  </si>
  <si>
    <t>SEOTT</t>
  </si>
  <si>
    <t>SEOXE</t>
  </si>
  <si>
    <t>SEPAS</t>
  </si>
  <si>
    <t>SEPHM</t>
  </si>
  <si>
    <t>Pataholm</t>
  </si>
  <si>
    <t>SEPIT</t>
  </si>
  <si>
    <t>SERAA</t>
  </si>
  <si>
    <t>SERAM</t>
  </si>
  <si>
    <t>Ramvik</t>
  </si>
  <si>
    <t>SERIN</t>
  </si>
  <si>
    <t>Ringhals</t>
  </si>
  <si>
    <t>SERNH</t>
  </si>
  <si>
    <t>Ronehamn</t>
  </si>
  <si>
    <t>SERNG</t>
  </si>
  <si>
    <t>SERNB</t>
  </si>
  <si>
    <t>Ronneby</t>
  </si>
  <si>
    <t>SERBY</t>
  </si>
  <si>
    <t>Ronnebyhamn</t>
  </si>
  <si>
    <t>SEROR</t>
  </si>
  <si>
    <t>SEROV</t>
  </si>
  <si>
    <t>SERUV</t>
  </si>
  <si>
    <t>Rundvik</t>
  </si>
  <si>
    <t>SESAF</t>
  </si>
  <si>
    <t>SESMS</t>
  </si>
  <si>
    <t>Salmis</t>
  </si>
  <si>
    <t>SESTL</t>
  </si>
  <si>
    <t>SESBN</t>
  </si>
  <si>
    <t>SESBB</t>
  </si>
  <si>
    <t>SESAE</t>
  </si>
  <si>
    <t>Sandarne</t>
  </si>
  <si>
    <t>SESAK</t>
  </si>
  <si>
    <t>Sandvik</t>
  </si>
  <si>
    <t>SESTR</t>
  </si>
  <si>
    <t>SESES</t>
  </si>
  <si>
    <t>SESGT</t>
  </si>
  <si>
    <t>Sigtuna</t>
  </si>
  <si>
    <t>SESIK</t>
  </si>
  <si>
    <t>SESPP</t>
  </si>
  <si>
    <t>Simpevarp</t>
  </si>
  <si>
    <t>SESIM</t>
  </si>
  <si>
    <t>Simrishamn</t>
  </si>
  <si>
    <t>SESGM</t>
  </si>
  <si>
    <t>Skagshamn</t>
  </si>
  <si>
    <t>SESKL</t>
  </si>
  <si>
    <t>Skalhamn</t>
  </si>
  <si>
    <t>SESNR</t>
  </si>
  <si>
    <t>SESKB</t>
  </si>
  <si>
    <t>SESKM</t>
  </si>
  <si>
    <t>SESKT</t>
  </si>
  <si>
    <t>SESFT</t>
  </si>
  <si>
    <t>SESKE</t>
  </si>
  <si>
    <t>Skelleftehamn</t>
  </si>
  <si>
    <t>SESKO</t>
  </si>
  <si>
    <t>Skoghall</t>
  </si>
  <si>
    <t>SESKR</t>
  </si>
  <si>
    <t>Skredsvik</t>
  </si>
  <si>
    <t>SESKN</t>
  </si>
  <si>
    <t>Skuthamn</t>
  </si>
  <si>
    <t>SESSR</t>
  </si>
  <si>
    <t>SESLI</t>
  </si>
  <si>
    <t>Slite</t>
  </si>
  <si>
    <t>SESMO</t>
  </si>
  <si>
    <t>SESOO</t>
  </si>
  <si>
    <t>SESOG</t>
  </si>
  <si>
    <t>SESOE</t>
  </si>
  <si>
    <t>SESOL</t>
  </si>
  <si>
    <t>SESOR</t>
  </si>
  <si>
    <t>SESPR</t>
  </si>
  <si>
    <t>SESTJ</t>
  </si>
  <si>
    <t>SESTE</t>
  </si>
  <si>
    <t>Stenungsund</t>
  </si>
  <si>
    <t>SESTG</t>
  </si>
  <si>
    <t>Stigtomta</t>
  </si>
  <si>
    <t>SESTA</t>
  </si>
  <si>
    <t>Stocka</t>
  </si>
  <si>
    <t>SESTO</t>
  </si>
  <si>
    <t>Stockholm</t>
  </si>
  <si>
    <t>SESUD</t>
  </si>
  <si>
    <t>Stocksund</t>
  </si>
  <si>
    <t>SESTK</t>
  </si>
  <si>
    <t>Stockviksverken</t>
  </si>
  <si>
    <t>SESTV</t>
  </si>
  <si>
    <t>Stora Vika</t>
  </si>
  <si>
    <t>SESUS</t>
  </si>
  <si>
    <t>Storugns</t>
  </si>
  <si>
    <t>SESMN</t>
  </si>
  <si>
    <t>Storuman</t>
  </si>
  <si>
    <t>SEKAF</t>
  </si>
  <si>
    <t>SESTQ</t>
  </si>
  <si>
    <t>SESMD</t>
  </si>
  <si>
    <t>SESDS</t>
  </si>
  <si>
    <t>Studsvik</t>
  </si>
  <si>
    <t>SESTU</t>
  </si>
  <si>
    <t>Stugsund</t>
  </si>
  <si>
    <t>SESUN</t>
  </si>
  <si>
    <t>SESUG</t>
  </si>
  <si>
    <t>Sundbyberg</t>
  </si>
  <si>
    <t>SESDK</t>
  </si>
  <si>
    <t>Sundsbruk</t>
  </si>
  <si>
    <t>SESDL</t>
  </si>
  <si>
    <t>Sundsvall</t>
  </si>
  <si>
    <t>SESUR</t>
  </si>
  <si>
    <t>Surte</t>
  </si>
  <si>
    <t>SESND</t>
  </si>
  <si>
    <t>Svanesund</t>
  </si>
  <si>
    <t>SESVX</t>
  </si>
  <si>
    <t>SESVK</t>
  </si>
  <si>
    <t>Svartvik</t>
  </si>
  <si>
    <t>SESEA</t>
  </si>
  <si>
    <t>Svedala</t>
  </si>
  <si>
    <t>SETTD</t>
  </si>
  <si>
    <t>Tomtbod</t>
  </si>
  <si>
    <t>SETOE</t>
  </si>
  <si>
    <t>SETOV</t>
  </si>
  <si>
    <t>Torekov</t>
  </si>
  <si>
    <t>SETOA</t>
  </si>
  <si>
    <t>SETSL</t>
  </si>
  <si>
    <t>SETRG</t>
  </si>
  <si>
    <t>Trelleborg</t>
  </si>
  <si>
    <t>SETHN</t>
  </si>
  <si>
    <t>SETUN</t>
  </si>
  <si>
    <t>Tunadal</t>
  </si>
  <si>
    <t>SEUDD</t>
  </si>
  <si>
    <t>Uddevalla</t>
  </si>
  <si>
    <t>SEUGN</t>
  </si>
  <si>
    <t>Ulebergshamn</t>
  </si>
  <si>
    <t>SEULF</t>
  </si>
  <si>
    <t>Ulfvik</t>
  </si>
  <si>
    <t>SEUME</t>
  </si>
  <si>
    <t>SEUND</t>
  </si>
  <si>
    <t>SEUPP</t>
  </si>
  <si>
    <t>Uppsala</t>
  </si>
  <si>
    <t>SEURS</t>
  </si>
  <si>
    <t>Ursviken</t>
  </si>
  <si>
    <t>SEUTA</t>
  </si>
  <si>
    <t>SEVAJ</t>
  </si>
  <si>
    <t>SEVAA</t>
  </si>
  <si>
    <t>SEVAK</t>
  </si>
  <si>
    <t>Valdemarsvik</t>
  </si>
  <si>
    <t>SEVAL</t>
  </si>
  <si>
    <t>Vallvik</t>
  </si>
  <si>
    <t>SEVAN</t>
  </si>
  <si>
    <t>SEVAG</t>
  </si>
  <si>
    <t>Varberg</t>
  </si>
  <si>
    <t>SEVRB</t>
  </si>
  <si>
    <t>SEVGN</t>
  </si>
  <si>
    <t>SEVST</t>
  </si>
  <si>
    <t>SEVVK</t>
  </si>
  <si>
    <t>SEVXH</t>
  </si>
  <si>
    <t>Vaxholm</t>
  </si>
  <si>
    <t>SEVER</t>
  </si>
  <si>
    <t>SEVBY</t>
  </si>
  <si>
    <t>Visby</t>
  </si>
  <si>
    <t>SEVIV</t>
  </si>
  <si>
    <t>Vivstavarv</t>
  </si>
  <si>
    <t>SEVGO</t>
  </si>
  <si>
    <t>SEWAL</t>
  </si>
  <si>
    <t>Wallhamn</t>
  </si>
  <si>
    <t>SEYST</t>
  </si>
  <si>
    <t>Ystad</t>
  </si>
  <si>
    <t>SGBKM</t>
  </si>
  <si>
    <t>Bukit Merah Estate</t>
  </si>
  <si>
    <t>SGCHG</t>
  </si>
  <si>
    <t>Changi</t>
  </si>
  <si>
    <t>SGJUR</t>
  </si>
  <si>
    <t>Jurong/Singapore</t>
  </si>
  <si>
    <t>SGKEP</t>
  </si>
  <si>
    <t>Keppel Wharves</t>
  </si>
  <si>
    <t>SGPAP</t>
  </si>
  <si>
    <t>Pasir Panjang Wharves</t>
  </si>
  <si>
    <t>SGAYC</t>
  </si>
  <si>
    <t>Pulau Ayer Chawan</t>
  </si>
  <si>
    <t>SGPUB</t>
  </si>
  <si>
    <t>Pulau Bukom</t>
  </si>
  <si>
    <t>SGSEB</t>
  </si>
  <si>
    <t>Pulau Sebarok</t>
  </si>
  <si>
    <t>SGSLT</t>
  </si>
  <si>
    <t>Seletar</t>
  </si>
  <si>
    <t>SGSEM</t>
  </si>
  <si>
    <t>Sembawang Port</t>
  </si>
  <si>
    <t>SGSIN</t>
  </si>
  <si>
    <t>Singapore</t>
  </si>
  <si>
    <t>SGSCT</t>
  </si>
  <si>
    <t>Singapore Container Terminal</t>
  </si>
  <si>
    <t>SGTPG</t>
  </si>
  <si>
    <t>Tanjong Pagar</t>
  </si>
  <si>
    <t>SGTPN</t>
  </si>
  <si>
    <t>Tanjong Penjuru</t>
  </si>
  <si>
    <t>SGTAY</t>
  </si>
  <si>
    <t>Telok Ayer Basin</t>
  </si>
  <si>
    <t>SGTUA</t>
  </si>
  <si>
    <t>Tuas</t>
  </si>
  <si>
    <t>SHASC</t>
  </si>
  <si>
    <t>Ascension</t>
  </si>
  <si>
    <t>SHASI</t>
  </si>
  <si>
    <t>SHSHN</t>
  </si>
  <si>
    <t>Jamestown</t>
  </si>
  <si>
    <t>SHTDC</t>
  </si>
  <si>
    <t>Tristan da Cunha</t>
  </si>
  <si>
    <t>SIDBO</t>
  </si>
  <si>
    <t>Dobrovo</t>
  </si>
  <si>
    <t>SIIZO</t>
  </si>
  <si>
    <t>Izola</t>
  </si>
  <si>
    <t>SIJAR</t>
  </si>
  <si>
    <t>Jarenina</t>
  </si>
  <si>
    <t>SIJCE</t>
  </si>
  <si>
    <t>Jesenice</t>
  </si>
  <si>
    <t>SIKOP</t>
  </si>
  <si>
    <t>Koper</t>
  </si>
  <si>
    <t>SISLV</t>
  </si>
  <si>
    <t>Lukovica pri Domzalah</t>
  </si>
  <si>
    <t>SISML</t>
  </si>
  <si>
    <t>Mala Nedelja</t>
  </si>
  <si>
    <t>SIPIR</t>
  </si>
  <si>
    <t>Piran</t>
  </si>
  <si>
    <t>SIPOW</t>
  </si>
  <si>
    <t>Portoroz</t>
  </si>
  <si>
    <t>SIROG</t>
  </si>
  <si>
    <t>Rogasovci</t>
  </si>
  <si>
    <t>SISEC</t>
  </si>
  <si>
    <t>Secovlje</t>
  </si>
  <si>
    <t>SIS8L</t>
  </si>
  <si>
    <t>Selca</t>
  </si>
  <si>
    <t>SITOL</t>
  </si>
  <si>
    <t>Tolmin</t>
  </si>
  <si>
    <t>SILU6</t>
  </si>
  <si>
    <t>Trojane</t>
  </si>
  <si>
    <t>SIXZA</t>
  </si>
  <si>
    <t>Zgornji Jakobski Dol</t>
  </si>
  <si>
    <t>SJBAR</t>
  </si>
  <si>
    <t>Barentsburg</t>
  </si>
  <si>
    <t>SJLYR</t>
  </si>
  <si>
    <t>Longyearbyen</t>
  </si>
  <si>
    <t>SJNYA</t>
  </si>
  <si>
    <t>SJSVE</t>
  </si>
  <si>
    <t>Sveagruva</t>
  </si>
  <si>
    <t>SKBCK</t>
  </si>
  <si>
    <t>Beckov</t>
  </si>
  <si>
    <t>SKBAB</t>
  </si>
  <si>
    <t>Bratislava Port</t>
  </si>
  <si>
    <t>SKDVO</t>
  </si>
  <si>
    <t>Dvorniky</t>
  </si>
  <si>
    <t>SKGLT</t>
  </si>
  <si>
    <t>Galanta</t>
  </si>
  <si>
    <t>SKKAO</t>
  </si>
  <si>
    <t>SKKNP</t>
  </si>
  <si>
    <t>Komarno Port</t>
  </si>
  <si>
    <t>SKFD3</t>
  </si>
  <si>
    <t>SKKVE</t>
  </si>
  <si>
    <t>Kvetoslavov</t>
  </si>
  <si>
    <t>SKXCV</t>
  </si>
  <si>
    <t>SKMAT</t>
  </si>
  <si>
    <t>Martovce</t>
  </si>
  <si>
    <t>SKMOD</t>
  </si>
  <si>
    <t>Modra</t>
  </si>
  <si>
    <t>SKHIL</t>
  </si>
  <si>
    <t>SKPOP</t>
  </si>
  <si>
    <t>Poprad</t>
  </si>
  <si>
    <t>SKPLB</t>
  </si>
  <si>
    <t>Praha</t>
  </si>
  <si>
    <t>SKXXX</t>
  </si>
  <si>
    <t>SKK87</t>
  </si>
  <si>
    <t>Sady nad Torysou</t>
  </si>
  <si>
    <t>SKDF4</t>
  </si>
  <si>
    <t>SKTEP</t>
  </si>
  <si>
    <t>Teplicka nad Vahom</t>
  </si>
  <si>
    <t>SKTLM</t>
  </si>
  <si>
    <t>Tlmace</t>
  </si>
  <si>
    <t>SKTBE</t>
  </si>
  <si>
    <t>Trencianske Bohuslavice</t>
  </si>
  <si>
    <t>SKTNA</t>
  </si>
  <si>
    <t>Trnava</t>
  </si>
  <si>
    <t>SKTUT</t>
  </si>
  <si>
    <t>Turcianske Teplice</t>
  </si>
  <si>
    <t>SKDXZ</t>
  </si>
  <si>
    <t>Valaska</t>
  </si>
  <si>
    <t>SKVZK</t>
  </si>
  <si>
    <t>SKZIA</t>
  </si>
  <si>
    <t>Ziar nad Hronom</t>
  </si>
  <si>
    <t>SLBTE</t>
  </si>
  <si>
    <t>Bonthe</t>
  </si>
  <si>
    <t>SLFNA</t>
  </si>
  <si>
    <t>Freetown</t>
  </si>
  <si>
    <t>SLNIT</t>
  </si>
  <si>
    <t>Nitti</t>
  </si>
  <si>
    <t>SLPEP</t>
  </si>
  <si>
    <t>Pepel</t>
  </si>
  <si>
    <t>SLSBO</t>
  </si>
  <si>
    <t>Sherbro</t>
  </si>
  <si>
    <t>SMAQ8</t>
  </si>
  <si>
    <t>Gualdicciolo</t>
  </si>
  <si>
    <t>SNDKR</t>
  </si>
  <si>
    <t>Dakar</t>
  </si>
  <si>
    <t>SNFOU</t>
  </si>
  <si>
    <t>Foundiougne</t>
  </si>
  <si>
    <t>SNKLC</t>
  </si>
  <si>
    <t>Kaolack</t>
  </si>
  <si>
    <t>SNLYN</t>
  </si>
  <si>
    <t>Lyndiane</t>
  </si>
  <si>
    <t>SNMBA</t>
  </si>
  <si>
    <t>M'bao Terminal</t>
  </si>
  <si>
    <t>SNXLS</t>
  </si>
  <si>
    <t>Saint Louis</t>
  </si>
  <si>
    <t>SNZIG</t>
  </si>
  <si>
    <t>Ziguinchor</t>
  </si>
  <si>
    <t>SOBBO</t>
  </si>
  <si>
    <t>Berbera</t>
  </si>
  <si>
    <t>SOELM</t>
  </si>
  <si>
    <t>El Maan</t>
  </si>
  <si>
    <t>SOGHR</t>
  </si>
  <si>
    <t>Giohar</t>
  </si>
  <si>
    <t>SOKMU</t>
  </si>
  <si>
    <t>Kismayu</t>
  </si>
  <si>
    <t>SOMER</t>
  </si>
  <si>
    <t>Merca</t>
  </si>
  <si>
    <t>SOMGQ</t>
  </si>
  <si>
    <t>Mogadishu</t>
  </si>
  <si>
    <t>SRABN</t>
  </si>
  <si>
    <t>Albina</t>
  </si>
  <si>
    <t>SRMOJ</t>
  </si>
  <si>
    <t>Moengo</t>
  </si>
  <si>
    <t>SRICK</t>
  </si>
  <si>
    <t>Nieuw Nickerie</t>
  </si>
  <si>
    <t>SRPBM</t>
  </si>
  <si>
    <t>Paramaribo</t>
  </si>
  <si>
    <t>SRPRM</t>
  </si>
  <si>
    <t>Paranam</t>
  </si>
  <si>
    <t>SRSMA</t>
  </si>
  <si>
    <t>Smalkalden</t>
  </si>
  <si>
    <t>SRAGI</t>
  </si>
  <si>
    <t>STPCP</t>
  </si>
  <si>
    <t>Principe</t>
  </si>
  <si>
    <t>STSAA</t>
  </si>
  <si>
    <t>Santo Antonio</t>
  </si>
  <si>
    <t>STTMS</t>
  </si>
  <si>
    <t>Sao Tome Island</t>
  </si>
  <si>
    <t>SVAQJ</t>
  </si>
  <si>
    <t>Acajutla</t>
  </si>
  <si>
    <t>SVAPO</t>
  </si>
  <si>
    <t>Apopa</t>
  </si>
  <si>
    <t>SVSSO</t>
  </si>
  <si>
    <t>Armenia</t>
  </si>
  <si>
    <t>SVBEL</t>
  </si>
  <si>
    <t>SVMAN</t>
  </si>
  <si>
    <t>El Manzanillo</t>
  </si>
  <si>
    <t>SVLLD</t>
  </si>
  <si>
    <t>SVLUN</t>
  </si>
  <si>
    <t>La Union</t>
  </si>
  <si>
    <t>SVMIR</t>
  </si>
  <si>
    <t>SVTUE</t>
  </si>
  <si>
    <t>Moncagua</t>
  </si>
  <si>
    <t>SVNHZ</t>
  </si>
  <si>
    <t>Nahuizalco</t>
  </si>
  <si>
    <t>SVNCU</t>
  </si>
  <si>
    <t>Nuevo Cuscatlan</t>
  </si>
  <si>
    <t>SVSAL</t>
  </si>
  <si>
    <t>San Salvador</t>
  </si>
  <si>
    <t>SXGES</t>
  </si>
  <si>
    <t>Gallis Bay</t>
  </si>
  <si>
    <t>SXMAR</t>
  </si>
  <si>
    <t>SXPHI</t>
  </si>
  <si>
    <t>SXSXM</t>
  </si>
  <si>
    <t>Sint-Maarten Apt</t>
  </si>
  <si>
    <t>SYALD</t>
  </si>
  <si>
    <t>Al Ladhiqiyah</t>
  </si>
  <si>
    <t>SYARW</t>
  </si>
  <si>
    <t>Arwad</t>
  </si>
  <si>
    <t>SYBEN</t>
  </si>
  <si>
    <t>Banghazi</t>
  </si>
  <si>
    <t>SYBAN</t>
  </si>
  <si>
    <t>Baniyas</t>
  </si>
  <si>
    <t>SYDAM</t>
  </si>
  <si>
    <t>Damascus (Damas)</t>
  </si>
  <si>
    <t>SYLTK</t>
  </si>
  <si>
    <t>Latakia</t>
  </si>
  <si>
    <t>SYTTS</t>
  </si>
  <si>
    <t>Tartus</t>
  </si>
  <si>
    <t>SYTAO</t>
  </si>
  <si>
    <t>Tartus Oil Terminal</t>
  </si>
  <si>
    <t>SZMAL</t>
  </si>
  <si>
    <t>Malkerns</t>
  </si>
  <si>
    <t>SZNHL</t>
  </si>
  <si>
    <t>Nhlangano</t>
  </si>
  <si>
    <t>SZ7DS</t>
  </si>
  <si>
    <t>Sidvokodvo</t>
  </si>
  <si>
    <t>TCGDT</t>
  </si>
  <si>
    <t>Grand Turk Island</t>
  </si>
  <si>
    <t>TCNCA</t>
  </si>
  <si>
    <t>North Caicos</t>
  </si>
  <si>
    <t>TCPLS</t>
  </si>
  <si>
    <t>Providenciales</t>
  </si>
  <si>
    <t>TCSLX</t>
  </si>
  <si>
    <t>Salt Cay</t>
  </si>
  <si>
    <t>TCXSC</t>
  </si>
  <si>
    <t>South Caicos</t>
  </si>
  <si>
    <t>TFPFR</t>
  </si>
  <si>
    <t>TGANE</t>
  </si>
  <si>
    <t>TGKPE</t>
  </si>
  <si>
    <t>Kpeme</t>
  </si>
  <si>
    <t>TGLFW</t>
  </si>
  <si>
    <t>Lome</t>
  </si>
  <si>
    <t>THBNK</t>
  </si>
  <si>
    <t>Ban Kantang</t>
  </si>
  <si>
    <t>THMTP</t>
  </si>
  <si>
    <t>Ban Map Ta Phut</t>
  </si>
  <si>
    <t>THBPG</t>
  </si>
  <si>
    <t>Ban Pong</t>
  </si>
  <si>
    <t>THBTP</t>
  </si>
  <si>
    <t>Ban Talat Takua Pa</t>
  </si>
  <si>
    <t>THBND</t>
  </si>
  <si>
    <t>Bandon</t>
  </si>
  <si>
    <t>THBSP</t>
  </si>
  <si>
    <t>Bang Saphan</t>
  </si>
  <si>
    <t>THBKK</t>
  </si>
  <si>
    <t>Bangkok</t>
  </si>
  <si>
    <t>THBMT</t>
  </si>
  <si>
    <t>Bangkok Modern Terminals/Bangkok</t>
  </si>
  <si>
    <t>THBNG</t>
  </si>
  <si>
    <t>Bangnara</t>
  </si>
  <si>
    <t>THBAI</t>
  </si>
  <si>
    <t>Bangpoomai</t>
  </si>
  <si>
    <t>THBNL</t>
  </si>
  <si>
    <t>Banlaem</t>
  </si>
  <si>
    <t>THBEN</t>
  </si>
  <si>
    <t>Benchamas</t>
  </si>
  <si>
    <t>THCHA</t>
  </si>
  <si>
    <t>Chanthaburi</t>
  </si>
  <si>
    <t>THCHU</t>
  </si>
  <si>
    <t>Chumporn</t>
  </si>
  <si>
    <t>THERA</t>
  </si>
  <si>
    <t>Erawan</t>
  </si>
  <si>
    <t>THHOP</t>
  </si>
  <si>
    <t>Hoping</t>
  </si>
  <si>
    <t>THKPT</t>
  </si>
  <si>
    <t>Kamphaeng Phet</t>
  </si>
  <si>
    <t>THKAN</t>
  </si>
  <si>
    <t>Kantang</t>
  </si>
  <si>
    <t>THKLY</t>
  </si>
  <si>
    <t>Khlong Yai</t>
  </si>
  <si>
    <t>THKLA</t>
  </si>
  <si>
    <t>Koh Lanta</t>
  </si>
  <si>
    <t>THKNO</t>
  </si>
  <si>
    <t>Koh Nok</t>
  </si>
  <si>
    <t>THKSI</t>
  </si>
  <si>
    <t>Koh Sichang</t>
  </si>
  <si>
    <t>THKYO</t>
  </si>
  <si>
    <t>Koh Yao</t>
  </si>
  <si>
    <t>THLCH</t>
  </si>
  <si>
    <t>Laem Chabang</t>
  </si>
  <si>
    <t>THLAS</t>
  </si>
  <si>
    <t>Lang Suan</t>
  </si>
  <si>
    <t>THMAT</t>
  </si>
  <si>
    <t>Mab Tapud</t>
  </si>
  <si>
    <t>THMEK</t>
  </si>
  <si>
    <t>Meklong</t>
  </si>
  <si>
    <t>Nakhon Si Thammarat</t>
  </si>
  <si>
    <t>Narathiwat</t>
  </si>
  <si>
    <t>THNIM</t>
  </si>
  <si>
    <t>Nim Port</t>
  </si>
  <si>
    <t>THPKB</t>
  </si>
  <si>
    <t>Pakbara</t>
  </si>
  <si>
    <t>THPKN</t>
  </si>
  <si>
    <t>Paknam</t>
  </si>
  <si>
    <t>THPKP</t>
  </si>
  <si>
    <t>Pakpanang</t>
  </si>
  <si>
    <t>Pattani</t>
  </si>
  <si>
    <t>THPHA</t>
  </si>
  <si>
    <t>Phangnga</t>
  </si>
  <si>
    <t>THPTR</t>
  </si>
  <si>
    <t>Photharam</t>
  </si>
  <si>
    <t>THKRU</t>
  </si>
  <si>
    <t>Phra Khanong</t>
  </si>
  <si>
    <t>THPPA</t>
  </si>
  <si>
    <t>Phra Pradeng</t>
  </si>
  <si>
    <t>THPLA</t>
  </si>
  <si>
    <t>Platong</t>
  </si>
  <si>
    <t>Ranong</t>
  </si>
  <si>
    <t>THRVT</t>
  </si>
  <si>
    <t>Rubicon Vantage FPSO</t>
  </si>
  <si>
    <t>THSCS</t>
  </si>
  <si>
    <t>Sahathai Coastal Seaport</t>
  </si>
  <si>
    <t>THSTH</t>
  </si>
  <si>
    <t>Sathun</t>
  </si>
  <si>
    <t>THSAT</t>
  </si>
  <si>
    <t>Sattahip</t>
  </si>
  <si>
    <t>THSIR</t>
  </si>
  <si>
    <t>Si Racha</t>
  </si>
  <si>
    <t>THSBP</t>
  </si>
  <si>
    <t>Siam Bangkok Port</t>
  </si>
  <si>
    <t>THSIC</t>
  </si>
  <si>
    <t>Sichol</t>
  </si>
  <si>
    <t>Songkhla</t>
  </si>
  <si>
    <t>THSRI</t>
  </si>
  <si>
    <t>Sriracha</t>
  </si>
  <si>
    <t>THTAC</t>
  </si>
  <si>
    <t>Ta-Chalaeb</t>
  </si>
  <si>
    <t>THTTE</t>
  </si>
  <si>
    <t>Tantawan Terminal</t>
  </si>
  <si>
    <t>THTHA</t>
  </si>
  <si>
    <t>Tha Sala</t>
  </si>
  <si>
    <t>Trang</t>
  </si>
  <si>
    <t>THTPP</t>
  </si>
  <si>
    <t>Tungprong Pt</t>
  </si>
  <si>
    <t>THUCT</t>
  </si>
  <si>
    <t>Unithai Container Terminal</t>
  </si>
  <si>
    <t>TKAFU</t>
  </si>
  <si>
    <t>Atafu</t>
  </si>
  <si>
    <t>TKFKO</t>
  </si>
  <si>
    <t>Fakaofo</t>
  </si>
  <si>
    <t>TKNKU</t>
  </si>
  <si>
    <t>Nukunonu</t>
  </si>
  <si>
    <t>TLDIL</t>
  </si>
  <si>
    <t>Dili</t>
  </si>
  <si>
    <t>TLLIB</t>
  </si>
  <si>
    <t>Liberdade</t>
  </si>
  <si>
    <t>TLMDV</t>
  </si>
  <si>
    <t>Modec Venture</t>
  </si>
  <si>
    <t>TMALT</t>
  </si>
  <si>
    <t>Altyn Asyr</t>
  </si>
  <si>
    <t>TMCHE</t>
  </si>
  <si>
    <t>Cheleken</t>
  </si>
  <si>
    <t>TMHAL</t>
  </si>
  <si>
    <t>Halach</t>
  </si>
  <si>
    <t>TMKRA</t>
  </si>
  <si>
    <t>TMTMZ</t>
  </si>
  <si>
    <t>Termez</t>
  </si>
  <si>
    <t>TMKRW</t>
  </si>
  <si>
    <t>Turkmenbashi</t>
  </si>
  <si>
    <t>TNHMM</t>
  </si>
  <si>
    <t>Al Hammamat</t>
  </si>
  <si>
    <t>TNTZE</t>
  </si>
  <si>
    <t>TNARI</t>
  </si>
  <si>
    <t>Ariana</t>
  </si>
  <si>
    <t>TNASH</t>
  </si>
  <si>
    <t>Ashtart Terminal</t>
  </si>
  <si>
    <t>TNBIZ</t>
  </si>
  <si>
    <t>Bizerte</t>
  </si>
  <si>
    <t>TNBJC</t>
  </si>
  <si>
    <t>Borj Cedria</t>
  </si>
  <si>
    <t>TNCHB</t>
  </si>
  <si>
    <t>Chebba</t>
  </si>
  <si>
    <t>TNDID</t>
  </si>
  <si>
    <t>Didon</t>
  </si>
  <si>
    <t>TNDJE</t>
  </si>
  <si>
    <t>Djerba</t>
  </si>
  <si>
    <t>TNGAE</t>
  </si>
  <si>
    <t>TNISI</t>
  </si>
  <si>
    <t>Isis</t>
  </si>
  <si>
    <t>TNJAR</t>
  </si>
  <si>
    <t>Jarjis</t>
  </si>
  <si>
    <t>TNKEB</t>
  </si>
  <si>
    <t>Kebili</t>
  </si>
  <si>
    <t>TNKEM</t>
  </si>
  <si>
    <t>TNLGN</t>
  </si>
  <si>
    <t>La Goulette Nord (Halqueloued)</t>
  </si>
  <si>
    <t>TNLSK</t>
  </si>
  <si>
    <t>La Skhirra</t>
  </si>
  <si>
    <t>TNMAD</t>
  </si>
  <si>
    <t>Mahdia</t>
  </si>
  <si>
    <t>TNMBA</t>
  </si>
  <si>
    <t>Menzel Bourguiba</t>
  </si>
  <si>
    <t>TNOUD</t>
  </si>
  <si>
    <t>Oudna</t>
  </si>
  <si>
    <t>TNRDS</t>
  </si>
  <si>
    <t>TNSFA</t>
  </si>
  <si>
    <t>Sfax</t>
  </si>
  <si>
    <t>TNSLN</t>
  </si>
  <si>
    <t>Soliman</t>
  </si>
  <si>
    <t>TNSUS</t>
  </si>
  <si>
    <t>Sousse</t>
  </si>
  <si>
    <t>TNTAT</t>
  </si>
  <si>
    <t>Tazerka Terminal</t>
  </si>
  <si>
    <t>TNTUN</t>
  </si>
  <si>
    <t>Tunis</t>
  </si>
  <si>
    <t>TNZRZ</t>
  </si>
  <si>
    <t>Zarzis</t>
  </si>
  <si>
    <t>TOHPA</t>
  </si>
  <si>
    <t>Ha'apai</t>
  </si>
  <si>
    <t>TONEI</t>
  </si>
  <si>
    <t>Neiafu</t>
  </si>
  <si>
    <t>TOTBU</t>
  </si>
  <si>
    <t>Nuku'alofa</t>
  </si>
  <si>
    <t>TOPAN</t>
  </si>
  <si>
    <t>Pangai</t>
  </si>
  <si>
    <t>TRADA</t>
  </si>
  <si>
    <t>Adana</t>
  </si>
  <si>
    <t>TRAKB</t>
  </si>
  <si>
    <t>TRAKC</t>
  </si>
  <si>
    <t>Akcansa</t>
  </si>
  <si>
    <t>TRGKV</t>
  </si>
  <si>
    <t>TRAKY</t>
  </si>
  <si>
    <t>TRAKD</t>
  </si>
  <si>
    <t>Akdeniz</t>
  </si>
  <si>
    <t>TRALA</t>
  </si>
  <si>
    <t>Alanya</t>
  </si>
  <si>
    <t>TRALI</t>
  </si>
  <si>
    <t>Aliaga</t>
  </si>
  <si>
    <t>TRAYD</t>
  </si>
  <si>
    <t>Altinkum</t>
  </si>
  <si>
    <t>TRAMA</t>
  </si>
  <si>
    <t>Amasra</t>
  </si>
  <si>
    <t>Ambarli</t>
  </si>
  <si>
    <t>TRANA</t>
  </si>
  <si>
    <t>Anamur</t>
  </si>
  <si>
    <t>TRAYT</t>
  </si>
  <si>
    <t>Antalya</t>
  </si>
  <si>
    <t>TRAYA</t>
  </si>
  <si>
    <t>Ayancik</t>
  </si>
  <si>
    <t>TRAYV</t>
  </si>
  <si>
    <t>Ayvalik</t>
  </si>
  <si>
    <t>TRBBP</t>
  </si>
  <si>
    <t>Baba Point</t>
  </si>
  <si>
    <t>TRBZI</t>
  </si>
  <si>
    <t>Balikesir</t>
  </si>
  <si>
    <t>TRBDM</t>
  </si>
  <si>
    <t>Bandirma</t>
  </si>
  <si>
    <t>TRBTS</t>
  </si>
  <si>
    <t>Besiktas</t>
  </si>
  <si>
    <t>TRBEY</t>
  </si>
  <si>
    <t>Beykoz</t>
  </si>
  <si>
    <t>TRBBI</t>
  </si>
  <si>
    <t>Beylerbeyi</t>
  </si>
  <si>
    <t>TRBXN</t>
  </si>
  <si>
    <t>Bodrum</t>
  </si>
  <si>
    <t>TRBOG</t>
  </si>
  <si>
    <t>Bogazagzi</t>
  </si>
  <si>
    <t>TRBOL</t>
  </si>
  <si>
    <t>Bolu</t>
  </si>
  <si>
    <t>TRBOT</t>
  </si>
  <si>
    <t>Botas</t>
  </si>
  <si>
    <t>TRBZB</t>
  </si>
  <si>
    <t>Bozburun</t>
  </si>
  <si>
    <t>TRBZC</t>
  </si>
  <si>
    <t>Bozcaada</t>
  </si>
  <si>
    <t>TRBHN</t>
  </si>
  <si>
    <t>Burhaniye</t>
  </si>
  <si>
    <t>TRBUY</t>
  </si>
  <si>
    <t>TRCAM</t>
  </si>
  <si>
    <t>TRCKZ</t>
  </si>
  <si>
    <t>TRCES</t>
  </si>
  <si>
    <t>TRCID</t>
  </si>
  <si>
    <t>Cide</t>
  </si>
  <si>
    <t>TRCUB</t>
  </si>
  <si>
    <t>Cubuklu</t>
  </si>
  <si>
    <t>TRDAR</t>
  </si>
  <si>
    <t>Darica</t>
  </si>
  <si>
    <t>TRDAT</t>
  </si>
  <si>
    <t>TRDRC</t>
  </si>
  <si>
    <t>Derince</t>
  </si>
  <si>
    <t>TRDIK</t>
  </si>
  <si>
    <t>Dikili</t>
  </si>
  <si>
    <t>TRDIL</t>
  </si>
  <si>
    <t>Diliskelesi</t>
  </si>
  <si>
    <t>TRDYL</t>
  </si>
  <si>
    <t>TREDI</t>
  </si>
  <si>
    <t>Edirne</t>
  </si>
  <si>
    <t>TRENE</t>
  </si>
  <si>
    <t>Enez</t>
  </si>
  <si>
    <t>TRERK</t>
  </si>
  <si>
    <t>Erdek</t>
  </si>
  <si>
    <t>Eregli</t>
  </si>
  <si>
    <t>TRERE</t>
  </si>
  <si>
    <t>TREYP</t>
  </si>
  <si>
    <t>Evyap Port /Kocaeli</t>
  </si>
  <si>
    <t>TRFAS</t>
  </si>
  <si>
    <t>Fatsa</t>
  </si>
  <si>
    <t>TRFET</t>
  </si>
  <si>
    <t>Fethiye</t>
  </si>
  <si>
    <t>TRFIN</t>
  </si>
  <si>
    <t>Finike</t>
  </si>
  <si>
    <t>TRFRZ</t>
  </si>
  <si>
    <t>TRFOC</t>
  </si>
  <si>
    <t>TRGTA</t>
  </si>
  <si>
    <t>Galata</t>
  </si>
  <si>
    <t>TRGEB</t>
  </si>
  <si>
    <t>Gebze</t>
  </si>
  <si>
    <t>TRGEL</t>
  </si>
  <si>
    <t>Gelibolu</t>
  </si>
  <si>
    <t>TRGEM</t>
  </si>
  <si>
    <t>Gemlik</t>
  </si>
  <si>
    <t>TRGZE</t>
  </si>
  <si>
    <t>Gerze</t>
  </si>
  <si>
    <t>TRGIR</t>
  </si>
  <si>
    <t>Giresun</t>
  </si>
  <si>
    <t>TRGCK</t>
  </si>
  <si>
    <t>Gocek</t>
  </si>
  <si>
    <t>TRGOR</t>
  </si>
  <si>
    <t>TRGUL</t>
  </si>
  <si>
    <t>TRHAR</t>
  </si>
  <si>
    <t>Haramidere</t>
  </si>
  <si>
    <t>TRHAS</t>
  </si>
  <si>
    <t>TRHAY</t>
  </si>
  <si>
    <t>Haydarpasa</t>
  </si>
  <si>
    <t>TRHER</t>
  </si>
  <si>
    <t>Hereke</t>
  </si>
  <si>
    <t>TRHIS</t>
  </si>
  <si>
    <t>TRHOP</t>
  </si>
  <si>
    <t>Hopa</t>
  </si>
  <si>
    <t>TRIDS</t>
  </si>
  <si>
    <t>Icdas Jetty</t>
  </si>
  <si>
    <t>TRIGN</t>
  </si>
  <si>
    <t>Igneada</t>
  </si>
  <si>
    <t>TRGCA</t>
  </si>
  <si>
    <t>Imroz</t>
  </si>
  <si>
    <t>TRINE</t>
  </si>
  <si>
    <t>Inebolu</t>
  </si>
  <si>
    <t>TRIDM</t>
  </si>
  <si>
    <t>Isdemir</t>
  </si>
  <si>
    <t>TRISK</t>
  </si>
  <si>
    <t>Iskenderun</t>
  </si>
  <si>
    <t>TRIST</t>
  </si>
  <si>
    <t>Istanbul</t>
  </si>
  <si>
    <t>TRIZM</t>
  </si>
  <si>
    <t>Izmir</t>
  </si>
  <si>
    <t>TRIZT</t>
  </si>
  <si>
    <t>Izmit</t>
  </si>
  <si>
    <t>TRKBS</t>
  </si>
  <si>
    <t>Kabatas</t>
  </si>
  <si>
    <t>TRKRB</t>
  </si>
  <si>
    <t>Karabiga</t>
  </si>
  <si>
    <t>TRKBY</t>
  </si>
  <si>
    <t>Karacabey</t>
  </si>
  <si>
    <t>TRKKY</t>
  </si>
  <si>
    <t>TRKAR</t>
  </si>
  <si>
    <t>Kartal</t>
  </si>
  <si>
    <t>TRKPE</t>
  </si>
  <si>
    <t>Kartepe</t>
  </si>
  <si>
    <t>TRKAS</t>
  </si>
  <si>
    <t>Kas</t>
  </si>
  <si>
    <t>TRKFK</t>
  </si>
  <si>
    <t>Kefken</t>
  </si>
  <si>
    <t>TRKFZ</t>
  </si>
  <si>
    <t>TRKMX</t>
  </si>
  <si>
    <t>Kumport</t>
  </si>
  <si>
    <t>TRKUS</t>
  </si>
  <si>
    <t>Kusadasi</t>
  </si>
  <si>
    <t>TRKOC</t>
  </si>
  <si>
    <t>Kusukkuyu</t>
  </si>
  <si>
    <t>TRLMA</t>
  </si>
  <si>
    <t>Limas</t>
  </si>
  <si>
    <t>TRMAL</t>
  </si>
  <si>
    <t>Maltepe</t>
  </si>
  <si>
    <t>TRMAD</t>
  </si>
  <si>
    <t>Mardas</t>
  </si>
  <si>
    <t>TRMRA</t>
  </si>
  <si>
    <t>Marmara</t>
  </si>
  <si>
    <t>TRMRM</t>
  </si>
  <si>
    <t>Marmaris</t>
  </si>
  <si>
    <t>TRMPT</t>
  </si>
  <si>
    <t>Marport</t>
  </si>
  <si>
    <t>TRMER</t>
  </si>
  <si>
    <t>Mersin</t>
  </si>
  <si>
    <t>TRMFZ</t>
  </si>
  <si>
    <t>Mersin-Free Zone</t>
  </si>
  <si>
    <t>TRMIM</t>
  </si>
  <si>
    <t>Mimarsinan</t>
  </si>
  <si>
    <t>TRMUD</t>
  </si>
  <si>
    <t>Mudanya</t>
  </si>
  <si>
    <t>TRNEM</t>
  </si>
  <si>
    <t>Nemrut Bay</t>
  </si>
  <si>
    <t>TRM47</t>
  </si>
  <si>
    <t>Nusaybin</t>
  </si>
  <si>
    <t>TRODU</t>
  </si>
  <si>
    <t>Odunluk</t>
  </si>
  <si>
    <t>TRORD</t>
  </si>
  <si>
    <t>Ordu</t>
  </si>
  <si>
    <t>TR9AK</t>
  </si>
  <si>
    <t>TRPZR</t>
  </si>
  <si>
    <t>Pazar</t>
  </si>
  <si>
    <t>TRPEN</t>
  </si>
  <si>
    <t>Pendik</t>
  </si>
  <si>
    <t>TRPLP</t>
  </si>
  <si>
    <t>Poliport</t>
  </si>
  <si>
    <t>TRRIZ</t>
  </si>
  <si>
    <t>Rize</t>
  </si>
  <si>
    <t>TRRZY</t>
  </si>
  <si>
    <t>Rota-Izmit Bay</t>
  </si>
  <si>
    <t>TRSSX</t>
  </si>
  <si>
    <t>Samsun</t>
  </si>
  <si>
    <t>TRSRL</t>
  </si>
  <si>
    <t>Saraylar</t>
  </si>
  <si>
    <t>TRSRS</t>
  </si>
  <si>
    <t>Sariseki</t>
  </si>
  <si>
    <t>TRSER</t>
  </si>
  <si>
    <t>Serviburun</t>
  </si>
  <si>
    <t>TRSLE</t>
  </si>
  <si>
    <t>Sile</t>
  </si>
  <si>
    <t>TRSIC</t>
  </si>
  <si>
    <t>Sinop</t>
  </si>
  <si>
    <t>TRSUR</t>
  </si>
  <si>
    <t>Surmene</t>
  </si>
  <si>
    <t>TRSUT</t>
  </si>
  <si>
    <t>Sutluce</t>
  </si>
  <si>
    <t>TRTAS</t>
  </si>
  <si>
    <t>Tasucu</t>
  </si>
  <si>
    <t>TRTEK</t>
  </si>
  <si>
    <t>Tekirdag</t>
  </si>
  <si>
    <t>TRTIR</t>
  </si>
  <si>
    <t>Tirebolu</t>
  </si>
  <si>
    <t>TRTGT</t>
  </si>
  <si>
    <t>Toros Gubre Terminal, Gubre</t>
  </si>
  <si>
    <t>TRTZX</t>
  </si>
  <si>
    <t>Trabzon</t>
  </si>
  <si>
    <t>TRTUR</t>
  </si>
  <si>
    <t>Turan</t>
  </si>
  <si>
    <t>TRTUT</t>
  </si>
  <si>
    <t>Tutunciftlik</t>
  </si>
  <si>
    <t>TRTUZ</t>
  </si>
  <si>
    <t>Tuzla</t>
  </si>
  <si>
    <t>TRUNY</t>
  </si>
  <si>
    <t>TRURL</t>
  </si>
  <si>
    <t>Urla</t>
  </si>
  <si>
    <t>TRUSK</t>
  </si>
  <si>
    <t>TRVAK</t>
  </si>
  <si>
    <t>Vakfikebir</t>
  </si>
  <si>
    <t>TRYAL</t>
  </si>
  <si>
    <t>Yalova</t>
  </si>
  <si>
    <t>TRYAR</t>
  </si>
  <si>
    <t>Yarimca</t>
  </si>
  <si>
    <t>TRAUT</t>
  </si>
  <si>
    <t>TRYIK</t>
  </si>
  <si>
    <t>Yesilovacik</t>
  </si>
  <si>
    <t>TRYPO</t>
  </si>
  <si>
    <t>Yilport</t>
  </si>
  <si>
    <t>TRADY</t>
  </si>
  <si>
    <t>Yumurtalik</t>
  </si>
  <si>
    <t>TRZEY</t>
  </si>
  <si>
    <t>Zeytinburnu</t>
  </si>
  <si>
    <t>TRZON</t>
  </si>
  <si>
    <t>Zonguldak</t>
  </si>
  <si>
    <t>TTCRN</t>
  </si>
  <si>
    <t>Carenage</t>
  </si>
  <si>
    <t>TTCHA</t>
  </si>
  <si>
    <t>Chaguaramas</t>
  </si>
  <si>
    <t>TTCHV</t>
  </si>
  <si>
    <t>Charlotteville</t>
  </si>
  <si>
    <t>TTCLA</t>
  </si>
  <si>
    <t>Claxton Bay</t>
  </si>
  <si>
    <t>TTCVA</t>
  </si>
  <si>
    <t>Couva</t>
  </si>
  <si>
    <t>TTGUA</t>
  </si>
  <si>
    <t>Guayaguayare</t>
  </si>
  <si>
    <t>TTLAB</t>
  </si>
  <si>
    <t>La Brea (Brighton)</t>
  </si>
  <si>
    <t>TTPLY</t>
  </si>
  <si>
    <t>TTPTF</t>
  </si>
  <si>
    <t>Point Fortin</t>
  </si>
  <si>
    <t>TTPTG</t>
  </si>
  <si>
    <t>Point Galeota</t>
  </si>
  <si>
    <t>TTPTS</t>
  </si>
  <si>
    <t>Point Lisas</t>
  </si>
  <si>
    <t>TTPTP</t>
  </si>
  <si>
    <t>Pointe a Pierre</t>
  </si>
  <si>
    <t>TTPOS</t>
  </si>
  <si>
    <t>Port-of-Spain</t>
  </si>
  <si>
    <t>TTFPT</t>
  </si>
  <si>
    <t>TTSFE</t>
  </si>
  <si>
    <t>TTSCA</t>
  </si>
  <si>
    <t>Scarborough/Tobago</t>
  </si>
  <si>
    <t>TTTEM</t>
  </si>
  <si>
    <t>Tembladora</t>
  </si>
  <si>
    <t>TVFUN</t>
  </si>
  <si>
    <t>Funafuti</t>
  </si>
  <si>
    <t>TWAPG</t>
  </si>
  <si>
    <t>An Ping</t>
  </si>
  <si>
    <t>TWBAL</t>
  </si>
  <si>
    <t>TWHOP</t>
  </si>
  <si>
    <t>TWHTC</t>
  </si>
  <si>
    <t>Hsin-t'ien</t>
  </si>
  <si>
    <t>TWHUN</t>
  </si>
  <si>
    <t>Hualien</t>
  </si>
  <si>
    <t>TWHUK</t>
  </si>
  <si>
    <t>TWKHH</t>
  </si>
  <si>
    <t>Kaohsiung</t>
  </si>
  <si>
    <t>TWKEL</t>
  </si>
  <si>
    <t>Keelung (Chilung)</t>
  </si>
  <si>
    <t>TWLGM</t>
  </si>
  <si>
    <t>Lung-men</t>
  </si>
  <si>
    <t>TWMAL</t>
  </si>
  <si>
    <t>Mai-Liai</t>
  </si>
  <si>
    <t>TWMLI</t>
  </si>
  <si>
    <t>Mai-liao</t>
  </si>
  <si>
    <t>TWNAN</t>
  </si>
  <si>
    <t>Nantou</t>
  </si>
  <si>
    <t>TWSHL</t>
  </si>
  <si>
    <t>Sha-lun</t>
  </si>
  <si>
    <t>TWSUO</t>
  </si>
  <si>
    <t>Suao</t>
  </si>
  <si>
    <t>TWTXG</t>
  </si>
  <si>
    <t>Taichung</t>
  </si>
  <si>
    <t>TWTNN</t>
  </si>
  <si>
    <t>Tainan</t>
  </si>
  <si>
    <t>TWTPE</t>
  </si>
  <si>
    <t>Taipei</t>
  </si>
  <si>
    <t>TWTTT</t>
  </si>
  <si>
    <t>Taitung</t>
  </si>
  <si>
    <t>TWTYN</t>
  </si>
  <si>
    <t>Taoyuan</t>
  </si>
  <si>
    <t>TWWTU</t>
  </si>
  <si>
    <t>Wu-tu</t>
  </si>
  <si>
    <t>TWYGE</t>
  </si>
  <si>
    <t>Ying-Ge</t>
  </si>
  <si>
    <t>TWYLN</t>
  </si>
  <si>
    <t>Yunlin</t>
  </si>
  <si>
    <t>TZDAR</t>
  </si>
  <si>
    <t>Dar es Salaam</t>
  </si>
  <si>
    <t>TZIKW</t>
  </si>
  <si>
    <t>Ikwiriri</t>
  </si>
  <si>
    <t>TZKAG</t>
  </si>
  <si>
    <t>Kagera</t>
  </si>
  <si>
    <t>TZTKQ</t>
  </si>
  <si>
    <t>Kigoma</t>
  </si>
  <si>
    <t>TZKIK</t>
  </si>
  <si>
    <t>Kilwa Kivinje</t>
  </si>
  <si>
    <t>TZKIM</t>
  </si>
  <si>
    <t>Kilwa Masoko</t>
  </si>
  <si>
    <t>TZLDI</t>
  </si>
  <si>
    <t>TZMIC</t>
  </si>
  <si>
    <t>Michiuja</t>
  </si>
  <si>
    <t>TZMIK</t>
  </si>
  <si>
    <t>Mikindani</t>
  </si>
  <si>
    <t>TZMKO</t>
  </si>
  <si>
    <t>Mkokotoni, Zanzibar</t>
  </si>
  <si>
    <t>TZMOH</t>
  </si>
  <si>
    <t>Mohoro</t>
  </si>
  <si>
    <t>TZMTS</t>
  </si>
  <si>
    <t>Mtsora</t>
  </si>
  <si>
    <t>TZMYW</t>
  </si>
  <si>
    <t>Mtwara</t>
  </si>
  <si>
    <t>TZMWZ</t>
  </si>
  <si>
    <t>Mwanza</t>
  </si>
  <si>
    <t>TZPAN</t>
  </si>
  <si>
    <t>Pangani</t>
  </si>
  <si>
    <t>TZPMA</t>
  </si>
  <si>
    <t>TZRIJ</t>
  </si>
  <si>
    <t>Rijiju</t>
  </si>
  <si>
    <t>TZSAM</t>
  </si>
  <si>
    <t>Samanga</t>
  </si>
  <si>
    <t>TZTGT</t>
  </si>
  <si>
    <t>Tanga</t>
  </si>
  <si>
    <t>TZZNZ</t>
  </si>
  <si>
    <t>Zanzibar</t>
  </si>
  <si>
    <t>UABGD</t>
  </si>
  <si>
    <t>Belgorod-Dnestrovskiy</t>
  </si>
  <si>
    <t>UAERD</t>
  </si>
  <si>
    <t>Berdyansk</t>
  </si>
  <si>
    <t>UAILK</t>
  </si>
  <si>
    <t>Illichivs'k</t>
  </si>
  <si>
    <t>UAIZM</t>
  </si>
  <si>
    <t>Izmail</t>
  </si>
  <si>
    <t>UAKHE</t>
  </si>
  <si>
    <t>Kherson</t>
  </si>
  <si>
    <t>UAKIA</t>
  </si>
  <si>
    <t>Kiliya</t>
  </si>
  <si>
    <t>UAMPW</t>
  </si>
  <si>
    <t>Mariupol (ex Zhdanov)</t>
  </si>
  <si>
    <t>UANLV</t>
  </si>
  <si>
    <t>Mykolayiv</t>
  </si>
  <si>
    <t>UAODS</t>
  </si>
  <si>
    <t>UAOCT</t>
  </si>
  <si>
    <t>Oktyabrsk</t>
  </si>
  <si>
    <t>UARNI</t>
  </si>
  <si>
    <t>Reni</t>
  </si>
  <si>
    <t>UAXXX</t>
  </si>
  <si>
    <t>UASKD</t>
  </si>
  <si>
    <t>Skadovsk</t>
  </si>
  <si>
    <t>UADSK</t>
  </si>
  <si>
    <t>Svetlovodsk</t>
  </si>
  <si>
    <t>UAUDY</t>
  </si>
  <si>
    <t>Ust Dunaysk</t>
  </si>
  <si>
    <t>UAVYL</t>
  </si>
  <si>
    <t>Vylkove</t>
  </si>
  <si>
    <t>UAYUZ</t>
  </si>
  <si>
    <t>Yuzhnyy</t>
  </si>
  <si>
    <t>UAZPR</t>
  </si>
  <si>
    <t>Zaporizhia</t>
  </si>
  <si>
    <t>UGJIN</t>
  </si>
  <si>
    <t>Jinja</t>
  </si>
  <si>
    <t>UGYMB</t>
  </si>
  <si>
    <t>Yumbe</t>
  </si>
  <si>
    <t>UMJON</t>
  </si>
  <si>
    <t>Johnston Atoll</t>
  </si>
  <si>
    <t>UMMDY</t>
  </si>
  <si>
    <t>Midway Islands</t>
  </si>
  <si>
    <t>UMAWK</t>
  </si>
  <si>
    <t>Wake Island</t>
  </si>
  <si>
    <t>USAQW</t>
  </si>
  <si>
    <t>Abbottstown</t>
  </si>
  <si>
    <t>USAEK</t>
  </si>
  <si>
    <t>USAB3</t>
  </si>
  <si>
    <t>USA8C</t>
  </si>
  <si>
    <t>Accord</t>
  </si>
  <si>
    <t>USDST</t>
  </si>
  <si>
    <t>Adamston</t>
  </si>
  <si>
    <t>USIAB</t>
  </si>
  <si>
    <t>Addison</t>
  </si>
  <si>
    <t>USDIA</t>
  </si>
  <si>
    <t>Adrian</t>
  </si>
  <si>
    <t>USAFK</t>
  </si>
  <si>
    <t>Afognak</t>
  </si>
  <si>
    <t>USAF5</t>
  </si>
  <si>
    <t>Afton</t>
  </si>
  <si>
    <t>USAA2</t>
  </si>
  <si>
    <t>Alabama Pt.</t>
  </si>
  <si>
    <t>USAHU</t>
  </si>
  <si>
    <t>Alachua</t>
  </si>
  <si>
    <t>USNGZ</t>
  </si>
  <si>
    <t>Alameda</t>
  </si>
  <si>
    <t>USYAN</t>
  </si>
  <si>
    <t>Alanson</t>
  </si>
  <si>
    <t>USALB</t>
  </si>
  <si>
    <t>USAL7</t>
  </si>
  <si>
    <t>Aldie</t>
  </si>
  <si>
    <t>USAXR</t>
  </si>
  <si>
    <t>Alexandria</t>
  </si>
  <si>
    <t>USAGQ</t>
  </si>
  <si>
    <t>Algonquin</t>
  </si>
  <si>
    <t>USEDL</t>
  </si>
  <si>
    <t>Allendale</t>
  </si>
  <si>
    <t>USATX</t>
  </si>
  <si>
    <t>Allenstown</t>
  </si>
  <si>
    <t>USAL3</t>
  </si>
  <si>
    <t>Alliance</t>
  </si>
  <si>
    <t>USXAM</t>
  </si>
  <si>
    <t>Alma</t>
  </si>
  <si>
    <t>USAPY</t>
  </si>
  <si>
    <t>Alpine</t>
  </si>
  <si>
    <t>USAFA</t>
  </si>
  <si>
    <t>Alstead</t>
  </si>
  <si>
    <t>USTAJ</t>
  </si>
  <si>
    <t>Alta Loma</t>
  </si>
  <si>
    <t>USXAK</t>
  </si>
  <si>
    <t>Alva</t>
  </si>
  <si>
    <t>USZAD</t>
  </si>
  <si>
    <t>USAMF</t>
  </si>
  <si>
    <t>Amagansett</t>
  </si>
  <si>
    <t>USQHH</t>
  </si>
  <si>
    <t>Ambrose Channel Light</t>
  </si>
  <si>
    <t>USALC</t>
  </si>
  <si>
    <t>Amelia City</t>
  </si>
  <si>
    <t>USNKO</t>
  </si>
  <si>
    <t>Anadarko</t>
  </si>
  <si>
    <t>USANC</t>
  </si>
  <si>
    <t>USACQ</t>
  </si>
  <si>
    <t>Ancram</t>
  </si>
  <si>
    <t>USAXZ</t>
  </si>
  <si>
    <t>Andover</t>
  </si>
  <si>
    <t>USARB</t>
  </si>
  <si>
    <t>Ann Arbor</t>
  </si>
  <si>
    <t>USANP</t>
  </si>
  <si>
    <t>Annapolis</t>
  </si>
  <si>
    <t>USNQH</t>
  </si>
  <si>
    <t>Annisquam Harbour</t>
  </si>
  <si>
    <t>USVFR</t>
  </si>
  <si>
    <t>Ansonville</t>
  </si>
  <si>
    <t>USAAF</t>
  </si>
  <si>
    <t>Apalachicola</t>
  </si>
  <si>
    <t>USATW</t>
  </si>
  <si>
    <t>Appleton</t>
  </si>
  <si>
    <t>USYAS</t>
  </si>
  <si>
    <t>Aransas Pass</t>
  </si>
  <si>
    <t>USJYR</t>
  </si>
  <si>
    <t>Argyle</t>
  </si>
  <si>
    <t>USIOA</t>
  </si>
  <si>
    <t>Arion</t>
  </si>
  <si>
    <t>USAEZ</t>
  </si>
  <si>
    <t>Armstrong</t>
  </si>
  <si>
    <t>USASX</t>
  </si>
  <si>
    <t>Ashland</t>
  </si>
  <si>
    <t>USASF</t>
  </si>
  <si>
    <t>Ashtabula</t>
  </si>
  <si>
    <t>USA22</t>
  </si>
  <si>
    <t>Ashville</t>
  </si>
  <si>
    <t>USOAX</t>
  </si>
  <si>
    <t>Asotin</t>
  </si>
  <si>
    <t>USAST</t>
  </si>
  <si>
    <t>Astoria</t>
  </si>
  <si>
    <t>USTHN</t>
  </si>
  <si>
    <t>Athena</t>
  </si>
  <si>
    <t>USTBH</t>
  </si>
  <si>
    <t>Atlantic Beach</t>
  </si>
  <si>
    <t>USAHZ</t>
  </si>
  <si>
    <t>Atlantic Highlands</t>
  </si>
  <si>
    <t>USATR</t>
  </si>
  <si>
    <t>Atreco</t>
  </si>
  <si>
    <t>USVR9</t>
  </si>
  <si>
    <t>USVAU</t>
  </si>
  <si>
    <t>Augusta Springs</t>
  </si>
  <si>
    <t>USYAO</t>
  </si>
  <si>
    <t>Aurora</t>
  </si>
  <si>
    <t>USAGV</t>
  </si>
  <si>
    <t>Autaugaville</t>
  </si>
  <si>
    <t>USAOU</t>
  </si>
  <si>
    <t>Avalon</t>
  </si>
  <si>
    <t>USAV9</t>
  </si>
  <si>
    <t>Averill Park</t>
  </si>
  <si>
    <t>USANW</t>
  </si>
  <si>
    <t>Avon</t>
  </si>
  <si>
    <t>USAVD</t>
  </si>
  <si>
    <t>USAZL</t>
  </si>
  <si>
    <t>Azle</t>
  </si>
  <si>
    <t>USGAJ</t>
  </si>
  <si>
    <t>Bagley</t>
  </si>
  <si>
    <t>USFL8</t>
  </si>
  <si>
    <t>Bal Harbour</t>
  </si>
  <si>
    <t>USLDK</t>
  </si>
  <si>
    <t>Baldwin</t>
  </si>
  <si>
    <t>US2BY</t>
  </si>
  <si>
    <t>Ballston Lake</t>
  </si>
  <si>
    <t>USBA7</t>
  </si>
  <si>
    <t>Balmorhea</t>
  </si>
  <si>
    <t>USBAL</t>
  </si>
  <si>
    <t>USBGR</t>
  </si>
  <si>
    <t>USBHB</t>
  </si>
  <si>
    <t>Bar Harbor</t>
  </si>
  <si>
    <t>USRGA</t>
  </si>
  <si>
    <t>Baraga</t>
  </si>
  <si>
    <t>USRUX</t>
  </si>
  <si>
    <t>Barboursville</t>
  </si>
  <si>
    <t>USBG7</t>
  </si>
  <si>
    <t>Barnegat</t>
  </si>
  <si>
    <t>USYTJ</t>
  </si>
  <si>
    <t>Bartow</t>
  </si>
  <si>
    <t>USZBP</t>
  </si>
  <si>
    <t>Bastrop</t>
  </si>
  <si>
    <t>USBTH</t>
  </si>
  <si>
    <t>USAFH</t>
  </si>
  <si>
    <t>USBTR</t>
  </si>
  <si>
    <t>Baton Rouge</t>
  </si>
  <si>
    <t>USAFV</t>
  </si>
  <si>
    <t>Battenville</t>
  </si>
  <si>
    <t>USBN9</t>
  </si>
  <si>
    <t>Battle Ground</t>
  </si>
  <si>
    <t>USBDE</t>
  </si>
  <si>
    <t>Baudette</t>
  </si>
  <si>
    <t>USYBZ</t>
  </si>
  <si>
    <t>Bay City</t>
  </si>
  <si>
    <t>USBAY</t>
  </si>
  <si>
    <t>USHPY</t>
  </si>
  <si>
    <t>Baytown</t>
  </si>
  <si>
    <t>USBFO</t>
  </si>
  <si>
    <t>USBPT</t>
  </si>
  <si>
    <t>Beaumont</t>
  </si>
  <si>
    <t>USBD3</t>
  </si>
  <si>
    <t>Beaver Dam</t>
  </si>
  <si>
    <t>USBI2</t>
  </si>
  <si>
    <t>Beaver Island</t>
  </si>
  <si>
    <t>USBKO</t>
  </si>
  <si>
    <t>Becker</t>
  </si>
  <si>
    <t>USZGG</t>
  </si>
  <si>
    <t>Beggs</t>
  </si>
  <si>
    <t>USYYX</t>
  </si>
  <si>
    <t>Bel Ridge</t>
  </si>
  <si>
    <t>USYBD</t>
  </si>
  <si>
    <t>Belden</t>
  </si>
  <si>
    <t>USBA3</t>
  </si>
  <si>
    <t>Belfair</t>
  </si>
  <si>
    <t>USBEL</t>
  </si>
  <si>
    <t>USBPV</t>
  </si>
  <si>
    <t>Belhaven</t>
  </si>
  <si>
    <t>USB44</t>
  </si>
  <si>
    <t>Bellbrook</t>
  </si>
  <si>
    <t>USBE8</t>
  </si>
  <si>
    <t>Belle Harbor</t>
  </si>
  <si>
    <t>USBLI</t>
  </si>
  <si>
    <t>Bellingham</t>
  </si>
  <si>
    <t>USEWO</t>
  </si>
  <si>
    <t>Bellwood</t>
  </si>
  <si>
    <t>USBNC</t>
  </si>
  <si>
    <t>Benicia</t>
  </si>
  <si>
    <t>USIJM</t>
  </si>
  <si>
    <t>Benton City</t>
  </si>
  <si>
    <t>USJBK</t>
  </si>
  <si>
    <t>Berkeley</t>
  </si>
  <si>
    <t>USBCI</t>
  </si>
  <si>
    <t>USEIE</t>
  </si>
  <si>
    <t>Bernie</t>
  </si>
  <si>
    <t>US3BR</t>
  </si>
  <si>
    <t>Berry Creek</t>
  </si>
  <si>
    <t>USBVV</t>
  </si>
  <si>
    <t>Berryville</t>
  </si>
  <si>
    <t>USRWK</t>
  </si>
  <si>
    <t>Berwick</t>
  </si>
  <si>
    <t>USBBA</t>
  </si>
  <si>
    <t>Bethany Beach</t>
  </si>
  <si>
    <t>USBZJ</t>
  </si>
  <si>
    <t>Bethel</t>
  </si>
  <si>
    <t>USEHL</t>
  </si>
  <si>
    <t>Bethlehem</t>
  </si>
  <si>
    <t>USBEX</t>
  </si>
  <si>
    <t>USBCL</t>
  </si>
  <si>
    <t>Beulaville</t>
  </si>
  <si>
    <t>USBSM</t>
  </si>
  <si>
    <t>Big Sandy</t>
  </si>
  <si>
    <t>USIGS</t>
  </si>
  <si>
    <t>Big Stone</t>
  </si>
  <si>
    <t>USGQJ</t>
  </si>
  <si>
    <t>Big Stone City</t>
  </si>
  <si>
    <t>USBWH</t>
  </si>
  <si>
    <t>Bigelow</t>
  </si>
  <si>
    <t>USAFM</t>
  </si>
  <si>
    <t>Bingham</t>
  </si>
  <si>
    <t>USIWO</t>
  </si>
  <si>
    <t>Birchwood</t>
  </si>
  <si>
    <t>USXY2</t>
  </si>
  <si>
    <t>Birmingham</t>
  </si>
  <si>
    <t>USWO4</t>
  </si>
  <si>
    <t>Birnamwood</t>
  </si>
  <si>
    <t>USBDS</t>
  </si>
  <si>
    <t>Biscoe</t>
  </si>
  <si>
    <t>USHWJ</t>
  </si>
  <si>
    <t>Black Hawk</t>
  </si>
  <si>
    <t>USBZZ</t>
  </si>
  <si>
    <t>Blacklick</t>
  </si>
  <si>
    <t>USBV6</t>
  </si>
  <si>
    <t>Blairesville</t>
  </si>
  <si>
    <t>USLXW</t>
  </si>
  <si>
    <t>Blawnox</t>
  </si>
  <si>
    <t>USOOM</t>
  </si>
  <si>
    <t>Bloomer</t>
  </si>
  <si>
    <t>USBI8</t>
  </si>
  <si>
    <t>Blount Island</t>
  </si>
  <si>
    <t>USLUF</t>
  </si>
  <si>
    <t>Blue Earth</t>
  </si>
  <si>
    <t>USBCG</t>
  </si>
  <si>
    <t>USDHB</t>
  </si>
  <si>
    <t>Bodega Bay</t>
  </si>
  <si>
    <t>USZZB</t>
  </si>
  <si>
    <t>Bogart</t>
  </si>
  <si>
    <t>USB27</t>
  </si>
  <si>
    <t>Bolinas</t>
  </si>
  <si>
    <t>USZBI</t>
  </si>
  <si>
    <t>Bolton Landing</t>
  </si>
  <si>
    <t>USYBG</t>
  </si>
  <si>
    <t>Bongards</t>
  </si>
  <si>
    <t>USYBY</t>
  </si>
  <si>
    <t>Bonifay</t>
  </si>
  <si>
    <t>USBF6</t>
  </si>
  <si>
    <t>Bonners Ferry</t>
  </si>
  <si>
    <t>USOYH</t>
  </si>
  <si>
    <t>Boothbay Harbor</t>
  </si>
  <si>
    <t>USBOS</t>
  </si>
  <si>
    <t>USYTH</t>
  </si>
  <si>
    <t>Bothell</t>
  </si>
  <si>
    <t>USUSA</t>
  </si>
  <si>
    <t>Bourbonnais</t>
  </si>
  <si>
    <t>USTUB</t>
  </si>
  <si>
    <t>Boutte</t>
  </si>
  <si>
    <t>USYBN</t>
  </si>
  <si>
    <t>Boylston</t>
  </si>
  <si>
    <t>USBYZ</t>
  </si>
  <si>
    <t>Boyne City</t>
  </si>
  <si>
    <t>USBRA</t>
  </si>
  <si>
    <t>Bradwood</t>
  </si>
  <si>
    <t>USBHF</t>
  </si>
  <si>
    <t>Brandon</t>
  </si>
  <si>
    <t>USBNP</t>
  </si>
  <si>
    <t>Brayton Point</t>
  </si>
  <si>
    <t>USZWB</t>
  </si>
  <si>
    <t>Breezewood</t>
  </si>
  <si>
    <t>USPWT</t>
  </si>
  <si>
    <t>Bremerton</t>
  </si>
  <si>
    <t>USBM4</t>
  </si>
  <si>
    <t>Brevort</t>
  </si>
  <si>
    <t>USBCW</t>
  </si>
  <si>
    <t>Brewster</t>
  </si>
  <si>
    <t>USBFJ</t>
  </si>
  <si>
    <t>Briarcliff Manor</t>
  </si>
  <si>
    <t>USBHC</t>
  </si>
  <si>
    <t>Bridgehampton</t>
  </si>
  <si>
    <t>USBDR</t>
  </si>
  <si>
    <t>Bridgeport</t>
  </si>
  <si>
    <t>USBDB</t>
  </si>
  <si>
    <t>USB7S</t>
  </si>
  <si>
    <t>USTJB</t>
  </si>
  <si>
    <t>Brilliant</t>
  </si>
  <si>
    <t>USB2N</t>
  </si>
  <si>
    <t>Brinnon</t>
  </si>
  <si>
    <t>USBB8</t>
  </si>
  <si>
    <t>Broad Brook</t>
  </si>
  <si>
    <t>USBM3</t>
  </si>
  <si>
    <t>Bromley</t>
  </si>
  <si>
    <t>USTSZ</t>
  </si>
  <si>
    <t>Bronston</t>
  </si>
  <si>
    <t>USBOC</t>
  </si>
  <si>
    <t>USBOY</t>
  </si>
  <si>
    <t>Brooklyn/New York</t>
  </si>
  <si>
    <t>USBKQ</t>
  </si>
  <si>
    <t>Brooksville</t>
  </si>
  <si>
    <t>USQXY</t>
  </si>
  <si>
    <t>Browns Mills</t>
  </si>
  <si>
    <t>USBWB</t>
  </si>
  <si>
    <t>Brownsburg</t>
  </si>
  <si>
    <t>USBV8</t>
  </si>
  <si>
    <t>Brownsville</t>
  </si>
  <si>
    <t>USBRO</t>
  </si>
  <si>
    <t>USZVB</t>
  </si>
  <si>
    <t>USBHI</t>
  </si>
  <si>
    <t>Bruce</t>
  </si>
  <si>
    <t>USBCM</t>
  </si>
  <si>
    <t>Bruceton Mills</t>
  </si>
  <si>
    <t>USSSI</t>
  </si>
  <si>
    <t>Brunswick</t>
  </si>
  <si>
    <t>USBCH</t>
  </si>
  <si>
    <t>Brushvale</t>
  </si>
  <si>
    <t>USBFY</t>
  </si>
  <si>
    <t>Buckeye Lake</t>
  </si>
  <si>
    <t>USBUP</t>
  </si>
  <si>
    <t>Bucksport</t>
  </si>
  <si>
    <t>USB2V</t>
  </si>
  <si>
    <t>Buena Vista</t>
  </si>
  <si>
    <t>Buffalo</t>
  </si>
  <si>
    <t>USBUF</t>
  </si>
  <si>
    <t>USFFO</t>
  </si>
  <si>
    <t>USZBA</t>
  </si>
  <si>
    <t>Bunker Hill</t>
  </si>
  <si>
    <t>USULO</t>
  </si>
  <si>
    <t>Bunola</t>
  </si>
  <si>
    <t>USBHJ</t>
  </si>
  <si>
    <t>USBTV</t>
  </si>
  <si>
    <t>USQRI</t>
  </si>
  <si>
    <t>Burlison</t>
  </si>
  <si>
    <t>USBNH</t>
  </si>
  <si>
    <t>Burnham</t>
  </si>
  <si>
    <t>USBNI</t>
  </si>
  <si>
    <t>Burnsville</t>
  </si>
  <si>
    <t>USBS9</t>
  </si>
  <si>
    <t>Bushkill</t>
  </si>
  <si>
    <t>USBUI</t>
  </si>
  <si>
    <t>Butler</t>
  </si>
  <si>
    <t>USBUJ</t>
  </si>
  <si>
    <t>USBU2</t>
  </si>
  <si>
    <t>Butte Meadows</t>
  </si>
  <si>
    <t>USXYB</t>
  </si>
  <si>
    <t>Byron</t>
  </si>
  <si>
    <t>USYCZ</t>
  </si>
  <si>
    <t>USLBQ</t>
  </si>
  <si>
    <t>Calabash</t>
  </si>
  <si>
    <t>USMI3</t>
  </si>
  <si>
    <t>Calcite</t>
  </si>
  <si>
    <t>USCDZ</t>
  </si>
  <si>
    <t>Caledonia</t>
  </si>
  <si>
    <t>USCCT</t>
  </si>
  <si>
    <t>Calvert City</t>
  </si>
  <si>
    <t>USAEO</t>
  </si>
  <si>
    <t>Calverton</t>
  </si>
  <si>
    <t>USCGE</t>
  </si>
  <si>
    <t>USCBD</t>
  </si>
  <si>
    <t>USAMG</t>
  </si>
  <si>
    <t>USCDD</t>
  </si>
  <si>
    <t>Camden</t>
  </si>
  <si>
    <t>USXAE</t>
  </si>
  <si>
    <t>USAQQ</t>
  </si>
  <si>
    <t>USCDE</t>
  </si>
  <si>
    <t>USCMU</t>
  </si>
  <si>
    <t>Cameron</t>
  </si>
  <si>
    <t>USCUM</t>
  </si>
  <si>
    <t>Canaan</t>
  </si>
  <si>
    <t>USCDF</t>
  </si>
  <si>
    <t>Candler</t>
  </si>
  <si>
    <t>USCUQ</t>
  </si>
  <si>
    <t>Caney</t>
  </si>
  <si>
    <t>USCUU</t>
  </si>
  <si>
    <t>Cannelton</t>
  </si>
  <si>
    <t>USPB7</t>
  </si>
  <si>
    <t>Cape Blanco</t>
  </si>
  <si>
    <t>USTPC</t>
  </si>
  <si>
    <t>Cape Carteret</t>
  </si>
  <si>
    <t>USCCJ</t>
  </si>
  <si>
    <t>Cape Charles</t>
  </si>
  <si>
    <t>USCC2</t>
  </si>
  <si>
    <t>Cape Coral</t>
  </si>
  <si>
    <t>USXPY</t>
  </si>
  <si>
    <t>Cape Henry</t>
  </si>
  <si>
    <t>USCGF</t>
  </si>
  <si>
    <t>Cape May</t>
  </si>
  <si>
    <t>USCVI</t>
  </si>
  <si>
    <t>Cape Vincent</t>
  </si>
  <si>
    <t>USCAP</t>
  </si>
  <si>
    <t>Capitan</t>
  </si>
  <si>
    <t>USCGP</t>
  </si>
  <si>
    <t>Capitola</t>
  </si>
  <si>
    <t>US4CP</t>
  </si>
  <si>
    <t>Captiva</t>
  </si>
  <si>
    <t>USCUZ</t>
  </si>
  <si>
    <t>USCSJ</t>
  </si>
  <si>
    <t>USCNM</t>
  </si>
  <si>
    <t>Carlsbad</t>
  </si>
  <si>
    <t>USCJO</t>
  </si>
  <si>
    <t>Caro</t>
  </si>
  <si>
    <t>USCPT</t>
  </si>
  <si>
    <t>Carpinteria</t>
  </si>
  <si>
    <t>USCRB</t>
  </si>
  <si>
    <t>Carrabelle</t>
  </si>
  <si>
    <t>USZRR</t>
  </si>
  <si>
    <t>Carrboro</t>
  </si>
  <si>
    <t>USCM9</t>
  </si>
  <si>
    <t>Carrier Mills</t>
  </si>
  <si>
    <t>USCWU</t>
  </si>
  <si>
    <t>Carroll</t>
  </si>
  <si>
    <t>USCSF</t>
  </si>
  <si>
    <t>USQCH</t>
  </si>
  <si>
    <t>Carthage</t>
  </si>
  <si>
    <t>USCGX</t>
  </si>
  <si>
    <t>USYCE</t>
  </si>
  <si>
    <t>Carver</t>
  </si>
  <si>
    <t>USCIB</t>
  </si>
  <si>
    <t>Casselberry</t>
  </si>
  <si>
    <t>USRWX</t>
  </si>
  <si>
    <t>Casselton</t>
  </si>
  <si>
    <t>USCZI</t>
  </si>
  <si>
    <t>Cassopolis</t>
  </si>
  <si>
    <t>USXSS</t>
  </si>
  <si>
    <t>Cassville</t>
  </si>
  <si>
    <t>USOMW</t>
  </si>
  <si>
    <t>Castile</t>
  </si>
  <si>
    <t>USC4H</t>
  </si>
  <si>
    <t>Castle Hills</t>
  </si>
  <si>
    <t>USXSD</t>
  </si>
  <si>
    <t>Castle Island</t>
  </si>
  <si>
    <t>USCKI</t>
  </si>
  <si>
    <t>USUMO</t>
  </si>
  <si>
    <t>Cataumet</t>
  </si>
  <si>
    <t>USYCD</t>
  </si>
  <si>
    <t>Cathedral City</t>
  </si>
  <si>
    <t>USQAC</t>
  </si>
  <si>
    <t>Cato</t>
  </si>
  <si>
    <t>USCCS</t>
  </si>
  <si>
    <t>Cave City</t>
  </si>
  <si>
    <t>USYU5</t>
  </si>
  <si>
    <t>Cayucos</t>
  </si>
  <si>
    <t>USZCZ</t>
  </si>
  <si>
    <t>Cazenovia</t>
  </si>
  <si>
    <t>USC3B</t>
  </si>
  <si>
    <t>Cedar Bluffs</t>
  </si>
  <si>
    <t>USYCG</t>
  </si>
  <si>
    <t>Cedar Grove</t>
  </si>
  <si>
    <t>USXZA</t>
  </si>
  <si>
    <t>USCDU</t>
  </si>
  <si>
    <t>Cedar Lake</t>
  </si>
  <si>
    <t>USDIV</t>
  </si>
  <si>
    <t>Cedar River</t>
  </si>
  <si>
    <t>USZRH</t>
  </si>
  <si>
    <t>Center Hill</t>
  </si>
  <si>
    <t>USCWQ</t>
  </si>
  <si>
    <t>Center Valley</t>
  </si>
  <si>
    <t>USCBS</t>
  </si>
  <si>
    <t>Centerburg</t>
  </si>
  <si>
    <t>USL99</t>
  </si>
  <si>
    <t>Centerville</t>
  </si>
  <si>
    <t>USCWF</t>
  </si>
  <si>
    <t>USETI</t>
  </si>
  <si>
    <t>USYCP</t>
  </si>
  <si>
    <t>Central Point</t>
  </si>
  <si>
    <t>USZCT</t>
  </si>
  <si>
    <t>Centralia</t>
  </si>
  <si>
    <t>USVVZ</t>
  </si>
  <si>
    <t>Centre Hall</t>
  </si>
  <si>
    <t>USW6T</t>
  </si>
  <si>
    <t>Ceredo</t>
  </si>
  <si>
    <t>USCGJ</t>
  </si>
  <si>
    <t>Cerro Gordo</t>
  </si>
  <si>
    <t>USCLQ</t>
  </si>
  <si>
    <t>Chalmette</t>
  </si>
  <si>
    <t>USNMH</t>
  </si>
  <si>
    <t>Champlin</t>
  </si>
  <si>
    <t>US9CP</t>
  </si>
  <si>
    <t>Chapman</t>
  </si>
  <si>
    <t>USP3N</t>
  </si>
  <si>
    <t>Chappaqua</t>
  </si>
  <si>
    <t>USZOI</t>
  </si>
  <si>
    <t>USCHS</t>
  </si>
  <si>
    <t>USCRW</t>
  </si>
  <si>
    <t>USZGT</t>
  </si>
  <si>
    <t>Charleston Heights</t>
  </si>
  <si>
    <t>USCA3</t>
  </si>
  <si>
    <t>USTS4</t>
  </si>
  <si>
    <t>Chatsworth</t>
  </si>
  <si>
    <t>USQCQ</t>
  </si>
  <si>
    <t>Chautauqua</t>
  </si>
  <si>
    <t>USYSC</t>
  </si>
  <si>
    <t>USDGE</t>
  </si>
  <si>
    <t>Chenango Bridge</t>
  </si>
  <si>
    <t>USCKG</t>
  </si>
  <si>
    <t>Cherokee</t>
  </si>
  <si>
    <t>USCFF</t>
  </si>
  <si>
    <t>Cherryfield</t>
  </si>
  <si>
    <t>USUFG</t>
  </si>
  <si>
    <t>Chesapeake</t>
  </si>
  <si>
    <t>USCC8</t>
  </si>
  <si>
    <t>Chesapeake City</t>
  </si>
  <si>
    <t>USKQC</t>
  </si>
  <si>
    <t>Cheshire</t>
  </si>
  <si>
    <t>USCHT</t>
  </si>
  <si>
    <t>USCR5</t>
  </si>
  <si>
    <t>USCFG</t>
  </si>
  <si>
    <t>Chesterfield</t>
  </si>
  <si>
    <t>USXTK</t>
  </si>
  <si>
    <t>Chetek</t>
  </si>
  <si>
    <t>USQCC</t>
  </si>
  <si>
    <t>Chevy Chase</t>
  </si>
  <si>
    <t>USZYN</t>
  </si>
  <si>
    <t>Cheyenne Wells</t>
  </si>
  <si>
    <t>USCHI</t>
  </si>
  <si>
    <t>Chicago</t>
  </si>
  <si>
    <t>USCGW</t>
  </si>
  <si>
    <t>Chickasaw</t>
  </si>
  <si>
    <t>USZCG</t>
  </si>
  <si>
    <t>Childersburg</t>
  </si>
  <si>
    <t>USCI6</t>
  </si>
  <si>
    <t>Chimayo</t>
  </si>
  <si>
    <t>USCJC</t>
  </si>
  <si>
    <t>Chinook</t>
  </si>
  <si>
    <t>USZCB</t>
  </si>
  <si>
    <t>Cibolo</t>
  </si>
  <si>
    <t>USCVG</t>
  </si>
  <si>
    <t>Cincinnati</t>
  </si>
  <si>
    <t>USZLP</t>
  </si>
  <si>
    <t>Circle Pines</t>
  </si>
  <si>
    <t>USIS3</t>
  </si>
  <si>
    <t>City Island</t>
  </si>
  <si>
    <t>USXMY</t>
  </si>
  <si>
    <t>Clallam Bay</t>
  </si>
  <si>
    <t>USZCY</t>
  </si>
  <si>
    <t>Clancy</t>
  </si>
  <si>
    <t>USZCC</t>
  </si>
  <si>
    <t>Clara City</t>
  </si>
  <si>
    <t>USQAI</t>
  </si>
  <si>
    <t>USCO3</t>
  </si>
  <si>
    <t>USRNN</t>
  </si>
  <si>
    <t>USZDC</t>
  </si>
  <si>
    <t>Clarendon Heights</t>
  </si>
  <si>
    <t>USCWW</t>
  </si>
  <si>
    <t>Clarkesville</t>
  </si>
  <si>
    <t>USCG4</t>
  </si>
  <si>
    <t>Clarksburg</t>
  </si>
  <si>
    <t>USYCK</t>
  </si>
  <si>
    <t>Clatskanie</t>
  </si>
  <si>
    <t>USVXJ</t>
  </si>
  <si>
    <t>Claves</t>
  </si>
  <si>
    <t>USZCS</t>
  </si>
  <si>
    <t>Clawson</t>
  </si>
  <si>
    <t>USCLA</t>
  </si>
  <si>
    <t>Claymont</t>
  </si>
  <si>
    <t>USQCB</t>
  </si>
  <si>
    <t>Claysburg</t>
  </si>
  <si>
    <t>USCN3</t>
  </si>
  <si>
    <t>Clayton</t>
  </si>
  <si>
    <t>USCLY</t>
  </si>
  <si>
    <t>USRXO</t>
  </si>
  <si>
    <t>Clearlake Oaks</t>
  </si>
  <si>
    <t>US2PA</t>
  </si>
  <si>
    <t>Clearville</t>
  </si>
  <si>
    <t>USEWG</t>
  </si>
  <si>
    <t>USIUH</t>
  </si>
  <si>
    <t>Clendenin</t>
  </si>
  <si>
    <t>USERN</t>
  </si>
  <si>
    <t>Clermont</t>
  </si>
  <si>
    <t>USCWX</t>
  </si>
  <si>
    <t>USCLE</t>
  </si>
  <si>
    <t>US2TO</t>
  </si>
  <si>
    <t>Clifford Township</t>
  </si>
  <si>
    <t>USIFT</t>
  </si>
  <si>
    <t>Clifton</t>
  </si>
  <si>
    <t>USJMX</t>
  </si>
  <si>
    <t>Climax</t>
  </si>
  <si>
    <t>USZQC</t>
  </si>
  <si>
    <t>Clinchfield</t>
  </si>
  <si>
    <t>USC4N</t>
  </si>
  <si>
    <t>Clinton</t>
  </si>
  <si>
    <t>USCBT</t>
  </si>
  <si>
    <t>USCWZ</t>
  </si>
  <si>
    <t>USCXV</t>
  </si>
  <si>
    <t>Clover</t>
  </si>
  <si>
    <t>USXVR</t>
  </si>
  <si>
    <t>USCYI</t>
  </si>
  <si>
    <t>Cloverdale</t>
  </si>
  <si>
    <t>USCU2</t>
  </si>
  <si>
    <t>Clute</t>
  </si>
  <si>
    <t>USQCN</t>
  </si>
  <si>
    <t>Coal Center</t>
  </si>
  <si>
    <t>USZCV</t>
  </si>
  <si>
    <t>Coal Valley</t>
  </si>
  <si>
    <t>USZQZ</t>
  </si>
  <si>
    <t>Coalfield</t>
  </si>
  <si>
    <t>USCK2</t>
  </si>
  <si>
    <t>Cobbs Creek</t>
  </si>
  <si>
    <t>USC55</t>
  </si>
  <si>
    <t>Cochise</t>
  </si>
  <si>
    <t>USCOJ</t>
  </si>
  <si>
    <t>Cochranton</t>
  </si>
  <si>
    <t>USCK9</t>
  </si>
  <si>
    <t>Cockrell Hill</t>
  </si>
  <si>
    <t>USNVV</t>
  </si>
  <si>
    <t>Coconut Grove</t>
  </si>
  <si>
    <t>USYWW</t>
  </si>
  <si>
    <t>Cokeville</t>
  </si>
  <si>
    <t>USHQ2</t>
  </si>
  <si>
    <t>Cold Spring Harbor</t>
  </si>
  <si>
    <t>USQIM</t>
  </si>
  <si>
    <t>Coldwater</t>
  </si>
  <si>
    <t>USCU6</t>
  </si>
  <si>
    <t>Colesburg</t>
  </si>
  <si>
    <t>USOFX</t>
  </si>
  <si>
    <t>Colfax</t>
  </si>
  <si>
    <t>USL55</t>
  </si>
  <si>
    <t>Collegeville</t>
  </si>
  <si>
    <t>USYNJ</t>
  </si>
  <si>
    <t>Columbia</t>
  </si>
  <si>
    <t>USYCU</t>
  </si>
  <si>
    <t>Columbia Falls</t>
  </si>
  <si>
    <t>USZEC</t>
  </si>
  <si>
    <t>Commerce</t>
  </si>
  <si>
    <t>USOMM</t>
  </si>
  <si>
    <t>Commerce Township</t>
  </si>
  <si>
    <t>USJQQ</t>
  </si>
  <si>
    <t>Concord</t>
  </si>
  <si>
    <t>USCDY</t>
  </si>
  <si>
    <t>Conneaut</t>
  </si>
  <si>
    <t>USC25</t>
  </si>
  <si>
    <t>Connelly Springs</t>
  </si>
  <si>
    <t>USGCL</t>
  </si>
  <si>
    <t>Coolidge</t>
  </si>
  <si>
    <t>USCOB</t>
  </si>
  <si>
    <t>Coos Bay</t>
  </si>
  <si>
    <t>USOPB</t>
  </si>
  <si>
    <t>Copan</t>
  </si>
  <si>
    <t>USCO9</t>
  </si>
  <si>
    <t>Copper Canyon</t>
  </si>
  <si>
    <t>USCDV</t>
  </si>
  <si>
    <t>Cordova</t>
  </si>
  <si>
    <t>USC35</t>
  </si>
  <si>
    <t>Cornville</t>
  </si>
  <si>
    <t>USZZC</t>
  </si>
  <si>
    <t>Corolla</t>
  </si>
  <si>
    <t>USCD4</t>
  </si>
  <si>
    <t>Coronado</t>
  </si>
  <si>
    <t>USCRP</t>
  </si>
  <si>
    <t>Corpus Christi</t>
  </si>
  <si>
    <t>USTO3</t>
  </si>
  <si>
    <t>Corralitos</t>
  </si>
  <si>
    <t>USCJ8</t>
  </si>
  <si>
    <t>Cortland</t>
  </si>
  <si>
    <t>US2TT</t>
  </si>
  <si>
    <t>Cottrellville</t>
  </si>
  <si>
    <t>USUGE</t>
  </si>
  <si>
    <t>Council Grove</t>
  </si>
  <si>
    <t>USCP6</t>
  </si>
  <si>
    <t>Cove Point</t>
  </si>
  <si>
    <t>USYHE</t>
  </si>
  <si>
    <t>Cowiche</t>
  </si>
  <si>
    <t>USCS6</t>
  </si>
  <si>
    <t>Coxsackie, Greene</t>
  </si>
  <si>
    <t>USQCZ</t>
  </si>
  <si>
    <t>Cozad</t>
  </si>
  <si>
    <t>USZRC</t>
  </si>
  <si>
    <t>Cramerton</t>
  </si>
  <si>
    <t>USZCE</t>
  </si>
  <si>
    <t>Creedmoor</t>
  </si>
  <si>
    <t>USQAP</t>
  </si>
  <si>
    <t>Creekside</t>
  </si>
  <si>
    <t>USCEC</t>
  </si>
  <si>
    <t>Crescent City</t>
  </si>
  <si>
    <t>USC8T</t>
  </si>
  <si>
    <t>Creston</t>
  </si>
  <si>
    <t>USC74</t>
  </si>
  <si>
    <t>Crimora</t>
  </si>
  <si>
    <t>USCRM</t>
  </si>
  <si>
    <t>Crockett</t>
  </si>
  <si>
    <t>USZCW</t>
  </si>
  <si>
    <t>Cromwell</t>
  </si>
  <si>
    <t>USTHU</t>
  </si>
  <si>
    <t>Croton-on-Hudson</t>
  </si>
  <si>
    <t>USV7X</t>
  </si>
  <si>
    <t>Croxton</t>
  </si>
  <si>
    <t>USHXD</t>
  </si>
  <si>
    <t>Cumberland</t>
  </si>
  <si>
    <t>USUDC</t>
  </si>
  <si>
    <t>Cumberland City</t>
  </si>
  <si>
    <t>USUSB</t>
  </si>
  <si>
    <t>Curtis Bay, Baltimore</t>
  </si>
  <si>
    <t>USYXB</t>
  </si>
  <si>
    <t>Cypress Bend</t>
  </si>
  <si>
    <t>USD5W</t>
  </si>
  <si>
    <t>Dagsboro</t>
  </si>
  <si>
    <t>USYDE</t>
  </si>
  <si>
    <t>USDC6</t>
  </si>
  <si>
    <t>Dallas Center</t>
  </si>
  <si>
    <t>USAR5</t>
  </si>
  <si>
    <t>Damascus</t>
  </si>
  <si>
    <t>USDNE</t>
  </si>
  <si>
    <t>Dane</t>
  </si>
  <si>
    <t>USDHA</t>
  </si>
  <si>
    <t>Daphne</t>
  </si>
  <si>
    <t>USDDR</t>
  </si>
  <si>
    <t>Darien</t>
  </si>
  <si>
    <t>USDA8</t>
  </si>
  <si>
    <t>Dauphin</t>
  </si>
  <si>
    <t>USDVT</t>
  </si>
  <si>
    <t>Davant</t>
  </si>
  <si>
    <t>USDAV</t>
  </si>
  <si>
    <t>Davenport</t>
  </si>
  <si>
    <t>USDVN</t>
  </si>
  <si>
    <t>USDVV</t>
  </si>
  <si>
    <t>Davisville</t>
  </si>
  <si>
    <t>USDY2</t>
  </si>
  <si>
    <t>Dayton</t>
  </si>
  <si>
    <t>USDU5</t>
  </si>
  <si>
    <t>De Funiak Springs</t>
  </si>
  <si>
    <t>USDRW</t>
  </si>
  <si>
    <t>De Pere</t>
  </si>
  <si>
    <t>USDT4</t>
  </si>
  <si>
    <t>De Tour Village</t>
  </si>
  <si>
    <t>USDWX</t>
  </si>
  <si>
    <t>De Witt</t>
  </si>
  <si>
    <t>USDEC</t>
  </si>
  <si>
    <t>Decatur</t>
  </si>
  <si>
    <t>USE5P</t>
  </si>
  <si>
    <t>Deep Gap</t>
  </si>
  <si>
    <t>USDP5</t>
  </si>
  <si>
    <t>Deer Park</t>
  </si>
  <si>
    <t>USFJY</t>
  </si>
  <si>
    <t>USDWD</t>
  </si>
  <si>
    <t>Deerwood</t>
  </si>
  <si>
    <t>USDCB</t>
  </si>
  <si>
    <t>DeKalb</t>
  </si>
  <si>
    <t>USDN2</t>
  </si>
  <si>
    <t>Del Norte</t>
  </si>
  <si>
    <t>USDCI</t>
  </si>
  <si>
    <t>Delaware City</t>
  </si>
  <si>
    <t>USDVA</t>
  </si>
  <si>
    <t>Delevan</t>
  </si>
  <si>
    <t>USYDP</t>
  </si>
  <si>
    <t>Delhi</t>
  </si>
  <si>
    <t>USDIJ</t>
  </si>
  <si>
    <t>USDVQ</t>
  </si>
  <si>
    <t>Delmont</t>
  </si>
  <si>
    <t>USAL5</t>
  </si>
  <si>
    <t>USDTC</t>
  </si>
  <si>
    <t>USDE5</t>
  </si>
  <si>
    <t>Depue</t>
  </si>
  <si>
    <t>USQDQ</t>
  </si>
  <si>
    <t>DeQuincy</t>
  </si>
  <si>
    <t>USDE3</t>
  </si>
  <si>
    <t>Deridder</t>
  </si>
  <si>
    <t>USDSM</t>
  </si>
  <si>
    <t>Des Moines</t>
  </si>
  <si>
    <t>USDSR</t>
  </si>
  <si>
    <t>Deshler</t>
  </si>
  <si>
    <t>USDSH</t>
  </si>
  <si>
    <t>USNEW</t>
  </si>
  <si>
    <t>Destrehan</t>
  </si>
  <si>
    <t>US7AL</t>
  </si>
  <si>
    <t>Detroit</t>
  </si>
  <si>
    <t>USDTT</t>
  </si>
  <si>
    <t>USDET</t>
  </si>
  <si>
    <t>USQDV</t>
  </si>
  <si>
    <t>Devenscrest</t>
  </si>
  <si>
    <t>USDM4</t>
  </si>
  <si>
    <t>Diamondville</t>
  </si>
  <si>
    <t>USZKN</t>
  </si>
  <si>
    <t>Dickson</t>
  </si>
  <si>
    <t>USDCY</t>
  </si>
  <si>
    <t>Dill City</t>
  </si>
  <si>
    <t>USJHO</t>
  </si>
  <si>
    <t>District Heights</t>
  </si>
  <si>
    <t>USQDY</t>
  </si>
  <si>
    <t>Dolgeville</t>
  </si>
  <si>
    <t>USZDE</t>
  </si>
  <si>
    <t>Dolores</t>
  </si>
  <si>
    <t>USDSL</t>
  </si>
  <si>
    <t>Donalsonville</t>
  </si>
  <si>
    <t>USDPH</t>
  </si>
  <si>
    <t>Doniphan</t>
  </si>
  <si>
    <t>USDZM</t>
  </si>
  <si>
    <t>USDOG</t>
  </si>
  <si>
    <t>Douglas, Allegan</t>
  </si>
  <si>
    <t>USDWQ</t>
  </si>
  <si>
    <t>Downsville</t>
  </si>
  <si>
    <t>USDR3</t>
  </si>
  <si>
    <t>Drytown</t>
  </si>
  <si>
    <t>USDBQ</t>
  </si>
  <si>
    <t>Dubuque</t>
  </si>
  <si>
    <t>USDLH</t>
  </si>
  <si>
    <t>Duluth</t>
  </si>
  <si>
    <t>USDKK</t>
  </si>
  <si>
    <t>USDU3</t>
  </si>
  <si>
    <t>Dunmore</t>
  </si>
  <si>
    <t>USDFU</t>
  </si>
  <si>
    <t>Dunnellon</t>
  </si>
  <si>
    <t>USDUP</t>
  </si>
  <si>
    <t>Dupo</t>
  </si>
  <si>
    <t>USZDQ</t>
  </si>
  <si>
    <t>Duquesne</t>
  </si>
  <si>
    <t>USDUT</t>
  </si>
  <si>
    <t>Dutch Harbor</t>
  </si>
  <si>
    <t>USZDZ</t>
  </si>
  <si>
    <t>Dutzow</t>
  </si>
  <si>
    <t>USDUH</t>
  </si>
  <si>
    <t>Duxbury</t>
  </si>
  <si>
    <t>USQEY</t>
  </si>
  <si>
    <t>Eakly</t>
  </si>
  <si>
    <t>USERE</t>
  </si>
  <si>
    <t>Earl</t>
  </si>
  <si>
    <t>USEPA</t>
  </si>
  <si>
    <t>Earl Park</t>
  </si>
  <si>
    <t>USQEO</t>
  </si>
  <si>
    <t>Earlington</t>
  </si>
  <si>
    <t>USQEV</t>
  </si>
  <si>
    <t>Earlville</t>
  </si>
  <si>
    <t>USZTB</t>
  </si>
  <si>
    <t>East Bloomfield</t>
  </si>
  <si>
    <t>USECH</t>
  </si>
  <si>
    <t>East Chicago</t>
  </si>
  <si>
    <t>USEQE</t>
  </si>
  <si>
    <t>East Dubuque</t>
  </si>
  <si>
    <t>US4HE</t>
  </si>
  <si>
    <t>East Fairfield</t>
  </si>
  <si>
    <t>USZEF</t>
  </si>
  <si>
    <t>East Falmouth</t>
  </si>
  <si>
    <t>USEFN</t>
  </si>
  <si>
    <t>East Freetown</t>
  </si>
  <si>
    <t>USEKB</t>
  </si>
  <si>
    <t>East Keansburg</t>
  </si>
  <si>
    <t>USE2L</t>
  </si>
  <si>
    <t>East Lake</t>
  </si>
  <si>
    <t>USEQ4</t>
  </si>
  <si>
    <t>East Lansing</t>
  </si>
  <si>
    <t>USXXY</t>
  </si>
  <si>
    <t>East Leroy</t>
  </si>
  <si>
    <t>USEM7</t>
  </si>
  <si>
    <t>East Machias</t>
  </si>
  <si>
    <t>USEOG</t>
  </si>
  <si>
    <t>East Orange</t>
  </si>
  <si>
    <t>USYEP</t>
  </si>
  <si>
    <t>East Palestine</t>
  </si>
  <si>
    <t>USEPY</t>
  </si>
  <si>
    <t>East Point</t>
  </si>
  <si>
    <t>USQET</t>
  </si>
  <si>
    <t>East Setauket</t>
  </si>
  <si>
    <t>USTYY</t>
  </si>
  <si>
    <t>East Troy</t>
  </si>
  <si>
    <t>USZEP</t>
  </si>
  <si>
    <t>East Walpole</t>
  </si>
  <si>
    <t>US99W</t>
  </si>
  <si>
    <t>East Windsor</t>
  </si>
  <si>
    <t>USEPM</t>
  </si>
  <si>
    <t>Eastport</t>
  </si>
  <si>
    <t>USE2D</t>
  </si>
  <si>
    <t>Eddington</t>
  </si>
  <si>
    <t>USEDV</t>
  </si>
  <si>
    <t>Eddyville</t>
  </si>
  <si>
    <t>USEV6</t>
  </si>
  <si>
    <t>USZVY</t>
  </si>
  <si>
    <t>USETW</t>
  </si>
  <si>
    <t>Edgartown</t>
  </si>
  <si>
    <t>USGME</t>
  </si>
  <si>
    <t>Edgemere</t>
  </si>
  <si>
    <t>USQEB</t>
  </si>
  <si>
    <t>Edinboro</t>
  </si>
  <si>
    <t>USEOW</t>
  </si>
  <si>
    <t>Edmonds</t>
  </si>
  <si>
    <t>USZYL</t>
  </si>
  <si>
    <t>Edson</t>
  </si>
  <si>
    <t>USEGH</t>
  </si>
  <si>
    <t>Effingham</t>
  </si>
  <si>
    <t>USECP</t>
  </si>
  <si>
    <t>El Campo</t>
  </si>
  <si>
    <t>USEHI</t>
  </si>
  <si>
    <t>El Dorado Hills</t>
  </si>
  <si>
    <t>USELS</t>
  </si>
  <si>
    <t>El Segundo</t>
  </si>
  <si>
    <t>USEB4</t>
  </si>
  <si>
    <t>Elbert</t>
  </si>
  <si>
    <t>USILW</t>
  </si>
  <si>
    <t>Eleanor</t>
  </si>
  <si>
    <t>USKHW</t>
  </si>
  <si>
    <t>Eleele</t>
  </si>
  <si>
    <t>USE3K</t>
  </si>
  <si>
    <t>Elk Horn</t>
  </si>
  <si>
    <t>USER2</t>
  </si>
  <si>
    <t>Elk River</t>
  </si>
  <si>
    <t>USEKI</t>
  </si>
  <si>
    <t>Elkhart</t>
  </si>
  <si>
    <t>USZEM</t>
  </si>
  <si>
    <t>Elkmont</t>
  </si>
  <si>
    <t>USEKT</t>
  </si>
  <si>
    <t>Elkton</t>
  </si>
  <si>
    <t>USEKZ</t>
  </si>
  <si>
    <t>USEBZ</t>
  </si>
  <si>
    <t>Ellabell</t>
  </si>
  <si>
    <t>USZEV</t>
  </si>
  <si>
    <t>Ellaville</t>
  </si>
  <si>
    <t>USYEB</t>
  </si>
  <si>
    <t>Ellenboro</t>
  </si>
  <si>
    <t>USZEW</t>
  </si>
  <si>
    <t>Ellenwood</t>
  </si>
  <si>
    <t>USZEN</t>
  </si>
  <si>
    <t>Ellettsville</t>
  </si>
  <si>
    <t>USZET</t>
  </si>
  <si>
    <t>Ellington</t>
  </si>
  <si>
    <t>USEQZ</t>
  </si>
  <si>
    <t>Ellport</t>
  </si>
  <si>
    <t>USEL3</t>
  </si>
  <si>
    <t>Ellwood</t>
  </si>
  <si>
    <t>USEL4</t>
  </si>
  <si>
    <t>Elmer</t>
  </si>
  <si>
    <t>USQDM</t>
  </si>
  <si>
    <t>Elmont</t>
  </si>
  <si>
    <t>USEOY</t>
  </si>
  <si>
    <t>Eloy</t>
  </si>
  <si>
    <t>USERY</t>
  </si>
  <si>
    <t>Elroy</t>
  </si>
  <si>
    <t>USEQW</t>
  </si>
  <si>
    <t>Elwood</t>
  </si>
  <si>
    <t>USZZX</t>
  </si>
  <si>
    <t>Emerald Isle</t>
  </si>
  <si>
    <t>USEMY</t>
  </si>
  <si>
    <t>Emery</t>
  </si>
  <si>
    <t>USEM4</t>
  </si>
  <si>
    <t>Emigrant Gap</t>
  </si>
  <si>
    <t>USEMG</t>
  </si>
  <si>
    <t>Emmetsburg</t>
  </si>
  <si>
    <t>USYEM</t>
  </si>
  <si>
    <t>Emory</t>
  </si>
  <si>
    <t>USEPE</t>
  </si>
  <si>
    <t>Empire</t>
  </si>
  <si>
    <t>USEN5</t>
  </si>
  <si>
    <t>Ennice</t>
  </si>
  <si>
    <t>USQRL</t>
  </si>
  <si>
    <t>Erial</t>
  </si>
  <si>
    <t>USXEH</t>
  </si>
  <si>
    <t>Erie</t>
  </si>
  <si>
    <t>USERI</t>
  </si>
  <si>
    <t>USQEW</t>
  </si>
  <si>
    <t>Erwins</t>
  </si>
  <si>
    <t>USESC</t>
  </si>
  <si>
    <t>Escanaba</t>
  </si>
  <si>
    <t>USESG</t>
  </si>
  <si>
    <t>Estero</t>
  </si>
  <si>
    <t>USEFS</t>
  </si>
  <si>
    <t>Etiwanda</t>
  </si>
  <si>
    <t>USE2T</t>
  </si>
  <si>
    <t>Etna</t>
  </si>
  <si>
    <t>USETT</t>
  </si>
  <si>
    <t>Etter</t>
  </si>
  <si>
    <t>USEUD</t>
  </si>
  <si>
    <t>Eudora</t>
  </si>
  <si>
    <t>USEKA</t>
  </si>
  <si>
    <t>Eureka</t>
  </si>
  <si>
    <t>USEVV</t>
  </si>
  <si>
    <t>Evansville</t>
  </si>
  <si>
    <t>USEV7</t>
  </si>
  <si>
    <t>Evendale</t>
  </si>
  <si>
    <t>USPAE</t>
  </si>
  <si>
    <t>Everett</t>
  </si>
  <si>
    <t>USQEI</t>
  </si>
  <si>
    <t>Ewing</t>
  </si>
  <si>
    <t>USZEO</t>
  </si>
  <si>
    <t>Excelsior Springs</t>
  </si>
  <si>
    <t>USFH2</t>
  </si>
  <si>
    <t>Fair Haven</t>
  </si>
  <si>
    <t>USFPL</t>
  </si>
  <si>
    <t>Fair Play</t>
  </si>
  <si>
    <t>USFAI</t>
  </si>
  <si>
    <t>Fairbanks</t>
  </si>
  <si>
    <t>USFGX</t>
  </si>
  <si>
    <t>Fairfield</t>
  </si>
  <si>
    <t>USFDF</t>
  </si>
  <si>
    <t>USQFY</t>
  </si>
  <si>
    <t>Fairmont City</t>
  </si>
  <si>
    <t>USQFC</t>
  </si>
  <si>
    <t>USFMW</t>
  </si>
  <si>
    <t>Fairmont, Will</t>
  </si>
  <si>
    <t>USFMU</t>
  </si>
  <si>
    <t>Fairmount</t>
  </si>
  <si>
    <t>USFPT</t>
  </si>
  <si>
    <t>Fairport Harbor Village</t>
  </si>
  <si>
    <t>USNJF</t>
  </si>
  <si>
    <t>Fairton</t>
  </si>
  <si>
    <t>USTX3</t>
  </si>
  <si>
    <t>Fairview</t>
  </si>
  <si>
    <t>USFVP</t>
  </si>
  <si>
    <t>Fairview Park</t>
  </si>
  <si>
    <t>USEWB</t>
  </si>
  <si>
    <t>Fall River-New Bedford Apt</t>
  </si>
  <si>
    <t>USFSY</t>
  </si>
  <si>
    <t>Falls City</t>
  </si>
  <si>
    <t>USFA3</t>
  </si>
  <si>
    <t>Farmington</t>
  </si>
  <si>
    <t>USQFM</t>
  </si>
  <si>
    <t>Farmington Hill</t>
  </si>
  <si>
    <t>USFGQ</t>
  </si>
  <si>
    <t>Farmingville</t>
  </si>
  <si>
    <t>USF2S</t>
  </si>
  <si>
    <t>Fawnskin</t>
  </si>
  <si>
    <t>USFA2</t>
  </si>
  <si>
    <t>Felda</t>
  </si>
  <si>
    <t>USFEL</t>
  </si>
  <si>
    <t>Fellsmere</t>
  </si>
  <si>
    <t>USZGU</t>
  </si>
  <si>
    <t>Ferguson</t>
  </si>
  <si>
    <t>USFEB</t>
  </si>
  <si>
    <t>Fernandina Beach</t>
  </si>
  <si>
    <t>USQFI</t>
  </si>
  <si>
    <t>Ferriday</t>
  </si>
  <si>
    <t>USFI3</t>
  </si>
  <si>
    <t>Fiddletown</t>
  </si>
  <si>
    <t>USZFI</t>
  </si>
  <si>
    <t>Fisher Island, Miami</t>
  </si>
  <si>
    <t>USFIK</t>
  </si>
  <si>
    <t>Fishkill</t>
  </si>
  <si>
    <t>USFBF</t>
  </si>
  <si>
    <t>Flagler Beach</t>
  </si>
  <si>
    <t>USFI7</t>
  </si>
  <si>
    <t>Fleming Island</t>
  </si>
  <si>
    <t>USFW2</t>
  </si>
  <si>
    <t>Floodwood</t>
  </si>
  <si>
    <t>USFNE</t>
  </si>
  <si>
    <t>Florence</t>
  </si>
  <si>
    <t>USFLZ</t>
  </si>
  <si>
    <t>USYFA</t>
  </si>
  <si>
    <t>Florida City</t>
  </si>
  <si>
    <t>USFCC</t>
  </si>
  <si>
    <t>Forest City</t>
  </si>
  <si>
    <t>USFSQ</t>
  </si>
  <si>
    <t>Forest Dale</t>
  </si>
  <si>
    <t>USFTA</t>
  </si>
  <si>
    <t>Forest Park</t>
  </si>
  <si>
    <t>USRA3</t>
  </si>
  <si>
    <t>Forest Ranch</t>
  </si>
  <si>
    <t>USFO9</t>
  </si>
  <si>
    <t>USZYF</t>
  </si>
  <si>
    <t>Forsyth</t>
  </si>
  <si>
    <t>USXFO</t>
  </si>
  <si>
    <t>Fort Atkinson</t>
  </si>
  <si>
    <t>USFOB</t>
  </si>
  <si>
    <t>Fort Bragg</t>
  </si>
  <si>
    <t>USFTC</t>
  </si>
  <si>
    <t>Fort Calhoun</t>
  </si>
  <si>
    <t>USQFA</t>
  </si>
  <si>
    <t>Fort Davis</t>
  </si>
  <si>
    <t>USFLL</t>
  </si>
  <si>
    <t>Fort Lauderdale</t>
  </si>
  <si>
    <t>USQFU</t>
  </si>
  <si>
    <t>Fort Lupton</t>
  </si>
  <si>
    <t>USFTM</t>
  </si>
  <si>
    <t>Fort Monmouth</t>
  </si>
  <si>
    <t>USFPR</t>
  </si>
  <si>
    <t>Fort Pierce</t>
  </si>
  <si>
    <t>USFVR</t>
  </si>
  <si>
    <t>Fort Recovery</t>
  </si>
  <si>
    <t>USTSN</t>
  </si>
  <si>
    <t>Fort Snelling</t>
  </si>
  <si>
    <t>USQWI</t>
  </si>
  <si>
    <t>Fountain Hills</t>
  </si>
  <si>
    <t>USFR6</t>
  </si>
  <si>
    <t>Four Oaks</t>
  </si>
  <si>
    <t>USYFX</t>
  </si>
  <si>
    <t>Fox Lake</t>
  </si>
  <si>
    <t>USFCV</t>
  </si>
  <si>
    <t>Francesville</t>
  </si>
  <si>
    <t>USFNF</t>
  </si>
  <si>
    <t>Frankfort</t>
  </si>
  <si>
    <t>USFAU</t>
  </si>
  <si>
    <t>Franklin Furnace</t>
  </si>
  <si>
    <t>USYFZ</t>
  </si>
  <si>
    <t>Frazeysburg</t>
  </si>
  <si>
    <t>USXZD</t>
  </si>
  <si>
    <t>Frederick</t>
  </si>
  <si>
    <t>USFDE</t>
  </si>
  <si>
    <t>Fredericksburg</t>
  </si>
  <si>
    <t>USFZZ</t>
  </si>
  <si>
    <t>Freedom</t>
  </si>
  <si>
    <t>USFNB</t>
  </si>
  <si>
    <t>Freeland</t>
  </si>
  <si>
    <t>USXAS</t>
  </si>
  <si>
    <t>USEE8</t>
  </si>
  <si>
    <t>USFPO</t>
  </si>
  <si>
    <t>USJWY</t>
  </si>
  <si>
    <t>Frenchtown</t>
  </si>
  <si>
    <t>USFSP</t>
  </si>
  <si>
    <t>Friendship</t>
  </si>
  <si>
    <t>USRXR</t>
  </si>
  <si>
    <t>Fruitland</t>
  </si>
  <si>
    <t>USZFM</t>
  </si>
  <si>
    <t>USGSF</t>
  </si>
  <si>
    <t>Gales Ferry</t>
  </si>
  <si>
    <t>USZGQ</t>
  </si>
  <si>
    <t>Galeton</t>
  </si>
  <si>
    <t>USGQQ</t>
  </si>
  <si>
    <t>Galion</t>
  </si>
  <si>
    <t>USGG2</t>
  </si>
  <si>
    <t>Gallatin Gateway</t>
  </si>
  <si>
    <t>USAWY</t>
  </si>
  <si>
    <t>Gallaway</t>
  </si>
  <si>
    <t>USGLS</t>
  </si>
  <si>
    <t>Galveston</t>
  </si>
  <si>
    <t>USGVR</t>
  </si>
  <si>
    <t>Gansevoort</t>
  </si>
  <si>
    <t>USGBV</t>
  </si>
  <si>
    <t>Garberville</t>
  </si>
  <si>
    <t>USTXU</t>
  </si>
  <si>
    <t>Garden City</t>
  </si>
  <si>
    <t>USG44</t>
  </si>
  <si>
    <t>Garden Valley</t>
  </si>
  <si>
    <t>USGT9</t>
  </si>
  <si>
    <t>Gardendale</t>
  </si>
  <si>
    <t>USNXR</t>
  </si>
  <si>
    <t>Gardiner</t>
  </si>
  <si>
    <t>USGDR</t>
  </si>
  <si>
    <t>USGNR</t>
  </si>
  <si>
    <t>Garner</t>
  </si>
  <si>
    <t>USGNC</t>
  </si>
  <si>
    <t>USQGT</t>
  </si>
  <si>
    <t>Garrett</t>
  </si>
  <si>
    <t>USGA7</t>
  </si>
  <si>
    <t>Garrison</t>
  </si>
  <si>
    <t>USGYY</t>
  </si>
  <si>
    <t>Gary</t>
  </si>
  <si>
    <t>USGT4</t>
  </si>
  <si>
    <t>USGSQ</t>
  </si>
  <si>
    <t>Gasport</t>
  </si>
  <si>
    <t>USZGZ</t>
  </si>
  <si>
    <t>Geneseo</t>
  </si>
  <si>
    <t>USGGE</t>
  </si>
  <si>
    <t>USTUV</t>
  </si>
  <si>
    <t>Gertrude Cove</t>
  </si>
  <si>
    <t>USGHE</t>
  </si>
  <si>
    <t>Ghent</t>
  </si>
  <si>
    <t>USGBC</t>
  </si>
  <si>
    <t>Gibson City</t>
  </si>
  <si>
    <t>USGID</t>
  </si>
  <si>
    <t>Gideon</t>
  </si>
  <si>
    <t>USGEZ</t>
  </si>
  <si>
    <t>Gilbertville</t>
  </si>
  <si>
    <t>USZLO</t>
  </si>
  <si>
    <t>Glen Flora</t>
  </si>
  <si>
    <t>USGJQ</t>
  </si>
  <si>
    <t>Glen Ridge</t>
  </si>
  <si>
    <t>Glendale</t>
  </si>
  <si>
    <t>USOR8</t>
  </si>
  <si>
    <t>USG2H</t>
  </si>
  <si>
    <t>Glendale Heights</t>
  </si>
  <si>
    <t>USYNN</t>
  </si>
  <si>
    <t>Glenndale</t>
  </si>
  <si>
    <t>USYGL</t>
  </si>
  <si>
    <t>Glennville</t>
  </si>
  <si>
    <t>USGKX</t>
  </si>
  <si>
    <t>Glenwood</t>
  </si>
  <si>
    <t>USZGE</t>
  </si>
  <si>
    <t>Glidden</t>
  </si>
  <si>
    <t>USGLO</t>
  </si>
  <si>
    <t>USGLC</t>
  </si>
  <si>
    <t>Gloucester City</t>
  </si>
  <si>
    <t>USN3E</t>
  </si>
  <si>
    <t>Goehner</t>
  </si>
  <si>
    <t>USGCA</t>
  </si>
  <si>
    <t>Golconda</t>
  </si>
  <si>
    <t>USGXR</t>
  </si>
  <si>
    <t>USGLA</t>
  </si>
  <si>
    <t>Goldendale</t>
  </si>
  <si>
    <t>USQGX</t>
  </si>
  <si>
    <t>Goldthwaite</t>
  </si>
  <si>
    <t>USVZZ</t>
  </si>
  <si>
    <t>Goochland</t>
  </si>
  <si>
    <t>USGOP</t>
  </si>
  <si>
    <t>Good Hope</t>
  </si>
  <si>
    <t>USLLJ</t>
  </si>
  <si>
    <t>Gordonville</t>
  </si>
  <si>
    <t>USGVZ</t>
  </si>
  <si>
    <t>USGVA</t>
  </si>
  <si>
    <t>Gore</t>
  </si>
  <si>
    <t>USGOH</t>
  </si>
  <si>
    <t>Goshen</t>
  </si>
  <si>
    <t>USOEN</t>
  </si>
  <si>
    <t>USGP2</t>
  </si>
  <si>
    <t>USGZB</t>
  </si>
  <si>
    <t>Grabill</t>
  </si>
  <si>
    <t>USGRY</t>
  </si>
  <si>
    <t>Gramercy</t>
  </si>
  <si>
    <t>USQGB</t>
  </si>
  <si>
    <t>Grand Blanc</t>
  </si>
  <si>
    <t>USGHN</t>
  </si>
  <si>
    <t>Grand Haven</t>
  </si>
  <si>
    <t>USGRA</t>
  </si>
  <si>
    <t>Grand Portage</t>
  </si>
  <si>
    <t>USGRR</t>
  </si>
  <si>
    <t>Grand Rapids</t>
  </si>
  <si>
    <t>USGHC</t>
  </si>
  <si>
    <t>Grays Harbor City</t>
  </si>
  <si>
    <t>USYYG</t>
  </si>
  <si>
    <t>Grayson</t>
  </si>
  <si>
    <t>USGRB</t>
  </si>
  <si>
    <t>Green Bay</t>
  </si>
  <si>
    <t>USFWZ</t>
  </si>
  <si>
    <t>Green Town</t>
  </si>
  <si>
    <t>USGEB</t>
  </si>
  <si>
    <t>Greenboro</t>
  </si>
  <si>
    <t>USGP4</t>
  </si>
  <si>
    <t>Greenport</t>
  </si>
  <si>
    <t>USPA9</t>
  </si>
  <si>
    <t>Greentown</t>
  </si>
  <si>
    <t>USGLH</t>
  </si>
  <si>
    <t>USGNS</t>
  </si>
  <si>
    <t>Greenwood, Guernsey</t>
  </si>
  <si>
    <t>USQR5</t>
  </si>
  <si>
    <t>Grimes</t>
  </si>
  <si>
    <t>USG77</t>
  </si>
  <si>
    <t>Griswold</t>
  </si>
  <si>
    <t>USZGP</t>
  </si>
  <si>
    <t>Grosse Ile</t>
  </si>
  <si>
    <t>USGPW</t>
  </si>
  <si>
    <t>Grosse Point Woods</t>
  </si>
  <si>
    <t>USGVB</t>
  </si>
  <si>
    <t>Grover Beach</t>
  </si>
  <si>
    <t>USYGS</t>
  </si>
  <si>
    <t>Groves</t>
  </si>
  <si>
    <t>USGTG</t>
  </si>
  <si>
    <t>Grovetown</t>
  </si>
  <si>
    <t>USGDJ</t>
  </si>
  <si>
    <t>Guildhall</t>
  </si>
  <si>
    <t>USGUM</t>
  </si>
  <si>
    <t>Gulfmex Lightering Area</t>
  </si>
  <si>
    <t>USGPT</t>
  </si>
  <si>
    <t>Gulfport</t>
  </si>
  <si>
    <t>USGUG</t>
  </si>
  <si>
    <t>Guttenberg</t>
  </si>
  <si>
    <t>USG8Y</t>
  </si>
  <si>
    <t>Guy</t>
  </si>
  <si>
    <t>USGM2</t>
  </si>
  <si>
    <t>Gypsum</t>
  </si>
  <si>
    <t>USHS2</t>
  </si>
  <si>
    <t>Hackensack</t>
  </si>
  <si>
    <t>USHWN</t>
  </si>
  <si>
    <t>Hagerstown</t>
  </si>
  <si>
    <t>USHAH</t>
  </si>
  <si>
    <t>Hahnville</t>
  </si>
  <si>
    <t>USHXK</t>
  </si>
  <si>
    <t>Haiku</t>
  </si>
  <si>
    <t>USHNS</t>
  </si>
  <si>
    <t>Haines</t>
  </si>
  <si>
    <t>USHA7</t>
  </si>
  <si>
    <t>Haleiwa</t>
  </si>
  <si>
    <t>USHLJ</t>
  </si>
  <si>
    <t>Halls</t>
  </si>
  <si>
    <t>USHS6</t>
  </si>
  <si>
    <t>Hallstead</t>
  </si>
  <si>
    <t>USHMR</t>
  </si>
  <si>
    <t>Hamer</t>
  </si>
  <si>
    <t>USHM7</t>
  </si>
  <si>
    <t>USHR3</t>
  </si>
  <si>
    <t>Hampton Roads Pt</t>
  </si>
  <si>
    <t>USH2N</t>
  </si>
  <si>
    <t>Hancock</t>
  </si>
  <si>
    <t>USHB4</t>
  </si>
  <si>
    <t>Harbor Beach</t>
  </si>
  <si>
    <t>USHJS</t>
  </si>
  <si>
    <t>Harbor Island</t>
  </si>
  <si>
    <t>USHS3</t>
  </si>
  <si>
    <t>Harbor Springs</t>
  </si>
  <si>
    <t>USHXG</t>
  </si>
  <si>
    <t>Hardinsburg</t>
  </si>
  <si>
    <t>US5MN</t>
  </si>
  <si>
    <t>Hardwick</t>
  </si>
  <si>
    <t>USH9R</t>
  </si>
  <si>
    <t>Harris</t>
  </si>
  <si>
    <t>USHB3</t>
  </si>
  <si>
    <t>Harrisburg</t>
  </si>
  <si>
    <t>USZHW</t>
  </si>
  <si>
    <t>USHHT</t>
  </si>
  <si>
    <t>Harwood Heights</t>
  </si>
  <si>
    <t>USZHU</t>
  </si>
  <si>
    <t>Hasbrouck Heights</t>
  </si>
  <si>
    <t>USHG2</t>
  </si>
  <si>
    <t>USQHA</t>
  </si>
  <si>
    <t>Hatton</t>
  </si>
  <si>
    <t>USHL5</t>
  </si>
  <si>
    <t>Havelock</t>
  </si>
  <si>
    <t>USHZZ</t>
  </si>
  <si>
    <t>Hawesville</t>
  </si>
  <si>
    <t>USXVB</t>
  </si>
  <si>
    <t>Hawthorne</t>
  </si>
  <si>
    <t>USYHR</t>
  </si>
  <si>
    <t>Hebron</t>
  </si>
  <si>
    <t>USHR4</t>
  </si>
  <si>
    <t>Hector</t>
  </si>
  <si>
    <t>USZEH</t>
  </si>
  <si>
    <t>Helen</t>
  </si>
  <si>
    <t>USH99</t>
  </si>
  <si>
    <t>USHM4</t>
  </si>
  <si>
    <t>Herculaneum</t>
  </si>
  <si>
    <t>USHXU</t>
  </si>
  <si>
    <t>Hercules</t>
  </si>
  <si>
    <t>USRMA</t>
  </si>
  <si>
    <t>Hermann</t>
  </si>
  <si>
    <t>USHWX</t>
  </si>
  <si>
    <t>Hewlett</t>
  </si>
  <si>
    <t>USYHB</t>
  </si>
  <si>
    <t>Heyburn</t>
  </si>
  <si>
    <t>USHM3</t>
  </si>
  <si>
    <t>Hickman</t>
  </si>
  <si>
    <t>USHCO</t>
  </si>
  <si>
    <t>Hickory Creek</t>
  </si>
  <si>
    <t>USHKG</t>
  </si>
  <si>
    <t>Hickory Grove, York</t>
  </si>
  <si>
    <t>USHID</t>
  </si>
  <si>
    <t>Hidalgo</t>
  </si>
  <si>
    <t>USHRQ</t>
  </si>
  <si>
    <t>High Ridge</t>
  </si>
  <si>
    <t>USHVG</t>
  </si>
  <si>
    <t>Highland Village</t>
  </si>
  <si>
    <t>USHR5</t>
  </si>
  <si>
    <t>Hilger</t>
  </si>
  <si>
    <t>USHIF</t>
  </si>
  <si>
    <t>Hill Air Force Base</t>
  </si>
  <si>
    <t>USZHM</t>
  </si>
  <si>
    <t>Hilmar</t>
  </si>
  <si>
    <t>USITO</t>
  </si>
  <si>
    <t>Hilo</t>
  </si>
  <si>
    <t>USTLQ</t>
  </si>
  <si>
    <t>USHBK</t>
  </si>
  <si>
    <t>USHHK</t>
  </si>
  <si>
    <t>Ho-Ho-Kus</t>
  </si>
  <si>
    <t>USZHT</t>
  </si>
  <si>
    <t>Hoisington</t>
  </si>
  <si>
    <t>USHLM</t>
  </si>
  <si>
    <t>Holland</t>
  </si>
  <si>
    <t>USHRM</t>
  </si>
  <si>
    <t>Hollister</t>
  </si>
  <si>
    <t>USZPP</t>
  </si>
  <si>
    <t>Hollsopple</t>
  </si>
  <si>
    <t>USYHM</t>
  </si>
  <si>
    <t>Holmes</t>
  </si>
  <si>
    <t>USHOM</t>
  </si>
  <si>
    <t>Homer</t>
  </si>
  <si>
    <t>USHOR</t>
  </si>
  <si>
    <t>USHNL</t>
  </si>
  <si>
    <t>Honolulu</t>
  </si>
  <si>
    <t>US9WA</t>
  </si>
  <si>
    <t>Hoodsport</t>
  </si>
  <si>
    <t>USQHE</t>
  </si>
  <si>
    <t>Hooker</t>
  </si>
  <si>
    <t>USKSH</t>
  </si>
  <si>
    <t>Hooksett</t>
  </si>
  <si>
    <t>USHO7</t>
  </si>
  <si>
    <t>Hooper</t>
  </si>
  <si>
    <t>USQHK</t>
  </si>
  <si>
    <t>Hopkinton</t>
  </si>
  <si>
    <t>USHU8</t>
  </si>
  <si>
    <t>House Springs</t>
  </si>
  <si>
    <t>USHOU</t>
  </si>
  <si>
    <t>Houston</t>
  </si>
  <si>
    <t>USYKL</t>
  </si>
  <si>
    <t>Hoyt Lakes</t>
  </si>
  <si>
    <t>USQHT</t>
  </si>
  <si>
    <t>Huber Heights</t>
  </si>
  <si>
    <t>USHSF</t>
  </si>
  <si>
    <t>Hudson</t>
  </si>
  <si>
    <t>USH8N</t>
  </si>
  <si>
    <t>USQHG</t>
  </si>
  <si>
    <t>Huger</t>
  </si>
  <si>
    <t>USHV2</t>
  </si>
  <si>
    <t>Hughesville</t>
  </si>
  <si>
    <t>USHGU</t>
  </si>
  <si>
    <t>Huguenot</t>
  </si>
  <si>
    <t>USHXF</t>
  </si>
  <si>
    <t>Hungerford</t>
  </si>
  <si>
    <t>USHGW</t>
  </si>
  <si>
    <t>Huntington Woods</t>
  </si>
  <si>
    <t>USHN9</t>
  </si>
  <si>
    <t>Huron</t>
  </si>
  <si>
    <t>USQIL</t>
  </si>
  <si>
    <t>Idabel</t>
  </si>
  <si>
    <t>USIVG</t>
  </si>
  <si>
    <t>Incline Village</t>
  </si>
  <si>
    <t>USYIL</t>
  </si>
  <si>
    <t>Indialantic</t>
  </si>
  <si>
    <t>USTGB</t>
  </si>
  <si>
    <t>Indian Mills</t>
  </si>
  <si>
    <t>USIO2</t>
  </si>
  <si>
    <t>Indian Orchard</t>
  </si>
  <si>
    <t>USIR2</t>
  </si>
  <si>
    <t>Indian River City</t>
  </si>
  <si>
    <t>USIEG</t>
  </si>
  <si>
    <t>Ingleside</t>
  </si>
  <si>
    <t>USYIG</t>
  </si>
  <si>
    <t>USZIK</t>
  </si>
  <si>
    <t>Inkom</t>
  </si>
  <si>
    <t>USINL</t>
  </si>
  <si>
    <t>International Falls</t>
  </si>
  <si>
    <t>USQIS</t>
  </si>
  <si>
    <t>USIVK</t>
  </si>
  <si>
    <t>USIFL</t>
  </si>
  <si>
    <t>Island Falls</t>
  </si>
  <si>
    <t>USIVA</t>
  </si>
  <si>
    <t>Isle</t>
  </si>
  <si>
    <t>USIUK</t>
  </si>
  <si>
    <t>Iuka</t>
  </si>
  <si>
    <t>USJAM</t>
  </si>
  <si>
    <t>Jackman</t>
  </si>
  <si>
    <t>USJQK</t>
  </si>
  <si>
    <t>Jacksboro</t>
  </si>
  <si>
    <t>USJS3</t>
  </si>
  <si>
    <t>Jackson</t>
  </si>
  <si>
    <t>USJAX</t>
  </si>
  <si>
    <t>Jacksonville</t>
  </si>
  <si>
    <t>USJ3C</t>
  </si>
  <si>
    <t>USJKF</t>
  </si>
  <si>
    <t>Jakolof Bay</t>
  </si>
  <si>
    <t>USJA2</t>
  </si>
  <si>
    <t>Jamaica</t>
  </si>
  <si>
    <t>USJMB</t>
  </si>
  <si>
    <t>Jamesburg</t>
  </si>
  <si>
    <t>USJPY</t>
  </si>
  <si>
    <t>Jamesport</t>
  </si>
  <si>
    <t>USJVL</t>
  </si>
  <si>
    <t>Janesville</t>
  </si>
  <si>
    <t>USJAY</t>
  </si>
  <si>
    <t>Jay</t>
  </si>
  <si>
    <t>USJFZ</t>
  </si>
  <si>
    <t>Jefferson</t>
  </si>
  <si>
    <t>USJE2</t>
  </si>
  <si>
    <t>Jefferson Hills</t>
  </si>
  <si>
    <t>USZJ9</t>
  </si>
  <si>
    <t>Jeffersonville</t>
  </si>
  <si>
    <t>USJUK</t>
  </si>
  <si>
    <t>Jenks</t>
  </si>
  <si>
    <t>USJEC</t>
  </si>
  <si>
    <t>Jersey City</t>
  </si>
  <si>
    <t>USQJB</t>
  </si>
  <si>
    <t>Jobstown</t>
  </si>
  <si>
    <t>USKDC</t>
  </si>
  <si>
    <t>John F Kennedy Space Center/Cape Canaveral</t>
  </si>
  <si>
    <t>USJBG</t>
  </si>
  <si>
    <t>Johnsburg</t>
  </si>
  <si>
    <t>USJOA</t>
  </si>
  <si>
    <t>Johnson</t>
  </si>
  <si>
    <t>USJON</t>
  </si>
  <si>
    <t>Jonesport</t>
  </si>
  <si>
    <t>USJSA</t>
  </si>
  <si>
    <t>Judsonia</t>
  </si>
  <si>
    <t>USJNU</t>
  </si>
  <si>
    <t>Juneau</t>
  </si>
  <si>
    <t>USKAG</t>
  </si>
  <si>
    <t>Kaguyak</t>
  </si>
  <si>
    <t>USKL9</t>
  </si>
  <si>
    <t>Kahuku</t>
  </si>
  <si>
    <t>USKA7</t>
  </si>
  <si>
    <t>Kailua</t>
  </si>
  <si>
    <t>USKCK</t>
  </si>
  <si>
    <t>Kansas City</t>
  </si>
  <si>
    <t>USMKC</t>
  </si>
  <si>
    <t>USKW7</t>
  </si>
  <si>
    <t>Kawkawlin</t>
  </si>
  <si>
    <t>USKAY</t>
  </si>
  <si>
    <t>Kaysville</t>
  </si>
  <si>
    <t>USKHB</t>
  </si>
  <si>
    <t>Keego Harbor</t>
  </si>
  <si>
    <t>USKLS</t>
  </si>
  <si>
    <t>Kelso</t>
  </si>
  <si>
    <t>USKU4</t>
  </si>
  <si>
    <t>Kendall Park</t>
  </si>
  <si>
    <t>USKMR</t>
  </si>
  <si>
    <t>Kenmore</t>
  </si>
  <si>
    <t>USENW</t>
  </si>
  <si>
    <t>Kenosha</t>
  </si>
  <si>
    <t>USC3A</t>
  </si>
  <si>
    <t>Kensington</t>
  </si>
  <si>
    <t>USKE7</t>
  </si>
  <si>
    <t>Kenwood</t>
  </si>
  <si>
    <t>USKTZ</t>
  </si>
  <si>
    <t>Keota</t>
  </si>
  <si>
    <t>USQKK</t>
  </si>
  <si>
    <t>Keswick</t>
  </si>
  <si>
    <t>USKTN</t>
  </si>
  <si>
    <t>Ketchikan</t>
  </si>
  <si>
    <t>USQKM</t>
  </si>
  <si>
    <t>Ketchum</t>
  </si>
  <si>
    <t>USKWU</t>
  </si>
  <si>
    <t>Kewaunee</t>
  </si>
  <si>
    <t>USEYW</t>
  </si>
  <si>
    <t>Key West</t>
  </si>
  <si>
    <t>USYEJ</t>
  </si>
  <si>
    <t>Keyes</t>
  </si>
  <si>
    <t>USKYP</t>
  </si>
  <si>
    <t>Keyport</t>
  </si>
  <si>
    <t>USZYK</t>
  </si>
  <si>
    <t>Keysville</t>
  </si>
  <si>
    <t>USKIH</t>
  </si>
  <si>
    <t>Kihei</t>
  </si>
  <si>
    <t>USQKC</t>
  </si>
  <si>
    <t>Kimberling City</t>
  </si>
  <si>
    <t>USKWM</t>
  </si>
  <si>
    <t>King William</t>
  </si>
  <si>
    <t>USKGM</t>
  </si>
  <si>
    <t>Kings Mills</t>
  </si>
  <si>
    <t>USXKW</t>
  </si>
  <si>
    <t>Kirkwood</t>
  </si>
  <si>
    <t>USKAB</t>
  </si>
  <si>
    <t>Kiska Harbour</t>
  </si>
  <si>
    <t>USKIS</t>
  </si>
  <si>
    <t>Kiska Island</t>
  </si>
  <si>
    <t>USKXK</t>
  </si>
  <si>
    <t>Kittery</t>
  </si>
  <si>
    <t>USKTT</t>
  </si>
  <si>
    <t>Kitty Hawk</t>
  </si>
  <si>
    <t>USK99</t>
  </si>
  <si>
    <t>Knob Noster</t>
  </si>
  <si>
    <t>USKW2</t>
  </si>
  <si>
    <t>Konawa</t>
  </si>
  <si>
    <t>USKPP</t>
  </si>
  <si>
    <t>Koppel</t>
  </si>
  <si>
    <t>USKUB</t>
  </si>
  <si>
    <t>Kuluk Bay</t>
  </si>
  <si>
    <t>USLGK</t>
  </si>
  <si>
    <t>La Grange</t>
  </si>
  <si>
    <t>USLGZ</t>
  </si>
  <si>
    <t>La Grange Highlands</t>
  </si>
  <si>
    <t>USXXL</t>
  </si>
  <si>
    <t>Ladera Ranch</t>
  </si>
  <si>
    <t>USZYT</t>
  </si>
  <si>
    <t>USYFQ</t>
  </si>
  <si>
    <t>Lafayette</t>
  </si>
  <si>
    <t>USL5A</t>
  </si>
  <si>
    <t>Lagunitas</t>
  </si>
  <si>
    <t>USLA2</t>
  </si>
  <si>
    <t>Lake Arrowhead</t>
  </si>
  <si>
    <t>USLCH</t>
  </si>
  <si>
    <t>Lake Charles</t>
  </si>
  <si>
    <t>USLE3</t>
  </si>
  <si>
    <t>Lake Elsinore</t>
  </si>
  <si>
    <t>USZLG</t>
  </si>
  <si>
    <t>Lake Garfield</t>
  </si>
  <si>
    <t>USLG2</t>
  </si>
  <si>
    <t>Lake George</t>
  </si>
  <si>
    <t>USLU7</t>
  </si>
  <si>
    <t>Lake Huntington</t>
  </si>
  <si>
    <t>USLRP</t>
  </si>
  <si>
    <t>Lake Orion</t>
  </si>
  <si>
    <t>USLPQ</t>
  </si>
  <si>
    <t>Lake Park</t>
  </si>
  <si>
    <t>USQJC</t>
  </si>
  <si>
    <t>USYLP</t>
  </si>
  <si>
    <t>Lake Providence</t>
  </si>
  <si>
    <t>US6ER</t>
  </si>
  <si>
    <t>Lake Saint Louis</t>
  </si>
  <si>
    <t>USWCW</t>
  </si>
  <si>
    <t>Lake Waccamaw</t>
  </si>
  <si>
    <t>USLS4</t>
  </si>
  <si>
    <t>USLZC</t>
  </si>
  <si>
    <t>USKAJ</t>
  </si>
  <si>
    <t>Land O'Lakes</t>
  </si>
  <si>
    <t>USLZV</t>
  </si>
  <si>
    <t>Landing</t>
  </si>
  <si>
    <t>USL54</t>
  </si>
  <si>
    <t>Lanesville</t>
  </si>
  <si>
    <t>USYLT</t>
  </si>
  <si>
    <t>Lanett</t>
  </si>
  <si>
    <t>USLB9</t>
  </si>
  <si>
    <t>Lansdowne-Baltimore</t>
  </si>
  <si>
    <t>USURE</t>
  </si>
  <si>
    <t>Laurel</t>
  </si>
  <si>
    <t>USQLR</t>
  </si>
  <si>
    <t>Laureldale</t>
  </si>
  <si>
    <t>USUA7</t>
  </si>
  <si>
    <t>Laurelton</t>
  </si>
  <si>
    <t>USQLH</t>
  </si>
  <si>
    <t>Laurelville</t>
  </si>
  <si>
    <t>USLWM</t>
  </si>
  <si>
    <t>Lawrence</t>
  </si>
  <si>
    <t>USLWE</t>
  </si>
  <si>
    <t>USLVU</t>
  </si>
  <si>
    <t>Lawrenceburg</t>
  </si>
  <si>
    <t>USLW5</t>
  </si>
  <si>
    <t>Lawton</t>
  </si>
  <si>
    <t>USAY5</t>
  </si>
  <si>
    <t>Laytonville</t>
  </si>
  <si>
    <t>USLUU</t>
  </si>
  <si>
    <t>Le Sueur</t>
  </si>
  <si>
    <t>USZLT</t>
  </si>
  <si>
    <t>League City</t>
  </si>
  <si>
    <t>USYLB</t>
  </si>
  <si>
    <t>Lebec</t>
  </si>
  <si>
    <t>USLCF</t>
  </si>
  <si>
    <t>Leitchfield</t>
  </si>
  <si>
    <t>USLLC</t>
  </si>
  <si>
    <t>Leland</t>
  </si>
  <si>
    <t>USLMY</t>
  </si>
  <si>
    <t>Lemay</t>
  </si>
  <si>
    <t>USLH7</t>
  </si>
  <si>
    <t>Lenard Harbour</t>
  </si>
  <si>
    <t>USQLO</t>
  </si>
  <si>
    <t>Leonia</t>
  </si>
  <si>
    <t>USEU3</t>
  </si>
  <si>
    <t>Leucadia</t>
  </si>
  <si>
    <t>USLEQ</t>
  </si>
  <si>
    <t>Lewis Center</t>
  </si>
  <si>
    <t>USLWD</t>
  </si>
  <si>
    <t>Lewisport</t>
  </si>
  <si>
    <t>USQDU</t>
  </si>
  <si>
    <t>Lexington</t>
  </si>
  <si>
    <t>USLIB</t>
  </si>
  <si>
    <t>Liberty</t>
  </si>
  <si>
    <t>USL2P</t>
  </si>
  <si>
    <t>Lighthouse Point</t>
  </si>
  <si>
    <t>USLIZ</t>
  </si>
  <si>
    <t>Limestone</t>
  </si>
  <si>
    <t>USYOC</t>
  </si>
  <si>
    <t>Lincoln City</t>
  </si>
  <si>
    <t>USYLD</t>
  </si>
  <si>
    <t>Lind</t>
  </si>
  <si>
    <t>USDD6</t>
  </si>
  <si>
    <t>Linden Hill</t>
  </si>
  <si>
    <t>USQLF</t>
  </si>
  <si>
    <t>Linn Creek</t>
  </si>
  <si>
    <t>USLN5</t>
  </si>
  <si>
    <t>Linnton</t>
  </si>
  <si>
    <t>USLLB</t>
  </si>
  <si>
    <t>Lino Lakes</t>
  </si>
  <si>
    <t>USL2D</t>
  </si>
  <si>
    <t>Little Deer Isle</t>
  </si>
  <si>
    <t>USLTG</t>
  </si>
  <si>
    <t>Little Genesee</t>
  </si>
  <si>
    <t>USLHK</t>
  </si>
  <si>
    <t>Little Hocking</t>
  </si>
  <si>
    <t>USLR3</t>
  </si>
  <si>
    <t>Little River</t>
  </si>
  <si>
    <t>USYLR</t>
  </si>
  <si>
    <t>Littlerock</t>
  </si>
  <si>
    <t>USLXQ</t>
  </si>
  <si>
    <t>Llano</t>
  </si>
  <si>
    <t>USXLT</t>
  </si>
  <si>
    <t>Locust</t>
  </si>
  <si>
    <t>USLO7</t>
  </si>
  <si>
    <t>Lodi</t>
  </si>
  <si>
    <t>USYLO</t>
  </si>
  <si>
    <t>Logan Township</t>
  </si>
  <si>
    <t>USOIT</t>
  </si>
  <si>
    <t>Lolita</t>
  </si>
  <si>
    <t>USLGB</t>
  </si>
  <si>
    <t>Long Beach</t>
  </si>
  <si>
    <t>USLCJ</t>
  </si>
  <si>
    <t>Long Branch</t>
  </si>
  <si>
    <t>USLRC</t>
  </si>
  <si>
    <t>Long Reach</t>
  </si>
  <si>
    <t>USL9K</t>
  </si>
  <si>
    <t>Longboat Key</t>
  </si>
  <si>
    <t>USZLW</t>
  </si>
  <si>
    <t>Longmeadow</t>
  </si>
  <si>
    <t>USLOG</t>
  </si>
  <si>
    <t>Longview</t>
  </si>
  <si>
    <t>USLO9</t>
  </si>
  <si>
    <t>Loop Terminal</t>
  </si>
  <si>
    <t>USLOR</t>
  </si>
  <si>
    <t>Lorain</t>
  </si>
  <si>
    <t>USQLT</t>
  </si>
  <si>
    <t>Loretto</t>
  </si>
  <si>
    <t>USLAT</t>
  </si>
  <si>
    <t>Los Alamitos</t>
  </si>
  <si>
    <t>USLAX</t>
  </si>
  <si>
    <t>Los Angeles</t>
  </si>
  <si>
    <t>USLLU</t>
  </si>
  <si>
    <t>Los Lunas</t>
  </si>
  <si>
    <t>USTSO</t>
  </si>
  <si>
    <t>Lost Hills</t>
  </si>
  <si>
    <t>USQYL</t>
  </si>
  <si>
    <t>Loudonville</t>
  </si>
  <si>
    <t>USLO8</t>
  </si>
  <si>
    <t>USLUI</t>
  </si>
  <si>
    <t>Louisville</t>
  </si>
  <si>
    <t>USLC2</t>
  </si>
  <si>
    <t>Loup City</t>
  </si>
  <si>
    <t>USQLI</t>
  </si>
  <si>
    <t>Loves Park</t>
  </si>
  <si>
    <t>USVTT</t>
  </si>
  <si>
    <t>Lovettsville</t>
  </si>
  <si>
    <t>USTOZ</t>
  </si>
  <si>
    <t>Low Moor</t>
  </si>
  <si>
    <t>US7SD</t>
  </si>
  <si>
    <t>Lowden</t>
  </si>
  <si>
    <t>USLWY</t>
  </si>
  <si>
    <t>Lowell</t>
  </si>
  <si>
    <t>USLB2</t>
  </si>
  <si>
    <t>Lubec</t>
  </si>
  <si>
    <t>USLDM</t>
  </si>
  <si>
    <t>Ludington</t>
  </si>
  <si>
    <t>USYLU</t>
  </si>
  <si>
    <t>Lula</t>
  </si>
  <si>
    <t>USLP2</t>
  </si>
  <si>
    <t>Lupton</t>
  </si>
  <si>
    <t>USLTZ</t>
  </si>
  <si>
    <t>Lutz</t>
  </si>
  <si>
    <t>USLYR</t>
  </si>
  <si>
    <t>Lyerly</t>
  </si>
  <si>
    <t>US3WA</t>
  </si>
  <si>
    <t>Lyle</t>
  </si>
  <si>
    <t>USQLY</t>
  </si>
  <si>
    <t>Lyles</t>
  </si>
  <si>
    <t>USLYM</t>
  </si>
  <si>
    <t>Lynn Haven</t>
  </si>
  <si>
    <t>US7YT</t>
  </si>
  <si>
    <t>Lynnfield</t>
  </si>
  <si>
    <t>USYVO</t>
  </si>
  <si>
    <t>Lynnhaven Roads</t>
  </si>
  <si>
    <t>US3SD</t>
  </si>
  <si>
    <t>Mabscott</t>
  </si>
  <si>
    <t>USZAN</t>
  </si>
  <si>
    <t>Mabton</t>
  </si>
  <si>
    <t>USMP5</t>
  </si>
  <si>
    <t>Machesney Park</t>
  </si>
  <si>
    <t>USMCD</t>
  </si>
  <si>
    <t>Mackinac Island</t>
  </si>
  <si>
    <t>USEJK</t>
  </si>
  <si>
    <t>Macks Creek</t>
  </si>
  <si>
    <t>USEIF</t>
  </si>
  <si>
    <t>Madeira Beach</t>
  </si>
  <si>
    <t>USYMD</t>
  </si>
  <si>
    <t>Madison Park</t>
  </si>
  <si>
    <t>USINV</t>
  </si>
  <si>
    <t>Madisonville</t>
  </si>
  <si>
    <t>USMG5</t>
  </si>
  <si>
    <t>Malaga</t>
  </si>
  <si>
    <t>USAQJ</t>
  </si>
  <si>
    <t>Maltby</t>
  </si>
  <si>
    <t>USZMQ</t>
  </si>
  <si>
    <t>Manasquan</t>
  </si>
  <si>
    <t>USMCR</t>
  </si>
  <si>
    <t>USMH8</t>
  </si>
  <si>
    <t>Manhasset</t>
  </si>
  <si>
    <t>USMNH</t>
  </si>
  <si>
    <t>Manhattan/New York</t>
  </si>
  <si>
    <t>USZMY</t>
  </si>
  <si>
    <t>Manheim Center</t>
  </si>
  <si>
    <t>USMTW</t>
  </si>
  <si>
    <t>Manitowoc</t>
  </si>
  <si>
    <t>USIA2</t>
  </si>
  <si>
    <t>USNSV</t>
  </si>
  <si>
    <t>Mannsville</t>
  </si>
  <si>
    <t>USQMU</t>
  </si>
  <si>
    <t>Mantua</t>
  </si>
  <si>
    <t>USZPU</t>
  </si>
  <si>
    <t>Maple Bluff</t>
  </si>
  <si>
    <t>USXUY</t>
  </si>
  <si>
    <t>Mapleton</t>
  </si>
  <si>
    <t>USMH2</t>
  </si>
  <si>
    <t>Marblehead</t>
  </si>
  <si>
    <t>USZAY</t>
  </si>
  <si>
    <t>Marcy</t>
  </si>
  <si>
    <t>USQMK</t>
  </si>
  <si>
    <t>Markleville</t>
  </si>
  <si>
    <t>USQMM</t>
  </si>
  <si>
    <t>Marne</t>
  </si>
  <si>
    <t>USMR2</t>
  </si>
  <si>
    <t>Marseilles</t>
  </si>
  <si>
    <t>USNMA</t>
  </si>
  <si>
    <t>USTAW</t>
  </si>
  <si>
    <t>Matawan</t>
  </si>
  <si>
    <t>USMP2</t>
  </si>
  <si>
    <t>Mauckport</t>
  </si>
  <si>
    <t>USTSX</t>
  </si>
  <si>
    <t>Mauston</t>
  </si>
  <si>
    <t>USMY6</t>
  </si>
  <si>
    <t>Mayo</t>
  </si>
  <si>
    <t>USAY7</t>
  </si>
  <si>
    <t>Mayville</t>
  </si>
  <si>
    <t>USQMW</t>
  </si>
  <si>
    <t>McCleary</t>
  </si>
  <si>
    <t>USZWM</t>
  </si>
  <si>
    <t>McEwen</t>
  </si>
  <si>
    <t>USMF6</t>
  </si>
  <si>
    <t>McFarland</t>
  </si>
  <si>
    <t>USMKJ</t>
  </si>
  <si>
    <t>McKees Rocks</t>
  </si>
  <si>
    <t>USQMC</t>
  </si>
  <si>
    <t>McLeansville</t>
  </si>
  <si>
    <t>USJJQ</t>
  </si>
  <si>
    <t>Meadows of Dan</t>
  </si>
  <si>
    <t>USEAZ</t>
  </si>
  <si>
    <t>Mechanic Falls</t>
  </si>
  <si>
    <t>USUMQ</t>
  </si>
  <si>
    <t>Mecosta</t>
  </si>
  <si>
    <t>USMP7</t>
  </si>
  <si>
    <t>Mediapolis</t>
  </si>
  <si>
    <t>USMGF</t>
  </si>
  <si>
    <t>Melvindale</t>
  </si>
  <si>
    <t>USMEM</t>
  </si>
  <si>
    <t>Memphis</t>
  </si>
  <si>
    <t>USM8N</t>
  </si>
  <si>
    <t>Mendon</t>
  </si>
  <si>
    <t>USMN5</t>
  </si>
  <si>
    <t>Menemsha</t>
  </si>
  <si>
    <t>USMT6</t>
  </si>
  <si>
    <t>Mentone</t>
  </si>
  <si>
    <t>USZXE</t>
  </si>
  <si>
    <t>Mer Rouge</t>
  </si>
  <si>
    <t>USMXP</t>
  </si>
  <si>
    <t>Meraux</t>
  </si>
  <si>
    <t>USMD5</t>
  </si>
  <si>
    <t>Meredith</t>
  </si>
  <si>
    <t>USOIS</t>
  </si>
  <si>
    <t>Meredoisa</t>
  </si>
  <si>
    <t>USMTM</t>
  </si>
  <si>
    <t>Metlakatla</t>
  </si>
  <si>
    <t>USXXX</t>
  </si>
  <si>
    <t>Mexico</t>
  </si>
  <si>
    <t>USMIA</t>
  </si>
  <si>
    <t>Miami</t>
  </si>
  <si>
    <t>USIYH</t>
  </si>
  <si>
    <t>Miami Beach</t>
  </si>
  <si>
    <t>USZMG</t>
  </si>
  <si>
    <t>Miami Gardens</t>
  </si>
  <si>
    <t>USKKV</t>
  </si>
  <si>
    <t>Miami River</t>
  </si>
  <si>
    <t>USM4I</t>
  </si>
  <si>
    <t>Miami Shores</t>
  </si>
  <si>
    <t>USIAM</t>
  </si>
  <si>
    <t>Miamisburg</t>
  </si>
  <si>
    <t>USZIX</t>
  </si>
  <si>
    <t>Middle Island</t>
  </si>
  <si>
    <t>USM44</t>
  </si>
  <si>
    <t>Middletown</t>
  </si>
  <si>
    <t>USM2P</t>
  </si>
  <si>
    <t>Midway Park</t>
  </si>
  <si>
    <t>USM2B</t>
  </si>
  <si>
    <t>Milburn</t>
  </si>
  <si>
    <t>USMRQ</t>
  </si>
  <si>
    <t>Milford</t>
  </si>
  <si>
    <t>Mill Creek</t>
  </si>
  <si>
    <t>USMKW</t>
  </si>
  <si>
    <t>UST9X</t>
  </si>
  <si>
    <t>Millican</t>
  </si>
  <si>
    <t>USIPR</t>
  </si>
  <si>
    <t>Millport</t>
  </si>
  <si>
    <t>USMW4</t>
  </si>
  <si>
    <t>Millwood</t>
  </si>
  <si>
    <t>USMT5</t>
  </si>
  <si>
    <t>Milton</t>
  </si>
  <si>
    <t>USMKE</t>
  </si>
  <si>
    <t>Milwaukee</t>
  </si>
  <si>
    <t>USMS6</t>
  </si>
  <si>
    <t>Mims</t>
  </si>
  <si>
    <t>USMES</t>
  </si>
  <si>
    <t>Minneapolis</t>
  </si>
  <si>
    <t>USMOB</t>
  </si>
  <si>
    <t>Mobile</t>
  </si>
  <si>
    <t>USZOH</t>
  </si>
  <si>
    <t>Mohnton</t>
  </si>
  <si>
    <t>USM47</t>
  </si>
  <si>
    <t>Molena</t>
  </si>
  <si>
    <t>USOO9</t>
  </si>
  <si>
    <t>Monmouth</t>
  </si>
  <si>
    <t>USM9O</t>
  </si>
  <si>
    <t>Monmouth Beach</t>
  </si>
  <si>
    <t>USM4X</t>
  </si>
  <si>
    <t>Monroe</t>
  </si>
  <si>
    <t>USMY3</t>
  </si>
  <si>
    <t>Monterey</t>
  </si>
  <si>
    <t>USQOR</t>
  </si>
  <si>
    <t>USMRH</t>
  </si>
  <si>
    <t>Morehead City</t>
  </si>
  <si>
    <t>USYRE</t>
  </si>
  <si>
    <t>Morehouse</t>
  </si>
  <si>
    <t>US9OH</t>
  </si>
  <si>
    <t>Moreland Hills</t>
  </si>
  <si>
    <t>USMPP</t>
  </si>
  <si>
    <t>Morgans Point</t>
  </si>
  <si>
    <t>USM5V</t>
  </si>
  <si>
    <t>Morrisonville</t>
  </si>
  <si>
    <t>USMRT</t>
  </si>
  <si>
    <t>Morristown</t>
  </si>
  <si>
    <t>USMW3</t>
  </si>
  <si>
    <t>Moscow</t>
  </si>
  <si>
    <t>USYMR</t>
  </si>
  <si>
    <t>Mosier</t>
  </si>
  <si>
    <t>USINX</t>
  </si>
  <si>
    <t>Mosinee</t>
  </si>
  <si>
    <t>USXZS</t>
  </si>
  <si>
    <t>Mound House</t>
  </si>
  <si>
    <t>USMTK</t>
  </si>
  <si>
    <t>Mount Carmel</t>
  </si>
  <si>
    <t>USMGQ</t>
  </si>
  <si>
    <t>Mount Gilead</t>
  </si>
  <si>
    <t>USQHS</t>
  </si>
  <si>
    <t>Mount Holly Springs</t>
  </si>
  <si>
    <t>USYMV</t>
  </si>
  <si>
    <t>Mount Vernon</t>
  </si>
  <si>
    <t>USMU4</t>
  </si>
  <si>
    <t>Mountain</t>
  </si>
  <si>
    <t>USMKI</t>
  </si>
  <si>
    <t>Mukilteo</t>
  </si>
  <si>
    <t>USMKZ</t>
  </si>
  <si>
    <t>Mukwonago</t>
  </si>
  <si>
    <t>USZMW</t>
  </si>
  <si>
    <t>Muldrow</t>
  </si>
  <si>
    <t>USYMK</t>
  </si>
  <si>
    <t>Murdock</t>
  </si>
  <si>
    <t>USZMU</t>
  </si>
  <si>
    <t>Murphy</t>
  </si>
  <si>
    <t>USXYS</t>
  </si>
  <si>
    <t>Murrysville</t>
  </si>
  <si>
    <t>USMKG</t>
  </si>
  <si>
    <t>Muskegon</t>
  </si>
  <si>
    <t>USMYG</t>
  </si>
  <si>
    <t>Myrtle Grove</t>
  </si>
  <si>
    <t>USMYC</t>
  </si>
  <si>
    <t>Mystic</t>
  </si>
  <si>
    <t>USYNA</t>
  </si>
  <si>
    <t>Naches</t>
  </si>
  <si>
    <t>USYUD</t>
  </si>
  <si>
    <t>Naples</t>
  </si>
  <si>
    <t>USVQV</t>
  </si>
  <si>
    <t>Nashville</t>
  </si>
  <si>
    <t>USBNA</t>
  </si>
  <si>
    <t>USNYU</t>
  </si>
  <si>
    <t>USHEZ</t>
  </si>
  <si>
    <t>Natchez</t>
  </si>
  <si>
    <t>USNAK</t>
  </si>
  <si>
    <t>Natick</t>
  </si>
  <si>
    <t>USNVA</t>
  </si>
  <si>
    <t>Navarre</t>
  </si>
  <si>
    <t>USNIJ</t>
  </si>
  <si>
    <t>Nawiliwili</t>
  </si>
  <si>
    <t>USNEJ</t>
  </si>
  <si>
    <t>Necedah</t>
  </si>
  <si>
    <t>USNZQ</t>
  </si>
  <si>
    <t>Needmore</t>
  </si>
  <si>
    <t>USNB4</t>
  </si>
  <si>
    <t>Neets Bay</t>
  </si>
  <si>
    <t>USNOQ</t>
  </si>
  <si>
    <t>Nelsonia</t>
  </si>
  <si>
    <t>USNDA</t>
  </si>
  <si>
    <t>Neodesha</t>
  </si>
  <si>
    <t>USN8P</t>
  </si>
  <si>
    <t>Neponset</t>
  </si>
  <si>
    <t>USNPC</t>
  </si>
  <si>
    <t>Neptune City</t>
  </si>
  <si>
    <t>USNXZ</t>
  </si>
  <si>
    <t>Nesbit</t>
  </si>
  <si>
    <t>USNBD</t>
  </si>
  <si>
    <t>New Bedford</t>
  </si>
  <si>
    <t>USNBL</t>
  </si>
  <si>
    <t>New Bloomfield</t>
  </si>
  <si>
    <t>USBW5</t>
  </si>
  <si>
    <t>New Brockton</t>
  </si>
  <si>
    <t>USNCY</t>
  </si>
  <si>
    <t>New Caney</t>
  </si>
  <si>
    <t>USNSX</t>
  </si>
  <si>
    <t>New Castle</t>
  </si>
  <si>
    <t>USZWC</t>
  </si>
  <si>
    <t>New Columbia</t>
  </si>
  <si>
    <t>USNP7</t>
  </si>
  <si>
    <t>New Enterprise</t>
  </si>
  <si>
    <t>US4NJ</t>
  </si>
  <si>
    <t>New Era</t>
  </si>
  <si>
    <t>USNFR</t>
  </si>
  <si>
    <t>New Freedom</t>
  </si>
  <si>
    <t>USHVN</t>
  </si>
  <si>
    <t>New Haven</t>
  </si>
  <si>
    <t>USNH2</t>
  </si>
  <si>
    <t>USNHN</t>
  </si>
  <si>
    <t>New Hudson</t>
  </si>
  <si>
    <t>USQNN</t>
  </si>
  <si>
    <t>New Ipswich</t>
  </si>
  <si>
    <t>USNLI</t>
  </si>
  <si>
    <t>New Lisbon</t>
  </si>
  <si>
    <t>USNQV</t>
  </si>
  <si>
    <t>New London</t>
  </si>
  <si>
    <t>USNED</t>
  </si>
  <si>
    <t>USXNW</t>
  </si>
  <si>
    <t>New Madrid</t>
  </si>
  <si>
    <t>USNM2</t>
  </si>
  <si>
    <t>New Martinsville</t>
  </si>
  <si>
    <t>USMSY</t>
  </si>
  <si>
    <t>New Orleans</t>
  </si>
  <si>
    <t>USQZN</t>
  </si>
  <si>
    <t>New Point</t>
  </si>
  <si>
    <t>USNPX</t>
  </si>
  <si>
    <t>New Providence</t>
  </si>
  <si>
    <t>USNSB</t>
  </si>
  <si>
    <t>New Smyrna Beach</t>
  </si>
  <si>
    <t>USN5T</t>
  </si>
  <si>
    <t>New Tripoli</t>
  </si>
  <si>
    <t>USNYC</t>
  </si>
  <si>
    <t>New York</t>
  </si>
  <si>
    <t>USEWR</t>
  </si>
  <si>
    <t>USZMP</t>
  </si>
  <si>
    <t>Newburyport</t>
  </si>
  <si>
    <t>USAWS</t>
  </si>
  <si>
    <t>USNFE</t>
  </si>
  <si>
    <t>Newfane</t>
  </si>
  <si>
    <t>USNOZ</t>
  </si>
  <si>
    <t>USNPO</t>
  </si>
  <si>
    <t>USNPT</t>
  </si>
  <si>
    <t>USJNP</t>
  </si>
  <si>
    <t>Newport Beach</t>
  </si>
  <si>
    <t>USNNS</t>
  </si>
  <si>
    <t>Newport News</t>
  </si>
  <si>
    <t>USNRP</t>
  </si>
  <si>
    <t>Newport, Perry</t>
  </si>
  <si>
    <t>USQNE</t>
  </si>
  <si>
    <t>Newportville</t>
  </si>
  <si>
    <t>USICH</t>
  </si>
  <si>
    <t>Nicholls</t>
  </si>
  <si>
    <t>USN5B</t>
  </si>
  <si>
    <t>Niobrara</t>
  </si>
  <si>
    <t>USNIX</t>
  </si>
  <si>
    <t>Nixon</t>
  </si>
  <si>
    <t>USNK3</t>
  </si>
  <si>
    <t>Noank</t>
  </si>
  <si>
    <t>USOLS</t>
  </si>
  <si>
    <t>Nogales</t>
  </si>
  <si>
    <t>USQNV</t>
  </si>
  <si>
    <t>Nokesville</t>
  </si>
  <si>
    <t>USOME</t>
  </si>
  <si>
    <t>Nome</t>
  </si>
  <si>
    <t>USNCM</t>
  </si>
  <si>
    <t>Norco</t>
  </si>
  <si>
    <t>USNCX</t>
  </si>
  <si>
    <t>Norcross</t>
  </si>
  <si>
    <t>USORF</t>
  </si>
  <si>
    <t>Norfolk</t>
  </si>
  <si>
    <t>USNI2</t>
  </si>
  <si>
    <t>Norman</t>
  </si>
  <si>
    <t>USNAU</t>
  </si>
  <si>
    <t>North Augusta</t>
  </si>
  <si>
    <t>USN99</t>
  </si>
  <si>
    <t>North Bay Village</t>
  </si>
  <si>
    <t>USN4B</t>
  </si>
  <si>
    <t>North Beach</t>
  </si>
  <si>
    <t>USOTH</t>
  </si>
  <si>
    <t>USNDB</t>
  </si>
  <si>
    <t>North Dartmouth</t>
  </si>
  <si>
    <t>USZGN</t>
  </si>
  <si>
    <t>North Grosvenor Dale</t>
  </si>
  <si>
    <t>USNHQ</t>
  </si>
  <si>
    <t>North Hartland</t>
  </si>
  <si>
    <t>USN2R</t>
  </si>
  <si>
    <t>North Houston</t>
  </si>
  <si>
    <t>USQNM</t>
  </si>
  <si>
    <t>North Miami</t>
  </si>
  <si>
    <t>USUHO</t>
  </si>
  <si>
    <t>North Monmouth</t>
  </si>
  <si>
    <t>USNQZ</t>
  </si>
  <si>
    <t>North Rose</t>
  </si>
  <si>
    <t>USZNR</t>
  </si>
  <si>
    <t>North Royalton</t>
  </si>
  <si>
    <t>USNY5</t>
  </si>
  <si>
    <t>North Salem</t>
  </si>
  <si>
    <t>USNSC</t>
  </si>
  <si>
    <t>North Sioux City</t>
  </si>
  <si>
    <t>USNW2</t>
  </si>
  <si>
    <t>North Wildwood</t>
  </si>
  <si>
    <t>USYNO</t>
  </si>
  <si>
    <t>North Woodstock</t>
  </si>
  <si>
    <t>USNHM</t>
  </si>
  <si>
    <t>Northampton</t>
  </si>
  <si>
    <t>USZZH</t>
  </si>
  <si>
    <t>Northport</t>
  </si>
  <si>
    <t>USNTR</t>
  </si>
  <si>
    <t>Norton Shores</t>
  </si>
  <si>
    <t>USNOW</t>
  </si>
  <si>
    <t>Norwell</t>
  </si>
  <si>
    <t>USNXL</t>
  </si>
  <si>
    <t>Norwood</t>
  </si>
  <si>
    <t>USTXQ</t>
  </si>
  <si>
    <t>Noti</t>
  </si>
  <si>
    <t>USNYX</t>
  </si>
  <si>
    <t>Nyack</t>
  </si>
  <si>
    <t>USOB2</t>
  </si>
  <si>
    <t>Oak Bluffs</t>
  </si>
  <si>
    <t>USAKJ</t>
  </si>
  <si>
    <t>Oak Grove</t>
  </si>
  <si>
    <t>USQOP</t>
  </si>
  <si>
    <t>Oak Park</t>
  </si>
  <si>
    <t>USYOB</t>
  </si>
  <si>
    <t>Oakboro</t>
  </si>
  <si>
    <t>USOAK</t>
  </si>
  <si>
    <t>Oakland</t>
  </si>
  <si>
    <t>USOKV</t>
  </si>
  <si>
    <t>USXOR</t>
  </si>
  <si>
    <t>Oberlin</t>
  </si>
  <si>
    <t>USOBI</t>
  </si>
  <si>
    <t>Obion</t>
  </si>
  <si>
    <t>USOAM</t>
  </si>
  <si>
    <t>Ocean Gate</t>
  </si>
  <si>
    <t>USOCX</t>
  </si>
  <si>
    <t>Ocean View</t>
  </si>
  <si>
    <t>USOCP</t>
  </si>
  <si>
    <t>Oceanport</t>
  </si>
  <si>
    <t>USOC7</t>
  </si>
  <si>
    <t>Ocoee</t>
  </si>
  <si>
    <t>USOGS</t>
  </si>
  <si>
    <t>Ogdensburg</t>
  </si>
  <si>
    <t>USOGY</t>
  </si>
  <si>
    <t>Oglesby</t>
  </si>
  <si>
    <t>USYOQ</t>
  </si>
  <si>
    <t>Ogunquit</t>
  </si>
  <si>
    <t>USZHE</t>
  </si>
  <si>
    <t>Okarche</t>
  </si>
  <si>
    <t>USOKX</t>
  </si>
  <si>
    <t>Okemos</t>
  </si>
  <si>
    <t>USDXX</t>
  </si>
  <si>
    <t>Old Brookville</t>
  </si>
  <si>
    <t>USDKH</t>
  </si>
  <si>
    <t>Old Rock Hill</t>
  </si>
  <si>
    <t>USOL2</t>
  </si>
  <si>
    <t>Oleum</t>
  </si>
  <si>
    <t>USZOT</t>
  </si>
  <si>
    <t>Olivette</t>
  </si>
  <si>
    <t>USQOT</t>
  </si>
  <si>
    <t>Olton</t>
  </si>
  <si>
    <t>USOLM</t>
  </si>
  <si>
    <t>Olympia</t>
  </si>
  <si>
    <t>USQOA</t>
  </si>
  <si>
    <t>Olyphant</t>
  </si>
  <si>
    <t>USOMA</t>
  </si>
  <si>
    <t>Omaha</t>
  </si>
  <si>
    <t>USIA3</t>
  </si>
  <si>
    <t>Onawa</t>
  </si>
  <si>
    <t>USOT5</t>
  </si>
  <si>
    <t>Ontario</t>
  </si>
  <si>
    <t>USONG</t>
  </si>
  <si>
    <t>Ontonagon</t>
  </si>
  <si>
    <t>USZOW</t>
  </si>
  <si>
    <t>Ooltewah</t>
  </si>
  <si>
    <t>USOBC</t>
  </si>
  <si>
    <t>Orange Beach</t>
  </si>
  <si>
    <t>USOSZ</t>
  </si>
  <si>
    <t>Orca</t>
  </si>
  <si>
    <t>US8MN</t>
  </si>
  <si>
    <t>Orcutt</t>
  </si>
  <si>
    <t>USOEG</t>
  </si>
  <si>
    <t>Oregon</t>
  </si>
  <si>
    <t>USYDO</t>
  </si>
  <si>
    <t>Orondo</t>
  </si>
  <si>
    <t>USM2S</t>
  </si>
  <si>
    <t>Osceola</t>
  </si>
  <si>
    <t>USOS3</t>
  </si>
  <si>
    <t>Oskaloosa</t>
  </si>
  <si>
    <t>USOV3</t>
  </si>
  <si>
    <t>Osterville</t>
  </si>
  <si>
    <t>USOSW</t>
  </si>
  <si>
    <t>Oswego</t>
  </si>
  <si>
    <t>USOTL</t>
  </si>
  <si>
    <t>Ottawa Lake</t>
  </si>
  <si>
    <t>USOSV</t>
  </si>
  <si>
    <t>Ottsville</t>
  </si>
  <si>
    <t>USOTM</t>
  </si>
  <si>
    <t>Ottumwa</t>
  </si>
  <si>
    <t>US3VC</t>
  </si>
  <si>
    <t>Outlook</t>
  </si>
  <si>
    <t>USZOD</t>
  </si>
  <si>
    <t>Oviedo</t>
  </si>
  <si>
    <t>USOWB</t>
  </si>
  <si>
    <t>Owensboro</t>
  </si>
  <si>
    <t>USOXR</t>
  </si>
  <si>
    <t>Oxnard-Ventura Apt</t>
  </si>
  <si>
    <t>USPAH</t>
  </si>
  <si>
    <t>Paducah</t>
  </si>
  <si>
    <t>USPGE</t>
  </si>
  <si>
    <t>Pagedale</t>
  </si>
  <si>
    <t>USPY6</t>
  </si>
  <si>
    <t>Paisley</t>
  </si>
  <si>
    <t>USPBE</t>
  </si>
  <si>
    <t>Palatine Bridge</t>
  </si>
  <si>
    <t>USPQM</t>
  </si>
  <si>
    <t>Palm</t>
  </si>
  <si>
    <t>USPMZ</t>
  </si>
  <si>
    <t>Palmertown</t>
  </si>
  <si>
    <t>USP64</t>
  </si>
  <si>
    <t>Palmetto Bay</t>
  </si>
  <si>
    <t>USPGZ</t>
  </si>
  <si>
    <t>Palo Pinto</t>
  </si>
  <si>
    <t>USQPM</t>
  </si>
  <si>
    <t>Pamplin</t>
  </si>
  <si>
    <t>USPFN</t>
  </si>
  <si>
    <t>Panama City</t>
  </si>
  <si>
    <t>USP77</t>
  </si>
  <si>
    <t>Panora</t>
  </si>
  <si>
    <t>USPK3</t>
  </si>
  <si>
    <t>Parks</t>
  </si>
  <si>
    <t>USPKT</t>
  </si>
  <si>
    <t>Parkton</t>
  </si>
  <si>
    <t>USPAS</t>
  </si>
  <si>
    <t>Pasadena</t>
  </si>
  <si>
    <t>USPGL</t>
  </si>
  <si>
    <t>Pascagoula</t>
  </si>
  <si>
    <t>USPCP</t>
  </si>
  <si>
    <t>Patchogue</t>
  </si>
  <si>
    <t>USPWG</t>
  </si>
  <si>
    <t>Paterson</t>
  </si>
  <si>
    <t>USYL2</t>
  </si>
  <si>
    <t>Peach Bottom</t>
  </si>
  <si>
    <t>USPEA</t>
  </si>
  <si>
    <t>Pearl Harbor</t>
  </si>
  <si>
    <t>USPS6</t>
  </si>
  <si>
    <t>Pearson</t>
  </si>
  <si>
    <t>USQPN</t>
  </si>
  <si>
    <t>Peconic</t>
  </si>
  <si>
    <t>USJUY</t>
  </si>
  <si>
    <t>USZPB</t>
  </si>
  <si>
    <t>Pembroke Park</t>
  </si>
  <si>
    <t>US7CA</t>
  </si>
  <si>
    <t>Penn Valley</t>
  </si>
  <si>
    <t>US9DK</t>
  </si>
  <si>
    <t>Penngrove</t>
  </si>
  <si>
    <t>USPPS</t>
  </si>
  <si>
    <t>Pennsauken</t>
  </si>
  <si>
    <t>USPNS</t>
  </si>
  <si>
    <t>Pensacola</t>
  </si>
  <si>
    <t>USPB4</t>
  </si>
  <si>
    <t>Pensacola Beach</t>
  </si>
  <si>
    <t>USPQN</t>
  </si>
  <si>
    <t>Pequannock</t>
  </si>
  <si>
    <t>USXPE</t>
  </si>
  <si>
    <t>Perdue Hill</t>
  </si>
  <si>
    <t>USPYB</t>
  </si>
  <si>
    <t>Perryman</t>
  </si>
  <si>
    <t>USPAY</t>
  </si>
  <si>
    <t>Perth Amboy</t>
  </si>
  <si>
    <t>USYPB</t>
  </si>
  <si>
    <t>Peterborough</t>
  </si>
  <si>
    <t>USPHL</t>
  </si>
  <si>
    <t>Philadelphia</t>
  </si>
  <si>
    <t>USYPH</t>
  </si>
  <si>
    <t>Philomath</t>
  </si>
  <si>
    <t>USYPF</t>
  </si>
  <si>
    <t>Pigeon Forge</t>
  </si>
  <si>
    <t>USPGX</t>
  </si>
  <si>
    <t>Pillager</t>
  </si>
  <si>
    <t>USPM8</t>
  </si>
  <si>
    <t>Pilot Mountain</t>
  </si>
  <si>
    <t>USPIW</t>
  </si>
  <si>
    <t>Pilottown</t>
  </si>
  <si>
    <t>USPAA</t>
  </si>
  <si>
    <t>Pine Apple</t>
  </si>
  <si>
    <t>USQPS</t>
  </si>
  <si>
    <t>Pine Bluffs</t>
  </si>
  <si>
    <t>USYPN</t>
  </si>
  <si>
    <t>Pine Bush</t>
  </si>
  <si>
    <t>USQPY</t>
  </si>
  <si>
    <t>Pine Plains</t>
  </si>
  <si>
    <t>USPIT</t>
  </si>
  <si>
    <t>Pittsburgh</t>
  </si>
  <si>
    <t>USITV</t>
  </si>
  <si>
    <t>Pittsville</t>
  </si>
  <si>
    <t>USEUU</t>
  </si>
  <si>
    <t>Placida</t>
  </si>
  <si>
    <t>USTJJ</t>
  </si>
  <si>
    <t>Platte</t>
  </si>
  <si>
    <t>USPI7</t>
  </si>
  <si>
    <t>Pleasant Island</t>
  </si>
  <si>
    <t>USP2L</t>
  </si>
  <si>
    <t>Pleasant Lake</t>
  </si>
  <si>
    <t>USPLP</t>
  </si>
  <si>
    <t>Pleasant Prairie</t>
  </si>
  <si>
    <t>USQPH</t>
  </si>
  <si>
    <t>Pocahontas</t>
  </si>
  <si>
    <t>USPA2</t>
  </si>
  <si>
    <t>Point Arena</t>
  </si>
  <si>
    <t>USTBW</t>
  </si>
  <si>
    <t>Point Barrow</t>
  </si>
  <si>
    <t>USPB9</t>
  </si>
  <si>
    <t>Point Breeze</t>
  </si>
  <si>
    <t>USPP5</t>
  </si>
  <si>
    <t>Point Conception</t>
  </si>
  <si>
    <t>USPP3</t>
  </si>
  <si>
    <t>Point Pleasant Beach</t>
  </si>
  <si>
    <t>US9IU</t>
  </si>
  <si>
    <t>Point Reyes Station</t>
  </si>
  <si>
    <t>USPRS</t>
  </si>
  <si>
    <t>Point Roberts</t>
  </si>
  <si>
    <t>USOW4</t>
  </si>
  <si>
    <t>Point Wells</t>
  </si>
  <si>
    <t>USQPD</t>
  </si>
  <si>
    <t>Poland</t>
  </si>
  <si>
    <t>USPO8</t>
  </si>
  <si>
    <t>Pompton</t>
  </si>
  <si>
    <t>US4NM</t>
  </si>
  <si>
    <t>Ponce de Leon</t>
  </si>
  <si>
    <t>USPO7</t>
  </si>
  <si>
    <t>Ponsford</t>
  </si>
  <si>
    <t>USPAL</t>
  </si>
  <si>
    <t>Port Allen</t>
  </si>
  <si>
    <t>USPLL</t>
  </si>
  <si>
    <t>USCLM</t>
  </si>
  <si>
    <t>Port Angeles</t>
  </si>
  <si>
    <t>USPOA</t>
  </si>
  <si>
    <t>USPRY</t>
  </si>
  <si>
    <t>Port Blakely</t>
  </si>
  <si>
    <t>USPOB</t>
  </si>
  <si>
    <t>Port Bolivar</t>
  </si>
  <si>
    <t>USPCV</t>
  </si>
  <si>
    <t>Port Canaveral</t>
  </si>
  <si>
    <t>USUXZ</t>
  </si>
  <si>
    <t>Port Chester</t>
  </si>
  <si>
    <t>USPZH</t>
  </si>
  <si>
    <t>Port Chicago</t>
  </si>
  <si>
    <t>USQPR</t>
  </si>
  <si>
    <t>Port Eads</t>
  </si>
  <si>
    <t>USPEB</t>
  </si>
  <si>
    <t>Port Elizabeth</t>
  </si>
  <si>
    <t>USPEF</t>
  </si>
  <si>
    <t>Port Everglades</t>
  </si>
  <si>
    <t>USPE2</t>
  </si>
  <si>
    <t>Port Ewen</t>
  </si>
  <si>
    <t>USFOC</t>
  </si>
  <si>
    <t>Port Fourchon</t>
  </si>
  <si>
    <t>USPGH</t>
  </si>
  <si>
    <t>Port Gamble</t>
  </si>
  <si>
    <t>USABC</t>
  </si>
  <si>
    <t>Port Hadlock</t>
  </si>
  <si>
    <t>USNTD</t>
  </si>
  <si>
    <t>Port Hueneme</t>
  </si>
  <si>
    <t>USPHN</t>
  </si>
  <si>
    <t>Port Huron</t>
  </si>
  <si>
    <t>USPIS</t>
  </si>
  <si>
    <t>USPTJ</t>
  </si>
  <si>
    <t>Port Jefferson</t>
  </si>
  <si>
    <t>USJDT</t>
  </si>
  <si>
    <t>Port Laudania</t>
  </si>
  <si>
    <t>USPLV</t>
  </si>
  <si>
    <t>Port Lavaca</t>
  </si>
  <si>
    <t>USPLU</t>
  </si>
  <si>
    <t>Port Ludlow</t>
  </si>
  <si>
    <t>USPMV</t>
  </si>
  <si>
    <t>Port MacKenzie</t>
  </si>
  <si>
    <t>USPDI</t>
  </si>
  <si>
    <t>Port Madison</t>
  </si>
  <si>
    <t>USPME</t>
  </si>
  <si>
    <t>Port Manatee</t>
  </si>
  <si>
    <t>USPM3</t>
  </si>
  <si>
    <t>Port Monmouth</t>
  </si>
  <si>
    <t>USPM4</t>
  </si>
  <si>
    <t>Port Morris, Bronx</t>
  </si>
  <si>
    <t>USURR</t>
  </si>
  <si>
    <t>Port Murray</t>
  </si>
  <si>
    <t>USPNJ</t>
  </si>
  <si>
    <t>Port Newark</t>
  </si>
  <si>
    <t>USQOC</t>
  </si>
  <si>
    <t>Port Orchard</t>
  </si>
  <si>
    <t>USPO2</t>
  </si>
  <si>
    <t>Port Orford</t>
  </si>
  <si>
    <t>USYPR</t>
  </si>
  <si>
    <t>Port Republic</t>
  </si>
  <si>
    <t>USRI4</t>
  </si>
  <si>
    <t>Port Richmond</t>
  </si>
  <si>
    <t>USPSJ</t>
  </si>
  <si>
    <t>Port Saint Joe</t>
  </si>
  <si>
    <t>USPSL</t>
  </si>
  <si>
    <t>Port San Luis</t>
  </si>
  <si>
    <t>USSUL</t>
  </si>
  <si>
    <t>Port Sulphur</t>
  </si>
  <si>
    <t>USTWD</t>
  </si>
  <si>
    <t>Port Townsend</t>
  </si>
  <si>
    <t>USPOW</t>
  </si>
  <si>
    <t>Port Washington</t>
  </si>
  <si>
    <t>USPOJ</t>
  </si>
  <si>
    <t>Portage</t>
  </si>
  <si>
    <t>USZPT</t>
  </si>
  <si>
    <t>Portageville</t>
  </si>
  <si>
    <t>USPOD</t>
  </si>
  <si>
    <t>Porterdale</t>
  </si>
  <si>
    <t>USPWM</t>
  </si>
  <si>
    <t>USPWQ</t>
  </si>
  <si>
    <t>USPDX</t>
  </si>
  <si>
    <t>USDTP</t>
  </si>
  <si>
    <t>USXPT</t>
  </si>
  <si>
    <t>Portola Valley</t>
  </si>
  <si>
    <t>USPSM</t>
  </si>
  <si>
    <t>USPTM</t>
  </si>
  <si>
    <t>USVTP</t>
  </si>
  <si>
    <t>Portville</t>
  </si>
  <si>
    <t>USPG8</t>
  </si>
  <si>
    <t>Pound Ridge</t>
  </si>
  <si>
    <t>USTXX</t>
  </si>
  <si>
    <t>Powderly</t>
  </si>
  <si>
    <t>USPP4</t>
  </si>
  <si>
    <t>Powells Point</t>
  </si>
  <si>
    <t>USZPW</t>
  </si>
  <si>
    <t>Powhatan</t>
  </si>
  <si>
    <t>USPS3</t>
  </si>
  <si>
    <t>Prairie du Sac</t>
  </si>
  <si>
    <t>USZWZ</t>
  </si>
  <si>
    <t>Premont</t>
  </si>
  <si>
    <t>USPS9</t>
  </si>
  <si>
    <t>USP43</t>
  </si>
  <si>
    <t>Priceville</t>
  </si>
  <si>
    <t>USPT7</t>
  </si>
  <si>
    <t>Prichard</t>
  </si>
  <si>
    <t>USPP9</t>
  </si>
  <si>
    <t>USQPX</t>
  </si>
  <si>
    <t>Prosper</t>
  </si>
  <si>
    <t>USPVD</t>
  </si>
  <si>
    <t>Providence</t>
  </si>
  <si>
    <t>USPVC</t>
  </si>
  <si>
    <t>Provincetown</t>
  </si>
  <si>
    <t>USPGQ</t>
  </si>
  <si>
    <t>Puget Sound</t>
  </si>
  <si>
    <t>USYP5</t>
  </si>
  <si>
    <t>Purchase</t>
  </si>
  <si>
    <t>USZQE</t>
  </si>
  <si>
    <t>Quarryville</t>
  </si>
  <si>
    <t>USZQU</t>
  </si>
  <si>
    <t>Queen City</t>
  </si>
  <si>
    <t>USQUI</t>
  </si>
  <si>
    <t>Quincy</t>
  </si>
  <si>
    <t>USRAC</t>
  </si>
  <si>
    <t>Racine</t>
  </si>
  <si>
    <t>USYRG</t>
  </si>
  <si>
    <t>Ragland</t>
  </si>
  <si>
    <t>USXRC</t>
  </si>
  <si>
    <t>Rainbow City</t>
  </si>
  <si>
    <t>USRAI</t>
  </si>
  <si>
    <t>Rainier</t>
  </si>
  <si>
    <t>USRBO</t>
  </si>
  <si>
    <t>Rancho Bernardo</t>
  </si>
  <si>
    <t>USRHG</t>
  </si>
  <si>
    <t>Rancho Mirage</t>
  </si>
  <si>
    <t>US8DD</t>
  </si>
  <si>
    <t>Ranchos de Taos</t>
  </si>
  <si>
    <t>USYRP</t>
  </si>
  <si>
    <t>Rapidan</t>
  </si>
  <si>
    <t>USXRA</t>
  </si>
  <si>
    <t>Ravena</t>
  </si>
  <si>
    <t>USACC</t>
  </si>
  <si>
    <t>Raymond</t>
  </si>
  <si>
    <t>USYRO</t>
  </si>
  <si>
    <t>Raytown</t>
  </si>
  <si>
    <t>USRF5</t>
  </si>
  <si>
    <t>Red Feather Lakes</t>
  </si>
  <si>
    <t>USRHY</t>
  </si>
  <si>
    <t>Red Hill</t>
  </si>
  <si>
    <t>USRDK</t>
  </si>
  <si>
    <t>Red Oak</t>
  </si>
  <si>
    <t>USRWC</t>
  </si>
  <si>
    <t>Redwood City</t>
  </si>
  <si>
    <t>USRR6</t>
  </si>
  <si>
    <t>Redwood Valley</t>
  </si>
  <si>
    <t>USIZK</t>
  </si>
  <si>
    <t>Renick</t>
  </si>
  <si>
    <t>USJE7</t>
  </si>
  <si>
    <t>Renville</t>
  </si>
  <si>
    <t>USRXF</t>
  </si>
  <si>
    <t>Rexford</t>
  </si>
  <si>
    <t>USYRY</t>
  </si>
  <si>
    <t>Reynoldsville</t>
  </si>
  <si>
    <t>USZBK</t>
  </si>
  <si>
    <t>Rhinebeck</t>
  </si>
  <si>
    <t>USRCH</t>
  </si>
  <si>
    <t>USRIC</t>
  </si>
  <si>
    <t>USZIC</t>
  </si>
  <si>
    <t>Rickreall</t>
  </si>
  <si>
    <t>USRIM</t>
  </si>
  <si>
    <t>Rimer</t>
  </si>
  <si>
    <t>USRAF</t>
  </si>
  <si>
    <t>Ringle</t>
  </si>
  <si>
    <t>USR88</t>
  </si>
  <si>
    <t>USRG6</t>
  </si>
  <si>
    <t>River Grove</t>
  </si>
  <si>
    <t>USQQN</t>
  </si>
  <si>
    <t>River Ridge</t>
  </si>
  <si>
    <t>USZRB</t>
  </si>
  <si>
    <t>Riverbank</t>
  </si>
  <si>
    <t>USRV5</t>
  </si>
  <si>
    <t>Riverdale</t>
  </si>
  <si>
    <t>USRGJ</t>
  </si>
  <si>
    <t>Rivergate</t>
  </si>
  <si>
    <t>USVRD</t>
  </si>
  <si>
    <t>Riverside</t>
  </si>
  <si>
    <t>USVSE</t>
  </si>
  <si>
    <t>USR55</t>
  </si>
  <si>
    <t>Rochelle</t>
  </si>
  <si>
    <t>USROC</t>
  </si>
  <si>
    <t>USRC6</t>
  </si>
  <si>
    <t>Rock Creek</t>
  </si>
  <si>
    <t>USXRT</t>
  </si>
  <si>
    <t>Rock Tavern</t>
  </si>
  <si>
    <t>USRYK</t>
  </si>
  <si>
    <t>Rockaway Parks</t>
  </si>
  <si>
    <t>USRKD</t>
  </si>
  <si>
    <t>Rockland</t>
  </si>
  <si>
    <t>USR63</t>
  </si>
  <si>
    <t>USRP3</t>
  </si>
  <si>
    <t>USR2V</t>
  </si>
  <si>
    <t>Rockville</t>
  </si>
  <si>
    <t>USRYF</t>
  </si>
  <si>
    <t>Rocky Face</t>
  </si>
  <si>
    <t>USRKY</t>
  </si>
  <si>
    <t>Rocky River</t>
  </si>
  <si>
    <t>USRD4</t>
  </si>
  <si>
    <t>Rodeo</t>
  </si>
  <si>
    <t>USRGS</t>
  </si>
  <si>
    <t>Rogers</t>
  </si>
  <si>
    <t>USRCY</t>
  </si>
  <si>
    <t>Rogers City</t>
  </si>
  <si>
    <t>USRH2</t>
  </si>
  <si>
    <t>Rogers Haven</t>
  </si>
  <si>
    <t>USRJQ</t>
  </si>
  <si>
    <t>Roggen</t>
  </si>
  <si>
    <t>USR3O</t>
  </si>
  <si>
    <t>Rollinsford</t>
  </si>
  <si>
    <t>USOMD</t>
  </si>
  <si>
    <t>Romoland</t>
  </si>
  <si>
    <t>USROJ</t>
  </si>
  <si>
    <t>Ronks</t>
  </si>
  <si>
    <t>USRLT</t>
  </si>
  <si>
    <t>Roosevelt</t>
  </si>
  <si>
    <t>USR34</t>
  </si>
  <si>
    <t>Rootstown</t>
  </si>
  <si>
    <t>USRSG</t>
  </si>
  <si>
    <t>Rosenberg</t>
  </si>
  <si>
    <t>USRJT</t>
  </si>
  <si>
    <t>Roseton</t>
  </si>
  <si>
    <t>USRV9</t>
  </si>
  <si>
    <t>Roseville</t>
  </si>
  <si>
    <t>USRSK</t>
  </si>
  <si>
    <t>Rosiclare</t>
  </si>
  <si>
    <t>USRYN</t>
  </si>
  <si>
    <t>Roslyn Heights</t>
  </si>
  <si>
    <t>USRAJ</t>
  </si>
  <si>
    <t>USR5W</t>
  </si>
  <si>
    <t>Rowena</t>
  </si>
  <si>
    <t>USZRE</t>
  </si>
  <si>
    <t>Rowlett</t>
  </si>
  <si>
    <t>USYRF</t>
  </si>
  <si>
    <t>Ruffin</t>
  </si>
  <si>
    <t>USYRD</t>
  </si>
  <si>
    <t>Runnemede</t>
  </si>
  <si>
    <t>USZRY</t>
  </si>
  <si>
    <t>USZHB</t>
  </si>
  <si>
    <t>Sabetha</t>
  </si>
  <si>
    <t>USSBB</t>
  </si>
  <si>
    <t>Sabina</t>
  </si>
  <si>
    <t>USSAB</t>
  </si>
  <si>
    <t>Sabine</t>
  </si>
  <si>
    <t>USQSK</t>
  </si>
  <si>
    <t>Saco</t>
  </si>
  <si>
    <t>USSAC</t>
  </si>
  <si>
    <t>Sacramento</t>
  </si>
  <si>
    <t>USRV4</t>
  </si>
  <si>
    <t>Saddle River</t>
  </si>
  <si>
    <t>USGXH</t>
  </si>
  <si>
    <t>Sag Harbor</t>
  </si>
  <si>
    <t>USSP2</t>
  </si>
  <si>
    <t>Sagaponack</t>
  </si>
  <si>
    <t>USXSG</t>
  </si>
  <si>
    <t>Sagola</t>
  </si>
  <si>
    <t>USSA3</t>
  </si>
  <si>
    <t>Saint Albans</t>
  </si>
  <si>
    <t>USS7T</t>
  </si>
  <si>
    <t>Saint Charles</t>
  </si>
  <si>
    <t>USSKZ</t>
  </si>
  <si>
    <t>Saint Clair</t>
  </si>
  <si>
    <t>USCS4</t>
  </si>
  <si>
    <t>Saint Clair Shores</t>
  </si>
  <si>
    <t>USST9</t>
  </si>
  <si>
    <t>USSTG</t>
  </si>
  <si>
    <t>Saint George Island</t>
  </si>
  <si>
    <t>USSTH</t>
  </si>
  <si>
    <t>USHZA</t>
  </si>
  <si>
    <t>Saint Henry</t>
  </si>
  <si>
    <t>USJSY</t>
  </si>
  <si>
    <t>Saint James City</t>
  </si>
  <si>
    <t>USJO4</t>
  </si>
  <si>
    <t>Saint Johns</t>
  </si>
  <si>
    <t>USTOU</t>
  </si>
  <si>
    <t>Saint Johnsville</t>
  </si>
  <si>
    <t>USYSJ</t>
  </si>
  <si>
    <t>Saint Joseph</t>
  </si>
  <si>
    <t>USUTS</t>
  </si>
  <si>
    <t>USSTL</t>
  </si>
  <si>
    <t>USOK9</t>
  </si>
  <si>
    <t>USSTP</t>
  </si>
  <si>
    <t>Saint Paul</t>
  </si>
  <si>
    <t>USS67</t>
  </si>
  <si>
    <t>Saint Paul Park</t>
  </si>
  <si>
    <t>US6TT</t>
  </si>
  <si>
    <t>Saint Pete Beach</t>
  </si>
  <si>
    <t>USPIE</t>
  </si>
  <si>
    <t>Saint Petersburg</t>
  </si>
  <si>
    <t>USSRE</t>
  </si>
  <si>
    <t>Saint Rose</t>
  </si>
  <si>
    <t>USXTM</t>
  </si>
  <si>
    <t>Saint Thomas</t>
  </si>
  <si>
    <t>USSLM</t>
  </si>
  <si>
    <t>Salem</t>
  </si>
  <si>
    <t>USS2B</t>
  </si>
  <si>
    <t>Salemburg</t>
  </si>
  <si>
    <t>USIOR</t>
  </si>
  <si>
    <t>Samoa</t>
  </si>
  <si>
    <t>USZSI</t>
  </si>
  <si>
    <t>San Acacio</t>
  </si>
  <si>
    <t>USSAN</t>
  </si>
  <si>
    <t>San Diego</t>
  </si>
  <si>
    <t>USSFO</t>
  </si>
  <si>
    <t>San Francisco</t>
  </si>
  <si>
    <t>USSJC</t>
  </si>
  <si>
    <t>USZXZ</t>
  </si>
  <si>
    <t>San Lucas</t>
  </si>
  <si>
    <t>USSXF</t>
  </si>
  <si>
    <t>San Mateo</t>
  </si>
  <si>
    <t>USSPQ</t>
  </si>
  <si>
    <t>USBMH</t>
  </si>
  <si>
    <t>Sandoval</t>
  </si>
  <si>
    <t>USZDS</t>
  </si>
  <si>
    <t>Sands Point</t>
  </si>
  <si>
    <t>USSKY</t>
  </si>
  <si>
    <t>Sandusky, Erie</t>
  </si>
  <si>
    <t>USSYP</t>
  </si>
  <si>
    <t>Sandy Point</t>
  </si>
  <si>
    <t>USYSG</t>
  </si>
  <si>
    <t>Sandy Springs</t>
  </si>
  <si>
    <t>USFU7</t>
  </si>
  <si>
    <t>USSBA</t>
  </si>
  <si>
    <t>Santa Barbara</t>
  </si>
  <si>
    <t>USSRU</t>
  </si>
  <si>
    <t>USJQJ</t>
  </si>
  <si>
    <t>Santa Rosa Beach</t>
  </si>
  <si>
    <t>USRO2</t>
  </si>
  <si>
    <t>Santa Rosa Island</t>
  </si>
  <si>
    <t>USSA6</t>
  </si>
  <si>
    <t>Santee</t>
  </si>
  <si>
    <t>USSRN</t>
  </si>
  <si>
    <t>Saranac</t>
  </si>
  <si>
    <t>USZOR</t>
  </si>
  <si>
    <t>Sarasota</t>
  </si>
  <si>
    <t>USS4Y</t>
  </si>
  <si>
    <t>Sarita</t>
  </si>
  <si>
    <t>USZOP</t>
  </si>
  <si>
    <t>Satsop</t>
  </si>
  <si>
    <t>USSSM</t>
  </si>
  <si>
    <t>Sault Sainte Marie</t>
  </si>
  <si>
    <t>USJMC</t>
  </si>
  <si>
    <t>Sausalito</t>
  </si>
  <si>
    <t>USSAV</t>
  </si>
  <si>
    <t>Savannah</t>
  </si>
  <si>
    <t>USTSA</t>
  </si>
  <si>
    <t>USXNA</t>
  </si>
  <si>
    <t>Sayreville</t>
  </si>
  <si>
    <t>USQJZ</t>
  </si>
  <si>
    <t>Scales Mound</t>
  </si>
  <si>
    <t>USS44</t>
  </si>
  <si>
    <t>Scio</t>
  </si>
  <si>
    <t>USXOT</t>
  </si>
  <si>
    <t>Scott</t>
  </si>
  <si>
    <t>USSTZ</t>
  </si>
  <si>
    <t>Scottsdale</t>
  </si>
  <si>
    <t>USTTS</t>
  </si>
  <si>
    <t>Scottsville</t>
  </si>
  <si>
    <t>US7OL</t>
  </si>
  <si>
    <t>Sea Cliff</t>
  </si>
  <si>
    <t>USSRP</t>
  </si>
  <si>
    <t>Searsport</t>
  </si>
  <si>
    <t>USSEA</t>
  </si>
  <si>
    <t>Seattle</t>
  </si>
  <si>
    <t>USYSB</t>
  </si>
  <si>
    <t>Sebree</t>
  </si>
  <si>
    <t>USSE4</t>
  </si>
  <si>
    <t>Sedan</t>
  </si>
  <si>
    <t>USOSM</t>
  </si>
  <si>
    <t>Selma</t>
  </si>
  <si>
    <t>USXSK</t>
  </si>
  <si>
    <t>Shaker Heights</t>
  </si>
  <si>
    <t>USSR4</t>
  </si>
  <si>
    <t>Shalimar</t>
  </si>
  <si>
    <t>USYSH</t>
  </si>
  <si>
    <t>Shamokin</t>
  </si>
  <si>
    <t>USYSD</t>
  </si>
  <si>
    <t>Shedd</t>
  </si>
  <si>
    <t>USNE5</t>
  </si>
  <si>
    <t>Shelby</t>
  </si>
  <si>
    <t>USZ4X</t>
  </si>
  <si>
    <t>USXSI</t>
  </si>
  <si>
    <t>Shelter Island</t>
  </si>
  <si>
    <t>USZSO</t>
  </si>
  <si>
    <t>Sherborn</t>
  </si>
  <si>
    <t>USXSH</t>
  </si>
  <si>
    <t>Shingle Springs</t>
  </si>
  <si>
    <t>USSBQ</t>
  </si>
  <si>
    <t>Ship Bottom</t>
  </si>
  <si>
    <t>USIPX</t>
  </si>
  <si>
    <t>Ship Island</t>
  </si>
  <si>
    <t>USXSY</t>
  </si>
  <si>
    <t>Short Hills</t>
  </si>
  <si>
    <t>USS7I</t>
  </si>
  <si>
    <t>USSI7</t>
  </si>
  <si>
    <t>Sierra Vista</t>
  </si>
  <si>
    <t>USZVA</t>
  </si>
  <si>
    <t>Silva</t>
  </si>
  <si>
    <t>USSIB</t>
  </si>
  <si>
    <t>Silver Bay</t>
  </si>
  <si>
    <t>USVKY</t>
  </si>
  <si>
    <t>Silver Grove</t>
  </si>
  <si>
    <t>USXVN</t>
  </si>
  <si>
    <t>Silverton</t>
  </si>
  <si>
    <t>US2SI</t>
  </si>
  <si>
    <t>Sinton</t>
  </si>
  <si>
    <t>USSUX</t>
  </si>
  <si>
    <t>Sioux City</t>
  </si>
  <si>
    <t>USYER</t>
  </si>
  <si>
    <t>Sisters</t>
  </si>
  <si>
    <t>USSGY</t>
  </si>
  <si>
    <t>Skagway</t>
  </si>
  <si>
    <t>USSI2</t>
  </si>
  <si>
    <t>Sledge Island</t>
  </si>
  <si>
    <t>USSK4</t>
  </si>
  <si>
    <t>Smackover</t>
  </si>
  <si>
    <t>USYSV</t>
  </si>
  <si>
    <t>Smelterville</t>
  </si>
  <si>
    <t>USITN</t>
  </si>
  <si>
    <t>Smithton</t>
  </si>
  <si>
    <t>USYSK</t>
  </si>
  <si>
    <t>Smokey Point</t>
  </si>
  <si>
    <t>USS7Y</t>
  </si>
  <si>
    <t>Smyrna</t>
  </si>
  <si>
    <t>USSE3</t>
  </si>
  <si>
    <t>Soap Lake</t>
  </si>
  <si>
    <t>USYSS</t>
  </si>
  <si>
    <t>Soda Springs</t>
  </si>
  <si>
    <t>USSOD</t>
  </si>
  <si>
    <t>Sodus Point</t>
  </si>
  <si>
    <t>USOMU</t>
  </si>
  <si>
    <t>Solomons</t>
  </si>
  <si>
    <t>USSS3</t>
  </si>
  <si>
    <t>Somerset</t>
  </si>
  <si>
    <t>South Bend</t>
  </si>
  <si>
    <t>USACJ</t>
  </si>
  <si>
    <t>USODT</t>
  </si>
  <si>
    <t>South Dartmouth</t>
  </si>
  <si>
    <t>USQPZ</t>
  </si>
  <si>
    <t>South Fallsburg</t>
  </si>
  <si>
    <t>USYSY</t>
  </si>
  <si>
    <t>South Glastonbury</t>
  </si>
  <si>
    <t>USZYX</t>
  </si>
  <si>
    <t>South Hamilton</t>
  </si>
  <si>
    <t>USSOH</t>
  </si>
  <si>
    <t>South Haven</t>
  </si>
  <si>
    <t>USXSJ</t>
  </si>
  <si>
    <t>South Jordan</t>
  </si>
  <si>
    <t>USS7K</t>
  </si>
  <si>
    <t>South Kingstown</t>
  </si>
  <si>
    <t>USAA9</t>
  </si>
  <si>
    <t>South Mills</t>
  </si>
  <si>
    <t>US2OG</t>
  </si>
  <si>
    <t>South Ogden</t>
  </si>
  <si>
    <t>USOZN</t>
  </si>
  <si>
    <t>South Ozone Park</t>
  </si>
  <si>
    <t>USPXD</t>
  </si>
  <si>
    <t>South Padre Island</t>
  </si>
  <si>
    <t>USSPT</t>
  </si>
  <si>
    <t>South Saint Paul</t>
  </si>
  <si>
    <t>USS8K</t>
  </si>
  <si>
    <t>South Salt Lake</t>
  </si>
  <si>
    <t>USQSW</t>
  </si>
  <si>
    <t>South Walpole</t>
  </si>
  <si>
    <t>USIOH</t>
  </si>
  <si>
    <t>South Willamsport</t>
  </si>
  <si>
    <t>USUWH</t>
  </si>
  <si>
    <t>South Windham</t>
  </si>
  <si>
    <t>USHH7</t>
  </si>
  <si>
    <t>Southhaven</t>
  </si>
  <si>
    <t>US7BA</t>
  </si>
  <si>
    <t>Speedwell</t>
  </si>
  <si>
    <t>USRWQ</t>
  </si>
  <si>
    <t>Spencer</t>
  </si>
  <si>
    <t>USECR</t>
  </si>
  <si>
    <t>USLX8</t>
  </si>
  <si>
    <t>Spillville</t>
  </si>
  <si>
    <t>USXXO</t>
  </si>
  <si>
    <t>Spotsylvania</t>
  </si>
  <si>
    <t>USQSG</t>
  </si>
  <si>
    <t>Spring Green</t>
  </si>
  <si>
    <t>USSG3</t>
  </si>
  <si>
    <t>Spring Grove</t>
  </si>
  <si>
    <t>USZSG</t>
  </si>
  <si>
    <t>USS3G</t>
  </si>
  <si>
    <t>USPGY</t>
  </si>
  <si>
    <t>Spring Valley, San Diego</t>
  </si>
  <si>
    <t>USSFY</t>
  </si>
  <si>
    <t>Springfield</t>
  </si>
  <si>
    <t>USXPG</t>
  </si>
  <si>
    <t>Springville, Suffolk</t>
  </si>
  <si>
    <t>USYSP</t>
  </si>
  <si>
    <t>Sproul</t>
  </si>
  <si>
    <t>USSR9</t>
  </si>
  <si>
    <t>Stansbury park</t>
  </si>
  <si>
    <t>USYRX</t>
  </si>
  <si>
    <t>Star</t>
  </si>
  <si>
    <t>USRL5</t>
  </si>
  <si>
    <t>Starlight</t>
  </si>
  <si>
    <t>USXAR</t>
  </si>
  <si>
    <t>Starr</t>
  </si>
  <si>
    <t>USQQX</t>
  </si>
  <si>
    <t>Steelton</t>
  </si>
  <si>
    <t>USZSP</t>
  </si>
  <si>
    <t>Stephen</t>
  </si>
  <si>
    <t>USTEP</t>
  </si>
  <si>
    <t>Stephentown</t>
  </si>
  <si>
    <t>USSGI</t>
  </si>
  <si>
    <t>Sterling</t>
  </si>
  <si>
    <t>USZSB</t>
  </si>
  <si>
    <t>Stevensburg</t>
  </si>
  <si>
    <t>USTWM</t>
  </si>
  <si>
    <t>Stewart, McLeod</t>
  </si>
  <si>
    <t>USSKT</t>
  </si>
  <si>
    <t>Stickney</t>
  </si>
  <si>
    <t>USLLM</t>
  </si>
  <si>
    <t>Stillmore</t>
  </si>
  <si>
    <t>USTIS</t>
  </si>
  <si>
    <t>Stillwater</t>
  </si>
  <si>
    <t>USTK9</t>
  </si>
  <si>
    <t>Stockett</t>
  </si>
  <si>
    <t>USSCK</t>
  </si>
  <si>
    <t>USSGN</t>
  </si>
  <si>
    <t>Stonington</t>
  </si>
  <si>
    <t>USS8T</t>
  </si>
  <si>
    <t>Stony Point</t>
  </si>
  <si>
    <t>USNYI</t>
  </si>
  <si>
    <t>Stony Point, Rockland</t>
  </si>
  <si>
    <t>USSO9</t>
  </si>
  <si>
    <t>Stookey</t>
  </si>
  <si>
    <t>USZST</t>
  </si>
  <si>
    <t>Stormville</t>
  </si>
  <si>
    <t>USVOW</t>
  </si>
  <si>
    <t>Stow</t>
  </si>
  <si>
    <t>USQST</t>
  </si>
  <si>
    <t>Stoystown</t>
  </si>
  <si>
    <t>USTFO</t>
  </si>
  <si>
    <t>Stratford</t>
  </si>
  <si>
    <t>USHJD</t>
  </si>
  <si>
    <t>Sugar City</t>
  </si>
  <si>
    <t>USZSU</t>
  </si>
  <si>
    <t>Sugarcreek</t>
  </si>
  <si>
    <t>USASZ</t>
  </si>
  <si>
    <t>Sumiton</t>
  </si>
  <si>
    <t>USSK3</t>
  </si>
  <si>
    <t>Summerland Key</t>
  </si>
  <si>
    <t>USSUT</t>
  </si>
  <si>
    <t>Sunny Point</t>
  </si>
  <si>
    <t>USSUW</t>
  </si>
  <si>
    <t>Superior</t>
  </si>
  <si>
    <t>USUIT</t>
  </si>
  <si>
    <t>Susitna</t>
  </si>
  <si>
    <t>USZSD</t>
  </si>
  <si>
    <t>Sutherland</t>
  </si>
  <si>
    <t>USZYY</t>
  </si>
  <si>
    <t>Suttons Bay</t>
  </si>
  <si>
    <t>USZS2</t>
  </si>
  <si>
    <t>Swoope</t>
  </si>
  <si>
    <t>USYL9</t>
  </si>
  <si>
    <t>Sylvania</t>
  </si>
  <si>
    <t>USSYR</t>
  </si>
  <si>
    <t>Syracuse</t>
  </si>
  <si>
    <t>USTB3</t>
  </si>
  <si>
    <t>Tabor</t>
  </si>
  <si>
    <t>USQTB</t>
  </si>
  <si>
    <t>Tabor City</t>
  </si>
  <si>
    <t>USTIW</t>
  </si>
  <si>
    <t>Tacoma</t>
  </si>
  <si>
    <t>USTCH</t>
  </si>
  <si>
    <t>Taconite Harbor</t>
  </si>
  <si>
    <t>USTFT</t>
  </si>
  <si>
    <t>Taft</t>
  </si>
  <si>
    <t>USTA3</t>
  </si>
  <si>
    <t>Tahuya</t>
  </si>
  <si>
    <t>USZAO</t>
  </si>
  <si>
    <t>Taintor</t>
  </si>
  <si>
    <t>USYTL</t>
  </si>
  <si>
    <t>Talent</t>
  </si>
  <si>
    <t>USTA2</t>
  </si>
  <si>
    <t>Talihina</t>
  </si>
  <si>
    <t>USYTA</t>
  </si>
  <si>
    <t>Tallassee, Elmore</t>
  </si>
  <si>
    <t>USTRK</t>
  </si>
  <si>
    <t>Tamarac</t>
  </si>
  <si>
    <t>USTMM</t>
  </si>
  <si>
    <t>Tamms</t>
  </si>
  <si>
    <t>USTPA</t>
  </si>
  <si>
    <t>Tampa</t>
  </si>
  <si>
    <t>USXTS</t>
  </si>
  <si>
    <t>Tams</t>
  </si>
  <si>
    <t>USTBJ</t>
  </si>
  <si>
    <t>Tanaga Bay</t>
  </si>
  <si>
    <t>USZTG</t>
  </si>
  <si>
    <t>Tangent</t>
  </si>
  <si>
    <t>USZKL</t>
  </si>
  <si>
    <t>Tarpon Springs</t>
  </si>
  <si>
    <t>USTWZ</t>
  </si>
  <si>
    <t>Tarrytown</t>
  </si>
  <si>
    <t>USTDI</t>
  </si>
  <si>
    <t>Tatoosh Island</t>
  </si>
  <si>
    <t>USTNE</t>
  </si>
  <si>
    <t>Tavernier</t>
  </si>
  <si>
    <t>USUTA</t>
  </si>
  <si>
    <t>Tchula</t>
  </si>
  <si>
    <t>USTMZ</t>
  </si>
  <si>
    <t>Tecumseh</t>
  </si>
  <si>
    <t>USTSL</t>
  </si>
  <si>
    <t>Ten Sleep</t>
  </si>
  <si>
    <t>USZNH</t>
  </si>
  <si>
    <t>Tenants Harbour</t>
  </si>
  <si>
    <t>USVVC</t>
  </si>
  <si>
    <t>Terra Bella</t>
  </si>
  <si>
    <t>USNJQ</t>
  </si>
  <si>
    <t>Terrebonne</t>
  </si>
  <si>
    <t>USQTY</t>
  </si>
  <si>
    <t>Terry</t>
  </si>
  <si>
    <t>USTXT</t>
  </si>
  <si>
    <t>Texas City</t>
  </si>
  <si>
    <t>USCY2</t>
  </si>
  <si>
    <t>The Colony</t>
  </si>
  <si>
    <t>USOJL</t>
  </si>
  <si>
    <t>Thenard</t>
  </si>
  <si>
    <t>USTPS</t>
  </si>
  <si>
    <t>Thompson</t>
  </si>
  <si>
    <t>USTHF</t>
  </si>
  <si>
    <t>Thompson Falls</t>
  </si>
  <si>
    <t>USTPW</t>
  </si>
  <si>
    <t>Thompsontown</t>
  </si>
  <si>
    <t>USQTF</t>
  </si>
  <si>
    <t>Three Forks Junction</t>
  </si>
  <si>
    <t>USOI7</t>
  </si>
  <si>
    <t>Three Oaks</t>
  </si>
  <si>
    <t>USXTN</t>
  </si>
  <si>
    <t>Tiburon</t>
  </si>
  <si>
    <t>USZTR</t>
  </si>
  <si>
    <t>Tillar</t>
  </si>
  <si>
    <t>USTL8</t>
  </si>
  <si>
    <t>Tillson</t>
  </si>
  <si>
    <t>USXTE</t>
  </si>
  <si>
    <t>Timmonsville</t>
  </si>
  <si>
    <t>USTQT</t>
  </si>
  <si>
    <t>Tionesta</t>
  </si>
  <si>
    <t>USTSI</t>
  </si>
  <si>
    <t>Tishomingo</t>
  </si>
  <si>
    <t>USTOL</t>
  </si>
  <si>
    <t>Toledo</t>
  </si>
  <si>
    <t>USQTH</t>
  </si>
  <si>
    <t>Tomah</t>
  </si>
  <si>
    <t>USYTO</t>
  </si>
  <si>
    <t>Tomhicken</t>
  </si>
  <si>
    <t>USTKN</t>
  </si>
  <si>
    <t>Tomkins Cove</t>
  </si>
  <si>
    <t>USQTO</t>
  </si>
  <si>
    <t>Tonica</t>
  </si>
  <si>
    <t>USQTN</t>
  </si>
  <si>
    <t>Tornillo</t>
  </si>
  <si>
    <t>USTTV</t>
  </si>
  <si>
    <t>Tottenville, Staten Island</t>
  </si>
  <si>
    <t>USZTU</t>
  </si>
  <si>
    <t>Toughkenamon</t>
  </si>
  <si>
    <t>UST5W</t>
  </si>
  <si>
    <t>Tow</t>
  </si>
  <si>
    <t>USTC4</t>
  </si>
  <si>
    <t>Town and Country</t>
  </si>
  <si>
    <t>USTFG</t>
  </si>
  <si>
    <t>Trafalgar</t>
  </si>
  <si>
    <t>USTFR</t>
  </si>
  <si>
    <t>Transfer</t>
  </si>
  <si>
    <t>UST2R</t>
  </si>
  <si>
    <t>Trempealeau</t>
  </si>
  <si>
    <t>US8YI</t>
  </si>
  <si>
    <t>Tres Pinos</t>
  </si>
  <si>
    <t>USTNV</t>
  </si>
  <si>
    <t>Triangle</t>
  </si>
  <si>
    <t>USYTC</t>
  </si>
  <si>
    <t>Tri-Cities</t>
  </si>
  <si>
    <t>USQTI</t>
  </si>
  <si>
    <t>Trinity</t>
  </si>
  <si>
    <t>USOYY</t>
  </si>
  <si>
    <t>Troy</t>
  </si>
  <si>
    <t>USTRY</t>
  </si>
  <si>
    <t>USTMN</t>
  </si>
  <si>
    <t>Trumann</t>
  </si>
  <si>
    <t>USZNT</t>
  </si>
  <si>
    <t>Tryon</t>
  </si>
  <si>
    <t>USTBZ</t>
  </si>
  <si>
    <t>Tubac</t>
  </si>
  <si>
    <t>USXTY</t>
  </si>
  <si>
    <t>Tuckahoe</t>
  </si>
  <si>
    <t>USUQQ</t>
  </si>
  <si>
    <t>Tulalip</t>
  </si>
  <si>
    <t>USTNI</t>
  </si>
  <si>
    <t>Tunica</t>
  </si>
  <si>
    <t>USTP2</t>
  </si>
  <si>
    <t>Tupper Lake</t>
  </si>
  <si>
    <t>USM4U</t>
  </si>
  <si>
    <t>Turner Falls</t>
  </si>
  <si>
    <t>USTT9</t>
  </si>
  <si>
    <t>Tuscan</t>
  </si>
  <si>
    <t>USTW2</t>
  </si>
  <si>
    <t>Twin Lake</t>
  </si>
  <si>
    <t>USZYI</t>
  </si>
  <si>
    <t>Tybee Island</t>
  </si>
  <si>
    <t>USTE8</t>
  </si>
  <si>
    <t>Tyee</t>
  </si>
  <si>
    <t>US4TP</t>
  </si>
  <si>
    <t>US3DV</t>
  </si>
  <si>
    <t>Ulupalakua</t>
  </si>
  <si>
    <t>US9QA</t>
  </si>
  <si>
    <t>Umpqua</t>
  </si>
  <si>
    <t>USZUC</t>
  </si>
  <si>
    <t>Union Center</t>
  </si>
  <si>
    <t>USYUG</t>
  </si>
  <si>
    <t>Union Gap</t>
  </si>
  <si>
    <t>USUT2</t>
  </si>
  <si>
    <t>Uniontown</t>
  </si>
  <si>
    <t>USUHI</t>
  </si>
  <si>
    <t>Unity</t>
  </si>
  <si>
    <t>USUKK</t>
  </si>
  <si>
    <t>University Park</t>
  </si>
  <si>
    <t>USYUP</t>
  </si>
  <si>
    <t>Upper Brookville</t>
  </si>
  <si>
    <t>USQUS</t>
  </si>
  <si>
    <t>Upper Saint Regis</t>
  </si>
  <si>
    <t>USUCR</t>
  </si>
  <si>
    <t>Urbancrest</t>
  </si>
  <si>
    <t>USUWC</t>
  </si>
  <si>
    <t>Uwchland</t>
  </si>
  <si>
    <t>USUXX</t>
  </si>
  <si>
    <t>Uxbridge</t>
  </si>
  <si>
    <t>USVDZ</t>
  </si>
  <si>
    <t>Valdez</t>
  </si>
  <si>
    <t>US8QA</t>
  </si>
  <si>
    <t>Vallecito</t>
  </si>
  <si>
    <t>USVLS</t>
  </si>
  <si>
    <t>Van Alstyne</t>
  </si>
  <si>
    <t>Van Buren</t>
  </si>
  <si>
    <t>USVBE</t>
  </si>
  <si>
    <t>USVGS</t>
  </si>
  <si>
    <t>Vanceburg</t>
  </si>
  <si>
    <t>USVAN</t>
  </si>
  <si>
    <t>USYVR</t>
  </si>
  <si>
    <t>Varnell</t>
  </si>
  <si>
    <t>USYVI</t>
  </si>
  <si>
    <t>Vashon Island</t>
  </si>
  <si>
    <t>USVN3</t>
  </si>
  <si>
    <t>Venice</t>
  </si>
  <si>
    <t>USVNT</t>
  </si>
  <si>
    <t>Ventura</t>
  </si>
  <si>
    <t>USVE9</t>
  </si>
  <si>
    <t>Vermilion</t>
  </si>
  <si>
    <t>USVKB</t>
  </si>
  <si>
    <t>Vicksburg</t>
  </si>
  <si>
    <t>USVKS</t>
  </si>
  <si>
    <t>US3DU</t>
  </si>
  <si>
    <t>Victor</t>
  </si>
  <si>
    <t>USVMD</t>
  </si>
  <si>
    <t>Vienna</t>
  </si>
  <si>
    <t>USVJ2</t>
  </si>
  <si>
    <t>Villard Junction</t>
  </si>
  <si>
    <t>US3TR</t>
  </si>
  <si>
    <t>Vineburg</t>
  </si>
  <si>
    <t>USVED</t>
  </si>
  <si>
    <t>Vineyard</t>
  </si>
  <si>
    <t>USVIX</t>
  </si>
  <si>
    <t>Viola</t>
  </si>
  <si>
    <t>USVOT</t>
  </si>
  <si>
    <t>Violet</t>
  </si>
  <si>
    <t>USVIR</t>
  </si>
  <si>
    <t>Viroqua</t>
  </si>
  <si>
    <t>USWR4</t>
  </si>
  <si>
    <t>Wading River</t>
  </si>
  <si>
    <t>USWY2</t>
  </si>
  <si>
    <t>Wadley</t>
  </si>
  <si>
    <t>USWW9</t>
  </si>
  <si>
    <t>Wadmalaw Island</t>
  </si>
  <si>
    <t>USQWD</t>
  </si>
  <si>
    <t>Waelder</t>
  </si>
  <si>
    <t>USWG2</t>
  </si>
  <si>
    <t>Waggaman</t>
  </si>
  <si>
    <t>US9AI</t>
  </si>
  <si>
    <t>Waianae</t>
  </si>
  <si>
    <t>USWH7</t>
  </si>
  <si>
    <t>USWA7</t>
  </si>
  <si>
    <t>Wakeman</t>
  </si>
  <si>
    <t>US8UY</t>
  </si>
  <si>
    <t>Waldo</t>
  </si>
  <si>
    <t>USWU7</t>
  </si>
  <si>
    <t>Walnut</t>
  </si>
  <si>
    <t>USH9S</t>
  </si>
  <si>
    <t>Walnut Shade</t>
  </si>
  <si>
    <t>USWA4</t>
  </si>
  <si>
    <t>Walsh</t>
  </si>
  <si>
    <t>USYWD</t>
  </si>
  <si>
    <t>Ward</t>
  </si>
  <si>
    <t>USASS</t>
  </si>
  <si>
    <t>Ware Shoals</t>
  </si>
  <si>
    <t>USVWR</t>
  </si>
  <si>
    <t>Warren</t>
  </si>
  <si>
    <t>USJCQ</t>
  </si>
  <si>
    <t>Warrensburg</t>
  </si>
  <si>
    <t>USRRT</t>
  </si>
  <si>
    <t>Warroad</t>
  </si>
  <si>
    <t>USWZS</t>
  </si>
  <si>
    <t>Warsaw</t>
  </si>
  <si>
    <t>USWTU</t>
  </si>
  <si>
    <t>Wartburg</t>
  </si>
  <si>
    <t>USKJH</t>
  </si>
  <si>
    <t>Washington</t>
  </si>
  <si>
    <t>USWAB</t>
  </si>
  <si>
    <t>USHQJ</t>
  </si>
  <si>
    <t>USW9A</t>
  </si>
  <si>
    <t>Washington Terrace</t>
  </si>
  <si>
    <t>USWVA</t>
  </si>
  <si>
    <t>Water Valley</t>
  </si>
  <si>
    <t>USWPF</t>
  </si>
  <si>
    <t>Waterproof</t>
  </si>
  <si>
    <t>US999</t>
  </si>
  <si>
    <t>Waterville</t>
  </si>
  <si>
    <t>USUGN</t>
  </si>
  <si>
    <t>Waukegan</t>
  </si>
  <si>
    <t>USWQU</t>
  </si>
  <si>
    <t>Wauna Range</t>
  </si>
  <si>
    <t>USWUP</t>
  </si>
  <si>
    <t>Waupaca</t>
  </si>
  <si>
    <t>USZAL</t>
  </si>
  <si>
    <t>Waverly Hall</t>
  </si>
  <si>
    <t>USYWZ</t>
  </si>
  <si>
    <t>Wayzata</t>
  </si>
  <si>
    <t>USXBW</t>
  </si>
  <si>
    <t>Webb City</t>
  </si>
  <si>
    <t>USAFW</t>
  </si>
  <si>
    <t>Webster, Harris</t>
  </si>
  <si>
    <t>USEOM</t>
  </si>
  <si>
    <t>Welcome</t>
  </si>
  <si>
    <t>USWCO</t>
  </si>
  <si>
    <t>US3OL</t>
  </si>
  <si>
    <t>Wellfleet</t>
  </si>
  <si>
    <t>USWNH</t>
  </si>
  <si>
    <t>Wentworth</t>
  </si>
  <si>
    <t>USWEQ</t>
  </si>
  <si>
    <t>West Allis</t>
  </si>
  <si>
    <t>USWBM</t>
  </si>
  <si>
    <t>West Boylston</t>
  </si>
  <si>
    <t>US4WR</t>
  </si>
  <si>
    <t>West Glocester</t>
  </si>
  <si>
    <t>USL3Y</t>
  </si>
  <si>
    <t>West Grove</t>
  </si>
  <si>
    <t>USYWE</t>
  </si>
  <si>
    <t>West Homestead</t>
  </si>
  <si>
    <t>USWLQ</t>
  </si>
  <si>
    <t>West Long Branch</t>
  </si>
  <si>
    <t>USJWQ</t>
  </si>
  <si>
    <t>West Milton</t>
  </si>
  <si>
    <t>US3TU</t>
  </si>
  <si>
    <t>West Newton</t>
  </si>
  <si>
    <t>USPBI</t>
  </si>
  <si>
    <t>West Palm Beach</t>
  </si>
  <si>
    <t>USWOT</t>
  </si>
  <si>
    <t>West Point</t>
  </si>
  <si>
    <t>USWR3</t>
  </si>
  <si>
    <t>West Portsmouth</t>
  </si>
  <si>
    <t>USZDG</t>
  </si>
  <si>
    <t>West Reading</t>
  </si>
  <si>
    <t>USXTR</t>
  </si>
  <si>
    <t>West Rutland</t>
  </si>
  <si>
    <t>USYLY</t>
  </si>
  <si>
    <t>West Sayville</t>
  </si>
  <si>
    <t>USWMU</t>
  </si>
  <si>
    <t>West Yarmouth</t>
  </si>
  <si>
    <t>USWEP</t>
  </si>
  <si>
    <t>Westampton</t>
  </si>
  <si>
    <t>USWE2</t>
  </si>
  <si>
    <t>Westerlo</t>
  </si>
  <si>
    <t>USWY7</t>
  </si>
  <si>
    <t>Weston</t>
  </si>
  <si>
    <t>USZXQ</t>
  </si>
  <si>
    <t>Westover</t>
  </si>
  <si>
    <t>USWPT</t>
  </si>
  <si>
    <t>US3DC</t>
  </si>
  <si>
    <t>Westwood</t>
  </si>
  <si>
    <t>USWWI</t>
  </si>
  <si>
    <t>Weyauwega</t>
  </si>
  <si>
    <t>USU3V</t>
  </si>
  <si>
    <t>Weybridge</t>
  </si>
  <si>
    <t>USYWH</t>
  </si>
  <si>
    <t>Whately</t>
  </si>
  <si>
    <t>USWKT</t>
  </si>
  <si>
    <t>Whitakers</t>
  </si>
  <si>
    <t>USXWE</t>
  </si>
  <si>
    <t>White Lake</t>
  </si>
  <si>
    <t>USWXB</t>
  </si>
  <si>
    <t>White Oak</t>
  </si>
  <si>
    <t>USZTP</t>
  </si>
  <si>
    <t>White Pine</t>
  </si>
  <si>
    <t>USXWT</t>
  </si>
  <si>
    <t>Whitestown</t>
  </si>
  <si>
    <t>USWQA</t>
  </si>
  <si>
    <t>Whitman</t>
  </si>
  <si>
    <t>USWMP</t>
  </si>
  <si>
    <t>Whitmore Lake</t>
  </si>
  <si>
    <t>USWCP</t>
  </si>
  <si>
    <t>Wicker Park</t>
  </si>
  <si>
    <t>USWC4</t>
  </si>
  <si>
    <t>Wicomico Church</t>
  </si>
  <si>
    <t>USYWI</t>
  </si>
  <si>
    <t>Wilcox</t>
  </si>
  <si>
    <t>USVTD</t>
  </si>
  <si>
    <t>Wilder</t>
  </si>
  <si>
    <t>USYWA</t>
  </si>
  <si>
    <t>Willacoochee</t>
  </si>
  <si>
    <t>USIIW</t>
  </si>
  <si>
    <t>Williams</t>
  </si>
  <si>
    <t>USWUS</t>
  </si>
  <si>
    <t>Williamsburg</t>
  </si>
  <si>
    <t>USIIM</t>
  </si>
  <si>
    <t>Williamston</t>
  </si>
  <si>
    <t>USXZW</t>
  </si>
  <si>
    <t>Willianstown</t>
  </si>
  <si>
    <t>USQWL</t>
  </si>
  <si>
    <t>Willimantic</t>
  </si>
  <si>
    <t>USW26</t>
  </si>
  <si>
    <t>Willow Park</t>
  </si>
  <si>
    <t>USWPB</t>
  </si>
  <si>
    <t>Wills Point</t>
  </si>
  <si>
    <t>USWMA</t>
  </si>
  <si>
    <t>Wilma</t>
  </si>
  <si>
    <t>USWTN</t>
  </si>
  <si>
    <t>Wilmington</t>
  </si>
  <si>
    <t>USILG</t>
  </si>
  <si>
    <t>USILM</t>
  </si>
  <si>
    <t>USYST</t>
  </si>
  <si>
    <t>Winchester</t>
  </si>
  <si>
    <t>USWMJ</t>
  </si>
  <si>
    <t>Windham</t>
  </si>
  <si>
    <t>USQZJ</t>
  </si>
  <si>
    <t>USWGX</t>
  </si>
  <si>
    <t>Wingate</t>
  </si>
  <si>
    <t>USWGB</t>
  </si>
  <si>
    <t>Winnebago, Faribault</t>
  </si>
  <si>
    <t>USYEC</t>
  </si>
  <si>
    <t>Winneconne</t>
  </si>
  <si>
    <t>USZTK</t>
  </si>
  <si>
    <t>Winnetka</t>
  </si>
  <si>
    <t>USONA</t>
  </si>
  <si>
    <t>Winona</t>
  </si>
  <si>
    <t>USWNK</t>
  </si>
  <si>
    <t>Winooski</t>
  </si>
  <si>
    <t>USWNS</t>
  </si>
  <si>
    <t>Winsted</t>
  </si>
  <si>
    <t>USZIW</t>
  </si>
  <si>
    <t>Winter Springs</t>
  </si>
  <si>
    <t>USWQZ</t>
  </si>
  <si>
    <t>Wintersville</t>
  </si>
  <si>
    <t>USWRP</t>
  </si>
  <si>
    <t>Winterthur</t>
  </si>
  <si>
    <t>USWNF</t>
  </si>
  <si>
    <t>Wisconsin Dells</t>
  </si>
  <si>
    <t>USXWO</t>
  </si>
  <si>
    <t>Wolcott</t>
  </si>
  <si>
    <t>USTIE</t>
  </si>
  <si>
    <t>Wolcottville</t>
  </si>
  <si>
    <t>USWFB</t>
  </si>
  <si>
    <t>Wolfeboro</t>
  </si>
  <si>
    <t>US8DC</t>
  </si>
  <si>
    <t>Woodacre</t>
  </si>
  <si>
    <t>US8TT</t>
  </si>
  <si>
    <t>Woodbury</t>
  </si>
  <si>
    <t>USUO4</t>
  </si>
  <si>
    <t>Woodfin</t>
  </si>
  <si>
    <t>USWO7</t>
  </si>
  <si>
    <t>Woodgate</t>
  </si>
  <si>
    <t>US8XC</t>
  </si>
  <si>
    <t>Woodmere</t>
  </si>
  <si>
    <t>US8XD</t>
  </si>
  <si>
    <t>USWDZ</t>
  </si>
  <si>
    <t>Woodside</t>
  </si>
  <si>
    <t>USWOV</t>
  </si>
  <si>
    <t>Woodsville</t>
  </si>
  <si>
    <t>USYWR</t>
  </si>
  <si>
    <t>Woolrich</t>
  </si>
  <si>
    <t>USORH</t>
  </si>
  <si>
    <t>Worcester</t>
  </si>
  <si>
    <t>USWXS</t>
  </si>
  <si>
    <t>Wrightstown</t>
  </si>
  <si>
    <t>USWUR</t>
  </si>
  <si>
    <t>Wurtland</t>
  </si>
  <si>
    <t>USXYT</t>
  </si>
  <si>
    <t>Wyatt</t>
  </si>
  <si>
    <t>USZWK</t>
  </si>
  <si>
    <t>Wyckoff</t>
  </si>
  <si>
    <t>Wynnewood</t>
  </si>
  <si>
    <t>USQWW</t>
  </si>
  <si>
    <t>USYAZ</t>
  </si>
  <si>
    <t>Yazoo City</t>
  </si>
  <si>
    <t>USYOK</t>
  </si>
  <si>
    <t>Yoke Bay</t>
  </si>
  <si>
    <t>USYKB</t>
  </si>
  <si>
    <t>York Beach</t>
  </si>
  <si>
    <t>USZYH</t>
  </si>
  <si>
    <t>York Harbor</t>
  </si>
  <si>
    <t>USYTW</t>
  </si>
  <si>
    <t>Youngstown</t>
  </si>
  <si>
    <t>US8PR</t>
  </si>
  <si>
    <t>Zamora</t>
  </si>
  <si>
    <t>USZR9</t>
  </si>
  <si>
    <t>Zirconia</t>
  </si>
  <si>
    <t>USZUM</t>
  </si>
  <si>
    <t>Zumbrota</t>
  </si>
  <si>
    <t>UYCAR</t>
  </si>
  <si>
    <t>Carmelo</t>
  </si>
  <si>
    <t>UYCYR</t>
  </si>
  <si>
    <t>Colonia</t>
  </si>
  <si>
    <t>UYCPP</t>
  </si>
  <si>
    <t>Cuenca del Plata</t>
  </si>
  <si>
    <t>UYDZO</t>
  </si>
  <si>
    <t>Durazno</t>
  </si>
  <si>
    <t>UYFZB</t>
  </si>
  <si>
    <t>Fray Bentos</t>
  </si>
  <si>
    <t>UYJIT</t>
  </si>
  <si>
    <t>Jose Ignacio Terminal</t>
  </si>
  <si>
    <t>UYJLC</t>
  </si>
  <si>
    <t>Juan L. Lacaze</t>
  </si>
  <si>
    <t>UYLAP</t>
  </si>
  <si>
    <t>La Paloma/Rocha</t>
  </si>
  <si>
    <t>UYMER</t>
  </si>
  <si>
    <t>Mercedes</t>
  </si>
  <si>
    <t>UYMVD</t>
  </si>
  <si>
    <t>Montevideo</t>
  </si>
  <si>
    <t>UYNVP</t>
  </si>
  <si>
    <t>Nueva Palmira</t>
  </si>
  <si>
    <t>UYPDU</t>
  </si>
  <si>
    <t>Paysandu</t>
  </si>
  <si>
    <t>UYPIR</t>
  </si>
  <si>
    <t>UYPDP</t>
  </si>
  <si>
    <t>Punta del Este</t>
  </si>
  <si>
    <t>UYSTY</t>
  </si>
  <si>
    <t>UZAKT</t>
  </si>
  <si>
    <t>Akaltyn</t>
  </si>
  <si>
    <t>UZASA</t>
  </si>
  <si>
    <t>Asaka</t>
  </si>
  <si>
    <t>VCCRP</t>
  </si>
  <si>
    <t>Campden Park</t>
  </si>
  <si>
    <t>VCCAN</t>
  </si>
  <si>
    <t>Canouan Island</t>
  </si>
  <si>
    <t>VCGRG</t>
  </si>
  <si>
    <t>VCKTN</t>
  </si>
  <si>
    <t>Kingstown</t>
  </si>
  <si>
    <t>VCMQS</t>
  </si>
  <si>
    <t>Mustique Island</t>
  </si>
  <si>
    <t>VCBQU</t>
  </si>
  <si>
    <t>Port Elizabeth, Bequia</t>
  </si>
  <si>
    <t>VCSVD</t>
  </si>
  <si>
    <t>Saint Vincent</t>
  </si>
  <si>
    <t>VCUNI</t>
  </si>
  <si>
    <t>Union Island</t>
  </si>
  <si>
    <t>VEAMY</t>
  </si>
  <si>
    <t>Amuay</t>
  </si>
  <si>
    <t>VEARA</t>
  </si>
  <si>
    <t>Araya</t>
  </si>
  <si>
    <t>VEBAV</t>
  </si>
  <si>
    <t>Bachaquero/Maracaibo L</t>
  </si>
  <si>
    <t>VEBJV</t>
  </si>
  <si>
    <t>Bajo Grande/Maracaibo L</t>
  </si>
  <si>
    <t>VECBS</t>
  </si>
  <si>
    <t>Cabimas/Maracaibo L</t>
  </si>
  <si>
    <t>VECXA</t>
  </si>
  <si>
    <t>Caicara de Orinoco</t>
  </si>
  <si>
    <t>VECAR</t>
  </si>
  <si>
    <t>Caripito</t>
  </si>
  <si>
    <t>VECUP</t>
  </si>
  <si>
    <t>Carupano</t>
  </si>
  <si>
    <t>VECHV</t>
  </si>
  <si>
    <t>Chichiriviche</t>
  </si>
  <si>
    <t>VECHQ</t>
  </si>
  <si>
    <t>VECBL</t>
  </si>
  <si>
    <t>VECGU</t>
  </si>
  <si>
    <t>Ciudad Guayana</t>
  </si>
  <si>
    <t>VECZE</t>
  </si>
  <si>
    <t>Coro</t>
  </si>
  <si>
    <t>VECUM</t>
  </si>
  <si>
    <t>Cumana</t>
  </si>
  <si>
    <t>VEELC</t>
  </si>
  <si>
    <t>El Chaure</t>
  </si>
  <si>
    <t>VEEGU</t>
  </si>
  <si>
    <t>El Guamache</t>
  </si>
  <si>
    <t>VEELP</t>
  </si>
  <si>
    <t>El Palito</t>
  </si>
  <si>
    <t>VEETV</t>
  </si>
  <si>
    <t>El Tablazo/Maracaibo L</t>
  </si>
  <si>
    <t>VEGUT</t>
  </si>
  <si>
    <t>Guanta</t>
  </si>
  <si>
    <t>VEGUA</t>
  </si>
  <si>
    <t>Guaranao</t>
  </si>
  <si>
    <t>VEGUB</t>
  </si>
  <si>
    <t>Guaranao Bay</t>
  </si>
  <si>
    <t>VEGUI</t>
  </si>
  <si>
    <t>Guiria</t>
  </si>
  <si>
    <t>VEJOT</t>
  </si>
  <si>
    <t>Jose Terminal</t>
  </si>
  <si>
    <t>VELCV</t>
  </si>
  <si>
    <t>La Ceiba/Maracaibo L</t>
  </si>
  <si>
    <t>VELEC</t>
  </si>
  <si>
    <t>La Estacada</t>
  </si>
  <si>
    <t>VELAG</t>
  </si>
  <si>
    <t>La Guaira</t>
  </si>
  <si>
    <t>VELSV</t>
  </si>
  <si>
    <t>La Salina/Maracaibo L</t>
  </si>
  <si>
    <t>VELVL</t>
  </si>
  <si>
    <t>La Vela de Coro</t>
  </si>
  <si>
    <t>VELGY</t>
  </si>
  <si>
    <t>Lagunillas</t>
  </si>
  <si>
    <t>VELSP</t>
  </si>
  <si>
    <t>Las Piedras</t>
  </si>
  <si>
    <t>VEMAR</t>
  </si>
  <si>
    <t>Maracaibo</t>
  </si>
  <si>
    <t>VEMTV</t>
  </si>
  <si>
    <t>VEPMR</t>
  </si>
  <si>
    <t>Palmarejo/Maracaibo L.</t>
  </si>
  <si>
    <t>VEPLA</t>
  </si>
  <si>
    <t>VEPMP</t>
  </si>
  <si>
    <t>Pampatar</t>
  </si>
  <si>
    <t>VEPCT</t>
  </si>
  <si>
    <t>Paracotos</t>
  </si>
  <si>
    <t>VEPAR</t>
  </si>
  <si>
    <t>Paradero</t>
  </si>
  <si>
    <t>VEPRC</t>
  </si>
  <si>
    <t>Paraguana Refinery Center</t>
  </si>
  <si>
    <t>VEPRG</t>
  </si>
  <si>
    <t>Pertigalete</t>
  </si>
  <si>
    <t>VEPTZ</t>
  </si>
  <si>
    <t>Petrozuata</t>
  </si>
  <si>
    <t>VEPYH</t>
  </si>
  <si>
    <t>Puerto Ayacucho</t>
  </si>
  <si>
    <t>VEPBL</t>
  </si>
  <si>
    <t>Puerto Cabello</t>
  </si>
  <si>
    <t>VEPCO</t>
  </si>
  <si>
    <t>Puerto Carenero</t>
  </si>
  <si>
    <t>VECMR</t>
  </si>
  <si>
    <t>Puerto Cumarebo</t>
  </si>
  <si>
    <t>VEPHO</t>
  </si>
  <si>
    <t>Puerto de Hierro</t>
  </si>
  <si>
    <t>VEPCZ</t>
  </si>
  <si>
    <t>Puerto La Cruz</t>
  </si>
  <si>
    <t>VEMIV</t>
  </si>
  <si>
    <t>Puerto Miranda/Maracaibo L.</t>
  </si>
  <si>
    <t>VEPZO</t>
  </si>
  <si>
    <t>Puerto Ordaz</t>
  </si>
  <si>
    <t>VEPPZ</t>
  </si>
  <si>
    <t>VEPSU</t>
  </si>
  <si>
    <t>Puerto Sucre</t>
  </si>
  <si>
    <t>VEPCA</t>
  </si>
  <si>
    <t>Punta Camacho</t>
  </si>
  <si>
    <t>VEPCN</t>
  </si>
  <si>
    <t>VEPCU</t>
  </si>
  <si>
    <t>Punta Cuchillo</t>
  </si>
  <si>
    <t>VEPLV</t>
  </si>
  <si>
    <t>Punta de Palmas</t>
  </si>
  <si>
    <t>VEPPD</t>
  </si>
  <si>
    <t>Punta de Piedra</t>
  </si>
  <si>
    <t>VEPFI</t>
  </si>
  <si>
    <t>Punto Fijo</t>
  </si>
  <si>
    <t>VESFX</t>
  </si>
  <si>
    <t>VESFD</t>
  </si>
  <si>
    <t>San Fernando de Apure</t>
  </si>
  <si>
    <t>VESLV</t>
  </si>
  <si>
    <t>San Lorenzo/Maracaibo L</t>
  </si>
  <si>
    <t>VETJV</t>
  </si>
  <si>
    <t>Tia Juana/Maracaibo L</t>
  </si>
  <si>
    <t>VETUR</t>
  </si>
  <si>
    <t>Turiamo</t>
  </si>
  <si>
    <t>VEYUR</t>
  </si>
  <si>
    <t>VGEIS</t>
  </si>
  <si>
    <t>Beef Island, Tortola</t>
  </si>
  <si>
    <t>VGJVD</t>
  </si>
  <si>
    <t>Jost Van Dyke</t>
  </si>
  <si>
    <t>VGNIS</t>
  </si>
  <si>
    <t>Norman Island</t>
  </si>
  <si>
    <t>VGPUR</t>
  </si>
  <si>
    <t>Port Purcell</t>
  </si>
  <si>
    <t>VGRAD</t>
  </si>
  <si>
    <t>Road Town, Tortola</t>
  </si>
  <si>
    <t>VGSHO</t>
  </si>
  <si>
    <t>Sopers Hole</t>
  </si>
  <si>
    <t>VGTOV</t>
  </si>
  <si>
    <t>Tortola</t>
  </si>
  <si>
    <t>VICHA</t>
  </si>
  <si>
    <t>Charlotte Amalie, Saint Thomas</t>
  </si>
  <si>
    <t>VICTD</t>
  </si>
  <si>
    <t>Christiansted, Saint Croix</t>
  </si>
  <si>
    <t>VICZB</t>
  </si>
  <si>
    <t>Cruz Bay, Saint John</t>
  </si>
  <si>
    <t>VIENP</t>
  </si>
  <si>
    <t>Enighed Pond</t>
  </si>
  <si>
    <t>VIFRD</t>
  </si>
  <si>
    <t>Frederiksted, Saint Croix</t>
  </si>
  <si>
    <t>VIHOC</t>
  </si>
  <si>
    <t>Hovic</t>
  </si>
  <si>
    <t>VILIB</t>
  </si>
  <si>
    <t>Limetree Bay</t>
  </si>
  <si>
    <t>VIPAX</t>
  </si>
  <si>
    <t>Port Alucroix</t>
  </si>
  <si>
    <t>VISTT</t>
  </si>
  <si>
    <t>VNOTW</t>
  </si>
  <si>
    <t>B12 Oil Terminal</t>
  </si>
  <si>
    <t>VNBNO</t>
  </si>
  <si>
    <t>Ba Ngoi</t>
  </si>
  <si>
    <t>VNBHO</t>
  </si>
  <si>
    <t>Bach Ho</t>
  </si>
  <si>
    <t>VNBAO</t>
  </si>
  <si>
    <t>Bao Loc</t>
  </si>
  <si>
    <t>VNBCD</t>
  </si>
  <si>
    <t>Ben Dam Con Dao Terminals</t>
  </si>
  <si>
    <t>VNBNG</t>
  </si>
  <si>
    <t>VNBEN</t>
  </si>
  <si>
    <t>Benthuy</t>
  </si>
  <si>
    <t>VNBDU</t>
  </si>
  <si>
    <t>Binh Duong</t>
  </si>
  <si>
    <t>VNBDG</t>
  </si>
  <si>
    <t>Binh Duong Terminal</t>
  </si>
  <si>
    <t>VNBLG</t>
  </si>
  <si>
    <t>Binh Long Port</t>
  </si>
  <si>
    <t>VNBMH</t>
  </si>
  <si>
    <t>Binh Minh</t>
  </si>
  <si>
    <t>VNBSE</t>
  </si>
  <si>
    <t>VNHNH</t>
  </si>
  <si>
    <t>Bong Son</t>
  </si>
  <si>
    <t>VNCCU</t>
  </si>
  <si>
    <t>Cai Cui Port</t>
  </si>
  <si>
    <t>VNCLN</t>
  </si>
  <si>
    <t>Cai Lan</t>
  </si>
  <si>
    <t>VNTOT</t>
  </si>
  <si>
    <t>Cai Mep</t>
  </si>
  <si>
    <t>VNCMT</t>
  </si>
  <si>
    <t>Cai Mep International Terminal</t>
  </si>
  <si>
    <t>VNBAN</t>
  </si>
  <si>
    <t>VNCPH</t>
  </si>
  <si>
    <t>Cam Pha</t>
  </si>
  <si>
    <t>VNCRB</t>
  </si>
  <si>
    <t>Camranh</t>
  </si>
  <si>
    <t>VNVCA</t>
  </si>
  <si>
    <t>Can Tho</t>
  </si>
  <si>
    <t>VNCLI</t>
  </si>
  <si>
    <t>VNOCL</t>
  </si>
  <si>
    <t>Cat Lai Oil Port</t>
  </si>
  <si>
    <t>VNCMY</t>
  </si>
  <si>
    <t>Chan May Port</t>
  </si>
  <si>
    <t>VNCVE</t>
  </si>
  <si>
    <t>Chua Ve Terminal</t>
  </si>
  <si>
    <t>VNCCA</t>
  </si>
  <si>
    <t>Cua Cam Terminal</t>
  </si>
  <si>
    <t>VNCUV</t>
  </si>
  <si>
    <t>Cua Viet Port</t>
  </si>
  <si>
    <t>VNCLO</t>
  </si>
  <si>
    <t>Culao</t>
  </si>
  <si>
    <t>VNDAD</t>
  </si>
  <si>
    <t>Da Nang</t>
  </si>
  <si>
    <t>VNDMO</t>
  </si>
  <si>
    <t>Dam Mon</t>
  </si>
  <si>
    <t>VNDVU</t>
  </si>
  <si>
    <t>Dinh Vu Terminal</t>
  </si>
  <si>
    <t>VNDXA</t>
  </si>
  <si>
    <t>Doan Xa Terminal</t>
  </si>
  <si>
    <t>VNDN3</t>
  </si>
  <si>
    <t>VNDOH</t>
  </si>
  <si>
    <t>Dong Hoi</t>
  </si>
  <si>
    <t>VNDNA</t>
  </si>
  <si>
    <t>Dong Nai</t>
  </si>
  <si>
    <t>VNDTH</t>
  </si>
  <si>
    <t>Dong Thap</t>
  </si>
  <si>
    <t>VNDXN</t>
  </si>
  <si>
    <t>Dong Xuyen Port</t>
  </si>
  <si>
    <t>VNDQT</t>
  </si>
  <si>
    <t>Dung Quat</t>
  </si>
  <si>
    <t>VNGDA</t>
  </si>
  <si>
    <t>Go Dau A Terminal</t>
  </si>
  <si>
    <t>VNGDB</t>
  </si>
  <si>
    <t>Go Dau B Terminal</t>
  </si>
  <si>
    <t>VNHAT</t>
  </si>
  <si>
    <t>Ha Tinh</t>
  </si>
  <si>
    <t>VNHDG</t>
  </si>
  <si>
    <t>Hai Duong</t>
  </si>
  <si>
    <t>VNHSN</t>
  </si>
  <si>
    <t>Hai Son</t>
  </si>
  <si>
    <t>VNHPH</t>
  </si>
  <si>
    <t>Haiphong</t>
  </si>
  <si>
    <t>VNHAN</t>
  </si>
  <si>
    <t>Hanoi</t>
  </si>
  <si>
    <t>VNSPC</t>
  </si>
  <si>
    <t>Hiep Phuoc Port</t>
  </si>
  <si>
    <t>VNSGN</t>
  </si>
  <si>
    <t>Ho Chi Minh City</t>
  </si>
  <si>
    <t>VNVIC</t>
  </si>
  <si>
    <t>Ho Chi Minh, VICT</t>
  </si>
  <si>
    <t>VNHAA</t>
  </si>
  <si>
    <t>Hoai An</t>
  </si>
  <si>
    <t>VNHIA</t>
  </si>
  <si>
    <t>Hoi An</t>
  </si>
  <si>
    <t>VNHCH</t>
  </si>
  <si>
    <t>Hon Chong</t>
  </si>
  <si>
    <t>VNHON</t>
  </si>
  <si>
    <t>Hongai</t>
  </si>
  <si>
    <t>VNHUI</t>
  </si>
  <si>
    <t>Hue</t>
  </si>
  <si>
    <t>VNHYN</t>
  </si>
  <si>
    <t>Hung Yen</t>
  </si>
  <si>
    <t>VNSTR</t>
  </si>
  <si>
    <t>ICD Sotrans</t>
  </si>
  <si>
    <t>VNITX</t>
  </si>
  <si>
    <t>ICD TRANSIMEX THU DUC</t>
  </si>
  <si>
    <t>VNKHU</t>
  </si>
  <si>
    <t>Khonh Hung</t>
  </si>
  <si>
    <t>VNKYQ</t>
  </si>
  <si>
    <t>Ky Ha Quang Nam Terminal</t>
  </si>
  <si>
    <t>VNKYH</t>
  </si>
  <si>
    <t>Ky Ha Terminal</t>
  </si>
  <si>
    <t>VNLBN</t>
  </si>
  <si>
    <t>Long Binh</t>
  </si>
  <si>
    <t>VNLBT</t>
  </si>
  <si>
    <t>Long Binh Tan</t>
  </si>
  <si>
    <t>VNLTH</t>
  </si>
  <si>
    <t>Long Thanh</t>
  </si>
  <si>
    <t>VNMOC</t>
  </si>
  <si>
    <t>Mong Cai</t>
  </si>
  <si>
    <t>VNMUT</t>
  </si>
  <si>
    <t>My Tho</t>
  </si>
  <si>
    <t>VNMTH</t>
  </si>
  <si>
    <t>My Thoi</t>
  </si>
  <si>
    <t>VNNCN</t>
  </si>
  <si>
    <t>Nam Can Port</t>
  </si>
  <si>
    <t>VNNMD</t>
  </si>
  <si>
    <t>Nam Dinh</t>
  </si>
  <si>
    <t>VNNHD</t>
  </si>
  <si>
    <t>Nam Hai Dinh Vu Port</t>
  </si>
  <si>
    <t>VNNGT</t>
  </si>
  <si>
    <t>Nghe Tinh</t>
  </si>
  <si>
    <t>VNNGH</t>
  </si>
  <si>
    <t>Nghi Son</t>
  </si>
  <si>
    <t>VNNVT</t>
  </si>
  <si>
    <t>Nguyen Van Troi Port</t>
  </si>
  <si>
    <t>VNONB</t>
  </si>
  <si>
    <t>Nha Be Oil Port</t>
  </si>
  <si>
    <t>VNNHA</t>
  </si>
  <si>
    <t>Nha Trang</t>
  </si>
  <si>
    <t>VNPHA</t>
  </si>
  <si>
    <t>Phan Rang</t>
  </si>
  <si>
    <t>VNPHH</t>
  </si>
  <si>
    <t>Phan Thiet</t>
  </si>
  <si>
    <t>VNPHB</t>
  </si>
  <si>
    <t>VNPHU</t>
  </si>
  <si>
    <t>Phu My</t>
  </si>
  <si>
    <t>VNPHG</t>
  </si>
  <si>
    <t>VNIPH</t>
  </si>
  <si>
    <t>Phuoc Long ICD</t>
  </si>
  <si>
    <t>VNPHL</t>
  </si>
  <si>
    <t>Phuoe Le</t>
  </si>
  <si>
    <t>VNQBH</t>
  </si>
  <si>
    <t>VNQUL</t>
  </si>
  <si>
    <t>Quang Long</t>
  </si>
  <si>
    <t>VNXNG</t>
  </si>
  <si>
    <t>Quang Ngai</t>
  </si>
  <si>
    <t>VNQNH</t>
  </si>
  <si>
    <t>Quang Ninh</t>
  </si>
  <si>
    <t>VNQUT</t>
  </si>
  <si>
    <t>Quang Tri</t>
  </si>
  <si>
    <t>VNUIH</t>
  </si>
  <si>
    <t>Qui Nhon</t>
  </si>
  <si>
    <t>VNRDG</t>
  </si>
  <si>
    <t>Rang Dong</t>
  </si>
  <si>
    <t>VNRQU</t>
  </si>
  <si>
    <t>Rao Qua</t>
  </si>
  <si>
    <t>VNSAD</t>
  </si>
  <si>
    <t>VNCSG</t>
  </si>
  <si>
    <t>Sai Gon Port</t>
  </si>
  <si>
    <t>VNSIT</t>
  </si>
  <si>
    <t>Saigon ITV/Phu My</t>
  </si>
  <si>
    <t>VNOSP</t>
  </si>
  <si>
    <t>Saigon Petro Oil Terminal</t>
  </si>
  <si>
    <t>VNSDP</t>
  </si>
  <si>
    <t>Sonduongport</t>
  </si>
  <si>
    <t>VNSON</t>
  </si>
  <si>
    <t>Song Doc</t>
  </si>
  <si>
    <t>VNSH9</t>
  </si>
  <si>
    <t>Song Han 9</t>
  </si>
  <si>
    <t>VNSTD</t>
  </si>
  <si>
    <t>Su Tu Den</t>
  </si>
  <si>
    <t>VNTCG</t>
  </si>
  <si>
    <t>Tan Cang</t>
  </si>
  <si>
    <t>VNTMT</t>
  </si>
  <si>
    <t>Tan Cang - Mien Trung Terminal</t>
  </si>
  <si>
    <t>VNHPP</t>
  </si>
  <si>
    <t>Tan Cang Hiep Phuoc Port</t>
  </si>
  <si>
    <t>VNQNT</t>
  </si>
  <si>
    <t>Tan Cang Qui Nhon</t>
  </si>
  <si>
    <t>VNTCN</t>
  </si>
  <si>
    <t>Tan Canh</t>
  </si>
  <si>
    <t>VNTTD</t>
  </si>
  <si>
    <t>VNTAM</t>
  </si>
  <si>
    <t>Tanamexco ICD</t>
  </si>
  <si>
    <t>VNTBI</t>
  </si>
  <si>
    <t>Thang Binh</t>
  </si>
  <si>
    <t>VNTHO</t>
  </si>
  <si>
    <t>Thanh Hoa</t>
  </si>
  <si>
    <t>VNTPP</t>
  </si>
  <si>
    <t>Thanh Phuoc Port</t>
  </si>
  <si>
    <t>VNTNA</t>
  </si>
  <si>
    <t>Thi Nai Port</t>
  </si>
  <si>
    <t>VNTHD</t>
  </si>
  <si>
    <t>Thu Dau Mot</t>
  </si>
  <si>
    <t>VNTHU</t>
  </si>
  <si>
    <t>Thuan An</t>
  </si>
  <si>
    <t>VNDTS</t>
  </si>
  <si>
    <t>Tien Sa Terminal</t>
  </si>
  <si>
    <t>VNTNO</t>
  </si>
  <si>
    <t>Tra Noc</t>
  </si>
  <si>
    <t>VNTVN</t>
  </si>
  <si>
    <t>Transvina Terminal</t>
  </si>
  <si>
    <t>VNTBB</t>
  </si>
  <si>
    <t>Tuy Hoa</t>
  </si>
  <si>
    <t>VNVPH</t>
  </si>
  <si>
    <t>Van Phong</t>
  </si>
  <si>
    <t>VNVCH</t>
  </si>
  <si>
    <t>Vat Cach</t>
  </si>
  <si>
    <t>VNVSS</t>
  </si>
  <si>
    <t>Vinashin Shipyard</t>
  </si>
  <si>
    <t>VNVNH</t>
  </si>
  <si>
    <t>Vinh</t>
  </si>
  <si>
    <t>VNVLO</t>
  </si>
  <si>
    <t>Vinh Loi</t>
  </si>
  <si>
    <t>VNVLG</t>
  </si>
  <si>
    <t>Vinh Long</t>
  </si>
  <si>
    <t>VNVAG</t>
  </si>
  <si>
    <t>VNVRO</t>
  </si>
  <si>
    <t>Vung Ro</t>
  </si>
  <si>
    <t>VNVUT</t>
  </si>
  <si>
    <t>Vung Tau</t>
  </si>
  <si>
    <t>VULUG</t>
  </si>
  <si>
    <t>Luganville</t>
  </si>
  <si>
    <t>VUPSA</t>
  </si>
  <si>
    <t>Port Sandwich</t>
  </si>
  <si>
    <t>VUVLI</t>
  </si>
  <si>
    <t>Port Vila</t>
  </si>
  <si>
    <t>VUSAN</t>
  </si>
  <si>
    <t>Santo</t>
  </si>
  <si>
    <t>WFMAU</t>
  </si>
  <si>
    <t>WFSIG</t>
  </si>
  <si>
    <t>WSAPW</t>
  </si>
  <si>
    <t>Apia</t>
  </si>
  <si>
    <t>WSAAU</t>
  </si>
  <si>
    <t>Asau</t>
  </si>
  <si>
    <t>XZAAD</t>
  </si>
  <si>
    <t>Aasgard</t>
  </si>
  <si>
    <t>XZSHA</t>
  </si>
  <si>
    <t>Al Shaheen terminal</t>
  </si>
  <si>
    <t>XZALV</t>
  </si>
  <si>
    <t>Alve</t>
  </si>
  <si>
    <t>XZANU</t>
  </si>
  <si>
    <t>Anoa Natuna</t>
  </si>
  <si>
    <t>XZANT</t>
  </si>
  <si>
    <t>Ardjuna</t>
  </si>
  <si>
    <t>XZBRA</t>
  </si>
  <si>
    <t>Brage</t>
  </si>
  <si>
    <t>XZBUV</t>
  </si>
  <si>
    <t>XZCMT</t>
  </si>
  <si>
    <t>Camar Marine Terminal</t>
  </si>
  <si>
    <t>XZOCA</t>
  </si>
  <si>
    <t>Co-operation Zone A (AU,ID)</t>
  </si>
  <si>
    <t>XZDHS</t>
  </si>
  <si>
    <t>Dai Hung (STS Load)</t>
  </si>
  <si>
    <t>XZDHT</t>
  </si>
  <si>
    <t>Dai Hung (Tandem Load)</t>
  </si>
  <si>
    <t>XZDRA</t>
  </si>
  <si>
    <t>Draugen</t>
  </si>
  <si>
    <t>XZDTL</t>
  </si>
  <si>
    <t>Dulang Marine Terminal</t>
  </si>
  <si>
    <t>XZFRM</t>
  </si>
  <si>
    <t>Fram</t>
  </si>
  <si>
    <t>XZGJO</t>
  </si>
  <si>
    <t>Gjoa</t>
  </si>
  <si>
    <t>XZGRA</t>
  </si>
  <si>
    <t>Grane</t>
  </si>
  <si>
    <t>XZHEI</t>
  </si>
  <si>
    <t>Heidrun</t>
  </si>
  <si>
    <t>XZHUL</t>
  </si>
  <si>
    <t>Huldra</t>
  </si>
  <si>
    <t>XZKMT</t>
  </si>
  <si>
    <t>Kakap Marine Terminal</t>
  </si>
  <si>
    <t>XZKRI</t>
  </si>
  <si>
    <t>Kristin</t>
  </si>
  <si>
    <t>XZKBJ</t>
  </si>
  <si>
    <t>Kvitebjorn</t>
  </si>
  <si>
    <t>XZLAM</t>
  </si>
  <si>
    <t>Laminaria Terminal</t>
  </si>
  <si>
    <t>XZLGT</t>
  </si>
  <si>
    <t>XZMKL</t>
  </si>
  <si>
    <t>Mikkel</t>
  </si>
  <si>
    <t>XZMVI</t>
  </si>
  <si>
    <t>Morvin</t>
  </si>
  <si>
    <t>XZNJO</t>
  </si>
  <si>
    <t>Njord</t>
  </si>
  <si>
    <t>XZNNE</t>
  </si>
  <si>
    <t>Norne</t>
  </si>
  <si>
    <t>XZNTE</t>
  </si>
  <si>
    <t>XZSBY</t>
  </si>
  <si>
    <t>Sibuko Bay</t>
  </si>
  <si>
    <t>XZSHV</t>
  </si>
  <si>
    <t>Snohvit</t>
  </si>
  <si>
    <t>XZSTP</t>
  </si>
  <si>
    <t>Stage Platform</t>
  </si>
  <si>
    <t>XZSUU</t>
  </si>
  <si>
    <t>Suursaq</t>
  </si>
  <si>
    <t>XZSYG</t>
  </si>
  <si>
    <t>Sygna</t>
  </si>
  <si>
    <t>XZTGR</t>
  </si>
  <si>
    <t>Tandjung Gerem</t>
  </si>
  <si>
    <t>XZTUN</t>
  </si>
  <si>
    <t>XZTHA</t>
  </si>
  <si>
    <t>Tyrihans</t>
  </si>
  <si>
    <t>XZURD</t>
  </si>
  <si>
    <t>Urd</t>
  </si>
  <si>
    <t>XZVFK</t>
  </si>
  <si>
    <t>Veslefrikk</t>
  </si>
  <si>
    <t>XZVGD</t>
  </si>
  <si>
    <t>Vigdis</t>
  </si>
  <si>
    <t>XZVIL</t>
  </si>
  <si>
    <t>Vilje</t>
  </si>
  <si>
    <t>XZVSU</t>
  </si>
  <si>
    <t>Visund</t>
  </si>
  <si>
    <t>XZVOV</t>
  </si>
  <si>
    <t>Volve</t>
  </si>
  <si>
    <t>XZWRT</t>
  </si>
  <si>
    <t>Widuri Marine Terminal</t>
  </si>
  <si>
    <t>XZYET</t>
  </si>
  <si>
    <t>Yetagun Field</t>
  </si>
  <si>
    <t>XZYGT</t>
  </si>
  <si>
    <t>Yttergryta</t>
  </si>
  <si>
    <t>YEADE</t>
  </si>
  <si>
    <t>Aden</t>
  </si>
  <si>
    <t>YEAHW</t>
  </si>
  <si>
    <t>Ahwar</t>
  </si>
  <si>
    <t>YEELK</t>
  </si>
  <si>
    <t>El Katieb</t>
  </si>
  <si>
    <t>YEHAR</t>
  </si>
  <si>
    <t>Harad</t>
  </si>
  <si>
    <t>YEHAU</t>
  </si>
  <si>
    <t>Haura</t>
  </si>
  <si>
    <t>YEHOD</t>
  </si>
  <si>
    <t>Hodeidah</t>
  </si>
  <si>
    <t>YEKHO</t>
  </si>
  <si>
    <t>Khokha</t>
  </si>
  <si>
    <t>YELAD</t>
  </si>
  <si>
    <t>Little Aden</t>
  </si>
  <si>
    <t>YEMYN</t>
  </si>
  <si>
    <t>Mareb</t>
  </si>
  <si>
    <t>YEMOK</t>
  </si>
  <si>
    <t>Mokha</t>
  </si>
  <si>
    <t>YEMKX</t>
  </si>
  <si>
    <t>Mukalla</t>
  </si>
  <si>
    <t>YEPRM</t>
  </si>
  <si>
    <t>Perim Island</t>
  </si>
  <si>
    <t>YERAK</t>
  </si>
  <si>
    <t>Ras Al Kalib</t>
  </si>
  <si>
    <t>YERAI</t>
  </si>
  <si>
    <t>Ras Isa Terminal</t>
  </si>
  <si>
    <t>YESYE</t>
  </si>
  <si>
    <t>Sadah</t>
  </si>
  <si>
    <t>YESAL</t>
  </si>
  <si>
    <t>Saleef Port</t>
  </si>
  <si>
    <t>YESCT</t>
  </si>
  <si>
    <t>YTDZA</t>
  </si>
  <si>
    <t>Dzaoudzi</t>
  </si>
  <si>
    <t>YTLON</t>
  </si>
  <si>
    <t>Longoni</t>
  </si>
  <si>
    <t>YTMAM</t>
  </si>
  <si>
    <t>Mamoudzou</t>
  </si>
  <si>
    <t>ZAAOB</t>
  </si>
  <si>
    <t>Algoa Bay</t>
  </si>
  <si>
    <t>ZATHR</t>
  </si>
  <si>
    <t>Arcadia</t>
  </si>
  <si>
    <t>ZABWA</t>
  </si>
  <si>
    <t>Botswana</t>
  </si>
  <si>
    <t>ZACPT</t>
  </si>
  <si>
    <t>Cape Town</t>
  </si>
  <si>
    <t>ZADUR</t>
  </si>
  <si>
    <t>Durban</t>
  </si>
  <si>
    <t>ZAELS</t>
  </si>
  <si>
    <t>East London</t>
  </si>
  <si>
    <t>ZACTP</t>
  </si>
  <si>
    <t>Eastern Cape</t>
  </si>
  <si>
    <t>ZAFHK</t>
  </si>
  <si>
    <t>Fish Hoek</t>
  </si>
  <si>
    <t>ZAGTY</t>
  </si>
  <si>
    <t>Gately</t>
  </si>
  <si>
    <t>ZAGRH</t>
  </si>
  <si>
    <t>Grahamstown</t>
  </si>
  <si>
    <t>ZAIVI</t>
  </si>
  <si>
    <t>Island View</t>
  </si>
  <si>
    <t>ZARSS</t>
  </si>
  <si>
    <t>ZAJTP</t>
  </si>
  <si>
    <t>Jet Park</t>
  </si>
  <si>
    <t>ZAKUU</t>
  </si>
  <si>
    <t>Kasulu</t>
  </si>
  <si>
    <t>ZABGR</t>
  </si>
  <si>
    <t>ZAKKN</t>
  </si>
  <si>
    <t>Komkans</t>
  </si>
  <si>
    <t>ZAKOM</t>
  </si>
  <si>
    <t>Kommetjie</t>
  </si>
  <si>
    <t>ZAKYA</t>
  </si>
  <si>
    <t>Kyalami</t>
  </si>
  <si>
    <t>ZAKOO</t>
  </si>
  <si>
    <t>Langkloof</t>
  </si>
  <si>
    <t>ZALER</t>
  </si>
  <si>
    <t>Lerato</t>
  </si>
  <si>
    <t>ZAMD3</t>
  </si>
  <si>
    <t>Madantsane</t>
  </si>
  <si>
    <t>ZAMWT</t>
  </si>
  <si>
    <t>Maydon Whart</t>
  </si>
  <si>
    <t>ZAMDE</t>
  </si>
  <si>
    <t>Meadowdale</t>
  </si>
  <si>
    <t>ZAMZY</t>
  </si>
  <si>
    <t>Mossel Bay</t>
  </si>
  <si>
    <t>ZAEDG</t>
  </si>
  <si>
    <t>Mount Edgecombe</t>
  </si>
  <si>
    <t>ZANGG</t>
  </si>
  <si>
    <t>New Germany</t>
  </si>
  <si>
    <t>ZANUF</t>
  </si>
  <si>
    <t>Nuffield Springs</t>
  </si>
  <si>
    <t>ZAPNL</t>
  </si>
  <si>
    <t>Paardeneiland</t>
  </si>
  <si>
    <t>ZAPHX</t>
  </si>
  <si>
    <t>Phoenix</t>
  </si>
  <si>
    <t>ZAPIT</t>
  </si>
  <si>
    <t>Point</t>
  </si>
  <si>
    <t>ZAPED</t>
  </si>
  <si>
    <t>ZAPLZ</t>
  </si>
  <si>
    <t>ZANOL</t>
  </si>
  <si>
    <t>Port Nolloth</t>
  </si>
  <si>
    <t>ZAJOH</t>
  </si>
  <si>
    <t>Port Saint John's</t>
  </si>
  <si>
    <t>ZARCB</t>
  </si>
  <si>
    <t>Richards Bay</t>
  </si>
  <si>
    <t>ZASHM</t>
  </si>
  <si>
    <t>Robertsham</t>
  </si>
  <si>
    <t>ZASDB</t>
  </si>
  <si>
    <t>Saldanha Bay</t>
  </si>
  <si>
    <t>ZAZE4</t>
  </si>
  <si>
    <t>Sezela</t>
  </si>
  <si>
    <t>ZASID</t>
  </si>
  <si>
    <t>Sidwell</t>
  </si>
  <si>
    <t>ZASMN</t>
  </si>
  <si>
    <t>Simon's Town</t>
  </si>
  <si>
    <t>ZASTD</t>
  </si>
  <si>
    <t>ZASTR</t>
  </si>
  <si>
    <t>Struandale</t>
  </si>
  <si>
    <t>ZAVAC</t>
  </si>
  <si>
    <t>Vaalcon</t>
  </si>
  <si>
    <t>ZAWAT</t>
  </si>
  <si>
    <t>Waterfront</t>
  </si>
  <si>
    <t>ZAWTN</t>
  </si>
  <si>
    <t>Winterton</t>
  </si>
  <si>
    <t>ZMSIA</t>
  </si>
  <si>
    <t>Siavonga</t>
  </si>
  <si>
    <t>ZWCHE</t>
  </si>
  <si>
    <t>Chegutu</t>
  </si>
  <si>
    <t>ZWGWA</t>
  </si>
  <si>
    <t>Gwanda</t>
  </si>
  <si>
    <t>ZWZMZ</t>
  </si>
  <si>
    <t>Zimbabwe</t>
  </si>
  <si>
    <t>PORTNAME</t>
  </si>
  <si>
    <t>Primary purpose of call</t>
  </si>
  <si>
    <t>Security measures applied in lieu of SSP (if not maintained)</t>
  </si>
  <si>
    <t>Achnacroish (Island of Lismore)</t>
  </si>
  <si>
    <t>Aird Ma Ruibhe (Berneray, Inner Hebrides)</t>
  </si>
  <si>
    <t>Aird Mhor / Ardmhor (Barra Island, Outer Hebrides)</t>
  </si>
  <si>
    <t>Ardveenish (Barra Island, Outer Hebrides)</t>
  </si>
  <si>
    <t>Arinagour (Coll, Inner Hebrides)</t>
  </si>
  <si>
    <t>Armadale (Isle of Skye)</t>
  </si>
  <si>
    <t>Aultbea (Loch Ewe)</t>
  </si>
  <si>
    <t>Baile Mor, Iona (Inner Hebrides)</t>
  </si>
  <si>
    <t>Baltasound (Unst, Shetland Isles)</t>
  </si>
  <si>
    <t>Baltic Wharf (Creeksea, Wallasea Island)</t>
  </si>
  <si>
    <t>Bangor (N.I.)</t>
  </si>
  <si>
    <t>Barking</t>
  </si>
  <si>
    <t>Barrow-upon-Humber (Barrow Haven)</t>
  </si>
  <si>
    <t>Barry</t>
  </si>
  <si>
    <t>Belmont (Unst, Shetland Islands)</t>
  </si>
  <si>
    <t>Berwick Upon Tweed</t>
  </si>
  <si>
    <t>Brodick (Isle of Arran)</t>
  </si>
  <si>
    <t>Bruichladdich (Islay)</t>
  </si>
  <si>
    <t>Canna (Inner Hebrides)</t>
  </si>
  <si>
    <t>Castlebay  (Barra Island, Outer Hebrides)</t>
  </si>
  <si>
    <t>Ceann a Gharaidh (Eriskay, Outer Hebrides)</t>
  </si>
  <si>
    <t>Cloghan Point</t>
  </si>
  <si>
    <t>Collafirth (Shetland Islands)</t>
  </si>
  <si>
    <t>Cowes (IOW)</t>
  </si>
  <si>
    <t>Craighouse (Isle of Jura)</t>
  </si>
  <si>
    <t>Crinan (inc. Crinan Canal)</t>
  </si>
  <si>
    <t>Crombie Pier</t>
  </si>
  <si>
    <t>Cullivoe (Yell, Shetland Islands)</t>
  </si>
  <si>
    <t>Cumbrae Slip (Great Cumbrae)</t>
  </si>
  <si>
    <t>Fionnphort (Isle of Mull)</t>
  </si>
  <si>
    <t>Fishbourne (Wootton)</t>
  </si>
  <si>
    <t>Fishnish (Isle of Mull)</t>
  </si>
  <si>
    <t>Flotta (Orkney Islands)</t>
  </si>
  <si>
    <t>Galmisdale (Eigg, Inner Hebrides)</t>
  </si>
  <si>
    <t>Gills (Gills Bay)</t>
  </si>
  <si>
    <t>Grove Wharves</t>
  </si>
  <si>
    <t>Grovehurst Jetty (Sittingbourne)</t>
  </si>
  <si>
    <t>Grutness (Shetland Islands)</t>
  </si>
  <si>
    <t>Gutcher (Yell, Shetland Islands)</t>
  </si>
  <si>
    <t>Hamars Ness (Fetlar, Shetland Islands)</t>
  </si>
  <si>
    <t>Hamnavoe (Burra Isle, Shetland Islands)</t>
  </si>
  <si>
    <t>Harwich (inc Harwich Navyyard)</t>
  </si>
  <si>
    <t>Hessle (Hull)</t>
  </si>
  <si>
    <t>Holehaven (London)</t>
  </si>
  <si>
    <t>Housa Voe (Papa Stour, Shetland Islands)</t>
  </si>
  <si>
    <t>Howdendyke (Howden Dyke)</t>
  </si>
  <si>
    <t>Isle of Scalpay (Outer Hebrides)</t>
  </si>
  <si>
    <t>Isles of Scilly (St Marys)(UNLOCODE - HUGH TOWN)</t>
  </si>
  <si>
    <t>Isles of Scilly (Tresco)</t>
  </si>
  <si>
    <t>Keadby (River Trent)</t>
  </si>
  <si>
    <t>Kings Lynn</t>
  </si>
  <si>
    <t>Kingsnorth Power Station (Medway)</t>
  </si>
  <si>
    <t>Kinloch (Rum, Inner Hebrides)</t>
  </si>
  <si>
    <t>Kirkwall (Orkney Islands)</t>
  </si>
  <si>
    <t>Langstone Harbour</t>
  </si>
  <si>
    <t>Laxo (Shetland Islands)</t>
  </si>
  <si>
    <t>Lerwick (Shetland Islands)</t>
  </si>
  <si>
    <t>Leverburgh (Harris, Outer Hebrides)</t>
  </si>
  <si>
    <t>Llanddulas (inc Raynes Jetty)</t>
  </si>
  <si>
    <t>Lochboisdale (South Uist, Outer Hebrides)</t>
  </si>
  <si>
    <t>Lochmaddy (North Uist, Outer Hebrides)</t>
  </si>
  <si>
    <t>Lochranza (Isle of Arran)</t>
  </si>
  <si>
    <t>Lyness  (Hoy, Orkney Islands)</t>
  </si>
  <si>
    <t>Manchester Ship Canal</t>
  </si>
  <si>
    <t>Maryfield (Bressay, Shetland Islands)</t>
  </si>
  <si>
    <t>Mid Yell (Shetland Islands)</t>
  </si>
  <si>
    <t>Millport (Great Cumbrae)</t>
  </si>
  <si>
    <t>Newhaven (Sussex)</t>
  </si>
  <si>
    <t>Newport (Gwent)</t>
  </si>
  <si>
    <t>North Haven (Fair Isle, Shetland Islands)</t>
  </si>
  <si>
    <t>Otternish (North Uist, Outer Hebrides)</t>
  </si>
  <si>
    <t>Parkeston Quay (Harwich International)</t>
  </si>
  <si>
    <t>Pierowall (Westray, Orkney Islands)</t>
  </si>
  <si>
    <t>Port Mor (Muck, Inner Hebrides)</t>
  </si>
  <si>
    <t>Port Penhryn</t>
  </si>
  <si>
    <t>Portree (Isle of Skye)</t>
  </si>
  <si>
    <t>Queenborough (Medway)</t>
  </si>
  <si>
    <t>Raasay</t>
  </si>
  <si>
    <t>Rainham</t>
  </si>
  <si>
    <t>Rhubodach</t>
  </si>
  <si>
    <t>Ridham Dock (Sittingbourne)</t>
  </si>
  <si>
    <t>Rothesay</t>
  </si>
  <si>
    <t>Royal Portbury</t>
  </si>
  <si>
    <t>Scalasaig (Colonsay, Inner Hebrides)</t>
  </si>
  <si>
    <t>Scalloway (Shetland Islands)</t>
  </si>
  <si>
    <t>Scapa (Orkney Islands)</t>
  </si>
  <si>
    <t>Scapa Flow (Orkney Islands)</t>
  </si>
  <si>
    <t>Scarinish (Tiree, Inner Hebrides)</t>
  </si>
  <si>
    <t>Sconser (Isle of Skye)</t>
  </si>
  <si>
    <t>Shoreham By Sea</t>
  </si>
  <si>
    <t>St Margarets Hope (Orkney Islands)</t>
  </si>
  <si>
    <t>Stromness (Orkney Islands)</t>
  </si>
  <si>
    <t>Sullom Voe (Shetland Islands)</t>
  </si>
  <si>
    <t>Symbister (Whalsay, Shetland Islands)</t>
  </si>
  <si>
    <t>Tarbert (Loch Fyne)</t>
  </si>
  <si>
    <t>Tarbert (Tairbeart - Harris, Outer Hebrides)</t>
  </si>
  <si>
    <t>Tetney Terminal / Monobuoy (River Humber)</t>
  </si>
  <si>
    <t>Thames Haven (Shell Haven)</t>
  </si>
  <si>
    <t>Torbay</t>
  </si>
  <si>
    <t>Uig (Isle of Skye)</t>
  </si>
  <si>
    <t>Ulsta (Yell, Shetland Islands)</t>
  </si>
  <si>
    <t>Uyeasound (Unst, Shetland Islands)</t>
  </si>
  <si>
    <t>Vidlin (Shetland Islands)</t>
  </si>
  <si>
    <t>Walls (Shetland Islands)</t>
  </si>
  <si>
    <t>West Burrafirth (Shetland Islands)</t>
  </si>
  <si>
    <t>Yarmouth  (IOW)</t>
  </si>
  <si>
    <t>ZZUKN</t>
  </si>
  <si>
    <t>PORTNAME AND LOCODE</t>
  </si>
  <si>
    <t>XZOFF</t>
  </si>
  <si>
    <t>Note: Select 'Include' to include that section of the form when uploading to CERS via the Web UI. If this form is being uploaded as base64-encoded XML this section will be overridden by the "sections" attribute of the XML and will not affect what is uploaded; therefore it will be up to the PCAOS reporting authority to interpret this field and determine whether or not this should result in a change to the XML message for the voyage that is submitted.</t>
  </si>
  <si>
    <t>Subsidiary risk</t>
  </si>
  <si>
    <t>Class 7</t>
  </si>
  <si>
    <t>Port of call name</t>
  </si>
  <si>
    <t>Port of call LOCODE</t>
  </si>
  <si>
    <t>Last port LOCODE</t>
  </si>
  <si>
    <t>Select port of call</t>
  </si>
  <si>
    <t>Next port LOCODE</t>
  </si>
  <si>
    <t>Last port name</t>
  </si>
  <si>
    <t>Select last port</t>
  </si>
  <si>
    <t>Select next port</t>
  </si>
  <si>
    <t>Next port name</t>
  </si>
  <si>
    <t>LOCODE lookup</t>
  </si>
  <si>
    <t>Search port name</t>
  </si>
  <si>
    <t>Locode</t>
  </si>
  <si>
    <t>Note: Use this lookup to find the LOCODES required in the table below.</t>
  </si>
  <si>
    <t>Andorra</t>
  </si>
  <si>
    <t>United Arab Emirates</t>
  </si>
  <si>
    <t>Afghanistan</t>
  </si>
  <si>
    <t>Antigua and Barbuda</t>
  </si>
  <si>
    <t>Anguilla</t>
  </si>
  <si>
    <t>Albania</t>
  </si>
  <si>
    <t>Angola</t>
  </si>
  <si>
    <t>Antarctica</t>
  </si>
  <si>
    <t>Argentina</t>
  </si>
  <si>
    <t>American Samoa</t>
  </si>
  <si>
    <t>Austria</t>
  </si>
  <si>
    <t>Australia</t>
  </si>
  <si>
    <t>Barbados</t>
  </si>
  <si>
    <t>Bangladesh</t>
  </si>
  <si>
    <t>Belgium</t>
  </si>
  <si>
    <t>Burkina Faso</t>
  </si>
  <si>
    <t>Bulgaria</t>
  </si>
  <si>
    <t>Bahrain</t>
  </si>
  <si>
    <t>Burundi</t>
  </si>
  <si>
    <t>Benin</t>
  </si>
  <si>
    <t>Bermuda</t>
  </si>
  <si>
    <t>Brunei Darussalam</t>
  </si>
  <si>
    <t>Brazil</t>
  </si>
  <si>
    <t>Bahamas</t>
  </si>
  <si>
    <t>Bhutan</t>
  </si>
  <si>
    <t>Bouvet Island</t>
  </si>
  <si>
    <t>Belarus</t>
  </si>
  <si>
    <t>Belize</t>
  </si>
  <si>
    <t>Canada</t>
  </si>
  <si>
    <t>Cocos (Keeling) Islands</t>
  </si>
  <si>
    <t>Central African Republic</t>
  </si>
  <si>
    <t>Congo</t>
  </si>
  <si>
    <t>Switzerland</t>
  </si>
  <si>
    <t>Cook Islands</t>
  </si>
  <si>
    <t>Chile</t>
  </si>
  <si>
    <t>Cameroon</t>
  </si>
  <si>
    <t>Colombia</t>
  </si>
  <si>
    <t>Costa Rica</t>
  </si>
  <si>
    <t>Cuba</t>
  </si>
  <si>
    <t>Cape Verde</t>
  </si>
  <si>
    <t>Christmas Island</t>
  </si>
  <si>
    <t>Cyprus</t>
  </si>
  <si>
    <t>Czech Republic</t>
  </si>
  <si>
    <t>Germany</t>
  </si>
  <si>
    <t>Denmark</t>
  </si>
  <si>
    <t>Dominica</t>
  </si>
  <si>
    <t>Dominican Republic</t>
  </si>
  <si>
    <t>Algeria</t>
  </si>
  <si>
    <t>Ecuador</t>
  </si>
  <si>
    <t>Estonia</t>
  </si>
  <si>
    <t>Egypt</t>
  </si>
  <si>
    <t>Western Sahara</t>
  </si>
  <si>
    <t>Eritrea</t>
  </si>
  <si>
    <t>Spain</t>
  </si>
  <si>
    <t>Ethiopia</t>
  </si>
  <si>
    <t>Finland</t>
  </si>
  <si>
    <t>Fiji</t>
  </si>
  <si>
    <t>Faroe Islands</t>
  </si>
  <si>
    <t>France</t>
  </si>
  <si>
    <t>Gabon</t>
  </si>
  <si>
    <t>Grenada</t>
  </si>
  <si>
    <t>Georgia</t>
  </si>
  <si>
    <t>Ghana</t>
  </si>
  <si>
    <t>Greenland</t>
  </si>
  <si>
    <t>Gambia</t>
  </si>
  <si>
    <t>Guinea</t>
  </si>
  <si>
    <t>Equatorial Guinea</t>
  </si>
  <si>
    <t>Greece</t>
  </si>
  <si>
    <t>Guatemala</t>
  </si>
  <si>
    <t>Guyana</t>
  </si>
  <si>
    <t>Honduras</t>
  </si>
  <si>
    <t>Croatia</t>
  </si>
  <si>
    <t>Haiti</t>
  </si>
  <si>
    <t>Hungary</t>
  </si>
  <si>
    <t>Indonesia</t>
  </si>
  <si>
    <t>Ireland</t>
  </si>
  <si>
    <t>Israel</t>
  </si>
  <si>
    <t>India</t>
  </si>
  <si>
    <t>British Indian Ocean Territory</t>
  </si>
  <si>
    <t>Iraq</t>
  </si>
  <si>
    <t>Iceland</t>
  </si>
  <si>
    <t>Italy</t>
  </si>
  <si>
    <t>Jordan</t>
  </si>
  <si>
    <t>Japan</t>
  </si>
  <si>
    <t>Kenya</t>
  </si>
  <si>
    <t>Kyrgyzstan</t>
  </si>
  <si>
    <t>Cambodia</t>
  </si>
  <si>
    <t>Kiribati</t>
  </si>
  <si>
    <t>Comoros</t>
  </si>
  <si>
    <t>Cayman Islands</t>
  </si>
  <si>
    <t>Kazakhstan</t>
  </si>
  <si>
    <t>Lebanon</t>
  </si>
  <si>
    <t>Saint Lucia</t>
  </si>
  <si>
    <t>Liechtenstein</t>
  </si>
  <si>
    <t>Sri Lanka</t>
  </si>
  <si>
    <t>Liberia</t>
  </si>
  <si>
    <t>Lesotho</t>
  </si>
  <si>
    <t>Lithuania</t>
  </si>
  <si>
    <t>Latvia</t>
  </si>
  <si>
    <t>Libya</t>
  </si>
  <si>
    <t>Morocco</t>
  </si>
  <si>
    <t>Madagascar</t>
  </si>
  <si>
    <t>Marshall Islands</t>
  </si>
  <si>
    <t>Mali</t>
  </si>
  <si>
    <t>Myanmar</t>
  </si>
  <si>
    <t>Mongolia</t>
  </si>
  <si>
    <t>Northern Mariana Islands</t>
  </si>
  <si>
    <t>Mauritania</t>
  </si>
  <si>
    <t>Montserrat</t>
  </si>
  <si>
    <t>Malta</t>
  </si>
  <si>
    <t>Mauritius</t>
  </si>
  <si>
    <t>Maldives</t>
  </si>
  <si>
    <t>Malawi</t>
  </si>
  <si>
    <t>Malaysia</t>
  </si>
  <si>
    <t>Mozambique</t>
  </si>
  <si>
    <t>Namibia</t>
  </si>
  <si>
    <t>Niger</t>
  </si>
  <si>
    <t>Norfolk Island</t>
  </si>
  <si>
    <t>Nigeria</t>
  </si>
  <si>
    <t>Nicaragua</t>
  </si>
  <si>
    <t>Netherlands</t>
  </si>
  <si>
    <t>Norway</t>
  </si>
  <si>
    <t>Nepal</t>
  </si>
  <si>
    <t>Nauru</t>
  </si>
  <si>
    <t>Niue</t>
  </si>
  <si>
    <t>New Zealand</t>
  </si>
  <si>
    <t>Oman</t>
  </si>
  <si>
    <t>Panama</t>
  </si>
  <si>
    <t>Peru</t>
  </si>
  <si>
    <t>Papua New Guinea</t>
  </si>
  <si>
    <t>Pakistan</t>
  </si>
  <si>
    <t>Saint Pierre and Miquelon</t>
  </si>
  <si>
    <t>Portugal</t>
  </si>
  <si>
    <t>Paraguay</t>
  </si>
  <si>
    <t>Qatar</t>
  </si>
  <si>
    <t>Romania</t>
  </si>
  <si>
    <t>Russian Federation</t>
  </si>
  <si>
    <t>Rwanda</t>
  </si>
  <si>
    <t>Saudi Arabia</t>
  </si>
  <si>
    <t>Solomon Islands</t>
  </si>
  <si>
    <t>Seychelles</t>
  </si>
  <si>
    <t>Sudan</t>
  </si>
  <si>
    <t>Sweden</t>
  </si>
  <si>
    <t>Slovenia</t>
  </si>
  <si>
    <t>Sierra Leone</t>
  </si>
  <si>
    <t>San Marino</t>
  </si>
  <si>
    <t>Senegal</t>
  </si>
  <si>
    <t>Somalia</t>
  </si>
  <si>
    <t>Suriname</t>
  </si>
  <si>
    <t>El Salvador</t>
  </si>
  <si>
    <t>Swaziland</t>
  </si>
  <si>
    <t>Turks and Caicos Islands</t>
  </si>
  <si>
    <t>Chad</t>
  </si>
  <si>
    <t>French Southern Territories</t>
  </si>
  <si>
    <t>Thailand</t>
  </si>
  <si>
    <t>Tokelau</t>
  </si>
  <si>
    <t>Turkmenistan</t>
  </si>
  <si>
    <t>Tunisia</t>
  </si>
  <si>
    <t>Tonga</t>
  </si>
  <si>
    <t>Turkey</t>
  </si>
  <si>
    <t>Trinidad and Tobago</t>
  </si>
  <si>
    <t>Tuvalu</t>
  </si>
  <si>
    <t>Ukraine</t>
  </si>
  <si>
    <t>Uganda</t>
  </si>
  <si>
    <t>Uruguay</t>
  </si>
  <si>
    <t>Uzbekistan</t>
  </si>
  <si>
    <t>Virgin Islands (British)</t>
  </si>
  <si>
    <t>Vanuatu</t>
  </si>
  <si>
    <t>Yemen</t>
  </si>
  <si>
    <t>Mayotte</t>
  </si>
  <si>
    <t>South Africa</t>
  </si>
  <si>
    <t>Zambia</t>
  </si>
  <si>
    <t>Country code</t>
  </si>
  <si>
    <t>Country name</t>
  </si>
  <si>
    <t>Country</t>
  </si>
  <si>
    <t>Port LOCODE</t>
  </si>
  <si>
    <t>Port Name</t>
  </si>
  <si>
    <t>Port name</t>
  </si>
  <si>
    <t>Port of discharge LOCODE</t>
  </si>
  <si>
    <t>Port of loading LOCODE</t>
  </si>
  <si>
    <t>INCOMING HAZMAT (FAL form 7)</t>
  </si>
  <si>
    <t>Select port of registry</t>
  </si>
  <si>
    <t>Port of registry name</t>
  </si>
  <si>
    <t>Last port delivered LOCODE</t>
  </si>
  <si>
    <t>Last port delivered name</t>
  </si>
  <si>
    <t>Note: Use this lookup to find the LOCODES required.</t>
  </si>
  <si>
    <t>GBRAH</t>
  </si>
  <si>
    <t>Toft (Shetland Islands)</t>
  </si>
  <si>
    <t>IM</t>
  </si>
  <si>
    <t>Company IMO number</t>
  </si>
  <si>
    <t>AF</t>
  </si>
  <si>
    <t>AL</t>
  </si>
  <si>
    <t>DZ</t>
  </si>
  <si>
    <t>AS</t>
  </si>
  <si>
    <t>AD</t>
  </si>
  <si>
    <t>AO</t>
  </si>
  <si>
    <t>AI</t>
  </si>
  <si>
    <t>AQ</t>
  </si>
  <si>
    <t>AG</t>
  </si>
  <si>
    <t>AR</t>
  </si>
  <si>
    <t>AM</t>
  </si>
  <si>
    <t>AW</t>
  </si>
  <si>
    <t>AU</t>
  </si>
  <si>
    <t>AZ</t>
  </si>
  <si>
    <t>BM</t>
  </si>
  <si>
    <t>BW</t>
  </si>
  <si>
    <t>IO</t>
  </si>
  <si>
    <t>KH</t>
  </si>
  <si>
    <t>CM</t>
  </si>
  <si>
    <t>KY</t>
  </si>
  <si>
    <t>CN</t>
  </si>
  <si>
    <t>AX</t>
  </si>
  <si>
    <t>KM</t>
  </si>
  <si>
    <t>CD</t>
  </si>
  <si>
    <t>CW</t>
  </si>
  <si>
    <t>DK</t>
  </si>
  <si>
    <t>DM</t>
  </si>
  <si>
    <t>DO</t>
  </si>
  <si>
    <t>EC</t>
  </si>
  <si>
    <t>EG</t>
  </si>
  <si>
    <t>SV</t>
  </si>
  <si>
    <t>GQ</t>
  </si>
  <si>
    <t>ER</t>
  </si>
  <si>
    <t>EE</t>
  </si>
  <si>
    <t>ET</t>
  </si>
  <si>
    <t>FK</t>
  </si>
  <si>
    <t>FJ</t>
  </si>
  <si>
    <t>GF</t>
  </si>
  <si>
    <t>PF</t>
  </si>
  <si>
    <t>TF</t>
  </si>
  <si>
    <t>GA</t>
  </si>
  <si>
    <t>GM</t>
  </si>
  <si>
    <t>GE</t>
  </si>
  <si>
    <t>DE</t>
  </si>
  <si>
    <t>GH</t>
  </si>
  <si>
    <t>GR</t>
  </si>
  <si>
    <t>GL</t>
  </si>
  <si>
    <t>GD</t>
  </si>
  <si>
    <t>GP</t>
  </si>
  <si>
    <t>GU</t>
  </si>
  <si>
    <t>GT</t>
  </si>
  <si>
    <t>GG</t>
  </si>
  <si>
    <t>GN</t>
  </si>
  <si>
    <t>GW</t>
  </si>
  <si>
    <t>GY</t>
  </si>
  <si>
    <t>HT</t>
  </si>
  <si>
    <t>HM</t>
  </si>
  <si>
    <t>HN</t>
  </si>
  <si>
    <t>HK</t>
  </si>
  <si>
    <t>HU</t>
  </si>
  <si>
    <t>IS</t>
  </si>
  <si>
    <t>ID</t>
  </si>
  <si>
    <t>IR</t>
  </si>
  <si>
    <t>IQ</t>
  </si>
  <si>
    <t>IE</t>
  </si>
  <si>
    <t>IL</t>
  </si>
  <si>
    <t>IT</t>
  </si>
  <si>
    <t>JM</t>
  </si>
  <si>
    <t>JP</t>
  </si>
  <si>
    <t>JE</t>
  </si>
  <si>
    <t>JO</t>
  </si>
  <si>
    <t>KZ</t>
  </si>
  <si>
    <t>KE</t>
  </si>
  <si>
    <t>KI</t>
  </si>
  <si>
    <t>KP</t>
  </si>
  <si>
    <t>KR</t>
  </si>
  <si>
    <t>KW</t>
  </si>
  <si>
    <t>LA</t>
  </si>
  <si>
    <t>LV</t>
  </si>
  <si>
    <t>LB</t>
  </si>
  <si>
    <t>LS</t>
  </si>
  <si>
    <t>LR</t>
  </si>
  <si>
    <t>LY</t>
  </si>
  <si>
    <t>LI</t>
  </si>
  <si>
    <t>LT</t>
  </si>
  <si>
    <t>LU</t>
  </si>
  <si>
    <t>MO</t>
  </si>
  <si>
    <t>MK</t>
  </si>
  <si>
    <t>MG</t>
  </si>
  <si>
    <t>MW</t>
  </si>
  <si>
    <t>MY</t>
  </si>
  <si>
    <t>MV</t>
  </si>
  <si>
    <t>ML</t>
  </si>
  <si>
    <t>MH</t>
  </si>
  <si>
    <t>MQ</t>
  </si>
  <si>
    <t>MR</t>
  </si>
  <si>
    <t>MU</t>
  </si>
  <si>
    <t>YT</t>
  </si>
  <si>
    <t>FM</t>
  </si>
  <si>
    <t>MD</t>
  </si>
  <si>
    <t>MN</t>
  </si>
  <si>
    <t>ME</t>
  </si>
  <si>
    <t>MA</t>
  </si>
  <si>
    <t>MZ</t>
  </si>
  <si>
    <t>MM</t>
  </si>
  <si>
    <t>NA</t>
  </si>
  <si>
    <t>NR</t>
  </si>
  <si>
    <t>NP</t>
  </si>
  <si>
    <t>NL</t>
  </si>
  <si>
    <t>NC</t>
  </si>
  <si>
    <t>NZ</t>
  </si>
  <si>
    <t>NI</t>
  </si>
  <si>
    <t>NG</t>
  </si>
  <si>
    <t>NU</t>
  </si>
  <si>
    <t>NF</t>
  </si>
  <si>
    <t>MP</t>
  </si>
  <si>
    <t>NO</t>
  </si>
  <si>
    <t>OM</t>
  </si>
  <si>
    <t>PW</t>
  </si>
  <si>
    <t>PS</t>
  </si>
  <si>
    <t>PE</t>
  </si>
  <si>
    <t>PR</t>
  </si>
  <si>
    <t>QA</t>
  </si>
  <si>
    <t>RE</t>
  </si>
  <si>
    <t>RU</t>
  </si>
  <si>
    <t>RW</t>
  </si>
  <si>
    <t>KN</t>
  </si>
  <si>
    <t>LC</t>
  </si>
  <si>
    <t>MF</t>
  </si>
  <si>
    <t>PM</t>
  </si>
  <si>
    <t>VC</t>
  </si>
  <si>
    <t>WS</t>
  </si>
  <si>
    <t>SN</t>
  </si>
  <si>
    <t>RS</t>
  </si>
  <si>
    <t>SG</t>
  </si>
  <si>
    <t>SX</t>
  </si>
  <si>
    <t>SI</t>
  </si>
  <si>
    <t>SB</t>
  </si>
  <si>
    <t>SO</t>
  </si>
  <si>
    <t>ZA</t>
  </si>
  <si>
    <t>GS</t>
  </si>
  <si>
    <t>SS</t>
  </si>
  <si>
    <t>ES</t>
  </si>
  <si>
    <t>LK</t>
  </si>
  <si>
    <t>SR</t>
  </si>
  <si>
    <t>SJ</t>
  </si>
  <si>
    <t>SY</t>
  </si>
  <si>
    <t>TW</t>
  </si>
  <si>
    <t>TJ</t>
  </si>
  <si>
    <t>TH</t>
  </si>
  <si>
    <t>TL</t>
  </si>
  <si>
    <t>TG</t>
  </si>
  <si>
    <t>TT</t>
  </si>
  <si>
    <t>TM</t>
  </si>
  <si>
    <t>TV</t>
  </si>
  <si>
    <t>UG</t>
  </si>
  <si>
    <t>UA</t>
  </si>
  <si>
    <t>US</t>
  </si>
  <si>
    <t>UM</t>
  </si>
  <si>
    <t>UY</t>
  </si>
  <si>
    <t>UZ</t>
  </si>
  <si>
    <t>VU</t>
  </si>
  <si>
    <t>VE</t>
  </si>
  <si>
    <t>VN</t>
  </si>
  <si>
    <t>WF</t>
  </si>
  <si>
    <t>EH</t>
  </si>
  <si>
    <t>YE</t>
  </si>
  <si>
    <t>ZM</t>
  </si>
  <si>
    <t>ZW</t>
  </si>
  <si>
    <t>Azerbaijan</t>
  </si>
  <si>
    <t>Bolivia, Plurinational State of</t>
  </si>
  <si>
    <t>Bonaire, Sint Eustatius and Saba</t>
  </si>
  <si>
    <t>Bosnia and Herzegovina</t>
  </si>
  <si>
    <t>Åland Islands</t>
  </si>
  <si>
    <t>Bolivia (Plurinational State of)</t>
  </si>
  <si>
    <t>Cabo Verde</t>
  </si>
  <si>
    <t>Congo (Democratic Republic of the)</t>
  </si>
  <si>
    <t>Côte d'Ivoire</t>
  </si>
  <si>
    <t>Falkland Islands (Malvinas)</t>
  </si>
  <si>
    <t>French Guiana</t>
  </si>
  <si>
    <t>French Polynesia</t>
  </si>
  <si>
    <t>Guadeloupe</t>
  </si>
  <si>
    <t>Guinea-Bissau</t>
  </si>
  <si>
    <t>Heard Island and McDonald Islands</t>
  </si>
  <si>
    <t>Holy See</t>
  </si>
  <si>
    <t>Iran (Islamic Republic of)</t>
  </si>
  <si>
    <t>Isle of Man</t>
  </si>
  <si>
    <t>Jersey</t>
  </si>
  <si>
    <t>Korea (Democratic People's Republic of)</t>
  </si>
  <si>
    <t>Korea (Republic of)</t>
  </si>
  <si>
    <t>Lao People's Democratic Republic</t>
  </si>
  <si>
    <t>Macao</t>
  </si>
  <si>
    <t>Macedonia (the former Yugoslav Republic of)</t>
  </si>
  <si>
    <t>Martinique</t>
  </si>
  <si>
    <t>Micronesia (Federated States of)</t>
  </si>
  <si>
    <t>Moldova (Republic of)</t>
  </si>
  <si>
    <t>Montenegro</t>
  </si>
  <si>
    <t>New Caledonia</t>
  </si>
  <si>
    <t>Palestine, State of</t>
  </si>
  <si>
    <t>Pitcairn</t>
  </si>
  <si>
    <t>Saint Barthélemy</t>
  </si>
  <si>
    <t>Saint Helena, Ascension and Tristan da Cunha</t>
  </si>
  <si>
    <t>Saint Kitts and Nevis</t>
  </si>
  <si>
    <t>Saint Martin (French part)</t>
  </si>
  <si>
    <t>Saint Vincent and the Grenadines</t>
  </si>
  <si>
    <t>Sao Tome and Principe</t>
  </si>
  <si>
    <t>Serbia</t>
  </si>
  <si>
    <t>Sint Maarten (Dutch part)</t>
  </si>
  <si>
    <t>Slovakia</t>
  </si>
  <si>
    <t>South Georgia and the South Sandwich Islands</t>
  </si>
  <si>
    <t>South Sudan</t>
  </si>
  <si>
    <t>Svalbard and Jan Mayen</t>
  </si>
  <si>
    <t>Syrian Arab Republic</t>
  </si>
  <si>
    <t>Taiwan, Province of China[a]</t>
  </si>
  <si>
    <t>Tajikistan</t>
  </si>
  <si>
    <t>Tanzania, United Republic of</t>
  </si>
  <si>
    <t>Timor-Leste</t>
  </si>
  <si>
    <t>United States of America</t>
  </si>
  <si>
    <t>United States Minor Outlying Islands</t>
  </si>
  <si>
    <t>Venezuela (Bolivarian Republic of)</t>
  </si>
  <si>
    <t>Viet Nam</t>
  </si>
  <si>
    <t>Virgin Islands (U.S.)</t>
  </si>
  <si>
    <t>Wallis and Futuna</t>
  </si>
  <si>
    <t>Port of registry LOCODE</t>
  </si>
  <si>
    <t>Excel (.xls)</t>
  </si>
  <si>
    <t>HTML (.htm, .html)</t>
  </si>
  <si>
    <t>PDF (.pdf)</t>
  </si>
  <si>
    <t>TXT (.txt)</t>
  </si>
  <si>
    <t>Word (.doc, .docx, .dot, .rtf)</t>
  </si>
  <si>
    <t>XML (.xml)</t>
  </si>
  <si>
    <t xml:space="preserve"> </t>
  </si>
  <si>
    <t>Note: Information required by SOLAS regulation (XI-2/9.2.1). Details relating to specific fields are displayed on data input or upon clicking table header.</t>
  </si>
  <si>
    <t>Note: Number indicating the location of the ship by satellite services of Inmarsat.</t>
  </si>
  <si>
    <t>This sheet will not be processed by CERS and can be used for internal note keeping relating to this particular PortPlus submission.</t>
  </si>
  <si>
    <t>Cargo Associated Waste - please specify (may be estimates)</t>
  </si>
  <si>
    <t>Cargo Residues - please specify (may be estimates)</t>
  </si>
  <si>
    <t>Other: please specify using MARPOL Annex II category X, Y, Z, OS:</t>
  </si>
  <si>
    <t>Other - please specify [2300]</t>
  </si>
  <si>
    <t>Other - please specify [1300]</t>
  </si>
  <si>
    <t>Other - please specify [4100]</t>
  </si>
  <si>
    <t>Other - please specify [5100]</t>
  </si>
  <si>
    <t>Other - please specify [5300]</t>
  </si>
  <si>
    <t>Special/hazardous items - please specify (e.g. medical wastes, fluorescent light tubes, oily rags, etc.)</t>
  </si>
  <si>
    <t>KGM</t>
  </si>
  <si>
    <t>Consignment information</t>
  </si>
  <si>
    <t>Port of discharge name</t>
  </si>
  <si>
    <t>Port of loading name</t>
  </si>
  <si>
    <t>Gross / Net</t>
  </si>
  <si>
    <t>Net / Gross</t>
  </si>
  <si>
    <t>TEU Id</t>
  </si>
  <si>
    <t>DPG Item (1 or more items in a consignment)</t>
  </si>
  <si>
    <t>Transport unit (0 or more units for a DPG item)</t>
  </si>
  <si>
    <t>OUTGOING HAZMAT (FAL form 7)</t>
  </si>
  <si>
    <t>WASTE</t>
  </si>
  <si>
    <t>Vessel</t>
  </si>
  <si>
    <t>Related security matter to report</t>
  </si>
  <si>
    <t xml:space="preserve">Latitude / </t>
  </si>
  <si>
    <t>Data provider</t>
  </si>
  <si>
    <t>Ship location at the time of reporting</t>
  </si>
  <si>
    <t>Date of ship’s last visit to UK</t>
  </si>
  <si>
    <t>Additional vessel details</t>
  </si>
  <si>
    <t xml:space="preserve">1) This information may be used for port State control and other inspection purposes.
2) EEA states will determine which bodies will receive copies of this notification.
3) This form is to be completed unless the ship is covered by an exemption in accordance with Article 9 of Directive 2000/59/EC.
</t>
  </si>
  <si>
    <t>Voyage - Last port LOCODE</t>
  </si>
  <si>
    <t>Vessel - Port of registry LOCODE</t>
  </si>
  <si>
    <t>Voyage - Next port LOCODE</t>
  </si>
  <si>
    <t>Oily Residues (Sludge)</t>
  </si>
  <si>
    <t>Oily Bilge Water</t>
  </si>
  <si>
    <t>IMO number</t>
  </si>
  <si>
    <t>Special or additional security measures taken by the ship</t>
  </si>
  <si>
    <t>Special or additional security measures?</t>
  </si>
  <si>
    <t>None</t>
  </si>
  <si>
    <t>Security measures applied in lieu of SSP</t>
  </si>
  <si>
    <t xml:space="preserve">Neath (Castell-Nedd)Â </t>
  </si>
  <si>
    <t>Port Of London Gateway</t>
  </si>
  <si>
    <t>Ardrishaig Basin</t>
  </si>
  <si>
    <t>North Ronaldsay (Orkney Islands)</t>
  </si>
  <si>
    <t>GBIRL</t>
  </si>
  <si>
    <t>Irlam</t>
  </si>
  <si>
    <t>VESSEL</t>
  </si>
  <si>
    <t>Vessel identification</t>
  </si>
  <si>
    <t>Vessel details</t>
  </si>
  <si>
    <t>Certificate of registry</t>
  </si>
  <si>
    <t>VOYAGE</t>
  </si>
  <si>
    <t>Note: Confirm you have completed FAL forms 5 and 6 and submitted them to the Maritime National Single Window.
Note: If the ship is carrying any dangerous substances as cargo covered by any of classes 1, 2.1, 2.3, 3, 4.1, 5.1, 6.1, 6.2, 7 or 8 of the IMDG Code, please ensure you complete the necessary HAZMAT information and submit this to the CERS system.</t>
  </si>
  <si>
    <t>Related security matter?</t>
  </si>
  <si>
    <t>Describe the related security matter</t>
  </si>
  <si>
    <t>Ship-to-ship activities</t>
  </si>
  <si>
    <t>Voyage - Port of call LOCODE</t>
  </si>
  <si>
    <t>Waste type code</t>
  </si>
  <si>
    <t>Port Facility Name</t>
  </si>
  <si>
    <t>Arrival notification</t>
  </si>
  <si>
    <t>Departure notification</t>
  </si>
  <si>
    <t>Inbound Hazmat</t>
  </si>
  <si>
    <t>Outbound Hazmat</t>
  </si>
  <si>
    <t>Column</t>
  </si>
  <si>
    <t>At least two of ‘IMO number’, ‘Ship name’, ‘Call sign’ and ‘MMSI number’ must be given</t>
  </si>
  <si>
    <t xml:space="preserve">‘Current security level’ is required </t>
  </si>
  <si>
    <t>‘Waste delivery status’ is required</t>
  </si>
  <si>
    <t>‘Hazmat on board‘ is required</t>
  </si>
  <si>
    <t xml:space="preserve">If any ‘Agent’ info is given, then agent "Name" and at least one other field is required </t>
  </si>
  <si>
    <t>If 'Cargo manifest URL' or 'Cargo manifest document type' is given then the other is required</t>
  </si>
  <si>
    <t>IMO Number</t>
  </si>
  <si>
    <t>‘ISSC is valid?‘ is required</t>
  </si>
  <si>
    <t>If any ‘Cargo manifest contact’ is given, then ‘Phone’ is required</t>
  </si>
  <si>
    <t>Ship Name</t>
  </si>
  <si>
    <t>If ‘ISSC is valid?’ is false, then ‘Invalid reason’ is required</t>
  </si>
  <si>
    <t>‘ETD from port of call’ or ‘ATD Port of call’ is required</t>
  </si>
  <si>
    <t>‘Approved security plan?’ is required</t>
  </si>
  <si>
    <t>‘CSO Last name’ and one of ‘Phone’, ‘Fax’ and ‘Email’ is required</t>
  </si>
  <si>
    <t xml:space="preserve">If outgoing ‘Hazmat on board’ is ‘Yes’, then ‘POB Towards next port’ is required </t>
  </si>
  <si>
    <t>‘ISSC‘ info must be given if ‘ISSC is valid?’ is ‘True’</t>
  </si>
  <si>
    <t>Invalid reason' must be blank if 'ISSC is valid?' is 'True'</t>
  </si>
  <si>
    <t>Port Call 1 - All mandatory fields must be given</t>
  </si>
  <si>
    <t>Port Call 2 - All mandatory fields must be given</t>
  </si>
  <si>
    <t>Port Call 3 - All mandatory fields must be given</t>
  </si>
  <si>
    <t>Port Call 4 - All mandatory fields must be given</t>
  </si>
  <si>
    <t>Port Call 5 - All mandatory fields must be given</t>
  </si>
  <si>
    <t>Port Call 6 - All mandatory fields must be given</t>
  </si>
  <si>
    <t>Port Call 7 - All mandatory fields must be given</t>
  </si>
  <si>
    <t>Port Call 8 - All mandatory fields must be given</t>
  </si>
  <si>
    <t>Port Call 9 - All mandatory fields must be given</t>
  </si>
  <si>
    <t>Port Call 10 - All mandatory fields must be given</t>
  </si>
  <si>
    <t>Ship-to-ship activity 1 - All mandatory fields must be given</t>
  </si>
  <si>
    <t>Ship-to-ship activity 2 - All mandatory fields must be given</t>
  </si>
  <si>
    <t>Ship-to-ship activity 3 - All mandatory fields must be given</t>
  </si>
  <si>
    <t>Ship-to-ship activity 4 - All mandatory fields must be given</t>
  </si>
  <si>
    <t>Ship-to-ship activity 5 - All mandatory fields must be given</t>
  </si>
  <si>
    <t>Ship-to-ship activity 6 - All mandatory fields must be given</t>
  </si>
  <si>
    <t>Ship-to-ship activity 7 - All mandatory fields must be given</t>
  </si>
  <si>
    <t>Ship-to-ship activity 8 - All mandatory fields must be given</t>
  </si>
  <si>
    <t>Ship-to-ship activity 9 - All mandatory fields must be given</t>
  </si>
  <si>
    <t>Ship-to-ship activity 10 - All mandatory fields must be given</t>
  </si>
  <si>
    <t>Remaining waste delivery port' must be bank if 'Waste delivery status' is 'ALL'</t>
  </si>
  <si>
    <t>Form Status:</t>
  </si>
  <si>
    <t>Port Location</t>
  </si>
  <si>
    <t>Contact</t>
  </si>
  <si>
    <t>URL</t>
  </si>
  <si>
    <t>Row status</t>
  </si>
  <si>
    <t>`</t>
  </si>
  <si>
    <t>ETA next port</t>
  </si>
  <si>
    <t>Manifest URL</t>
  </si>
  <si>
    <t>Doc type</t>
  </si>
  <si>
    <t>Purposes of call ('Yes' to include)</t>
  </si>
  <si>
    <t>Unit</t>
  </si>
  <si>
    <t>IMO is invalid</t>
  </si>
  <si>
    <t>Ship name is invalid</t>
  </si>
  <si>
    <t>Callsign is invalid</t>
  </si>
  <si>
    <t>MMSI is invalid</t>
  </si>
  <si>
    <t>Ship type is invalid</t>
  </si>
  <si>
    <t>Gross tonnage is invalid</t>
  </si>
  <si>
    <t>Port of registry is invalid</t>
  </si>
  <si>
    <t>Certificate number invalid</t>
  </si>
  <si>
    <t>Company name invalid</t>
  </si>
  <si>
    <t>Company IMO invalid</t>
  </si>
  <si>
    <t>Brief cargo description must be less than 256 characters</t>
  </si>
  <si>
    <t>POB towards port of call is invalid</t>
  </si>
  <si>
    <t>Anchorage is invalid</t>
  </si>
  <si>
    <t>POB towards next port is invalid</t>
  </si>
  <si>
    <t>Location name is invalid</t>
  </si>
  <si>
    <t>Location completion port LOCODE is invalid</t>
  </si>
  <si>
    <t>Last port delivered LOCODE is invalid</t>
  </si>
  <si>
    <t>'Waste type description' is invalid</t>
  </si>
  <si>
    <t>'Waste delivery status' is invalid</t>
  </si>
  <si>
    <t>'Hazmat on board' is invalid</t>
  </si>
  <si>
    <t>'INF ship class' is invalid</t>
  </si>
  <si>
    <t>'First name' is invalid</t>
  </si>
  <si>
    <t>'Last name' is invalid</t>
  </si>
  <si>
    <t>'Port LOCODE' is invalid</t>
  </si>
  <si>
    <t>'Fax is invalid'</t>
  </si>
  <si>
    <t>'Phone' is invalid</t>
  </si>
  <si>
    <t>'Email' is invalid</t>
  </si>
  <si>
    <t>'URL' is invalid</t>
  </si>
  <si>
    <t>'Doc type' is invalid</t>
  </si>
  <si>
    <t>'Ship location at the time of reporting' is invalid</t>
  </si>
  <si>
    <t>CSO 'First name' is invalid</t>
  </si>
  <si>
    <t>CSO 'Last name' is invalid</t>
  </si>
  <si>
    <t>CSO 'Phone' is invalid</t>
  </si>
  <si>
    <t>CSO 'Fax' is invalid</t>
  </si>
  <si>
    <t>CSO 'Email' is invalid</t>
  </si>
  <si>
    <t>Agent 'Name' is invalid</t>
  </si>
  <si>
    <t>Agent 'Phone' is invalid</t>
  </si>
  <si>
    <t>Agent 'Fax' is invalid</t>
  </si>
  <si>
    <t>Agent 'Email' is invalid</t>
  </si>
  <si>
    <t>ISSC 'Type' is invalid</t>
  </si>
  <si>
    <t>ISSC 'ISSC number' is invalid</t>
  </si>
  <si>
    <t>ISSC 'Issuer type' is invalid</t>
  </si>
  <si>
    <t>ISSC 'Issuer' is invalid</t>
  </si>
  <si>
    <t>ISSC 'ISSC is Valid?' is invalid</t>
  </si>
  <si>
    <t>ISSC 'Invalid reason' is invalid</t>
  </si>
  <si>
    <t>'Data provider' is invalid</t>
  </si>
  <si>
    <t>'Current security level' is invalid</t>
  </si>
  <si>
    <t>'Approved security plan?' is invalid</t>
  </si>
  <si>
    <t>Passenger list confirmation is invalid</t>
  </si>
  <si>
    <t>Crew list confirmation is invalid</t>
  </si>
  <si>
    <t>Brief cargo description' is invalid</t>
  </si>
  <si>
    <t>'Related security matter' is invalid</t>
  </si>
  <si>
    <t>Related security matter description is invalid</t>
  </si>
  <si>
    <t>'Primary purpose of call' is invalid</t>
  </si>
  <si>
    <t>'Consignment reference number' is invalid</t>
  </si>
  <si>
    <t>'Transport document ID' is invalid</t>
  </si>
  <si>
    <t>'DPG item reference number' is invalid</t>
  </si>
  <si>
    <t>'Textual Reference' is invalid</t>
  </si>
  <si>
    <t>'DG classification' is invalid</t>
  </si>
  <si>
    <t>'IMO Hazard Class' is invalid</t>
  </si>
  <si>
    <t>'UN Number' is invalid</t>
  </si>
  <si>
    <t>'Total amount' is invalid</t>
  </si>
  <si>
    <t>'Net / Gross' is invalid</t>
  </si>
  <si>
    <t>'unit' is invalid</t>
  </si>
  <si>
    <t>'Packing group' is invalid</t>
  </si>
  <si>
    <t>'Flash point' is invalid</t>
  </si>
  <si>
    <t>'Marpol code' is invalid</t>
  </si>
  <si>
    <t>'Package code' is invalid</t>
  </si>
  <si>
    <t>'Total packages' is invalid</t>
  </si>
  <si>
    <t>'Additional info' is invalid</t>
  </si>
  <si>
    <t>'EMS number' is invalid</t>
  </si>
  <si>
    <t>'Subsidiary risk' is invalid</t>
  </si>
  <si>
    <t>'TEU type' is invalid</t>
  </si>
  <si>
    <t>TEU Id' is invalid</t>
  </si>
  <si>
    <t>'Location on board' is invalid</t>
  </si>
  <si>
    <t>Package count' is invalid</t>
  </si>
  <si>
    <t>Amount' is invalid</t>
  </si>
  <si>
    <t>'Gross / Net' is invalid</t>
  </si>
  <si>
    <t>Row 1 - IMO Port facility number is invalid</t>
  </si>
  <si>
    <t>Row 2 - IMO Port facility number is invalid</t>
  </si>
  <si>
    <t>Row 3 - IMO Port facility number is invalid</t>
  </si>
  <si>
    <t>Row 4 - IMO Port facility number is invalid</t>
  </si>
  <si>
    <t>Row 5 - IMO Port facility number is invalid</t>
  </si>
  <si>
    <t>Row 6 - IMO Port facility number is invalid</t>
  </si>
  <si>
    <t>Row 7 - IMO Port facility number is invalid</t>
  </si>
  <si>
    <t>Row 8 - IMO Port facility number is invalid</t>
  </si>
  <si>
    <t>Row 9 - IMO Port facility number is invalid</t>
  </si>
  <si>
    <t>Row 10 - IMO Port facility number is invalid</t>
  </si>
  <si>
    <t>Cargo manifest (choose one)</t>
  </si>
  <si>
    <t>United Kingdom</t>
  </si>
  <si>
    <t xml:space="preserve">Row 1 - </t>
  </si>
  <si>
    <t xml:space="preserve">Row 2 - </t>
  </si>
  <si>
    <t xml:space="preserve">Row 3 - </t>
  </si>
  <si>
    <t xml:space="preserve">Row 4 - </t>
  </si>
  <si>
    <t xml:space="preserve">Row 5 - </t>
  </si>
  <si>
    <t xml:space="preserve">Row 6 - </t>
  </si>
  <si>
    <t xml:space="preserve">Row 7 - </t>
  </si>
  <si>
    <t xml:space="preserve">Row 8 - </t>
  </si>
  <si>
    <t xml:space="preserve">Row 9 - </t>
  </si>
  <si>
    <t xml:space="preserve">Row 10 - </t>
  </si>
  <si>
    <t xml:space="preserve">Row 11 - </t>
  </si>
  <si>
    <t xml:space="preserve">Row 12 - </t>
  </si>
  <si>
    <t xml:space="preserve">Row 13 - </t>
  </si>
  <si>
    <t xml:space="preserve">Row 14 - </t>
  </si>
  <si>
    <t xml:space="preserve">Row 15 - </t>
  </si>
  <si>
    <t xml:space="preserve">Row 16 - </t>
  </si>
  <si>
    <t xml:space="preserve">Row 17 - </t>
  </si>
  <si>
    <t xml:space="preserve">Row 18 - </t>
  </si>
  <si>
    <t xml:space="preserve">Row 19 - </t>
  </si>
  <si>
    <t xml:space="preserve">Row 20 - </t>
  </si>
  <si>
    <t xml:space="preserve">Row 21 - </t>
  </si>
  <si>
    <t xml:space="preserve">Row 22 - </t>
  </si>
  <si>
    <t xml:space="preserve">Row 23 - </t>
  </si>
  <si>
    <t xml:space="preserve">Row 24 - </t>
  </si>
  <si>
    <t xml:space="preserve">Row 25 - </t>
  </si>
  <si>
    <t xml:space="preserve">Row 26 - </t>
  </si>
  <si>
    <t xml:space="preserve">Row 27 - </t>
  </si>
  <si>
    <t xml:space="preserve">Row 28 - </t>
  </si>
  <si>
    <t xml:space="preserve">Row 29 - </t>
  </si>
  <si>
    <t xml:space="preserve">Row 30 - </t>
  </si>
  <si>
    <t xml:space="preserve">Row 31 - </t>
  </si>
  <si>
    <t xml:space="preserve">Row 32 - </t>
  </si>
  <si>
    <t xml:space="preserve">Row 33 - </t>
  </si>
  <si>
    <t xml:space="preserve">Row 34 - </t>
  </si>
  <si>
    <t xml:space="preserve">Row 35 - </t>
  </si>
  <si>
    <t xml:space="preserve">Row 36 - </t>
  </si>
  <si>
    <t xml:space="preserve">Row 37 - </t>
  </si>
  <si>
    <t xml:space="preserve">Row 38 - </t>
  </si>
  <si>
    <t xml:space="preserve">Row 39 - </t>
  </si>
  <si>
    <t xml:space="preserve">Row 40 - </t>
  </si>
  <si>
    <t xml:space="preserve">Row 41 - </t>
  </si>
  <si>
    <t xml:space="preserve">Row 42 - </t>
  </si>
  <si>
    <t xml:space="preserve">Row 43 - </t>
  </si>
  <si>
    <t xml:space="preserve">Row 44 - </t>
  </si>
  <si>
    <t xml:space="preserve">Row 45 - </t>
  </si>
  <si>
    <t xml:space="preserve">Row 46 - </t>
  </si>
  <si>
    <t xml:space="preserve">Row 47 - </t>
  </si>
  <si>
    <t xml:space="preserve">Row 48 - </t>
  </si>
  <si>
    <t xml:space="preserve">Row 49 - </t>
  </si>
  <si>
    <t xml:space="preserve">Row 50 - </t>
  </si>
  <si>
    <t xml:space="preserve">Row 51 - </t>
  </si>
  <si>
    <t xml:space="preserve">Row 52 - </t>
  </si>
  <si>
    <t xml:space="preserve">Row 53 - </t>
  </si>
  <si>
    <t xml:space="preserve">Row 54 - </t>
  </si>
  <si>
    <t xml:space="preserve">Row 55 - </t>
  </si>
  <si>
    <t xml:space="preserve">Row 56 - </t>
  </si>
  <si>
    <t xml:space="preserve">Row 57 - </t>
  </si>
  <si>
    <t xml:space="preserve">Row 58 - </t>
  </si>
  <si>
    <t xml:space="preserve">Row 59 - </t>
  </si>
  <si>
    <t xml:space="preserve">Row 60 - </t>
  </si>
  <si>
    <t xml:space="preserve">Row 61 - </t>
  </si>
  <si>
    <t xml:space="preserve">Row 62 - </t>
  </si>
  <si>
    <t xml:space="preserve">Row 63 - </t>
  </si>
  <si>
    <t xml:space="preserve">Row 64 - </t>
  </si>
  <si>
    <t xml:space="preserve">Row 65 - </t>
  </si>
  <si>
    <t xml:space="preserve">Row 66 - </t>
  </si>
  <si>
    <t xml:space="preserve">Row 67 - </t>
  </si>
  <si>
    <t xml:space="preserve">Row 68 - </t>
  </si>
  <si>
    <t xml:space="preserve">Row 69 - </t>
  </si>
  <si>
    <t xml:space="preserve">Row 70 - </t>
  </si>
  <si>
    <t xml:space="preserve">Row 71 - </t>
  </si>
  <si>
    <t xml:space="preserve">Row 72 - </t>
  </si>
  <si>
    <t xml:space="preserve">Row 73 - </t>
  </si>
  <si>
    <t xml:space="preserve">Row 74 - </t>
  </si>
  <si>
    <t xml:space="preserve">Row 75 - </t>
  </si>
  <si>
    <t xml:space="preserve">Row 76 - </t>
  </si>
  <si>
    <t xml:space="preserve">Row 77 - </t>
  </si>
  <si>
    <t xml:space="preserve">Row 78 - </t>
  </si>
  <si>
    <t xml:space="preserve">Row 79 - </t>
  </si>
  <si>
    <t xml:space="preserve">Row 80 - </t>
  </si>
  <si>
    <t xml:space="preserve">Row 81 - </t>
  </si>
  <si>
    <t xml:space="preserve">Row 82 - </t>
  </si>
  <si>
    <t xml:space="preserve">Row 83 - </t>
  </si>
  <si>
    <t xml:space="preserve">Row 84 - </t>
  </si>
  <si>
    <t xml:space="preserve">Row 85 - </t>
  </si>
  <si>
    <t xml:space="preserve">Row 86 - </t>
  </si>
  <si>
    <t xml:space="preserve">Row 87 - </t>
  </si>
  <si>
    <t xml:space="preserve">Row 88 - </t>
  </si>
  <si>
    <t xml:space="preserve">Row 89 - </t>
  </si>
  <si>
    <t xml:space="preserve">Row 90 - </t>
  </si>
  <si>
    <t xml:space="preserve">Row 91 - </t>
  </si>
  <si>
    <t xml:space="preserve">Row 92 - </t>
  </si>
  <si>
    <t xml:space="preserve">Row 93 - </t>
  </si>
  <si>
    <t xml:space="preserve">Row 94 - </t>
  </si>
  <si>
    <t xml:space="preserve">Row 95 - </t>
  </si>
  <si>
    <t xml:space="preserve">Row 96 - </t>
  </si>
  <si>
    <t xml:space="preserve">Row 97 - </t>
  </si>
  <si>
    <t xml:space="preserve">Row 98 - </t>
  </si>
  <si>
    <t xml:space="preserve">Row 99 - </t>
  </si>
  <si>
    <t xml:space="preserve">Row 100 - </t>
  </si>
  <si>
    <t xml:space="preserve">Row 101 - </t>
  </si>
  <si>
    <t xml:space="preserve">Row 102 - </t>
  </si>
  <si>
    <t xml:space="preserve">Row 103 - </t>
  </si>
  <si>
    <t xml:space="preserve">Row 104 - </t>
  </si>
  <si>
    <t xml:space="preserve">Row 105 - </t>
  </si>
  <si>
    <t xml:space="preserve">Row 106 - </t>
  </si>
  <si>
    <t xml:space="preserve">Row 107 - </t>
  </si>
  <si>
    <t xml:space="preserve">Row 108 - </t>
  </si>
  <si>
    <t xml:space="preserve">Row 109 - </t>
  </si>
  <si>
    <t xml:space="preserve">Row 110 - </t>
  </si>
  <si>
    <t xml:space="preserve">Row 111 - </t>
  </si>
  <si>
    <t xml:space="preserve">Row 112 - </t>
  </si>
  <si>
    <t xml:space="preserve">Row 113 - </t>
  </si>
  <si>
    <t xml:space="preserve">Row 114 - </t>
  </si>
  <si>
    <t xml:space="preserve">Row 115 - </t>
  </si>
  <si>
    <t xml:space="preserve">Row 116 - </t>
  </si>
  <si>
    <t xml:space="preserve">Row 117 - </t>
  </si>
  <si>
    <t xml:space="preserve">Row 118 - </t>
  </si>
  <si>
    <t xml:space="preserve">Row 119 - </t>
  </si>
  <si>
    <t xml:space="preserve">Row 120 - </t>
  </si>
  <si>
    <t xml:space="preserve">Row 121 - </t>
  </si>
  <si>
    <t xml:space="preserve">Row 122 - </t>
  </si>
  <si>
    <t xml:space="preserve">Row 123 - </t>
  </si>
  <si>
    <t xml:space="preserve">Row 124 - </t>
  </si>
  <si>
    <t xml:space="preserve">Row 125 - </t>
  </si>
  <si>
    <t xml:space="preserve">Row 126 - </t>
  </si>
  <si>
    <t xml:space="preserve">Row 127 - </t>
  </si>
  <si>
    <t xml:space="preserve">Row 128 - </t>
  </si>
  <si>
    <t xml:space="preserve">Row 129 - </t>
  </si>
  <si>
    <t xml:space="preserve">Row 130 - </t>
  </si>
  <si>
    <t xml:space="preserve">Row 131 - </t>
  </si>
  <si>
    <t xml:space="preserve">Row 132 - </t>
  </si>
  <si>
    <t xml:space="preserve">Row 133 - </t>
  </si>
  <si>
    <t xml:space="preserve">Row 134 - </t>
  </si>
  <si>
    <t xml:space="preserve">Row 135 - </t>
  </si>
  <si>
    <t xml:space="preserve">Row 136 - </t>
  </si>
  <si>
    <t xml:space="preserve">Row 137 - </t>
  </si>
  <si>
    <t xml:space="preserve">Row 138 - </t>
  </si>
  <si>
    <t xml:space="preserve">Row 139 - </t>
  </si>
  <si>
    <t xml:space="preserve">Row 140 - </t>
  </si>
  <si>
    <t xml:space="preserve">Row 141 - </t>
  </si>
  <si>
    <t xml:space="preserve">Row 142 - </t>
  </si>
  <si>
    <t xml:space="preserve">Row 143 - </t>
  </si>
  <si>
    <t xml:space="preserve">Row 144 - </t>
  </si>
  <si>
    <t xml:space="preserve">Row 145 - </t>
  </si>
  <si>
    <t xml:space="preserve">Row 146 - </t>
  </si>
  <si>
    <t xml:space="preserve">Row 147 - </t>
  </si>
  <si>
    <t xml:space="preserve">Row 148 - </t>
  </si>
  <si>
    <t xml:space="preserve">Row 149 - </t>
  </si>
  <si>
    <t xml:space="preserve">Row 150 - </t>
  </si>
  <si>
    <t xml:space="preserve">Row 151 - </t>
  </si>
  <si>
    <t xml:space="preserve">Row 152 - </t>
  </si>
  <si>
    <t xml:space="preserve">Row 153 - </t>
  </si>
  <si>
    <t xml:space="preserve">Row 154 - </t>
  </si>
  <si>
    <t xml:space="preserve">Row 155 - </t>
  </si>
  <si>
    <t xml:space="preserve">Row 156 - </t>
  </si>
  <si>
    <t xml:space="preserve">Row 157 - </t>
  </si>
  <si>
    <t xml:space="preserve">Row 158 - </t>
  </si>
  <si>
    <t xml:space="preserve">Row 159 - </t>
  </si>
  <si>
    <t xml:space="preserve">Row 160 - </t>
  </si>
  <si>
    <t xml:space="preserve">Row 161 - </t>
  </si>
  <si>
    <t xml:space="preserve">Row 162 - </t>
  </si>
  <si>
    <t xml:space="preserve">Row 163 - </t>
  </si>
  <si>
    <t xml:space="preserve">Row 164 - </t>
  </si>
  <si>
    <t xml:space="preserve">Row 165 - </t>
  </si>
  <si>
    <t xml:space="preserve">Row 166 - </t>
  </si>
  <si>
    <t xml:space="preserve">Row 167 - </t>
  </si>
  <si>
    <t xml:space="preserve">Row 168 - </t>
  </si>
  <si>
    <t xml:space="preserve">Row 169 - </t>
  </si>
  <si>
    <t xml:space="preserve">Row 170 - </t>
  </si>
  <si>
    <t xml:space="preserve">Row 171 - </t>
  </si>
  <si>
    <t xml:space="preserve">Row 172 - </t>
  </si>
  <si>
    <t xml:space="preserve">Row 173 - </t>
  </si>
  <si>
    <t xml:space="preserve">Row 174 - </t>
  </si>
  <si>
    <t xml:space="preserve">Row 175 - </t>
  </si>
  <si>
    <t xml:space="preserve">Row 176 - </t>
  </si>
  <si>
    <t xml:space="preserve">Row 177 - </t>
  </si>
  <si>
    <t xml:space="preserve">Row 178 - </t>
  </si>
  <si>
    <t xml:space="preserve">Row 179 - </t>
  </si>
  <si>
    <t xml:space="preserve">Row 180 - </t>
  </si>
  <si>
    <t xml:space="preserve">Row 181 - </t>
  </si>
  <si>
    <t xml:space="preserve">Row 182 - </t>
  </si>
  <si>
    <t xml:space="preserve">Row 183 - </t>
  </si>
  <si>
    <t xml:space="preserve">Row 184 - </t>
  </si>
  <si>
    <t xml:space="preserve">Row 185 - </t>
  </si>
  <si>
    <t xml:space="preserve">Row 186 - </t>
  </si>
  <si>
    <t xml:space="preserve">Row 187 - </t>
  </si>
  <si>
    <t xml:space="preserve">Row 188 - </t>
  </si>
  <si>
    <t xml:space="preserve">Row 189 - </t>
  </si>
  <si>
    <t xml:space="preserve">Row 190 - </t>
  </si>
  <si>
    <t xml:space="preserve">Row 191 - </t>
  </si>
  <si>
    <t xml:space="preserve">Row 192 - </t>
  </si>
  <si>
    <t xml:space="preserve">Row 193 - </t>
  </si>
  <si>
    <t xml:space="preserve">Row 194 - </t>
  </si>
  <si>
    <t xml:space="preserve">Row 195 - </t>
  </si>
  <si>
    <t xml:space="preserve">Row 196 - </t>
  </si>
  <si>
    <t xml:space="preserve">Row 197 - </t>
  </si>
  <si>
    <t xml:space="preserve">Row 198 - </t>
  </si>
  <si>
    <t xml:space="preserve">Row 199 - </t>
  </si>
  <si>
    <t xml:space="preserve">Row 200 - </t>
  </si>
  <si>
    <t xml:space="preserve">Row 201 - </t>
  </si>
  <si>
    <t xml:space="preserve">Row 202 - </t>
  </si>
  <si>
    <t xml:space="preserve">Row 203 - </t>
  </si>
  <si>
    <t xml:space="preserve">Row 204 - </t>
  </si>
  <si>
    <t xml:space="preserve">Row 205 - </t>
  </si>
  <si>
    <t xml:space="preserve">Row 206 - </t>
  </si>
  <si>
    <t xml:space="preserve">Row 207 - </t>
  </si>
  <si>
    <t xml:space="preserve">Row 208 - </t>
  </si>
  <si>
    <t xml:space="preserve">Row 209 - </t>
  </si>
  <si>
    <t xml:space="preserve">Row 210 - </t>
  </si>
  <si>
    <t xml:space="preserve">Row 211 - </t>
  </si>
  <si>
    <t xml:space="preserve">Row 212 - </t>
  </si>
  <si>
    <t xml:space="preserve">Row 213 - </t>
  </si>
  <si>
    <t xml:space="preserve">Row 214 - </t>
  </si>
  <si>
    <t xml:space="preserve">Row 215 - </t>
  </si>
  <si>
    <t xml:space="preserve">Row 216 - </t>
  </si>
  <si>
    <t xml:space="preserve">Row 217 - </t>
  </si>
  <si>
    <t xml:space="preserve">Row 218 - </t>
  </si>
  <si>
    <t xml:space="preserve">Row 219 - </t>
  </si>
  <si>
    <t xml:space="preserve">Row 220 - </t>
  </si>
  <si>
    <t xml:space="preserve">Row 221 - </t>
  </si>
  <si>
    <t xml:space="preserve">Row 222 - </t>
  </si>
  <si>
    <t xml:space="preserve">Row 223 - </t>
  </si>
  <si>
    <t xml:space="preserve">Row 224 - </t>
  </si>
  <si>
    <t xml:space="preserve">Row 225 - </t>
  </si>
  <si>
    <t xml:space="preserve">Row 226 - </t>
  </si>
  <si>
    <t xml:space="preserve">Row 227 - </t>
  </si>
  <si>
    <t xml:space="preserve">Row 228 - </t>
  </si>
  <si>
    <t xml:space="preserve">Row 229 - </t>
  </si>
  <si>
    <t xml:space="preserve">Row 230 - </t>
  </si>
  <si>
    <t xml:space="preserve">Row 231 - </t>
  </si>
  <si>
    <t xml:space="preserve">Row 232 - </t>
  </si>
  <si>
    <t xml:space="preserve">Row 233 - </t>
  </si>
  <si>
    <t xml:space="preserve">Row 234 - </t>
  </si>
  <si>
    <t xml:space="preserve">Row 235 - </t>
  </si>
  <si>
    <t xml:space="preserve">Row 236 - </t>
  </si>
  <si>
    <t xml:space="preserve">Row 237 - </t>
  </si>
  <si>
    <t xml:space="preserve">Row 238 - </t>
  </si>
  <si>
    <t xml:space="preserve">Row 239 - </t>
  </si>
  <si>
    <t xml:space="preserve">Row 240 - </t>
  </si>
  <si>
    <t xml:space="preserve">Row 241 - </t>
  </si>
  <si>
    <t xml:space="preserve">Row 242 - </t>
  </si>
  <si>
    <t xml:space="preserve">Row 243 - </t>
  </si>
  <si>
    <t xml:space="preserve">Row 244 - </t>
  </si>
  <si>
    <t xml:space="preserve">Row 245 - </t>
  </si>
  <si>
    <t xml:space="preserve">Row 246 - </t>
  </si>
  <si>
    <t xml:space="preserve">Row 247 - </t>
  </si>
  <si>
    <t xml:space="preserve">Row 248 - </t>
  </si>
  <si>
    <t xml:space="preserve">Row 249 - </t>
  </si>
  <si>
    <t xml:space="preserve">Row 250 - </t>
  </si>
  <si>
    <t>‘Waste item’ information required</t>
  </si>
  <si>
    <t>All mandatory fields must be given</t>
  </si>
  <si>
    <t xml:space="preserve">If ‘Total amount’ is given, then ‘Net / Gross’ and ‘Total amount unit’ are required </t>
  </si>
  <si>
    <t>If ‘TEU type’ is ‘TEU’ then ‘TEU Id’ is required</t>
  </si>
  <si>
    <t>For a ‘Transport unit’ both ‘Location on board’ and ‘Amount’ are required</t>
  </si>
  <si>
    <t>For ‘Transport unit’ if ‘Amount’ is given then ‘Gross / Net’ and ‘Amount unit’ are required</t>
  </si>
  <si>
    <t>If ‘DG classification’ is ‘IMDG’ the ‘IMO Hazard Class’ and ‘UN Number’ is mandatory</t>
  </si>
  <si>
    <t>Minimum of two required:</t>
  </si>
  <si>
    <t>Voyage information</t>
  </si>
  <si>
    <t>24 hour notification</t>
  </si>
  <si>
    <t>ATA Port of call</t>
  </si>
  <si>
    <t>ATD Port of call</t>
  </si>
  <si>
    <t>Consignment reference number</t>
  </si>
  <si>
    <t>DPG item reference number</t>
  </si>
  <si>
    <t>DG classification</t>
  </si>
  <si>
    <t>Textual Reference</t>
  </si>
  <si>
    <t xml:space="preserve">Note: Use one of the two manifest (FAL form 2) notification methods
1) Manifest URL and Doctype in the Hazmat details section
2) The Manifest Contact Section </t>
  </si>
  <si>
    <t>Location on board</t>
  </si>
  <si>
    <t>Amount</t>
  </si>
  <si>
    <t>TEU type</t>
  </si>
  <si>
    <t>Waste capacity</t>
  </si>
  <si>
    <t>Waste retained</t>
  </si>
  <si>
    <t>Estimated waste creation</t>
  </si>
  <si>
    <t>Total amount</t>
  </si>
  <si>
    <t>Minimum of one required:</t>
  </si>
  <si>
    <t>CSO</t>
  </si>
  <si>
    <t>Agent</t>
  </si>
  <si>
    <t>Security overview</t>
  </si>
  <si>
    <t>Type</t>
  </si>
  <si>
    <t>Invalid reason:</t>
  </si>
  <si>
    <t>Cargo, passenger and crew lists</t>
  </si>
  <si>
    <t>ISSC</t>
  </si>
  <si>
    <t>Expiry</t>
  </si>
  <si>
    <t>Issuer</t>
  </si>
  <si>
    <t>Last 10 port calls</t>
  </si>
  <si>
    <t>Hazmat details</t>
  </si>
  <si>
    <t>Hazmat on board</t>
  </si>
  <si>
    <t>Location at form completion</t>
  </si>
  <si>
    <t>Waste overview</t>
  </si>
  <si>
    <t>Waste items</t>
  </si>
  <si>
    <t>Date from</t>
  </si>
  <si>
    <t>Date to</t>
  </si>
  <si>
    <t>Ship-to-ship activity</t>
  </si>
  <si>
    <t>Date of arrival</t>
  </si>
  <si>
    <t>Date of departure</t>
  </si>
  <si>
    <t>IMO Port facility number</t>
  </si>
  <si>
    <t>Security level</t>
  </si>
  <si>
    <t>Lat &amp; Long OR Location name required</t>
  </si>
  <si>
    <t>Note: Use this lookup to find the LOCODES required below.</t>
  </si>
  <si>
    <t>1) Sewage may be discharged at sea in accordance with Regulation 11 of Annex IV of Marpol 73/78. The corresponding boxes do not need to completed if it is the intention to make an authorised discharge at sea.
2) Cargo residues may be estimates.
3) By submitting this form I confirm that the above details are accurate and correct and there is sufficient dedicated on board capacity to store all waste generated between notification and the next port at which waste will be delivered.</t>
  </si>
  <si>
    <t>Override not allowed</t>
  </si>
  <si>
    <t>Override allowed</t>
  </si>
  <si>
    <t>Validation Override</t>
  </si>
  <si>
    <t>Validation Rules</t>
  </si>
  <si>
    <t>Ignore if invalid</t>
  </si>
  <si>
    <t>Len&lt;50</t>
  </si>
  <si>
    <t>Len&gt;50</t>
  </si>
  <si>
    <t>Don't allow invalid sheet upload</t>
  </si>
  <si>
    <t>Location</t>
  </si>
  <si>
    <t>Key:</t>
  </si>
  <si>
    <t>Gibraltar </t>
  </si>
  <si>
    <t>Key</t>
  </si>
  <si>
    <t>Is empty</t>
  </si>
  <si>
    <t>Status</t>
  </si>
  <si>
    <t>Port Facility' must be 4 digits</t>
  </si>
  <si>
    <t>'Position in port of call' must be less than 50 characters</t>
  </si>
  <si>
    <t>BDMUN</t>
  </si>
  <si>
    <t>CNYKG</t>
  </si>
  <si>
    <t>CNZPG</t>
  </si>
  <si>
    <t>COCNR</t>
  </si>
  <si>
    <t>COSPC</t>
  </si>
  <si>
    <t>DKNHN</t>
  </si>
  <si>
    <t>DKTJL</t>
  </si>
  <si>
    <t>EEHRS</t>
  </si>
  <si>
    <t>EEKAM</t>
  </si>
  <si>
    <t>EENST</t>
  </si>
  <si>
    <t>EENJS</t>
  </si>
  <si>
    <t>EEPSV</t>
  </si>
  <si>
    <t>EESGS</t>
  </si>
  <si>
    <t>EGTOR</t>
  </si>
  <si>
    <t>ES2TT</t>
  </si>
  <si>
    <t>ESRES</t>
  </si>
  <si>
    <t>ESDBO</t>
  </si>
  <si>
    <t>GBBZT</t>
  </si>
  <si>
    <t>GBFEB</t>
  </si>
  <si>
    <t>GBSYR</t>
  </si>
  <si>
    <t>HRN9F</t>
  </si>
  <si>
    <t>HTLFT</t>
  </si>
  <si>
    <t>IDBTM</t>
  </si>
  <si>
    <t>IDBAM</t>
  </si>
  <si>
    <t>ILKFV</t>
  </si>
  <si>
    <t>KHTKH</t>
  </si>
  <si>
    <t>KWSMY</t>
  </si>
  <si>
    <t>MYSUP</t>
  </si>
  <si>
    <t>NLARI</t>
  </si>
  <si>
    <t>NLAPN</t>
  </si>
  <si>
    <t>NLAMR</t>
  </si>
  <si>
    <t>NLANP</t>
  </si>
  <si>
    <t>NLARC</t>
  </si>
  <si>
    <t>NLBFD</t>
  </si>
  <si>
    <t>NLBEM</t>
  </si>
  <si>
    <t>NLBST</t>
  </si>
  <si>
    <t>NLBNN</t>
  </si>
  <si>
    <t>NLBSK</t>
  </si>
  <si>
    <t>NLRUK</t>
  </si>
  <si>
    <t>NLBRI</t>
  </si>
  <si>
    <t>NLBRM</t>
  </si>
  <si>
    <t>NLBUN</t>
  </si>
  <si>
    <t>NLCOE</t>
  </si>
  <si>
    <t>NLCUB</t>
  </si>
  <si>
    <t>NLDEL</t>
  </si>
  <si>
    <t>NLDFT</t>
  </si>
  <si>
    <t>NLDOE</t>
  </si>
  <si>
    <t>NLDOI</t>
  </si>
  <si>
    <t>NLDON</t>
  </si>
  <si>
    <t>NLDRO</t>
  </si>
  <si>
    <t>NLEDM</t>
  </si>
  <si>
    <t>NLEIN</t>
  </si>
  <si>
    <t>NLELB</t>
  </si>
  <si>
    <t>NLQCU</t>
  </si>
  <si>
    <t>NLENS</t>
  </si>
  <si>
    <t>NLGDM</t>
  </si>
  <si>
    <t>NLGET</t>
  </si>
  <si>
    <t>NLGOE</t>
  </si>
  <si>
    <t>NLGOO</t>
  </si>
  <si>
    <t>NLHAE</t>
  </si>
  <si>
    <t>NLHBG</t>
  </si>
  <si>
    <t>NLHRD</t>
  </si>
  <si>
    <t>NLHDL</t>
  </si>
  <si>
    <t>NLHEE</t>
  </si>
  <si>
    <t>NLHMS</t>
  </si>
  <si>
    <t>NLHRV</t>
  </si>
  <si>
    <t>NLHRW</t>
  </si>
  <si>
    <t>NLHEJ</t>
  </si>
  <si>
    <t>NLHLO</t>
  </si>
  <si>
    <t>NLHTR</t>
  </si>
  <si>
    <t>NLHIL</t>
  </si>
  <si>
    <t>NLHVS</t>
  </si>
  <si>
    <t>NLHOV</t>
  </si>
  <si>
    <t>NLHOU</t>
  </si>
  <si>
    <t>NLKST</t>
  </si>
  <si>
    <t>NLLAW</t>
  </si>
  <si>
    <t>NLLRD</t>
  </si>
  <si>
    <t>NLLID</t>
  </si>
  <si>
    <t>NLLDD</t>
  </si>
  <si>
    <t>NLQDG</t>
  </si>
  <si>
    <t>NLLAV</t>
  </si>
  <si>
    <t>NLMAR</t>
  </si>
  <si>
    <t>NLMAU</t>
  </si>
  <si>
    <t>NLNAW</t>
  </si>
  <si>
    <t>NLNDB</t>
  </si>
  <si>
    <t>NLNWG</t>
  </si>
  <si>
    <t>NLNIE</t>
  </si>
  <si>
    <t>NLOGE</t>
  </si>
  <si>
    <t>NLOIH</t>
  </si>
  <si>
    <t>NLOBL</t>
  </si>
  <si>
    <t>NLQDS</t>
  </si>
  <si>
    <t>NLRAS</t>
  </si>
  <si>
    <t>NLRBG</t>
  </si>
  <si>
    <t>NLRYS</t>
  </si>
  <si>
    <t>NLSND</t>
  </si>
  <si>
    <t>NLSHH</t>
  </si>
  <si>
    <t>NLSMG</t>
  </si>
  <si>
    <t>NLSDN</t>
  </si>
  <si>
    <t>NLVWD</t>
  </si>
  <si>
    <t>NLVOB</t>
  </si>
  <si>
    <t>NLVOS</t>
  </si>
  <si>
    <t>NLWAD</t>
  </si>
  <si>
    <t>NLWRM</t>
  </si>
  <si>
    <t>NLWRT</t>
  </si>
  <si>
    <t>NLWSP</t>
  </si>
  <si>
    <t>NLWBD</t>
  </si>
  <si>
    <t>NLWSC</t>
  </si>
  <si>
    <t>NLWOR</t>
  </si>
  <si>
    <t>NLZEW</t>
  </si>
  <si>
    <t>NLZUL</t>
  </si>
  <si>
    <t>RUBRK</t>
  </si>
  <si>
    <t>THSHT</t>
  </si>
  <si>
    <t>THBTC</t>
  </si>
  <si>
    <t>THECT</t>
  </si>
  <si>
    <t>THNHP</t>
  </si>
  <si>
    <t>THPPC</t>
  </si>
  <si>
    <t>THSSW</t>
  </si>
  <si>
    <t>THI6C</t>
  </si>
  <si>
    <t>TRKSP</t>
  </si>
  <si>
    <t>USL9G</t>
  </si>
  <si>
    <t>US5BL</t>
  </si>
  <si>
    <t>USO82</t>
  </si>
  <si>
    <t>VNTRE</t>
  </si>
  <si>
    <t>Munshiganj</t>
  </si>
  <si>
    <t>Yangkou Pt</t>
  </si>
  <si>
    <t>zhengpugang Pt</t>
  </si>
  <si>
    <t>Contecar</t>
  </si>
  <si>
    <t>Sociedad Portuaria Regional Cartagena</t>
  </si>
  <si>
    <t>Nordhavn</t>
  </si>
  <si>
    <t>Tjele</t>
  </si>
  <si>
    <t>Hara Sadam</t>
  </si>
  <si>
    <t>Kalmakula Sadam</t>
  </si>
  <si>
    <t>Naistlaiu Sadam</t>
  </si>
  <si>
    <t>Narva-Joesuu Sadam</t>
  </si>
  <si>
    <t>Paslepa-Viigi Sadam</t>
  </si>
  <si>
    <t>Saaga Sadam</t>
  </si>
  <si>
    <t>El Tor</t>
  </si>
  <si>
    <t>Ametlla</t>
  </si>
  <si>
    <t>Casar de Caceres</t>
  </si>
  <si>
    <t>Playa Den Bossa</t>
  </si>
  <si>
    <t>Broughton</t>
  </si>
  <si>
    <t>Stourton/Leeds</t>
  </si>
  <si>
    <t>Fericanci</t>
  </si>
  <si>
    <t>Lafiteau</t>
  </si>
  <si>
    <t>Batam Island</t>
  </si>
  <si>
    <t>Batuampar</t>
  </si>
  <si>
    <t>Kfar Vitkin</t>
  </si>
  <si>
    <t>Ta Khmau</t>
  </si>
  <si>
    <t>Salmiya</t>
  </si>
  <si>
    <t>Sungai Udang Port</t>
  </si>
  <si>
    <t>Aarle Rixtel</t>
  </si>
  <si>
    <t>Alphen aan den Rijn</t>
  </si>
  <si>
    <t>Amerongen</t>
  </si>
  <si>
    <t>Anna Paulowna</t>
  </si>
  <si>
    <t>Arcen</t>
  </si>
  <si>
    <t>Belfeld</t>
  </si>
  <si>
    <t>Bemmel</t>
  </si>
  <si>
    <t>Best</t>
  </si>
  <si>
    <t>Beuningen</t>
  </si>
  <si>
    <t>Boskoop</t>
  </si>
  <si>
    <t>Breukelen</t>
  </si>
  <si>
    <t>Brielle</t>
  </si>
  <si>
    <t>Brummen</t>
  </si>
  <si>
    <t>Bunschoten</t>
  </si>
  <si>
    <t>Coevorden</t>
  </si>
  <si>
    <t>Culemborg</t>
  </si>
  <si>
    <t>Delden</t>
  </si>
  <si>
    <t>Delft</t>
  </si>
  <si>
    <t>Doesburg</t>
  </si>
  <si>
    <t>Doetinchem</t>
  </si>
  <si>
    <t>Dongen</t>
  </si>
  <si>
    <t>Dronten</t>
  </si>
  <si>
    <t>Edam</t>
  </si>
  <si>
    <t>Eindhoven</t>
  </si>
  <si>
    <t>Elburg</t>
  </si>
  <si>
    <t>Elst</t>
  </si>
  <si>
    <t>Enschede</t>
  </si>
  <si>
    <t>Geldermalsen</t>
  </si>
  <si>
    <t>Gendt</t>
  </si>
  <si>
    <t>Goes</t>
  </si>
  <si>
    <t>Goor</t>
  </si>
  <si>
    <t>Haelen</t>
  </si>
  <si>
    <t>Hardenberg</t>
  </si>
  <si>
    <t>Harderwijk</t>
  </si>
  <si>
    <t>Hedel</t>
  </si>
  <si>
    <t>Heel</t>
  </si>
  <si>
    <t>Heemstede</t>
  </si>
  <si>
    <t>Heerenveen</t>
  </si>
  <si>
    <t>Heerewaarden</t>
  </si>
  <si>
    <t>Heijen</t>
  </si>
  <si>
    <t>Heiloo</t>
  </si>
  <si>
    <t>Heteren</t>
  </si>
  <si>
    <t>Hillegom</t>
  </si>
  <si>
    <t>Hilversum</t>
  </si>
  <si>
    <t>Hoogeveen</t>
  </si>
  <si>
    <t>Houten</t>
  </si>
  <si>
    <t>Kesteren</t>
  </si>
  <si>
    <t>Lage Weide</t>
  </si>
  <si>
    <t>Leerdam</t>
  </si>
  <si>
    <t>Leiden</t>
  </si>
  <si>
    <t>Leiderdorp</t>
  </si>
  <si>
    <t>Lisse</t>
  </si>
  <si>
    <t>Loenen aan de Vecht</t>
  </si>
  <si>
    <t>Markelo</t>
  </si>
  <si>
    <t>Maurik</t>
  </si>
  <si>
    <t>Naaldwijk</t>
  </si>
  <si>
    <t>Nederhorst den Berg</t>
  </si>
  <si>
    <t>Nieuwegein</t>
  </si>
  <si>
    <t>Nieuwerkerk aan den IJssel</t>
  </si>
  <si>
    <t>Oegstgeest</t>
  </si>
  <si>
    <t>Oirschot</t>
  </si>
  <si>
    <t>Oud-Beijerland</t>
  </si>
  <si>
    <t>Raalte</t>
  </si>
  <si>
    <t>Ravenstein</t>
  </si>
  <si>
    <t>Rijnsburg</t>
  </si>
  <si>
    <t>Rijswijk</t>
  </si>
  <si>
    <t>Schijndel</t>
  </si>
  <si>
    <t>Schoonhoven</t>
  </si>
  <si>
    <t>Sint Michielsgestel</t>
  </si>
  <si>
    <t>Steenderen</t>
  </si>
  <si>
    <t>Vlagtwedde</t>
  </si>
  <si>
    <t>Voorburg</t>
  </si>
  <si>
    <t>Voorschoten</t>
  </si>
  <si>
    <t>Waddinxveen</t>
  </si>
  <si>
    <t>Warmond</t>
  </si>
  <si>
    <t>Weert</t>
  </si>
  <si>
    <t>Weesp</t>
  </si>
  <si>
    <t>Wijk bij Duurstede</t>
  </si>
  <si>
    <t>Winschoten</t>
  </si>
  <si>
    <t>Woerden</t>
  </si>
  <si>
    <t>Zeewolde</t>
  </si>
  <si>
    <t>Zuidland</t>
  </si>
  <si>
    <t>Lomonosov</t>
  </si>
  <si>
    <t>Actu-lum</t>
  </si>
  <si>
    <t>Bangpakong Terminal</t>
  </si>
  <si>
    <t>Ekachai Container Terminal</t>
  </si>
  <si>
    <t>NH Prosperity</t>
  </si>
  <si>
    <t>Prachuap Port</t>
  </si>
  <si>
    <t>Siamgas and Petrochemicals</t>
  </si>
  <si>
    <t>T S Transport and Logistics</t>
  </si>
  <si>
    <t>Port of Karasu</t>
  </si>
  <si>
    <t>LaGrange</t>
  </si>
  <si>
    <t>Laurence Harbor</t>
  </si>
  <si>
    <t>Ben Tre</t>
  </si>
  <si>
    <t>EEHRA</t>
  </si>
  <si>
    <t>EELHK</t>
  </si>
  <si>
    <t>EEMEH</t>
  </si>
  <si>
    <t>EEMUR</t>
  </si>
  <si>
    <t>EENJD</t>
  </si>
  <si>
    <t>EENVA</t>
  </si>
  <si>
    <t>EETAL</t>
  </si>
  <si>
    <t>EETJA</t>
  </si>
  <si>
    <t>EETRU</t>
  </si>
  <si>
    <t>EEVNJ</t>
  </si>
  <si>
    <t>EEVSG</t>
  </si>
  <si>
    <t>GBMED</t>
  </si>
  <si>
    <t>GRAIO</t>
  </si>
  <si>
    <t>GRAVA</t>
  </si>
  <si>
    <t>GRGFD</t>
  </si>
  <si>
    <t>GRKSK</t>
  </si>
  <si>
    <t>GRLAR</t>
  </si>
  <si>
    <t>GRMEA</t>
  </si>
  <si>
    <t>GRMKP</t>
  </si>
  <si>
    <t>GRSDH</t>
  </si>
  <si>
    <t>GRSOU</t>
  </si>
  <si>
    <t>GRSYV</t>
  </si>
  <si>
    <t>GRTHP</t>
  </si>
  <si>
    <t>NLAPP</t>
  </si>
  <si>
    <t>NLBON</t>
  </si>
  <si>
    <t>NLBRD</t>
  </si>
  <si>
    <t>NLBRR</t>
  </si>
  <si>
    <t>NLBSE</t>
  </si>
  <si>
    <t>NLENK</t>
  </si>
  <si>
    <t>NLFAR</t>
  </si>
  <si>
    <t>NLGOU</t>
  </si>
  <si>
    <t>NLHAA</t>
  </si>
  <si>
    <t>NLHRN</t>
  </si>
  <si>
    <t>NLKSL</t>
  </si>
  <si>
    <t>NLLEY</t>
  </si>
  <si>
    <t>NLNKK</t>
  </si>
  <si>
    <t>NLPUM</t>
  </si>
  <si>
    <t>NLRHD</t>
  </si>
  <si>
    <t>NLSCH</t>
  </si>
  <si>
    <t>NLTLB</t>
  </si>
  <si>
    <t>NLURK</t>
  </si>
  <si>
    <t>NLVAN</t>
  </si>
  <si>
    <t>NLWLK</t>
  </si>
  <si>
    <t>NLZUT</t>
  </si>
  <si>
    <t>SEBBH</t>
  </si>
  <si>
    <t>USBNB</t>
  </si>
  <si>
    <t>USMAH</t>
  </si>
  <si>
    <t>Lehtma Kalurisadam</t>
  </si>
  <si>
    <t>Mehikoorma Sadam</t>
  </si>
  <si>
    <t>Muratsi Sadam</t>
  </si>
  <si>
    <t>Nasva Joesadam</t>
  </si>
  <si>
    <t>Nova Sadam</t>
  </si>
  <si>
    <t>Taaliku Sadam</t>
  </si>
  <si>
    <t>Turja Sadam</t>
  </si>
  <si>
    <t>Turusadam</t>
  </si>
  <si>
    <t>Varnja Sadam</t>
  </si>
  <si>
    <t>Vana-Sauga Sadam</t>
  </si>
  <si>
    <t>Med</t>
  </si>
  <si>
    <t>Alimos</t>
  </si>
  <si>
    <t>Avlida</t>
  </si>
  <si>
    <t>Glyfada</t>
  </si>
  <si>
    <t>Kamiros Skala</t>
  </si>
  <si>
    <t>Lardos Rhodes</t>
  </si>
  <si>
    <t>Methana</t>
  </si>
  <si>
    <t>Marathokampos Samou</t>
  </si>
  <si>
    <t>Souda</t>
  </si>
  <si>
    <t>Soussaki</t>
  </si>
  <si>
    <t>Syvota</t>
  </si>
  <si>
    <t>Thisvi Port</t>
  </si>
  <si>
    <t>Appingedam</t>
  </si>
  <si>
    <t>Born</t>
  </si>
  <si>
    <t>Breda</t>
  </si>
  <si>
    <t>Barendrecht</t>
  </si>
  <si>
    <t>Bruinisse</t>
  </si>
  <si>
    <t>Enkhuizen</t>
  </si>
  <si>
    <t>Farmsum</t>
  </si>
  <si>
    <t>Gouda</t>
  </si>
  <si>
    <t>Haarlem</t>
  </si>
  <si>
    <t>Hoorn</t>
  </si>
  <si>
    <t>Kessel</t>
  </si>
  <si>
    <t>Lelystad</t>
  </si>
  <si>
    <t>Nijkerk</t>
  </si>
  <si>
    <t>Purmerend</t>
  </si>
  <si>
    <t>Rheden</t>
  </si>
  <si>
    <t>Schagen</t>
  </si>
  <si>
    <t>Tilburg</t>
  </si>
  <si>
    <t>Urk</t>
  </si>
  <si>
    <t>Vianen</t>
  </si>
  <si>
    <t>Waalwijk</t>
  </si>
  <si>
    <t>Zutphen</t>
  </si>
  <si>
    <t>Barsebackshamn</t>
  </si>
  <si>
    <t>Burns Harbor</t>
  </si>
  <si>
    <t>Marcus Hook</t>
  </si>
  <si>
    <t>Ytroy</t>
  </si>
  <si>
    <t>AUP6D</t>
  </si>
  <si>
    <t>AUBPO</t>
  </si>
  <si>
    <t>AUT3P</t>
  </si>
  <si>
    <t>AU5CI</t>
  </si>
  <si>
    <t>CAW4C</t>
  </si>
  <si>
    <t>EELPS</t>
  </si>
  <si>
    <t>EEMNV</t>
  </si>
  <si>
    <t>EESIG</t>
  </si>
  <si>
    <t>EEVLR</t>
  </si>
  <si>
    <t>GBANO</t>
  </si>
  <si>
    <t>GBTNR</t>
  </si>
  <si>
    <t>IDCTO</t>
  </si>
  <si>
    <t>ISLAN</t>
  </si>
  <si>
    <t>JPARI</t>
  </si>
  <si>
    <t>KESMN</t>
  </si>
  <si>
    <t>MMTLA</t>
  </si>
  <si>
    <t>MVBAL</t>
  </si>
  <si>
    <t>MVHID</t>
  </si>
  <si>
    <t>MVHHE</t>
  </si>
  <si>
    <t>MVRGI</t>
  </si>
  <si>
    <t>MXTAB</t>
  </si>
  <si>
    <t>NIPTI</t>
  </si>
  <si>
    <t>NLAER</t>
  </si>
  <si>
    <t>NLLEN</t>
  </si>
  <si>
    <t>NOKLD</t>
  </si>
  <si>
    <t>SAAQK</t>
  </si>
  <si>
    <t>SGPPT</t>
  </si>
  <si>
    <t>SIVOJ</t>
  </si>
  <si>
    <t>SIVRA</t>
  </si>
  <si>
    <t>SIVB9</t>
  </si>
  <si>
    <t>SIVUH</t>
  </si>
  <si>
    <t>SIZAB</t>
  </si>
  <si>
    <t>SIZBU</t>
  </si>
  <si>
    <t>SIZ42</t>
  </si>
  <si>
    <t>SIZAG</t>
  </si>
  <si>
    <t>SIZAV</t>
  </si>
  <si>
    <t>SIZDO</t>
  </si>
  <si>
    <t>SIZET</t>
  </si>
  <si>
    <t>SIZGB</t>
  </si>
  <si>
    <t>SIZGK</t>
  </si>
  <si>
    <t>SIZGL</t>
  </si>
  <si>
    <t>SIZGP</t>
  </si>
  <si>
    <t>SIZGV</t>
  </si>
  <si>
    <t>SIZ95</t>
  </si>
  <si>
    <t>SIZ35</t>
  </si>
  <si>
    <t>SIZID</t>
  </si>
  <si>
    <t>SIZIR</t>
  </si>
  <si>
    <t>SIZUZ</t>
  </si>
  <si>
    <t>SKSLK</t>
  </si>
  <si>
    <t>THBPK</t>
  </si>
  <si>
    <t>THCHS</t>
  </si>
  <si>
    <t>THKSM</t>
  </si>
  <si>
    <t>THNRW</t>
  </si>
  <si>
    <t>THPTN</t>
  </si>
  <si>
    <t>THPYT</t>
  </si>
  <si>
    <t>THRNN</t>
  </si>
  <si>
    <t>THTAB</t>
  </si>
  <si>
    <t>THTRG</t>
  </si>
  <si>
    <t>UGMKN</t>
  </si>
  <si>
    <t>USLU8</t>
  </si>
  <si>
    <t>VNLAP</t>
  </si>
  <si>
    <t>VNLMP</t>
  </si>
  <si>
    <t>ZA8GT</t>
  </si>
  <si>
    <t>ZAEBY</t>
  </si>
  <si>
    <t>ZAGSF</t>
  </si>
  <si>
    <t>ZA3WC</t>
  </si>
  <si>
    <t>ZAKOS</t>
  </si>
  <si>
    <t>ZA2WC</t>
  </si>
  <si>
    <t>ZANNL</t>
  </si>
  <si>
    <t>ZAPEN</t>
  </si>
  <si>
    <t>ZARWC</t>
  </si>
  <si>
    <t>ZA7WC</t>
  </si>
  <si>
    <t>ZASNL</t>
  </si>
  <si>
    <t>ZAWWC</t>
  </si>
  <si>
    <t>ZWFLU</t>
  </si>
  <si>
    <t>ZWRSP</t>
  </si>
  <si>
    <t>Aspendale</t>
  </si>
  <si>
    <t>Port Hacking</t>
  </si>
  <si>
    <t>Saint-Gedeon</t>
  </si>
  <si>
    <t>Lopesuu</t>
  </si>
  <si>
    <t>Montu Vaikelaevade Sadam</t>
  </si>
  <si>
    <t>Sigatsuaru Vaikesadam</t>
  </si>
  <si>
    <t>Valmeranna</t>
  </si>
  <si>
    <t>Road Town</t>
  </si>
  <si>
    <t>Saint Helier</t>
  </si>
  <si>
    <t>New Priok Port</t>
  </si>
  <si>
    <t>Landeyjahofn</t>
  </si>
  <si>
    <t>Ariake, Tokyo</t>
  </si>
  <si>
    <t>Shimoni</t>
  </si>
  <si>
    <t>Thilawa</t>
  </si>
  <si>
    <t>Baa Atoll</t>
  </si>
  <si>
    <t>Halaveli</t>
  </si>
  <si>
    <t>Hulhule Island</t>
  </si>
  <si>
    <t>Rangali</t>
  </si>
  <si>
    <t>Chiltepec</t>
  </si>
  <si>
    <t>Potosi</t>
  </si>
  <si>
    <t>Almere</t>
  </si>
  <si>
    <t>Lieren</t>
  </si>
  <si>
    <t>PASIR PANJANG Terminal</t>
  </si>
  <si>
    <t>Vojnik</t>
  </si>
  <si>
    <t>Vransko</t>
  </si>
  <si>
    <t>Vremski Britof</t>
  </si>
  <si>
    <t>Vuhred</t>
  </si>
  <si>
    <t>Zabnica</t>
  </si>
  <si>
    <t>Zabukovje nad Sevnico</t>
  </si>
  <si>
    <t>Zagorje ob Savi</t>
  </si>
  <si>
    <t>Zagradec</t>
  </si>
  <si>
    <t>Zavrc</t>
  </si>
  <si>
    <t>Zdole</t>
  </si>
  <si>
    <t>Zetale</t>
  </si>
  <si>
    <t>Zgornja Besnica</t>
  </si>
  <si>
    <t>Zgornja Korena</t>
  </si>
  <si>
    <t>Zgornja Loznica</t>
  </si>
  <si>
    <t>Zgornja Polskava</t>
  </si>
  <si>
    <t>Zgornja Velka</t>
  </si>
  <si>
    <t>Zgornje Jezersko</t>
  </si>
  <si>
    <t>Zgornji Leskovec</t>
  </si>
  <si>
    <t>Zidani Most</t>
  </si>
  <si>
    <t>Zirovnica</t>
  </si>
  <si>
    <t>Zuzemberk</t>
  </si>
  <si>
    <t>Siladice</t>
  </si>
  <si>
    <t>Ban Prakop Customs House</t>
  </si>
  <si>
    <t>Chiang Saen Customs House</t>
  </si>
  <si>
    <t>Ko Samui</t>
  </si>
  <si>
    <t>Phahon Yothin Customs House</t>
  </si>
  <si>
    <t>Tak Bai Customs House</t>
  </si>
  <si>
    <t>Galiraya</t>
  </si>
  <si>
    <t>Port Of South Louisiana</t>
  </si>
  <si>
    <t>Long An International Port</t>
  </si>
  <si>
    <t>Vietnam Lee &amp; Man Port</t>
  </si>
  <si>
    <t>Bottelary</t>
  </si>
  <si>
    <t>Elands Bay</t>
  </si>
  <si>
    <t>Garsfontein</t>
  </si>
  <si>
    <t>Goudiniweg</t>
  </si>
  <si>
    <t>Kenton-on-Sea</t>
  </si>
  <si>
    <t>Klipheuwel</t>
  </si>
  <si>
    <t>Nottingham Road</t>
  </si>
  <si>
    <t>Pennington</t>
  </si>
  <si>
    <t>Riebeek West</t>
  </si>
  <si>
    <t>Riviersonderend</t>
  </si>
  <si>
    <t>Southbroom</t>
  </si>
  <si>
    <t>Wemmershoek</t>
  </si>
  <si>
    <t>Filabusi</t>
  </si>
  <si>
    <t>Rusape</t>
  </si>
  <si>
    <t>Holtenau</t>
  </si>
  <si>
    <t>Motzen</t>
  </si>
  <si>
    <t>Kaldu</t>
  </si>
  <si>
    <t>Pihelgalaiu</t>
  </si>
  <si>
    <t>Purtse Kalasadam</t>
  </si>
  <si>
    <t>Prangli Lounasadam</t>
  </si>
  <si>
    <t>Ralby Sadam</t>
  </si>
  <si>
    <t>Tarvastu</t>
  </si>
  <si>
    <t>Alkmaar</t>
  </si>
  <si>
    <t>Almelo</t>
  </si>
  <si>
    <t>DEHTU</t>
  </si>
  <si>
    <t>DEMOZ</t>
  </si>
  <si>
    <t>EEKLD</t>
  </si>
  <si>
    <t>EEPHL</t>
  </si>
  <si>
    <t>EEPRK</t>
  </si>
  <si>
    <t>EEPRL</t>
  </si>
  <si>
    <t>EERLB</t>
  </si>
  <si>
    <t>EETRV</t>
  </si>
  <si>
    <t>IEGRE</t>
  </si>
  <si>
    <t>NLALK</t>
  </si>
  <si>
    <t>NLALM</t>
  </si>
  <si>
    <t>AF888</t>
  </si>
  <si>
    <t>AL888</t>
  </si>
  <si>
    <t>DZ888</t>
  </si>
  <si>
    <t>AS888</t>
  </si>
  <si>
    <t>AD888</t>
  </si>
  <si>
    <t>AO888</t>
  </si>
  <si>
    <t>AI888</t>
  </si>
  <si>
    <t>AQ888</t>
  </si>
  <si>
    <t>AG888</t>
  </si>
  <si>
    <t>AR888</t>
  </si>
  <si>
    <t>AM888</t>
  </si>
  <si>
    <t>AW888</t>
  </si>
  <si>
    <t>AU888</t>
  </si>
  <si>
    <t>AT888</t>
  </si>
  <si>
    <t>AZ888</t>
  </si>
  <si>
    <t>BS888</t>
  </si>
  <si>
    <t>BH888</t>
  </si>
  <si>
    <t>BD888</t>
  </si>
  <si>
    <t>BB888</t>
  </si>
  <si>
    <t>BY888</t>
  </si>
  <si>
    <t>BE888</t>
  </si>
  <si>
    <t>BZ888</t>
  </si>
  <si>
    <t>BJ888</t>
  </si>
  <si>
    <t>BM888</t>
  </si>
  <si>
    <t>BT888</t>
  </si>
  <si>
    <t>BO888</t>
  </si>
  <si>
    <t>BQ888</t>
  </si>
  <si>
    <t>BA888</t>
  </si>
  <si>
    <t>BW888</t>
  </si>
  <si>
    <t>BV888</t>
  </si>
  <si>
    <t>BR888</t>
  </si>
  <si>
    <t>IO888</t>
  </si>
  <si>
    <t>BN888</t>
  </si>
  <si>
    <t>BG888</t>
  </si>
  <si>
    <t>BF888</t>
  </si>
  <si>
    <t>BI888</t>
  </si>
  <si>
    <t>KH888</t>
  </si>
  <si>
    <t>CM888</t>
  </si>
  <si>
    <t>CA888</t>
  </si>
  <si>
    <t>CV888</t>
  </si>
  <si>
    <t>KY888</t>
  </si>
  <si>
    <t>CF888</t>
  </si>
  <si>
    <t>TD888</t>
  </si>
  <si>
    <t>CL888</t>
  </si>
  <si>
    <t>CN888</t>
  </si>
  <si>
    <t>CX888</t>
  </si>
  <si>
    <t>CC888</t>
  </si>
  <si>
    <t>AX888</t>
  </si>
  <si>
    <t>CO888</t>
  </si>
  <si>
    <t>KM888</t>
  </si>
  <si>
    <t>CG888</t>
  </si>
  <si>
    <t>CD888</t>
  </si>
  <si>
    <t>CK888</t>
  </si>
  <si>
    <t>CR888</t>
  </si>
  <si>
    <t>CI888</t>
  </si>
  <si>
    <t>HR888</t>
  </si>
  <si>
    <t>CU888</t>
  </si>
  <si>
    <t>CW888</t>
  </si>
  <si>
    <t>CY888</t>
  </si>
  <si>
    <t>CZ888</t>
  </si>
  <si>
    <t>DK888</t>
  </si>
  <si>
    <t>DJ888</t>
  </si>
  <si>
    <t>DM888</t>
  </si>
  <si>
    <t>DO888</t>
  </si>
  <si>
    <t>EC888</t>
  </si>
  <si>
    <t>EG888</t>
  </si>
  <si>
    <t>SV888</t>
  </si>
  <si>
    <t>GQ888</t>
  </si>
  <si>
    <t>ER888</t>
  </si>
  <si>
    <t>EE888</t>
  </si>
  <si>
    <t>ET888</t>
  </si>
  <si>
    <t>FK888</t>
  </si>
  <si>
    <t>FO888</t>
  </si>
  <si>
    <t>FJ888</t>
  </si>
  <si>
    <t>FI888</t>
  </si>
  <si>
    <t>FR888</t>
  </si>
  <si>
    <t>GF888</t>
  </si>
  <si>
    <t>PF888</t>
  </si>
  <si>
    <t>TF888</t>
  </si>
  <si>
    <t>GA888</t>
  </si>
  <si>
    <t>GM888</t>
  </si>
  <si>
    <t>GE888</t>
  </si>
  <si>
    <t>DE888</t>
  </si>
  <si>
    <t>GH888</t>
  </si>
  <si>
    <t>GI888</t>
  </si>
  <si>
    <t>GR888</t>
  </si>
  <si>
    <t>GL888</t>
  </si>
  <si>
    <t>GD888</t>
  </si>
  <si>
    <t>GP888</t>
  </si>
  <si>
    <t>GU888</t>
  </si>
  <si>
    <t>GT888</t>
  </si>
  <si>
    <t>GG888</t>
  </si>
  <si>
    <t>GN888</t>
  </si>
  <si>
    <t>GW888</t>
  </si>
  <si>
    <t>GY888</t>
  </si>
  <si>
    <t>HT888</t>
  </si>
  <si>
    <t>HM888</t>
  </si>
  <si>
    <t>VA888</t>
  </si>
  <si>
    <t>HN888</t>
  </si>
  <si>
    <t>HK888</t>
  </si>
  <si>
    <t>HU888</t>
  </si>
  <si>
    <t>IS888</t>
  </si>
  <si>
    <t>IN888</t>
  </si>
  <si>
    <t>ID888</t>
  </si>
  <si>
    <t>IR888</t>
  </si>
  <si>
    <t>IQ888</t>
  </si>
  <si>
    <t>IE888</t>
  </si>
  <si>
    <t>IM888</t>
  </si>
  <si>
    <t>IL888</t>
  </si>
  <si>
    <t>IT888</t>
  </si>
  <si>
    <t>JM888</t>
  </si>
  <si>
    <t>JP888</t>
  </si>
  <si>
    <t>JE888</t>
  </si>
  <si>
    <t>JO888</t>
  </si>
  <si>
    <t>KZ888</t>
  </si>
  <si>
    <t>KE888</t>
  </si>
  <si>
    <t>KI888</t>
  </si>
  <si>
    <t>KP888</t>
  </si>
  <si>
    <t>KR888</t>
  </si>
  <si>
    <t>KW888</t>
  </si>
  <si>
    <t>KG888</t>
  </si>
  <si>
    <t>LA888</t>
  </si>
  <si>
    <t>LV888</t>
  </si>
  <si>
    <t>LB888</t>
  </si>
  <si>
    <t>LS888</t>
  </si>
  <si>
    <t>LR888</t>
  </si>
  <si>
    <t>LY888</t>
  </si>
  <si>
    <t>LI888</t>
  </si>
  <si>
    <t>LT888</t>
  </si>
  <si>
    <t>LU888</t>
  </si>
  <si>
    <t>MO888</t>
  </si>
  <si>
    <t>MK888</t>
  </si>
  <si>
    <t>MG888</t>
  </si>
  <si>
    <t>MW888</t>
  </si>
  <si>
    <t>MY888</t>
  </si>
  <si>
    <t>MV888</t>
  </si>
  <si>
    <t>ML888</t>
  </si>
  <si>
    <t>MT888</t>
  </si>
  <si>
    <t>MH888</t>
  </si>
  <si>
    <t>MQ888</t>
  </si>
  <si>
    <t>MR888</t>
  </si>
  <si>
    <t>MU888</t>
  </si>
  <si>
    <t>YT888</t>
  </si>
  <si>
    <t>MX888</t>
  </si>
  <si>
    <t>FM888</t>
  </si>
  <si>
    <t>MD888</t>
  </si>
  <si>
    <t>MC888</t>
  </si>
  <si>
    <t>MN888</t>
  </si>
  <si>
    <t>ME888</t>
  </si>
  <si>
    <t>MS888</t>
  </si>
  <si>
    <t>MA888</t>
  </si>
  <si>
    <t>MZ888</t>
  </si>
  <si>
    <t>MM888</t>
  </si>
  <si>
    <t>NA888</t>
  </si>
  <si>
    <t>NR888</t>
  </si>
  <si>
    <t>NP888</t>
  </si>
  <si>
    <t>NL888</t>
  </si>
  <si>
    <t>NC888</t>
  </si>
  <si>
    <t>NZ888</t>
  </si>
  <si>
    <t>NI888</t>
  </si>
  <si>
    <t>NE888</t>
  </si>
  <si>
    <t>NG888</t>
  </si>
  <si>
    <t>NU888</t>
  </si>
  <si>
    <t>NF888</t>
  </si>
  <si>
    <t>MP888</t>
  </si>
  <si>
    <t>NO888</t>
  </si>
  <si>
    <t>OM888</t>
  </si>
  <si>
    <t>PK888</t>
  </si>
  <si>
    <t>PW888</t>
  </si>
  <si>
    <t>PS888</t>
  </si>
  <si>
    <t>PA888</t>
  </si>
  <si>
    <t>PG888</t>
  </si>
  <si>
    <t>PY888</t>
  </si>
  <si>
    <t>PE888</t>
  </si>
  <si>
    <t>PH888</t>
  </si>
  <si>
    <t>PN888</t>
  </si>
  <si>
    <t>PL888</t>
  </si>
  <si>
    <t>PT888</t>
  </si>
  <si>
    <t>PR888</t>
  </si>
  <si>
    <t>QA888</t>
  </si>
  <si>
    <t>RE888</t>
  </si>
  <si>
    <t>RO888</t>
  </si>
  <si>
    <t>RU888</t>
  </si>
  <si>
    <t>RW888</t>
  </si>
  <si>
    <t>BL888</t>
  </si>
  <si>
    <t>SH888</t>
  </si>
  <si>
    <t>KN888</t>
  </si>
  <si>
    <t>LC888</t>
  </si>
  <si>
    <t>MF888</t>
  </si>
  <si>
    <t>PM888</t>
  </si>
  <si>
    <t>VC888</t>
  </si>
  <si>
    <t>WS888</t>
  </si>
  <si>
    <t>SM888</t>
  </si>
  <si>
    <t>ST888</t>
  </si>
  <si>
    <t>SA888</t>
  </si>
  <si>
    <t>SN888</t>
  </si>
  <si>
    <t>RS888</t>
  </si>
  <si>
    <t>SC888</t>
  </si>
  <si>
    <t>SL888</t>
  </si>
  <si>
    <t>SG888</t>
  </si>
  <si>
    <t>SX888</t>
  </si>
  <si>
    <t>SK888</t>
  </si>
  <si>
    <t>SI888</t>
  </si>
  <si>
    <t>SB888</t>
  </si>
  <si>
    <t>SO888</t>
  </si>
  <si>
    <t>ZA888</t>
  </si>
  <si>
    <t>GS888</t>
  </si>
  <si>
    <t>SS888</t>
  </si>
  <si>
    <t>ES888</t>
  </si>
  <si>
    <t>LK888</t>
  </si>
  <si>
    <t>SD888</t>
  </si>
  <si>
    <t>SR888</t>
  </si>
  <si>
    <t>SJ888</t>
  </si>
  <si>
    <t>SZ888</t>
  </si>
  <si>
    <t>SE888</t>
  </si>
  <si>
    <t>CH888</t>
  </si>
  <si>
    <t>SY888</t>
  </si>
  <si>
    <t>TW888</t>
  </si>
  <si>
    <t>TJ888</t>
  </si>
  <si>
    <t>TZ888</t>
  </si>
  <si>
    <t>TH888</t>
  </si>
  <si>
    <t>TL888</t>
  </si>
  <si>
    <t>TG888</t>
  </si>
  <si>
    <t>TK888</t>
  </si>
  <si>
    <t>TO888</t>
  </si>
  <si>
    <t>TT888</t>
  </si>
  <si>
    <t>TN888</t>
  </si>
  <si>
    <t>TR888</t>
  </si>
  <si>
    <t>TM888</t>
  </si>
  <si>
    <t>TC888</t>
  </si>
  <si>
    <t>TV888</t>
  </si>
  <si>
    <t>UG888</t>
  </si>
  <si>
    <t>UA888</t>
  </si>
  <si>
    <t>AE888</t>
  </si>
  <si>
    <t>GB888</t>
  </si>
  <si>
    <t>US888</t>
  </si>
  <si>
    <t>UM888</t>
  </si>
  <si>
    <t>UY888</t>
  </si>
  <si>
    <t>UZ888</t>
  </si>
  <si>
    <t>VU888</t>
  </si>
  <si>
    <t>VE888</t>
  </si>
  <si>
    <t>VN888</t>
  </si>
  <si>
    <t>VG888</t>
  </si>
  <si>
    <t>VI888</t>
  </si>
  <si>
    <t>WF888</t>
  </si>
  <si>
    <t>EH888</t>
  </si>
  <si>
    <t>YE888</t>
  </si>
  <si>
    <t>ZM888</t>
  </si>
  <si>
    <t>ZW888</t>
  </si>
  <si>
    <t>Unknown -  Afghanistan</t>
  </si>
  <si>
    <t>Unknown -  Albania</t>
  </si>
  <si>
    <t>Unknown -  Algeria</t>
  </si>
  <si>
    <t>Unknown -  American Samoa</t>
  </si>
  <si>
    <t>Unknown -  Andorra</t>
  </si>
  <si>
    <t>Unknown -  Angola</t>
  </si>
  <si>
    <t>Unknown -  Anguilla</t>
  </si>
  <si>
    <t>Unknown -  Antarctica</t>
  </si>
  <si>
    <t>Unknown -  Antigua and Barbuda</t>
  </si>
  <si>
    <t>Unknown -  Argentina</t>
  </si>
  <si>
    <t>Unknown -  Armenia</t>
  </si>
  <si>
    <t>Unknown -  Aruba</t>
  </si>
  <si>
    <t>Unknown -  Australia</t>
  </si>
  <si>
    <t>Unknown -  Austria</t>
  </si>
  <si>
    <t>Unknown -  Azerbaijan</t>
  </si>
  <si>
    <t>Unknown -  Bahamas</t>
  </si>
  <si>
    <t>Unknown -  Bahrain</t>
  </si>
  <si>
    <t>Unknown -  Bangladesh</t>
  </si>
  <si>
    <t>Unknown -  Barbados</t>
  </si>
  <si>
    <t>Unknown -  Belarus</t>
  </si>
  <si>
    <t>Unknown -  Belgium</t>
  </si>
  <si>
    <t>Unknown -  Belize</t>
  </si>
  <si>
    <t>Unknown -  Benin</t>
  </si>
  <si>
    <t>Unknown -  Bermuda</t>
  </si>
  <si>
    <t>Unknown -  Bhutan</t>
  </si>
  <si>
    <t>Unknown -  Bolivia, Plurinational State of</t>
  </si>
  <si>
    <t>Unknown -  Bonaire, Sint Eustatius and Saba</t>
  </si>
  <si>
    <t>Unknown -  Bosnia and Herzegovina</t>
  </si>
  <si>
    <t>Unknown -  Botswana</t>
  </si>
  <si>
    <t>Unknown -  Bouvet Island</t>
  </si>
  <si>
    <t>Unknown -  Brazil</t>
  </si>
  <si>
    <t>Unknown -  British Indian Ocean Territory</t>
  </si>
  <si>
    <t>Unknown -  Brunei Darussalam</t>
  </si>
  <si>
    <t>Unknown -  Bulgaria</t>
  </si>
  <si>
    <t>Unknown -  Burkina Faso</t>
  </si>
  <si>
    <t>Unknown -  Burundi</t>
  </si>
  <si>
    <t>Unknown -  Cambodia</t>
  </si>
  <si>
    <t>Unknown -  Cameroon</t>
  </si>
  <si>
    <t>Unknown -  Canada</t>
  </si>
  <si>
    <t>Unknown -  Cape Verde</t>
  </si>
  <si>
    <t>Unknown -  Cayman Islands</t>
  </si>
  <si>
    <t>Unknown -  Central African Republic</t>
  </si>
  <si>
    <t>Unknown -  Chad</t>
  </si>
  <si>
    <t>Unknown -  Chile</t>
  </si>
  <si>
    <t>Unknown -  China</t>
  </si>
  <si>
    <t>Unknown -  Christmas Island</t>
  </si>
  <si>
    <t>Unknown -  Cocos (Keeling) Islands</t>
  </si>
  <si>
    <t>Unknown -  Åland Islands</t>
  </si>
  <si>
    <t>Unknown -  Colombia</t>
  </si>
  <si>
    <t>Unknown -  Comoros</t>
  </si>
  <si>
    <t>Unknown -  Congo</t>
  </si>
  <si>
    <t>Unknown -  Congo (Democratic Republic of the)</t>
  </si>
  <si>
    <t>Unknown -  Cook Islands</t>
  </si>
  <si>
    <t>Unknown -  Costa Rica</t>
  </si>
  <si>
    <t>Unknown -  Côte d'Ivoire</t>
  </si>
  <si>
    <t>Unknown -  Croatia</t>
  </si>
  <si>
    <t>Unknown -  Cuba</t>
  </si>
  <si>
    <t>Unknown -  Curaçao</t>
  </si>
  <si>
    <t>Unknown -  Cyprus</t>
  </si>
  <si>
    <t>Unknown -  Czech Republic</t>
  </si>
  <si>
    <t>Unknown -  Denmark</t>
  </si>
  <si>
    <t>Unknown -  Djibouti</t>
  </si>
  <si>
    <t>Unknown -  Dominica</t>
  </si>
  <si>
    <t>Unknown -  Dominican Republic</t>
  </si>
  <si>
    <t>Unknown -  Ecuador</t>
  </si>
  <si>
    <t>Unknown -  Egypt</t>
  </si>
  <si>
    <t>Unknown -  El Salvador</t>
  </si>
  <si>
    <t>Unknown -  Equatorial Guinea</t>
  </si>
  <si>
    <t>Unknown -  Eritrea</t>
  </si>
  <si>
    <t>Unknown -  Estonia</t>
  </si>
  <si>
    <t>Unknown -  Ethiopia</t>
  </si>
  <si>
    <t>Unknown -  Falkland Islands (Malvinas)</t>
  </si>
  <si>
    <t>Unknown -  Faroe Islands</t>
  </si>
  <si>
    <t>Unknown -  Fiji</t>
  </si>
  <si>
    <t>Unknown -  Finland</t>
  </si>
  <si>
    <t>Unknown -  France</t>
  </si>
  <si>
    <t>Unknown -  French Guiana</t>
  </si>
  <si>
    <t>Unknown -  French Polynesia</t>
  </si>
  <si>
    <t>Unknown -  French Southern Territories</t>
  </si>
  <si>
    <t>Unknown -  Gabon</t>
  </si>
  <si>
    <t>Unknown -  Gambia</t>
  </si>
  <si>
    <t>Unknown -  Georgia</t>
  </si>
  <si>
    <t>Unknown -  Germany</t>
  </si>
  <si>
    <t>Unknown -  Ghana</t>
  </si>
  <si>
    <t>Unknown -  Gibraltar</t>
  </si>
  <si>
    <t>Unknown -  Greece</t>
  </si>
  <si>
    <t>Unknown -  Greenland</t>
  </si>
  <si>
    <t>Unknown -  Grenada</t>
  </si>
  <si>
    <t>Unknown -  Guadeloupe</t>
  </si>
  <si>
    <t>Unknown -  Guam</t>
  </si>
  <si>
    <t>Unknown -  Guatemala</t>
  </si>
  <si>
    <t>Unknown -  Guernsey</t>
  </si>
  <si>
    <t>Unknown -  Guinea</t>
  </si>
  <si>
    <t>Unknown -  Guinea-Bissau</t>
  </si>
  <si>
    <t>Unknown -  Guyana</t>
  </si>
  <si>
    <t>Unknown -  Haiti</t>
  </si>
  <si>
    <t>Unknown -  Heard Island and McDonald Islands</t>
  </si>
  <si>
    <t>Unknown -  Holy See</t>
  </si>
  <si>
    <t>Unknown -  Honduras</t>
  </si>
  <si>
    <t>Unknown -  Hong Kong</t>
  </si>
  <si>
    <t>Unknown -  Hungary</t>
  </si>
  <si>
    <t>Unknown -  Iceland</t>
  </si>
  <si>
    <t>Unknown -  India</t>
  </si>
  <si>
    <t>Unknown -  Indonesia</t>
  </si>
  <si>
    <t>Unknown -  Iran (Islamic Republic of)</t>
  </si>
  <si>
    <t>Unknown -  Iraq</t>
  </si>
  <si>
    <t>Unknown -  Ireland</t>
  </si>
  <si>
    <t>Unknown -  Isle of Man</t>
  </si>
  <si>
    <t>Unknown -  Israel</t>
  </si>
  <si>
    <t>Unknown -  Italy</t>
  </si>
  <si>
    <t>Unknown -  Jamaica</t>
  </si>
  <si>
    <t>Unknown -  Japan</t>
  </si>
  <si>
    <t>Unknown -  Jersey</t>
  </si>
  <si>
    <t>Unknown -  Jordan</t>
  </si>
  <si>
    <t>Unknown -  Kazakhstan</t>
  </si>
  <si>
    <t>Unknown -  Kenya</t>
  </si>
  <si>
    <t>Unknown -  Kiribati</t>
  </si>
  <si>
    <t>Unknown -  Korea (Democratic People's Republic of)</t>
  </si>
  <si>
    <t>Unknown -  Korea (Republic of)</t>
  </si>
  <si>
    <t>Unknown -  Kuwait</t>
  </si>
  <si>
    <t>Unknown -  Kyrgyzstan</t>
  </si>
  <si>
    <t>Unknown -  Lao People's Democratic Republic</t>
  </si>
  <si>
    <t>Unknown -  Latvia</t>
  </si>
  <si>
    <t>Unknown -  Lebanon</t>
  </si>
  <si>
    <t>Unknown -  Lesotho</t>
  </si>
  <si>
    <t>Unknown -  Liberia</t>
  </si>
  <si>
    <t>Unknown -  Libya</t>
  </si>
  <si>
    <t>Unknown -  Liechtenstein</t>
  </si>
  <si>
    <t>Unknown -  Lithuania</t>
  </si>
  <si>
    <t>Unknown -  Luxembourg</t>
  </si>
  <si>
    <t>Unknown -  Macao</t>
  </si>
  <si>
    <t>Unknown -  Macedonia (the former Yugoslav Republic of)</t>
  </si>
  <si>
    <t>Unknown -  Madagascar</t>
  </si>
  <si>
    <t>Unknown -  Malawi</t>
  </si>
  <si>
    <t>Unknown -  Malaysia</t>
  </si>
  <si>
    <t>Unknown -  Maldives</t>
  </si>
  <si>
    <t>Unknown -  Mali</t>
  </si>
  <si>
    <t>Unknown -  Malta</t>
  </si>
  <si>
    <t>Unknown -  Marshall Islands</t>
  </si>
  <si>
    <t>Unknown -  Martinique</t>
  </si>
  <si>
    <t>Unknown -  Mauritania</t>
  </si>
  <si>
    <t>Unknown -  Mauritius</t>
  </si>
  <si>
    <t>Unknown -  Mayotte</t>
  </si>
  <si>
    <t>Unknown -  Mexico</t>
  </si>
  <si>
    <t>Unknown -  Micronesia (Federated States of)</t>
  </si>
  <si>
    <t>Unknown -  Moldova (Republic of)</t>
  </si>
  <si>
    <t>Unknown -  Monaco</t>
  </si>
  <si>
    <t>Unknown -  Mongolia</t>
  </si>
  <si>
    <t>Unknown -  Montenegro</t>
  </si>
  <si>
    <t>Unknown -  Montserrat</t>
  </si>
  <si>
    <t>Unknown -  Morocco</t>
  </si>
  <si>
    <t>Unknown -  Mozambique</t>
  </si>
  <si>
    <t>Unknown -  Myanmar</t>
  </si>
  <si>
    <t>Unknown -  Namibia</t>
  </si>
  <si>
    <t>Unknown -  Nauru</t>
  </si>
  <si>
    <t>Unknown -  Nepal</t>
  </si>
  <si>
    <t>Unknown -  Netherlands</t>
  </si>
  <si>
    <t>Unknown -  New Caledonia</t>
  </si>
  <si>
    <t>Unknown -  New Zealand</t>
  </si>
  <si>
    <t>Unknown -  Nicaragua</t>
  </si>
  <si>
    <t>Unknown -  Niger</t>
  </si>
  <si>
    <t>Unknown -  Nigeria</t>
  </si>
  <si>
    <t>Unknown -  Niue</t>
  </si>
  <si>
    <t>Unknown -  Norfolk Island</t>
  </si>
  <si>
    <t>Unknown -  Northern Mariana Islands</t>
  </si>
  <si>
    <t>Unknown -  Norway</t>
  </si>
  <si>
    <t>Unknown -  Oman</t>
  </si>
  <si>
    <t>Unknown -  Pakistan</t>
  </si>
  <si>
    <t>Unknown -  Palau</t>
  </si>
  <si>
    <t>Unknown -  Palestine, State of</t>
  </si>
  <si>
    <t>Unknown -  Panama</t>
  </si>
  <si>
    <t>Unknown -  Papua New Guinea</t>
  </si>
  <si>
    <t>Unknown -  Paraguay</t>
  </si>
  <si>
    <t>Unknown -  Peru</t>
  </si>
  <si>
    <t>Unknown -  Philippines</t>
  </si>
  <si>
    <t>Unknown -  Pitcairn</t>
  </si>
  <si>
    <t>Unknown -  Poland</t>
  </si>
  <si>
    <t>Unknown -  Portugal</t>
  </si>
  <si>
    <t>Unknown -  Puerto Rico</t>
  </si>
  <si>
    <t>Unknown -  Qatar</t>
  </si>
  <si>
    <t>Unknown -  Réunion</t>
  </si>
  <si>
    <t>Unknown -  Romania</t>
  </si>
  <si>
    <t>Unknown -  Russian Federation</t>
  </si>
  <si>
    <t>Unknown -  Rwanda</t>
  </si>
  <si>
    <t>Unknown -  Saint Barthélemy</t>
  </si>
  <si>
    <t>Unknown -  Saint Helena, Ascension and Tristan da Cunha</t>
  </si>
  <si>
    <t>Unknown -  Saint Kitts and Nevis</t>
  </si>
  <si>
    <t>Unknown -  Saint Lucia</t>
  </si>
  <si>
    <t>Unknown -  Saint Martin (French part)</t>
  </si>
  <si>
    <t>Unknown -  Saint Pierre and Miquelon</t>
  </si>
  <si>
    <t>Unknown -  Saint Vincent and the Grenadines</t>
  </si>
  <si>
    <t>Unknown -  Samoa</t>
  </si>
  <si>
    <t>Unknown -  San Marino</t>
  </si>
  <si>
    <t>Unknown -  Sao Tome and Principe</t>
  </si>
  <si>
    <t>Unknown -  Saudi Arabia</t>
  </si>
  <si>
    <t>Unknown -  Senegal</t>
  </si>
  <si>
    <t>Unknown -  Serbia</t>
  </si>
  <si>
    <t>Unknown -  Seychelles</t>
  </si>
  <si>
    <t>Unknown -  Sierra Leone</t>
  </si>
  <si>
    <t>Unknown -  Singapore</t>
  </si>
  <si>
    <t>Unknown -  Sint Maarten (Dutch part)</t>
  </si>
  <si>
    <t>Unknown -  Slovakia</t>
  </si>
  <si>
    <t>Unknown -  Slovenia</t>
  </si>
  <si>
    <t>Unknown -  Solomon Islands</t>
  </si>
  <si>
    <t>Unknown -  Somalia</t>
  </si>
  <si>
    <t>Unknown -  South Africa</t>
  </si>
  <si>
    <t>Unknown -  South Georgia and the South Sandwich Islands</t>
  </si>
  <si>
    <t>Unknown -  South Sudan</t>
  </si>
  <si>
    <t>Unknown -  Spain</t>
  </si>
  <si>
    <t>Unknown -  Sri Lanka</t>
  </si>
  <si>
    <t>Unknown -  Sudan</t>
  </si>
  <si>
    <t>Unknown -  Suriname</t>
  </si>
  <si>
    <t>Unknown -  Svalbard and Jan Mayen</t>
  </si>
  <si>
    <t>Unknown -  Swaziland</t>
  </si>
  <si>
    <t>Unknown -  Sweden</t>
  </si>
  <si>
    <t>Unknown -  Switzerland</t>
  </si>
  <si>
    <t>Unknown -  Syrian Arab Republic</t>
  </si>
  <si>
    <t>Unknown -  Taiwan, Province of China[a]</t>
  </si>
  <si>
    <t>Unknown -  Tajikistan</t>
  </si>
  <si>
    <t>Unknown -  Tanzania, United Republic of</t>
  </si>
  <si>
    <t>Unknown -  Thailand</t>
  </si>
  <si>
    <t>Unknown -  Timor-Leste</t>
  </si>
  <si>
    <t>Unknown -  Togo</t>
  </si>
  <si>
    <t>Unknown -  Tokelau</t>
  </si>
  <si>
    <t>Unknown -  Tonga</t>
  </si>
  <si>
    <t>Unknown -  Trinidad and Tobago</t>
  </si>
  <si>
    <t>Unknown -  Tunisia</t>
  </si>
  <si>
    <t>Unknown -  Turkey</t>
  </si>
  <si>
    <t>Unknown -  Turkmenistan</t>
  </si>
  <si>
    <t>Unknown -  Turks and Caicos Islands</t>
  </si>
  <si>
    <t>Unknown -  Tuvalu</t>
  </si>
  <si>
    <t>Unknown -  Uganda</t>
  </si>
  <si>
    <t>Unknown -  Ukraine</t>
  </si>
  <si>
    <t>Unknown -  United Arab Emirates</t>
  </si>
  <si>
    <t>Unknown -  United Kingdom</t>
  </si>
  <si>
    <t>Unknown -  United States of America</t>
  </si>
  <si>
    <t>Unknown -  United States Minor Outlying Islands</t>
  </si>
  <si>
    <t>Unknown -  Uruguay</t>
  </si>
  <si>
    <t>Unknown -  Uzbekistan</t>
  </si>
  <si>
    <t>Unknown -  Vanuatu</t>
  </si>
  <si>
    <t>Unknown -  Venezuela (Bolivarian Republic of)</t>
  </si>
  <si>
    <t>Unknown -  Viet Nam</t>
  </si>
  <si>
    <t>Unknown -  Virgin Islands (British)</t>
  </si>
  <si>
    <t>Unknown -  Virgin Islands (U.S.)</t>
  </si>
  <si>
    <t>Unknown -  Wallis and Futuna</t>
  </si>
  <si>
    <t>Unknown -  Western Sahara</t>
  </si>
  <si>
    <t>Unknown -  Yemen</t>
  </si>
  <si>
    <t>Unknown -  Zambia</t>
  </si>
  <si>
    <t>Unknown -  Zimbabwe</t>
  </si>
  <si>
    <t xml:space="preserve">Override validations </t>
  </si>
  <si>
    <t>Reason for allowing validation override</t>
  </si>
  <si>
    <t>At least one Hazmat item is required</t>
  </si>
  <si>
    <t>*unit is invalid</t>
  </si>
  <si>
    <t>*Estimated waste creation is invalid</t>
  </si>
  <si>
    <t>Port of waste delivery is invalid</t>
  </si>
  <si>
    <t>* Waste retained is invalid</t>
  </si>
  <si>
    <t>* Waste capacity is invalid</t>
  </si>
  <si>
    <t>* Waste to be delivered is invalid</t>
  </si>
  <si>
    <t>Waste type description is invalid</t>
  </si>
  <si>
    <t>INF1 (Class INF 1)</t>
  </si>
  <si>
    <t>INF2 (Class INF 2)</t>
  </si>
  <si>
    <t>INF3 (Class INF3)</t>
  </si>
  <si>
    <t>Only allowed once 'Reason for allowing validation override' is complete</t>
  </si>
  <si>
    <t>Loch Carnan (South Uist)</t>
  </si>
  <si>
    <t>Port of retained waste delivery ("LOCODE")</t>
  </si>
  <si>
    <t>Enter either of the following:</t>
  </si>
  <si>
    <t>Include</t>
  </si>
  <si>
    <t>Persons on board towards next port</t>
  </si>
  <si>
    <t>Persons on board toward port of call</t>
  </si>
  <si>
    <t>Usage Guide</t>
  </si>
  <si>
    <t>Blank</t>
  </si>
  <si>
    <t>Transport unit 1</t>
  </si>
  <si>
    <t>Transport unit 2</t>
  </si>
  <si>
    <t>Transport unit 3</t>
  </si>
  <si>
    <t>Transport unit 4</t>
  </si>
  <si>
    <t>Consignment 2</t>
  </si>
  <si>
    <t>DPG Item 1</t>
  </si>
  <si>
    <t>DPG Item 2</t>
  </si>
  <si>
    <t>DPG Item 3</t>
  </si>
  <si>
    <t>Then the same data would be stored in the workbook as the following:</t>
  </si>
  <si>
    <t>Consignment 1</t>
  </si>
  <si>
    <t xml:space="preserve"> Consignment 1 - DPG Item 1</t>
  </si>
  <si>
    <t xml:space="preserve"> Consignment 2 - DPG Item 1</t>
  </si>
  <si>
    <t xml:space="preserve"> Consignment 2 - DPG Item 2</t>
  </si>
  <si>
    <t xml:space="preserve"> Consignment 2 - DPG Item 3</t>
  </si>
  <si>
    <t>Therefore, if the real data looked liked the following:</t>
  </si>
  <si>
    <t>F.A.Q. and Help</t>
  </si>
  <si>
    <t>How to complete the Hazmat table</t>
  </si>
  <si>
    <t>An example of data like this can be seen in the following image</t>
  </si>
  <si>
    <t>External References</t>
  </si>
  <si>
    <t>See FAQ page for usage guide</t>
  </si>
  <si>
    <t>Index</t>
  </si>
  <si>
    <t>External Named ranges</t>
  </si>
  <si>
    <t>External named ranges</t>
  </si>
  <si>
    <t>Broken References</t>
  </si>
  <si>
    <t>Moved/Missing Sheets</t>
  </si>
  <si>
    <t>Broken named ranges</t>
  </si>
  <si>
    <t>cers3@mcga.gov.uk</t>
  </si>
  <si>
    <t>Contact MCA (24 hours)</t>
  </si>
  <si>
    <t>Contact MCA (Business hours)</t>
  </si>
  <si>
    <t>Row 1 - Previous port call 'Date of arrival' is after 'Date of departure'</t>
  </si>
  <si>
    <t>Row 2 - Previous port call 'Date of arrival' is after 'Date of departure'</t>
  </si>
  <si>
    <t>Row 3 - Previous port call 'Date of arrival' is after 'Date of departure'</t>
  </si>
  <si>
    <t>Row 4 - Previous port call 'Date of arrival' is after 'Date of departure'</t>
  </si>
  <si>
    <t>Row 5 - Previous port call 'Date of arrival' is after 'Date of departure'</t>
  </si>
  <si>
    <t>Row 6 - Previous port call 'Date of arrival' is after 'Date of departure'</t>
  </si>
  <si>
    <t>Row 7 - Previous port call 'Date of arrival' is after 'Date of departure'</t>
  </si>
  <si>
    <t>Row 8 - Previous port call 'Date of arrival' is after 'Date of departure'</t>
  </si>
  <si>
    <t>Row 9 - Previous port call 'Date of arrival' is after 'Date of departure'</t>
  </si>
  <si>
    <t>Row 10 - Previous port call 'Date of arrival' is after 'Date of departure'</t>
  </si>
  <si>
    <t>Data provider name</t>
  </si>
  <si>
    <t>Cargo residues</t>
  </si>
  <si>
    <t>Cargo hold washing water containing residues and or cleaning agents or additives harmful to the marine environment</t>
  </si>
  <si>
    <t>Dry cargo residues NOT harmful to the marine environment</t>
  </si>
  <si>
    <t>Cargo hold washing water containing residues and or cleaning agents or additives NOT harmful to the marine environment</t>
  </si>
  <si>
    <t>Dry cargo residues harmful to the marine environment</t>
  </si>
  <si>
    <t>Other: please specify using MARPOL Annex II category X, Y, Z, OS</t>
  </si>
  <si>
    <t>Ballast water containing noxious cargo residues: specify in free text field using MARPOL Annex II category X, Y, Z, OS</t>
  </si>
  <si>
    <t>Washing waters containing noxious cargo residues: specify in free text field using MARPOL Annex II category X, Y, Z, OS</t>
  </si>
  <si>
    <t>–</t>
  </si>
  <si>
    <t>Other - please specify</t>
  </si>
  <si>
    <t>1st Optional waste item - All amounts and units must be given</t>
  </si>
  <si>
    <t>Optional duplicate waste types</t>
  </si>
  <si>
    <t>2nd Optional waste item - All amounts and units must be given</t>
  </si>
  <si>
    <t>3rd Optional waste item - All amounts and units must be given</t>
  </si>
  <si>
    <t>4th Optional waste item - All amounts and units must be given</t>
  </si>
  <si>
    <t>Supported systems</t>
  </si>
  <si>
    <t>#REF or #VALUE showing in the "Form Status" field</t>
  </si>
  <si>
    <t>1st Optional waste item - Both waste type dropdowns should be used</t>
  </si>
  <si>
    <t>2nd Optional waste item - Both waste type dropdowns should be used</t>
  </si>
  <si>
    <t>3rd Optional waste item - Both waste type dropdowns should be used</t>
  </si>
  <si>
    <t>4th Optional waste item - Both waste type dropdowns should be used</t>
  </si>
  <si>
    <t>ISSC 'Invalid reason' must not be given if 'ISSC is valid?' is 'TRUE'</t>
  </si>
  <si>
    <t xml:space="preserve">* This must only be done when there is a valid reason for returning an invalid workbook.
* The validation override still must be applied if the workbook is being submitted in a base64 encoded XML message. Otherwise the section will not be uploaded
</t>
  </si>
  <si>
    <t xml:space="preserve">Formulas given in cells which point to an external source will result in the CERS Workbook being rejected.
These external references can be found by searching Excel for an opening square bracket ( [ ), with the “Within” value set to “Workbook” and the “Look in” set to “Formulas”  - as can be seen in the images to the right.
These cells will show the value as taken from the external source. However, when selected, the formula will show in the formula bar (see below).
This formula can be deleted and replaced with a valid value to upload the workbook.
</t>
  </si>
  <si>
    <t xml:space="preserve">Moving Excel sheets between CERS Workbooks creates a large number of external Named Ranges. Sheets can be moved into a CERS workbook from other workbooks. Only if those workbooks do not contain Named Ranges and the moved sheet contains no formula that will be pointing to an external source after having moved. </t>
  </si>
  <si>
    <t>Supported spreadsheet application</t>
  </si>
  <si>
    <t>If cell references have been broken, or the workbook has been opened and saved in an unsupported spreadsheet application that is unable to calculate validations, then the "Form Status" will show either #REF or #VALUE in these cases a new spreadsheet must be used as the workbook has been irreparably damaged.</t>
  </si>
  <si>
    <t>Row 22</t>
  </si>
  <si>
    <t>Other - please specify [2300] (if more than one type)</t>
  </si>
  <si>
    <t>Waste type description</t>
  </si>
  <si>
    <t>Reporting Summary</t>
  </si>
  <si>
    <t>EEABJ</t>
  </si>
  <si>
    <t>Abaja Sadam</t>
  </si>
  <si>
    <t>Abbotsley</t>
  </si>
  <si>
    <t>BRACX</t>
  </si>
  <si>
    <t>Acu Pt/Sao Joao da Barra</t>
  </si>
  <si>
    <t>EEAHO</t>
  </si>
  <si>
    <t>Ahoi Joesadam</t>
  </si>
  <si>
    <t>QARUS</t>
  </si>
  <si>
    <t>Al Ruwais Qatar</t>
  </si>
  <si>
    <t>MUABN</t>
  </si>
  <si>
    <t>Albion</t>
  </si>
  <si>
    <t>AUAMR</t>
  </si>
  <si>
    <t>Amrun</t>
  </si>
  <si>
    <t>AOARO</t>
  </si>
  <si>
    <t>Armada Olombendo FPSO</t>
  </si>
  <si>
    <t>MYBAK</t>
  </si>
  <si>
    <t>Batang Kali</t>
  </si>
  <si>
    <t>MYBTM</t>
  </si>
  <si>
    <t>Batu Maung</t>
  </si>
  <si>
    <t>ESCHR</t>
  </si>
  <si>
    <t>Caleta de Sebo</t>
  </si>
  <si>
    <t>ZADWK</t>
  </si>
  <si>
    <t>De Waterkant</t>
  </si>
  <si>
    <t>RSDOB</t>
  </si>
  <si>
    <t>Dobanovci</t>
  </si>
  <si>
    <t>IDGTS</t>
  </si>
  <si>
    <t>Gatot Subroto Permai</t>
  </si>
  <si>
    <t>USGZI</t>
  </si>
  <si>
    <t>Granite City</t>
  </si>
  <si>
    <t>AEHIL</t>
  </si>
  <si>
    <t>Hail</t>
  </si>
  <si>
    <t>CNHME</t>
  </si>
  <si>
    <t>GBKWH</t>
  </si>
  <si>
    <t>Hatston</t>
  </si>
  <si>
    <t>CAHBN</t>
  </si>
  <si>
    <t>VNHLP</t>
  </si>
  <si>
    <t>Hon La Port</t>
  </si>
  <si>
    <t>USH4H</t>
  </si>
  <si>
    <t>Howland Hook</t>
  </si>
  <si>
    <t>AUITH</t>
  </si>
  <si>
    <t>Ichthys</t>
  </si>
  <si>
    <t>ARBUI</t>
  </si>
  <si>
    <t>Ingeniero Buitrago</t>
  </si>
  <si>
    <t>IDJPU</t>
  </si>
  <si>
    <t>Jakarta Pusat</t>
  </si>
  <si>
    <t>IDJWA</t>
  </si>
  <si>
    <t>Jawa Timur</t>
  </si>
  <si>
    <t>MYJEL</t>
  </si>
  <si>
    <t>Jelutong</t>
  </si>
  <si>
    <t>BRJUR</t>
  </si>
  <si>
    <t>Juruti</t>
  </si>
  <si>
    <t>EEKVI</t>
  </si>
  <si>
    <t>Kaavi Paadisadam</t>
  </si>
  <si>
    <t>EEKLP</t>
  </si>
  <si>
    <t>Kallaste Paadisadam</t>
  </si>
  <si>
    <t>FIKSN</t>
  </si>
  <si>
    <t>Kasnas</t>
  </si>
  <si>
    <t>EEKKS</t>
  </si>
  <si>
    <t>Kassari Sadam</t>
  </si>
  <si>
    <t>AUKNG</t>
  </si>
  <si>
    <t>Kensington Gardens</t>
  </si>
  <si>
    <t>MYKPN</t>
  </si>
  <si>
    <t>Kepong</t>
  </si>
  <si>
    <t>THKHA</t>
  </si>
  <si>
    <t>Khanom</t>
  </si>
  <si>
    <t>JPKSF</t>
  </si>
  <si>
    <t>Kitsuki</t>
  </si>
  <si>
    <t>DKKLH</t>
  </si>
  <si>
    <t>TRKN2</t>
  </si>
  <si>
    <t>Konak</t>
  </si>
  <si>
    <t>MVKUL</t>
  </si>
  <si>
    <t>Kulhudhuffushi</t>
  </si>
  <si>
    <t>HTPLH</t>
  </si>
  <si>
    <t>Lafito Port</t>
  </si>
  <si>
    <t>IDLBR</t>
  </si>
  <si>
    <t>Lembar</t>
  </si>
  <si>
    <t>VNLPO</t>
  </si>
  <si>
    <t>Lotus Port</t>
  </si>
  <si>
    <t>GQSSG</t>
  </si>
  <si>
    <t>EEMOL</t>
  </si>
  <si>
    <t>Molgi</t>
  </si>
  <si>
    <t>FRM75</t>
  </si>
  <si>
    <t>Muids</t>
  </si>
  <si>
    <t>CAMUS</t>
  </si>
  <si>
    <t>Musquodoboit Harbour</t>
  </si>
  <si>
    <t>THNKT</t>
  </si>
  <si>
    <t>USNTS</t>
  </si>
  <si>
    <t>North Charleston</t>
  </si>
  <si>
    <t>DEOEX</t>
  </si>
  <si>
    <t>RUOLP</t>
  </si>
  <si>
    <t>Ol'ga</t>
  </si>
  <si>
    <t>ZANGQ</t>
  </si>
  <si>
    <t>Port of Ngqura</t>
  </si>
  <si>
    <t>IMPSM</t>
  </si>
  <si>
    <t>AUPRL</t>
  </si>
  <si>
    <t>Prelude</t>
  </si>
  <si>
    <t>MAREM</t>
  </si>
  <si>
    <t>Ras El Ma</t>
  </si>
  <si>
    <t>BRREL</t>
  </si>
  <si>
    <t>SHRPT</t>
  </si>
  <si>
    <t>Rupert's Bay</t>
  </si>
  <si>
    <t>MXSEY</t>
  </si>
  <si>
    <t>Seybaplaya</t>
  </si>
  <si>
    <t>THSGK</t>
  </si>
  <si>
    <t>EESUK</t>
  </si>
  <si>
    <t>Suaru Kalasadam</t>
  </si>
  <si>
    <t>EGSCN</t>
  </si>
  <si>
    <t>Suez Canal</t>
  </si>
  <si>
    <t>CNSNN</t>
  </si>
  <si>
    <t>Suining</t>
  </si>
  <si>
    <t>MYSGG</t>
  </si>
  <si>
    <t>Sungai Udang</t>
  </si>
  <si>
    <t>OMOFC</t>
  </si>
  <si>
    <t>Sur</t>
  </si>
  <si>
    <t>AUSYL</t>
  </si>
  <si>
    <t>EETMN</t>
  </si>
  <si>
    <t>Tammneeme Sadam</t>
  </si>
  <si>
    <t>EETJS</t>
  </si>
  <si>
    <t>Tori Joesadam</t>
  </si>
  <si>
    <t>JPTOA</t>
  </si>
  <si>
    <t>Toyo</t>
  </si>
  <si>
    <t>JPTUZ</t>
  </si>
  <si>
    <t>Tsuzu Yamaguchi</t>
  </si>
  <si>
    <t>EEURG</t>
  </si>
  <si>
    <t>Urgoru Paadisadam</t>
  </si>
  <si>
    <t>EEVIN</t>
  </si>
  <si>
    <t>Viinistu Sadam</t>
  </si>
  <si>
    <t>VNVHG</t>
  </si>
  <si>
    <t>Vinalines Hau Giang Port</t>
  </si>
  <si>
    <t>AUWTW</t>
  </si>
  <si>
    <t>Waterways</t>
  </si>
  <si>
    <t>CNLMG</t>
  </si>
  <si>
    <t>Wenling Longmen Port</t>
  </si>
  <si>
    <t>Waste Code 1200- Invalid LOCODE</t>
  </si>
  <si>
    <t>Waste Code 1100- Invalid LOCODE</t>
  </si>
  <si>
    <t>Waste Code 1301- Invalid LOCODE</t>
  </si>
  <si>
    <t>Waste Code 1300- Invalid LOCODE</t>
  </si>
  <si>
    <t>Waste Code 3000- Invalid LOCODE</t>
  </si>
  <si>
    <t>Waste Code 2100- Invalid LOCODE</t>
  </si>
  <si>
    <t>Waste Code 2301- Invalid LOCODE</t>
  </si>
  <si>
    <t>Waste Code 2200- Invalid LOCODE</t>
  </si>
  <si>
    <t>Waste Code 2302- Invalid LOCODE</t>
  </si>
  <si>
    <t>Waste Code 2303- Invalid LOCODE</t>
  </si>
  <si>
    <t>Waste Code 2304- Invalid LOCODE</t>
  </si>
  <si>
    <t>Waste Code 2305- Invalid LOCODE</t>
  </si>
  <si>
    <t>Waste Code 2306- Invalid LOCODE</t>
  </si>
  <si>
    <t>Waste Code 2307- Invalid LOCODE</t>
  </si>
  <si>
    <t>Waste Code 2308- Invalid LOCODE</t>
  </si>
  <si>
    <t>Waste Code 2309- Invalid LOCODE</t>
  </si>
  <si>
    <t>Waste Code 2310- Invalid LOCODE</t>
  </si>
  <si>
    <t>Waste Code 2311- Invalid LOCODE</t>
  </si>
  <si>
    <t>Waste Code 2300- Invalid LOCODE</t>
  </si>
  <si>
    <t>Waste Code 5101- Invalid LOCODE</t>
  </si>
  <si>
    <t>Waste Code 5102- Invalid LOCODE</t>
  </si>
  <si>
    <t>Waste Code 5103- Invalid LOCODE</t>
  </si>
  <si>
    <t>Waste Code 5100- Invalid LOCODE</t>
  </si>
  <si>
    <t>Waste Code 5201- Invalid LOCODE</t>
  </si>
  <si>
    <t>Waste Code 5202- Invalid LOCODE</t>
  </si>
  <si>
    <t>Waste Code 5200- Invalid LOCODE</t>
  </si>
  <si>
    <t>Waste Code 5301- Invalid LOCODE</t>
  </si>
  <si>
    <t>Waste Code 5302- Invalid LOCODE</t>
  </si>
  <si>
    <t>Waste Code 5303- Invalid LOCODE</t>
  </si>
  <si>
    <t>Waste Code 5304- Invalid LOCODE</t>
  </si>
  <si>
    <t>Waste Code 5300- Invalid LOCODE</t>
  </si>
  <si>
    <t>1st Optional waste item- Invalid LOCODE</t>
  </si>
  <si>
    <t>2nd Optional waste item- Invalid LOCODE</t>
  </si>
  <si>
    <t>3rd Optional waste item- Invalid LOCODE</t>
  </si>
  <si>
    <t>4th Optional waste item- Invalid LOCODE</t>
  </si>
  <si>
    <r>
      <t>The field for</t>
    </r>
    <r>
      <rPr>
        <b/>
        <sz val="10"/>
        <color theme="1" tint="0.14990691854609822"/>
        <rFont val="Consolas"/>
        <family val="3"/>
      </rPr>
      <t xml:space="preserve"> “Port of retained waste delivery ("LOCODE")”</t>
    </r>
    <r>
      <rPr>
        <sz val="10"/>
        <color theme="1" tint="0.14990691854609822"/>
        <rFont val="Consolas"/>
        <family val="3"/>
      </rPr>
      <t xml:space="preserve"> is to provide a port LOCODE for the next port where you deliver any waste you retained on board at this port call. If this is unknown, leave the field blank. Entering anything other than a valid Locode will create an error.</t>
    </r>
  </si>
  <si>
    <t>Phone and fax numbers should be entered without spaces, brackets or letters. Anything other than a number or a + will create an error.</t>
  </si>
  <si>
    <t>Consignment reference number' is invalid</t>
  </si>
  <si>
    <t>Ship-to-ship - `Security measures` is invalid</t>
  </si>
  <si>
    <t>Ship-to-ship - 'Ship-to-ship activity' is invalid</t>
  </si>
  <si>
    <t>Ship-to-ship - 'Location name' is invalid</t>
  </si>
  <si>
    <t>Ship-to-ship - 'Longitude' is invalid</t>
  </si>
  <si>
    <t xml:space="preserve">Ship-to-ship - 'Latitude' is invalid </t>
  </si>
  <si>
    <t>Previous port call - 'Special or additional security measures taken'  is invalid</t>
  </si>
  <si>
    <t>Previous port call - 'Special or additional security measures' is invalid</t>
  </si>
  <si>
    <t>Previous port call -  'Security level'  is invalid</t>
  </si>
  <si>
    <t>Previous port call - 'Port LOCODE' is invalid</t>
  </si>
  <si>
    <t>Previous port call -  'Port Facility Name' is invalid</t>
  </si>
  <si>
    <t>Previous port call - 'Country' is invalid</t>
  </si>
  <si>
    <t>Voyage contact email</t>
  </si>
  <si>
    <t>The voyage contact email is set on the "Summary" tab</t>
  </si>
  <si>
    <r>
      <rPr>
        <b/>
        <sz val="10"/>
        <color theme="1" tint="0.14993743705557422"/>
        <rFont val="Arial"/>
        <family val="2"/>
      </rPr>
      <t>IMPORTANT:</t>
    </r>
    <r>
      <rPr>
        <sz val="10"/>
        <color theme="1" tint="0.14993743705557422"/>
        <rFont val="Arial"/>
        <family val="2"/>
      </rPr>
      <t xml:space="preserve"> Pay attention to highlighted fields in yellow as these are mandatory and must be completed if submitting that section.</t>
    </r>
  </si>
  <si>
    <t xml:space="preserve">* Sections marked as 'Invalid' will not be uploaded into CERS unless the 'Validation Override' is used
* To override these validations write you must give a reason in the Reasons selection and set 'Override validations' to 'Allow invalid sheet upload'
</t>
  </si>
  <si>
    <t>Maximum of nine 'Purposes of call' allowed</t>
  </si>
  <si>
    <t>https://gisis.imo.org/Public/Default.aspx</t>
  </si>
  <si>
    <t>Exemptions to Scheduled Services in CERS</t>
  </si>
  <si>
    <t>If a vessel is operating a scheduled service as defined in the Merchant Shipping (Vessel Traffic Monitoring and Reporting Requirements) Regulations 2004 (as amended) you can apply for a CERS exemption.</t>
  </si>
  <si>
    <t>If you require an exemption from reporting hazardous materials or pre-arrival information please follow the link below. Please complete the Appendix and send to cers3@mcga.gov.uk.</t>
  </si>
  <si>
    <t>https://www.gov.uk/government/publications/mgn-438-cers-exemption-arrangements-under-the-vtm-reporting-regulations-2004</t>
  </si>
  <si>
    <t>If you require exemption from waste reporting please follow the link below. Please complete Annex B and send to environment@mcga.gov.uk.</t>
  </si>
  <si>
    <t>https://assets.publishing.service.gov.uk/government/uploads/system/uploads/attachment_data/file/608427/MGN_563_rev_1.pdf</t>
  </si>
  <si>
    <t>If you require exemption from security reporting please contact DfT security at:</t>
  </si>
  <si>
    <t>MARITIMESECURITY@dft.gov.uk</t>
  </si>
  <si>
    <t>We advise that you read the relevant M Notices thoroughly before completing the application forms.</t>
  </si>
  <si>
    <t>Getting a reporting exemption</t>
  </si>
  <si>
    <t>Finding GISIS Port Facility numbers</t>
  </si>
  <si>
    <t>To find the GISIS port facility number,  go to the GISIS website:</t>
  </si>
  <si>
    <t>Then select the option for "Maritime Security", if you do don't have an account, you may need to create one.</t>
  </si>
  <si>
    <t>Row 17</t>
  </si>
  <si>
    <t>Row 26</t>
  </si>
  <si>
    <t>Row 45</t>
  </si>
  <si>
    <t>Row 70</t>
  </si>
  <si>
    <t>Row 91</t>
  </si>
  <si>
    <t>Row 98</t>
  </si>
  <si>
    <t>Row 141</t>
  </si>
  <si>
    <t>Row 157</t>
  </si>
  <si>
    <t>From here, select a country to access a list of ports, select a port to see the GISIS Port Facility Numbers.</t>
  </si>
  <si>
    <t>Vessel contact email</t>
  </si>
  <si>
    <t xml:space="preserve">Named ranges that are broken will result in the workbook being rejected. Broken named ranges can be caused in a number of ways.
• Copying/cutting and pasting cells over each other
• Moving/deleting workbook sheets
• Adding custom named ranges that are located in external sources
You can find these in Excel's name manager. This is on the ribbon bar under “Formulas” on in Excel 2016 and can also be opened by pressing Ctrl +F3. These will show up with #REF in the "Value" field.
</t>
  </si>
  <si>
    <t>External named ranges will cause the CERS Workbook being rejected. These might have been added to your workbook if you have added new sheets to your workbook or have copied and pasted data.
To check for these, go to an unprotected Excel sheet, like the "Notes" sheet and open the name manager (under “Formulas” in Excel 2016 and can also be opened by pressing Ctrl +F3).
Look at the “Refers To” column, if this points to an external document the reference will need to be deleted before the workbook can be uploaded. External references can be spotted as they have the name of the file they are pointing to in square brackets (e.g. “[file name.xlsx]”).
To remove these references, select them, and then click delete. References can’t be deleted on Protected sheets, so try doing that on the notes page</t>
  </si>
  <si>
    <t>‘ETA to port of call’ or ‘ATA Port of call’ is required</t>
  </si>
  <si>
    <t xml:space="preserve">If 'Waste delivery status' is not 'NONE' then at least one waste item must be reported </t>
  </si>
  <si>
    <t>Ship-to-ship - 'Security measures' - 'Yes' or 'None'</t>
  </si>
  <si>
    <t xml:space="preserve">Inmarsat Call number exceeds 45 characters  </t>
  </si>
  <si>
    <t>Every Hazmat consignment should be given a unique “Consignment reference number”. Only the first row of the consignment section for each consignment needs to be completed. If the Consignment has more than one DPG item, then the consignment’s unique consignment reference number should be given on the line below and the additional DPG item information should be given on these subsequent lines.
Every DPG item in the Consignment should get a unique “DPG item reference number”. If a DPG item in a consignment is stored in two locations (TEU or Non-TEU), then the DPG information should be given on the first row, and the reference number used on subsequent rows, with the TEU information filled out over the following rows.
If an Item does not have a "consignment reference number" it will not be uploaded and the row will have the status "Skip".</t>
  </si>
  <si>
    <t>Consignment reference number' must be a number</t>
  </si>
  <si>
    <t>Waste capacity' is invalid</t>
  </si>
  <si>
    <t>Waste retained' is invalid</t>
  </si>
  <si>
    <t>DPG item reference number' must be a number</t>
  </si>
  <si>
    <t>Patch Number</t>
  </si>
  <si>
    <t>Hazmat Incoming</t>
  </si>
  <si>
    <t>Hazmat Outgoing</t>
  </si>
  <si>
    <t>Bunkers Incoming</t>
  </si>
  <si>
    <t>Bunkers Outgoing</t>
  </si>
  <si>
    <t>INCOMING BUNKER FUEL</t>
  </si>
  <si>
    <t>Quantity</t>
  </si>
  <si>
    <t>Bunker information</t>
  </si>
  <si>
    <t>Inbound Bunkers</t>
  </si>
  <si>
    <t>Outbound Bunkers</t>
  </si>
  <si>
    <t>OUTGOING BUNKER FUEL</t>
  </si>
  <si>
    <t>Waste delivered at last port</t>
  </si>
  <si>
    <t>Plastic</t>
  </si>
  <si>
    <t>Other food waste</t>
  </si>
  <si>
    <t>Operational wastes</t>
  </si>
  <si>
    <t>Bunker Type is required</t>
  </si>
  <si>
    <t>Bunker Unit</t>
  </si>
  <si>
    <t>Bunker Types</t>
  </si>
  <si>
    <t xml:space="preserve">MGO - marine gas oil </t>
  </si>
  <si>
    <t xml:space="preserve">MDO - marine diesel oil </t>
  </si>
  <si>
    <t xml:space="preserve">IFO - intermediate fuel oil </t>
  </si>
  <si>
    <t xml:space="preserve">MFO - marine fuel oil </t>
  </si>
  <si>
    <t xml:space="preserve">HFO - heavy fuel oil </t>
  </si>
  <si>
    <t xml:space="preserve">LPG - liquefied petroleum gas </t>
  </si>
  <si>
    <t xml:space="preserve">LNG - liquefied natural gas </t>
  </si>
  <si>
    <t xml:space="preserve">LO - lubrication oil </t>
  </si>
  <si>
    <t xml:space="preserve">Other – any other type of bunkers  </t>
  </si>
  <si>
    <t>Bunkers status</t>
  </si>
  <si>
    <t>Bunkers on board</t>
  </si>
  <si>
    <t>Bunker Unit is Invalid</t>
  </si>
  <si>
    <t>Bunkers on board is invalid</t>
  </si>
  <si>
    <t>Bunkers quantity must be a positive number</t>
  </si>
  <si>
    <t>Description must be 25 characters or less</t>
  </si>
  <si>
    <t>Only Bunkers types provided in dropdown allowed</t>
  </si>
  <si>
    <t>Waste to be delivered at current port</t>
  </si>
  <si>
    <t>*Waste delivered at last port is invalid</t>
  </si>
  <si>
    <t>1200 - All amounts and units must be given</t>
  </si>
  <si>
    <t>1100 - All amounts and units must be given</t>
  </si>
  <si>
    <t>1301 - All amounts and units must be given</t>
  </si>
  <si>
    <t>1300 - All amounts and units must be given</t>
  </si>
  <si>
    <t>3000 - All amounts and units must be given</t>
  </si>
  <si>
    <t>2100 - All amounts and units must be given</t>
  </si>
  <si>
    <t>2102 - All amounts and units must be given</t>
  </si>
  <si>
    <t>2301 - All amounts and units must be given</t>
  </si>
  <si>
    <t>2200 - All amounts and units must be given</t>
  </si>
  <si>
    <t>2302 - All amounts and units must be given</t>
  </si>
  <si>
    <t>2303 - All amounts and units must be given</t>
  </si>
  <si>
    <t>2304 - All amounts and units must be given</t>
  </si>
  <si>
    <t>2305 - All amounts and units must be given</t>
  </si>
  <si>
    <t>2306 - All amounts and units must be given</t>
  </si>
  <si>
    <t>2307 - All amounts and units must be given</t>
  </si>
  <si>
    <t>2308 - All amounts and units must be given</t>
  </si>
  <si>
    <t>2309 - All amounts and units must be given</t>
  </si>
  <si>
    <t>2310 - All amounts and units must be given</t>
  </si>
  <si>
    <t>2311 - All amounts and units must be given</t>
  </si>
  <si>
    <t>2300 - All amounts and units must be given</t>
  </si>
  <si>
    <t>2600 - All amounts and units must be given</t>
  </si>
  <si>
    <t>5101 - All amounts and units must be given</t>
  </si>
  <si>
    <t>5102 - All amounts and units must be given</t>
  </si>
  <si>
    <t>5103 - All amounts and units must be given</t>
  </si>
  <si>
    <t>5100 - All amounts and units must be given</t>
  </si>
  <si>
    <t>5201 - All amounts and units must be given</t>
  </si>
  <si>
    <t>5202 - All amounts and units must be given</t>
  </si>
  <si>
    <t>5200 - All amounts and units must be given</t>
  </si>
  <si>
    <t>5301 - All amounts and units must be given</t>
  </si>
  <si>
    <t>5302 - All amounts and units must be given</t>
  </si>
  <si>
    <t>5303 - All amounts and units must be given</t>
  </si>
  <si>
    <t>5304 - All amounts and units must be given</t>
  </si>
  <si>
    <t>5300 - All amounts and units must be given</t>
  </si>
  <si>
    <t>Row 1 - Value is missing</t>
  </si>
  <si>
    <t>Row 2 - Value is missing</t>
  </si>
  <si>
    <t>Row 3 - Value is missing</t>
  </si>
  <si>
    <t>Row 4 - Value is missing</t>
  </si>
  <si>
    <t>Row 5 - Value is missing</t>
  </si>
  <si>
    <t>Row 6 - Value is missing</t>
  </si>
  <si>
    <t>Row 7 - Value is missing</t>
  </si>
  <si>
    <t>Row 8 - Value is missing</t>
  </si>
  <si>
    <t>Row 9 - Value is missing</t>
  </si>
  <si>
    <t>Row 10 - Value is missing</t>
  </si>
  <si>
    <t>Waste Code 2600- Invalid LOCODE</t>
  </si>
  <si>
    <t>Waste Code 2102- Invalid LOCODE</t>
  </si>
  <si>
    <t>If ‘DG classification’ is ‘IBC’ or ‘IMSBC’  the ‘IMO Hazard Class’ is mandatory</t>
  </si>
  <si>
    <t xml:space="preserve">If incoming ‘Hazmat on board’ or Bunkers is ‘Yes’, then ‘POB Voyage towards port of call’ is required </t>
  </si>
  <si>
    <t>If outgoing ‘Hazmat on board’ or ‘Bunkers on board’ is ‘Yes’, then ‘Next Port’ is required</t>
  </si>
  <si>
    <t>If outgoing ‘Hazmat on board’ or ‘Bunkers on board’  is ‘Yes’ and ‘Next Port’ is not ‘Unknown’, then ‘ETA to next port’ is required</t>
  </si>
  <si>
    <t>Note: The requirement for reporting bunker fuel only applies to vessel of 1000 gross tonnes or more.</t>
  </si>
  <si>
    <t xml:space="preserve">‘Port of call LOCODE' required and must be exactly 5 characters </t>
  </si>
  <si>
    <t>1.3.0</t>
  </si>
  <si>
    <r>
      <t xml:space="preserve">This Excel workbook is for use in conjunction with the UK Maritime and Coastguard Agency's Consolidated European Reporting System (CERS) for the submission of voyage notifications relating to maritime vessel voyages visiting UK ports. 
This workbook is designed to be used offline and uploaded into CERS via either the web application interface or via SOAP web services (embedded into the XML message).
</t>
    </r>
    <r>
      <rPr>
        <b/>
        <sz val="10"/>
        <color theme="1" tint="0.14993743705557422"/>
        <rFont val="Arial"/>
        <family val="2"/>
      </rPr>
      <t xml:space="preserve">IMPORTANT: </t>
    </r>
    <r>
      <rPr>
        <sz val="10"/>
        <color theme="1" tint="0.14993743705557422"/>
        <rFont val="Arial"/>
        <family val="2"/>
      </rPr>
      <t>Please read the full usage instructions at the bottom of this sheet before using this workbook and contact the CERS team using the contact details on the right for any queries.</t>
    </r>
  </si>
  <si>
    <t>Off Shore Fujairah</t>
  </si>
  <si>
    <t>Durres</t>
  </si>
  <si>
    <t>Sarande</t>
  </si>
  <si>
    <t>Shengjin</t>
  </si>
  <si>
    <t>Vlore</t>
  </si>
  <si>
    <t>Baia dos Tigres</t>
  </si>
  <si>
    <t>Noqui</t>
  </si>
  <si>
    <t>Bahia Blanca</t>
  </si>
  <si>
    <t>Caleta Cordoba</t>
  </si>
  <si>
    <t>Concepcion del Uruguay</t>
  </si>
  <si>
    <t>Gualeguaychu</t>
  </si>
  <si>
    <t>Lujan</t>
  </si>
  <si>
    <t>Olavarria</t>
  </si>
  <si>
    <t>Pablo Podesta</t>
  </si>
  <si>
    <t>Parana</t>
  </si>
  <si>
    <t>Quequen</t>
  </si>
  <si>
    <t>Rio Gallegos</t>
  </si>
  <si>
    <t>San Nicolas de los Arroyos</t>
  </si>
  <si>
    <t>Tucuman</t>
  </si>
  <si>
    <t>Vicente Lopez</t>
  </si>
  <si>
    <t>Villa Constitucion</t>
  </si>
  <si>
    <t>Zarate</t>
  </si>
  <si>
    <t>Altenworth</t>
  </si>
  <si>
    <t>Bohlerwenk</t>
  </si>
  <si>
    <t>Durnstein</t>
  </si>
  <si>
    <t>Nuziders</t>
  </si>
  <si>
    <t>Sankt Veit im Muhlkreis</t>
  </si>
  <si>
    <t>Schonau im Muhlkreis</t>
  </si>
  <si>
    <t>Anhee</t>
  </si>
  <si>
    <t>Bleharies</t>
  </si>
  <si>
    <t>Chatelineau</t>
  </si>
  <si>
    <t>Ethe</t>
  </si>
  <si>
    <t>Flemalle</t>
  </si>
  <si>
    <t>Flone</t>
  </si>
  <si>
    <t>Franiere</t>
  </si>
  <si>
    <t>Hastiere-par-dela</t>
  </si>
  <si>
    <t>Havre</t>
  </si>
  <si>
    <t>Isieres</t>
  </si>
  <si>
    <t>Labuissiere</t>
  </si>
  <si>
    <t>Liege</t>
  </si>
  <si>
    <t>Maisieres</t>
  </si>
  <si>
    <t>Moignelee</t>
  </si>
  <si>
    <t>Nameche</t>
  </si>
  <si>
    <t>Ougree</t>
  </si>
  <si>
    <t>Peronnes</t>
  </si>
  <si>
    <t>Peronnes/Binche</t>
  </si>
  <si>
    <t>Pont-a-Celles</t>
  </si>
  <si>
    <t>Ronquieres</t>
  </si>
  <si>
    <t>Tergnee</t>
  </si>
  <si>
    <t>Wepion</t>
  </si>
  <si>
    <t>Ziniare</t>
  </si>
  <si>
    <t>Saint-Barthelemy</t>
  </si>
  <si>
    <t>Puerto Suarez</t>
  </si>
  <si>
    <t>Dorp Rincon</t>
  </si>
  <si>
    <t>Abaete</t>
  </si>
  <si>
    <t>Alpinopolis</t>
  </si>
  <si>
    <t>Camboriu</t>
  </si>
  <si>
    <t>Codajas</t>
  </si>
  <si>
    <t>Curaca</t>
  </si>
  <si>
    <t>Dias d'Avila</t>
  </si>
  <si>
    <t>Florianopolis</t>
  </si>
  <si>
    <t>Guamare</t>
  </si>
  <si>
    <t>Itapoa</t>
  </si>
  <si>
    <t>Jaguariaiva</t>
  </si>
  <si>
    <t>Maceio</t>
  </si>
  <si>
    <t>Nova Uniao</t>
  </si>
  <si>
    <t>Parai</t>
  </si>
  <si>
    <t>Paranagua</t>
  </si>
  <si>
    <t>Parnaiba</t>
  </si>
  <si>
    <t>Pecem</t>
  </si>
  <si>
    <t>Porto Alegre</t>
  </si>
  <si>
    <t>Porto de Itaguai</t>
  </si>
  <si>
    <t>Porto Velho</t>
  </si>
  <si>
    <t>Retirolandia</t>
  </si>
  <si>
    <t>Santo Antonio de Padua</t>
  </si>
  <si>
    <t>Sao Francisco do Sul</t>
  </si>
  <si>
    <t>Sao Luis</t>
  </si>
  <si>
    <t>Sao Sebastiao</t>
  </si>
  <si>
    <t>Sao Tome</t>
  </si>
  <si>
    <t>Sento Se</t>
  </si>
  <si>
    <t>Taperoa</t>
  </si>
  <si>
    <t>Timbo</t>
  </si>
  <si>
    <t>Tramandai</t>
  </si>
  <si>
    <t>Tres Coroas</t>
  </si>
  <si>
    <t>Tubarao</t>
  </si>
  <si>
    <t>Tutoia</t>
  </si>
  <si>
    <t>BRVDC</t>
  </si>
  <si>
    <t>Vitoria da Conquista</t>
  </si>
  <si>
    <t>Becancour</t>
  </si>
  <si>
    <t>Chateau-Richer</t>
  </si>
  <si>
    <t>Cheticamp</t>
  </si>
  <si>
    <t>Cote-Sainte-Catherine</t>
  </si>
  <si>
    <t>Gaspe</t>
  </si>
  <si>
    <t>Hebertville</t>
  </si>
  <si>
    <t>Laverlochere</t>
  </si>
  <si>
    <t>Levis</t>
  </si>
  <si>
    <t>L'Ile-des-Soeurs (Nuns Island)</t>
  </si>
  <si>
    <t>Montreal-Est</t>
  </si>
  <si>
    <t>Orleans</t>
  </si>
  <si>
    <t>Pohenegamook</t>
  </si>
  <si>
    <t>Prevost</t>
  </si>
  <si>
    <t>Riviere-du-Loup</t>
  </si>
  <si>
    <t>Saint-Felix-de-Kingsey</t>
  </si>
  <si>
    <t>Saint-Felix-de-Valois</t>
  </si>
  <si>
    <t>Saint-Francois-du-Lac</t>
  </si>
  <si>
    <t>Saint-Pierre-de-l'Ile-d'Orleans</t>
  </si>
  <si>
    <t>Vercheres</t>
  </si>
  <si>
    <t>Dottingen</t>
  </si>
  <si>
    <t>Flasch</t>
  </si>
  <si>
    <t>Guttingen</t>
  </si>
  <si>
    <t>Mannedorf</t>
  </si>
  <si>
    <t>Nafels</t>
  </si>
  <si>
    <t>Wurenlos</t>
  </si>
  <si>
    <t>Port-Bouet</t>
  </si>
  <si>
    <t>San-Pedro</t>
  </si>
  <si>
    <t>Bahia San Gregorio</t>
  </si>
  <si>
    <t>Chaiten</t>
  </si>
  <si>
    <t>Chanaral</t>
  </si>
  <si>
    <t>Concepcion</t>
  </si>
  <si>
    <t>Constitucion</t>
  </si>
  <si>
    <t>Copiapo</t>
  </si>
  <si>
    <t>Curaco de Velez</t>
  </si>
  <si>
    <t>Guayacan</t>
  </si>
  <si>
    <t>Hualaihue</t>
  </si>
  <si>
    <t>Juan Fernandez</t>
  </si>
  <si>
    <t>Lirquen</t>
  </si>
  <si>
    <t>Maullin</t>
  </si>
  <si>
    <t>Posesion</t>
  </si>
  <si>
    <t>Puerto Aisen</t>
  </si>
  <si>
    <t>Puerto Eden</t>
  </si>
  <si>
    <t>Puqueldon</t>
  </si>
  <si>
    <t>Queilen</t>
  </si>
  <si>
    <t>Quellon (Puerto Quellon)</t>
  </si>
  <si>
    <t>Quellon Viejo</t>
  </si>
  <si>
    <t>Tome</t>
  </si>
  <si>
    <t>Vina del Mar</t>
  </si>
  <si>
    <t>CNCSH</t>
  </si>
  <si>
    <t>Changsha</t>
  </si>
  <si>
    <t>Lu-hua Shan</t>
  </si>
  <si>
    <t>Covenas Off Shore Terminal</t>
  </si>
  <si>
    <t>Puerto Asis</t>
  </si>
  <si>
    <t>Puerto Bolivar</t>
  </si>
  <si>
    <t>Puerto Carreno</t>
  </si>
  <si>
    <t>Puerto Limon</t>
  </si>
  <si>
    <t>Tolu</t>
  </si>
  <si>
    <t>Moin</t>
  </si>
  <si>
    <t>Rio Cuarto</t>
  </si>
  <si>
    <t>Rio Frio</t>
  </si>
  <si>
    <t>Sarapiqui</t>
  </si>
  <si>
    <t>Sarchi</t>
  </si>
  <si>
    <t>Tres Rios</t>
  </si>
  <si>
    <t>Bahia Honda</t>
  </si>
  <si>
    <t>Cabanas</t>
  </si>
  <si>
    <t>Caibarien</t>
  </si>
  <si>
    <t>Camaguey</t>
  </si>
  <si>
    <t>Cardenas</t>
  </si>
  <si>
    <t>Jucaro</t>
  </si>
  <si>
    <t>Puerto Manati</t>
  </si>
  <si>
    <t>Sagua de Tanamo</t>
  </si>
  <si>
    <t>Curacao</t>
  </si>
  <si>
    <t>Bilina</t>
  </si>
  <si>
    <t>Cervena Voda</t>
  </si>
  <si>
    <t>Ceska Ves</t>
  </si>
  <si>
    <t>Chudobin</t>
  </si>
  <si>
    <t>Decin</t>
  </si>
  <si>
    <t>Dolni Benesov</t>
  </si>
  <si>
    <t>Dolni Berkovice</t>
  </si>
  <si>
    <t>Dolni Jircany</t>
  </si>
  <si>
    <t>Dolni Lhota</t>
  </si>
  <si>
    <t>Jablonne nad Orlici</t>
  </si>
  <si>
    <t>Kralice na Hane</t>
  </si>
  <si>
    <t>Novy Vestec</t>
  </si>
  <si>
    <t>Police nad Metuji</t>
  </si>
  <si>
    <t>Smichov</t>
  </si>
  <si>
    <t>Steti</t>
  </si>
  <si>
    <t>Usti nad Labem</t>
  </si>
  <si>
    <t>Veverska Bityska</t>
  </si>
  <si>
    <t>Abbesbuttel</t>
  </si>
  <si>
    <t>Altengors</t>
  </si>
  <si>
    <t>Amelsburen</t>
  </si>
  <si>
    <t>Bad Durrenberg</t>
  </si>
  <si>
    <t>Bad Sackingen</t>
  </si>
  <si>
    <t>Berggiesshubel</t>
  </si>
  <si>
    <t>Boblingen</t>
  </si>
  <si>
    <t>Borgemoor</t>
  </si>
  <si>
    <t>Bornsen</t>
  </si>
  <si>
    <t>Borschutz</t>
  </si>
  <si>
    <t>Bremervorde</t>
  </si>
  <si>
    <t>Brohl-Lutzing</t>
  </si>
  <si>
    <t>Brunsbuttel</t>
  </si>
  <si>
    <t>Budelsdorf</t>
  </si>
  <si>
    <t>Buhl</t>
  </si>
  <si>
    <t>Burgstadt</t>
  </si>
  <si>
    <t>Busum</t>
  </si>
  <si>
    <t>Butzfleth</t>
  </si>
  <si>
    <t>Dagebull</t>
  </si>
  <si>
    <t>Dolzig</t>
  </si>
  <si>
    <t>Dombuhl</t>
  </si>
  <si>
    <t>Donauworth</t>
  </si>
  <si>
    <t>Dorpen</t>
  </si>
  <si>
    <t>Dorverden</t>
  </si>
  <si>
    <t>Dusseldorf</t>
  </si>
  <si>
    <t>Eckernforde</t>
  </si>
  <si>
    <t>Eggermuhlen</t>
  </si>
  <si>
    <t>Eisenhuttenstadt</t>
  </si>
  <si>
    <t>Gemunden</t>
  </si>
  <si>
    <t>Gluckstadt</t>
  </si>
  <si>
    <t>Gossenheim</t>
  </si>
  <si>
    <t>Graal-Muritz</t>
  </si>
  <si>
    <t>Grafenhainichen</t>
  </si>
  <si>
    <t>Grode</t>
  </si>
  <si>
    <t>Gunzburg</t>
  </si>
  <si>
    <t>Hochst</t>
  </si>
  <si>
    <t>Hornum/Sylt</t>
  </si>
  <si>
    <t>Horselberg</t>
  </si>
  <si>
    <t>Hoxter</t>
  </si>
  <si>
    <t>Hubertushohe</t>
  </si>
  <si>
    <t>Hundsmuhlen</t>
  </si>
  <si>
    <t>Hunsborn</t>
  </si>
  <si>
    <t>Jossen</t>
  </si>
  <si>
    <t>Kellmunz</t>
  </si>
  <si>
    <t>Kirchmoser</t>
  </si>
  <si>
    <t>Koln</t>
  </si>
  <si>
    <t>Konigs Wusterhausen</t>
  </si>
  <si>
    <t>Konigsmoor</t>
  </si>
  <si>
    <t>Konigswinter</t>
  </si>
  <si>
    <t>Kosten</t>
  </si>
  <si>
    <t>Kovenig</t>
  </si>
  <si>
    <t>Krov</t>
  </si>
  <si>
    <t>Kunkemuhle</t>
  </si>
  <si>
    <t>Lagerdorf</t>
  </si>
  <si>
    <t>Lohnerheide</t>
  </si>
  <si>
    <t>Lubeck</t>
  </si>
  <si>
    <t>Ludwigshohe</t>
  </si>
  <si>
    <t>Lulsdorf</t>
  </si>
  <si>
    <t>Lutgenrode</t>
  </si>
  <si>
    <t>Mittelsburen</t>
  </si>
  <si>
    <t>Mogglingen</t>
  </si>
  <si>
    <t>Molln</t>
  </si>
  <si>
    <t>Muglitztal</t>
  </si>
  <si>
    <t>Muhlberg</t>
  </si>
  <si>
    <t>Mulheim</t>
  </si>
  <si>
    <t>Mulheim an der Ruhr</t>
  </si>
  <si>
    <t>Munster-Sarmsheim</t>
  </si>
  <si>
    <t>Niehl/Koln</t>
  </si>
  <si>
    <t>Nieschutz</t>
  </si>
  <si>
    <t>Nobdenitz</t>
  </si>
  <si>
    <t>Nurnberg</t>
  </si>
  <si>
    <t>Obermorlen</t>
  </si>
  <si>
    <t>Oldenbuttel</t>
  </si>
  <si>
    <t>Osnabruck</t>
  </si>
  <si>
    <t>Osterronfeld</t>
  </si>
  <si>
    <t>Peenemunde</t>
  </si>
  <si>
    <t>Pforring</t>
  </si>
  <si>
    <t>Riedlhutte</t>
  </si>
  <si>
    <t>Rodersheim</t>
  </si>
  <si>
    <t>Rudesheim</t>
  </si>
  <si>
    <t>Rudesheim am Rhein</t>
  </si>
  <si>
    <t>Runthe</t>
  </si>
  <si>
    <t>Russelsheim</t>
  </si>
  <si>
    <t>Saarbrucken</t>
  </si>
  <si>
    <t>Salzmunde</t>
  </si>
  <si>
    <t>Schonebeck</t>
  </si>
  <si>
    <t>Schonfeld</t>
  </si>
  <si>
    <t>Schulper Neuensiel</t>
  </si>
  <si>
    <t>Sostrop</t>
  </si>
  <si>
    <t>Suderstapel</t>
  </si>
  <si>
    <t>Sunching</t>
  </si>
  <si>
    <t>Tangermunde</t>
  </si>
  <si>
    <t>Thornich</t>
  </si>
  <si>
    <t>Thungersheim</t>
  </si>
  <si>
    <t>Tonning</t>
  </si>
  <si>
    <t>Torfmoorholle</t>
  </si>
  <si>
    <t>Travemunde</t>
  </si>
  <si>
    <t>Uberlingen</t>
  </si>
  <si>
    <t>Ueckermunde</t>
  </si>
  <si>
    <t>Upschort</t>
  </si>
  <si>
    <t>Volklingen</t>
  </si>
  <si>
    <t>Warnemunde</t>
  </si>
  <si>
    <t>Worth am Rhein</t>
  </si>
  <si>
    <t>Worth an der Donau</t>
  </si>
  <si>
    <t>Wurzburg</t>
  </si>
  <si>
    <t>Wyk auf Fohr</t>
  </si>
  <si>
    <t>Zechlinerhutte</t>
  </si>
  <si>
    <t>Abenra</t>
  </si>
  <si>
    <t>Abybro</t>
  </si>
  <si>
    <t>Aroskobing</t>
  </si>
  <si>
    <t>Agerso</t>
  </si>
  <si>
    <t>Akirkeby</t>
  </si>
  <si>
    <t>Aro</t>
  </si>
  <si>
    <t>Arosund</t>
  </si>
  <si>
    <t>Asko</t>
  </si>
  <si>
    <t>Asnasvarkets Havn</t>
  </si>
  <si>
    <t>Avedorevarkets Havn</t>
  </si>
  <si>
    <t>Baago</t>
  </si>
  <si>
    <t>Bojden</t>
  </si>
  <si>
    <t>Bovlingbjerg</t>
  </si>
  <si>
    <t>Christianso Havn</t>
  </si>
  <si>
    <t>Dragor</t>
  </si>
  <si>
    <t>Enstedvarket Havn</t>
  </si>
  <si>
    <t>Fejo</t>
  </si>
  <si>
    <t>Femo</t>
  </si>
  <si>
    <t>Fovling</t>
  </si>
  <si>
    <t>Frederiksvark</t>
  </si>
  <si>
    <t>Glyngore</t>
  </si>
  <si>
    <t>Grasten</t>
  </si>
  <si>
    <t>Hardeshoj</t>
  </si>
  <si>
    <t>Havnso</t>
  </si>
  <si>
    <t>Hellebak</t>
  </si>
  <si>
    <t>Helsingor</t>
  </si>
  <si>
    <t>Hojby</t>
  </si>
  <si>
    <t>Holbak</t>
  </si>
  <si>
    <t>Humlebak</t>
  </si>
  <si>
    <t>Karrebaksminde</t>
  </si>
  <si>
    <t>Kobenhavn</t>
  </si>
  <si>
    <t>Koge</t>
  </si>
  <si>
    <t>Kolby Kas</t>
  </si>
  <si>
    <t>Korsor</t>
  </si>
  <si>
    <t>Kragenas</t>
  </si>
  <si>
    <t>Kvarndrup</t>
  </si>
  <si>
    <t>Lindo Havn</t>
  </si>
  <si>
    <t>Logstor</t>
  </si>
  <si>
    <t>Marbak Havn</t>
  </si>
  <si>
    <t>Masnedo</t>
  </si>
  <si>
    <t>Nassund</t>
  </si>
  <si>
    <t>Nastved</t>
  </si>
  <si>
    <t>Nekso</t>
  </si>
  <si>
    <t>Nordby Havn, Fano</t>
  </si>
  <si>
    <t>Norre Aaby</t>
  </si>
  <si>
    <t>Norre Snede</t>
  </si>
  <si>
    <t>Norresundby</t>
  </si>
  <si>
    <t>Nyborg Lystbadehavn</t>
  </si>
  <si>
    <t>Nykobing Falster</t>
  </si>
  <si>
    <t>Nykobing Mors</t>
  </si>
  <si>
    <t>Omo</t>
  </si>
  <si>
    <t>Oro</t>
  </si>
  <si>
    <t>Rodby</t>
  </si>
  <si>
    <t>Rodbyhavn</t>
  </si>
  <si>
    <t>Rodekro</t>
  </si>
  <si>
    <t>Rodvig Havn</t>
  </si>
  <si>
    <t>Ronne</t>
  </si>
  <si>
    <t>Rorvig</t>
  </si>
  <si>
    <t>Rudkobing</t>
  </si>
  <si>
    <t>Saby</t>
  </si>
  <si>
    <t>Salvig Havn</t>
  </si>
  <si>
    <t>Sakskobing</t>
  </si>
  <si>
    <t>Sejero</t>
  </si>
  <si>
    <t>Skalskor</t>
  </si>
  <si>
    <t>Skaro/Drejo</t>
  </si>
  <si>
    <t>Soby Havn</t>
  </si>
  <si>
    <t>Sollested</t>
  </si>
  <si>
    <t>Sonderborg</t>
  </si>
  <si>
    <t>Stalvalsevarket</t>
  </si>
  <si>
    <t>Stignasvarkets Havn</t>
  </si>
  <si>
    <t>Stigsnas</t>
  </si>
  <si>
    <t>Store Merlose</t>
  </si>
  <si>
    <t>Stroby</t>
  </si>
  <si>
    <t>Stryno</t>
  </si>
  <si>
    <t>Stubbekobing</t>
  </si>
  <si>
    <t>Studstrupvarkets Havn</t>
  </si>
  <si>
    <t>Sundsore</t>
  </si>
  <si>
    <t>Tars</t>
  </si>
  <si>
    <t>Tikob</t>
  </si>
  <si>
    <t>Tuno</t>
  </si>
  <si>
    <t>Tyboron</t>
  </si>
  <si>
    <t>Vaggerlose</t>
  </si>
  <si>
    <t>Vallensbak</t>
  </si>
  <si>
    <t>Vekso</t>
  </si>
  <si>
    <t>Veno Havn</t>
  </si>
  <si>
    <t>Vestero Havn, Laso</t>
  </si>
  <si>
    <t>Bani</t>
  </si>
  <si>
    <t>Higuey</t>
  </si>
  <si>
    <t>San Francisco de Macoris</t>
  </si>
  <si>
    <t>San Pedro de Macoris</t>
  </si>
  <si>
    <t>Sanchez</t>
  </si>
  <si>
    <t>Ghardaia</t>
  </si>
  <si>
    <t>Tenes</t>
  </si>
  <si>
    <t>Bahia de Caraquez</t>
  </si>
  <si>
    <t>Duran</t>
  </si>
  <si>
    <t>Puna</t>
  </si>
  <si>
    <t>Admirali Vaikesadam</t>
  </si>
  <si>
    <t>Alajoe</t>
  </si>
  <si>
    <t>Alajoe Joesadam</t>
  </si>
  <si>
    <t>Alajoe Kalasadam</t>
  </si>
  <si>
    <t>Joe Paadisadam</t>
  </si>
  <si>
    <t>Joekaaru</t>
  </si>
  <si>
    <t>Joesadam</t>
  </si>
  <si>
    <t>Kakumae</t>
  </si>
  <si>
    <t>Kardla</t>
  </si>
  <si>
    <t>Karsa</t>
  </si>
  <si>
    <t>Koiguste</t>
  </si>
  <si>
    <t>Korgessaare</t>
  </si>
  <si>
    <t>Laane</t>
  </si>
  <si>
    <t>Laatsa</t>
  </si>
  <si>
    <t>Lomala</t>
  </si>
  <si>
    <t>Lounaranna</t>
  </si>
  <si>
    <t>Luige Vaikesadam</t>
  </si>
  <si>
    <t>Manni</t>
  </si>
  <si>
    <t>Montu</t>
  </si>
  <si>
    <t>Osterby</t>
  </si>
  <si>
    <t>Paldiski Lounasadam</t>
  </si>
  <si>
    <t>Paldiski Pohjasadam</t>
  </si>
  <si>
    <t>Parnu</t>
  </si>
  <si>
    <t>Parnu Sadama Vaikesadam</t>
  </si>
  <si>
    <t>Rapina</t>
  </si>
  <si>
    <t>Ristna Lounasadam</t>
  </si>
  <si>
    <t>Rohukula</t>
  </si>
  <si>
    <t>Rohuneeme Vaikesadam</t>
  </si>
  <si>
    <t>Salinomme</t>
  </si>
  <si>
    <t>Salinomme Kalasadam</t>
  </si>
  <si>
    <t>Salinomme Paadisadam</t>
  </si>
  <si>
    <t>Salme Joesadam</t>
  </si>
  <si>
    <t>Sillamae</t>
  </si>
  <si>
    <t>Soru</t>
  </si>
  <si>
    <t>Soru Vaikelaevasadam</t>
  </si>
  <si>
    <t>Tarkma</t>
  </si>
  <si>
    <t>Vaike-Turu</t>
  </si>
  <si>
    <t>Varati</t>
  </si>
  <si>
    <t>Varbla Puhkekula</t>
  </si>
  <si>
    <t>Varssu</t>
  </si>
  <si>
    <t>Voidu</t>
  </si>
  <si>
    <t>Voiste</t>
  </si>
  <si>
    <t>Voopsu</t>
  </si>
  <si>
    <t>Vorkaia</t>
  </si>
  <si>
    <t>Vosu</t>
  </si>
  <si>
    <t>Allariz</t>
  </si>
  <si>
    <t>Almeria</t>
  </si>
  <si>
    <t>Avinyo</t>
  </si>
  <si>
    <t>Bacaicoa</t>
  </si>
  <si>
    <t>Brena Baja</t>
  </si>
  <si>
    <t>Cabuenes</t>
  </si>
  <si>
    <t>Cadaques</t>
  </si>
  <si>
    <t>Camarinas</t>
  </si>
  <si>
    <t>Carino</t>
  </si>
  <si>
    <t>Castellon de la Plana</t>
  </si>
  <si>
    <t>Celeiro</t>
  </si>
  <si>
    <t>Corcubion</t>
  </si>
  <si>
    <t>Fuente-Alamo</t>
  </si>
  <si>
    <t>Fuenterrabia</t>
  </si>
  <si>
    <t>Gandia</t>
  </si>
  <si>
    <t>Gijon</t>
  </si>
  <si>
    <t>Javea</t>
  </si>
  <si>
    <t>La Coruna (A Coruna)</t>
  </si>
  <si>
    <t>Mahon, Menorca</t>
  </si>
  <si>
    <t>Maliano</t>
  </si>
  <si>
    <t>Malpica (Malpica de Bergantinos)</t>
  </si>
  <si>
    <t>Moana</t>
  </si>
  <si>
    <t>Mojacar</t>
  </si>
  <si>
    <t>Munguia</t>
  </si>
  <si>
    <t>Murillo de Rio Leza</t>
  </si>
  <si>
    <t>Najera</t>
  </si>
  <si>
    <t>Nuevo Baztan</t>
  </si>
  <si>
    <t>Olazagutia</t>
  </si>
  <si>
    <t>Ondarroa</t>
  </si>
  <si>
    <t>Orjiva</t>
  </si>
  <si>
    <t>Palamos</t>
  </si>
  <si>
    <t>Polina Jucar</t>
  </si>
  <si>
    <t>Puebla de Sancho Perez</t>
  </si>
  <si>
    <t>Puebla del Caraminal</t>
  </si>
  <si>
    <t>Renteria</t>
  </si>
  <si>
    <t>San Bartolome de Tirajana</t>
  </si>
  <si>
    <t>San Carlos de la Rapita</t>
  </si>
  <si>
    <t>San Feliu de Buxalleu</t>
  </si>
  <si>
    <t>San Isidro de Duenas</t>
  </si>
  <si>
    <t>San Julian de Ramis</t>
  </si>
  <si>
    <t>San Roman de Hornija</t>
  </si>
  <si>
    <t>Sant Joan Despi</t>
  </si>
  <si>
    <t>Sant Lluis</t>
  </si>
  <si>
    <t>Sant Miquel de Fluvia</t>
  </si>
  <si>
    <t>Santa Eulalia del Rio</t>
  </si>
  <si>
    <t>Santa Ursula</t>
  </si>
  <si>
    <t>Sena</t>
  </si>
  <si>
    <t>Villagarcia de Arosa</t>
  </si>
  <si>
    <t>Villanueva y Geltru (Vilanova i la Geltru)</t>
  </si>
  <si>
    <t>Villarreal de Alava</t>
  </si>
  <si>
    <t>Abo (Turku)</t>
  </si>
  <si>
    <t>Bjorneborg (Pori)</t>
  </si>
  <si>
    <t>Borga (Porvoo)</t>
  </si>
  <si>
    <t>Brando</t>
  </si>
  <si>
    <t>Dragsfjard</t>
  </si>
  <si>
    <t>Eckero</t>
  </si>
  <si>
    <t>Ekenas (Tammisaari)</t>
  </si>
  <si>
    <t>Elamajarvi</t>
  </si>
  <si>
    <t>Euraaminne (Eurajoki)</t>
  </si>
  <si>
    <t>Farjsundet</t>
  </si>
  <si>
    <t>Finby (Sarkisalo)</t>
  </si>
  <si>
    <t>Foglo</t>
  </si>
  <si>
    <t>Forby</t>
  </si>
  <si>
    <t>Gullo</t>
  </si>
  <si>
    <t>Hango (Hanko)</t>
  </si>
  <si>
    <t>Himankakyla</t>
  </si>
  <si>
    <t>Hogsara</t>
  </si>
  <si>
    <t>Houtskar (Houtskari)</t>
  </si>
  <si>
    <t>Inga (Inkoo)</t>
  </si>
  <si>
    <t>Inio</t>
  </si>
  <si>
    <t>Isnas</t>
  </si>
  <si>
    <t>Jyvaskyla</t>
  </si>
  <si>
    <t>Kaskinen (Kasko)</t>
  </si>
  <si>
    <t>Kemi/Tornea (Kemi/Tornio)</t>
  </si>
  <si>
    <t>Kemio (Kimito)</t>
  </si>
  <si>
    <t>Kesalahti</t>
  </si>
  <si>
    <t>Kilpilahti (Skoldvik)</t>
  </si>
  <si>
    <t>Kokar</t>
  </si>
  <si>
    <t>Langnas</t>
  </si>
  <si>
    <t>Lappajarvi</t>
  </si>
  <si>
    <t>Lovbole</t>
  </si>
  <si>
    <t>Luumaki</t>
  </si>
  <si>
    <t>Mantyluoto</t>
  </si>
  <si>
    <t>Naantali (Nadendal)</t>
  </si>
  <si>
    <t>Oulu (Uleaborg)</t>
  </si>
  <si>
    <t>Perna (Pernaja)</t>
  </si>
  <si>
    <t>Piikkio</t>
  </si>
  <si>
    <t>Rimito (Rymattyla)</t>
  </si>
  <si>
    <t>Roytta</t>
  </si>
  <si>
    <t>Ruotsinpyhtaa (Stromfors)</t>
  </si>
  <si>
    <t>Sando (Santasaari)</t>
  </si>
  <si>
    <t>Sarkisalmi</t>
  </si>
  <si>
    <t>Siilinjarvi</t>
  </si>
  <si>
    <t>Siltakyla (Broby)</t>
  </si>
  <si>
    <t>Stromma</t>
  </si>
  <si>
    <t>Taivassalo (Tovsala)</t>
  </si>
  <si>
    <t>Tessjo (Tesjoki)</t>
  </si>
  <si>
    <t>Tessvar</t>
  </si>
  <si>
    <t>Tojby</t>
  </si>
  <si>
    <t>Tornea (Tornio)</t>
  </si>
  <si>
    <t>Tvarminne</t>
  </si>
  <si>
    <t>Uusi-Valamo/Heinavesi</t>
  </si>
  <si>
    <t>Vastanfjard</t>
  </si>
  <si>
    <t>Vuosaari (Nordsjo)</t>
  </si>
  <si>
    <t>Fuglafjordur</t>
  </si>
  <si>
    <t>Kollafjordur</t>
  </si>
  <si>
    <t>Nolsoy</t>
  </si>
  <si>
    <t>Noryskali</t>
  </si>
  <si>
    <t>Runavik</t>
  </si>
  <si>
    <t>Skali</t>
  </si>
  <si>
    <t>Sorvagur</t>
  </si>
  <si>
    <t>Torshavn</t>
  </si>
  <si>
    <t>Vagur</t>
  </si>
  <si>
    <t>FRAMS</t>
  </si>
  <si>
    <t>Ambes</t>
  </si>
  <si>
    <t>Ares</t>
  </si>
  <si>
    <t>Armentieres</t>
  </si>
  <si>
    <t>Asnieres-sur-Seine</t>
  </si>
  <si>
    <t>Aytre</t>
  </si>
  <si>
    <t>Bec-d'Ambes</t>
  </si>
  <si>
    <t>Beguey</t>
  </si>
  <si>
    <t>Benodet</t>
  </si>
  <si>
    <t>Berre-l'Etang</t>
  </si>
  <si>
    <t>Besancon</t>
  </si>
  <si>
    <t>Bethune</t>
  </si>
  <si>
    <t>Blenod-les-Pont-a-Mousson</t>
  </si>
  <si>
    <t>Brebieres</t>
  </si>
  <si>
    <t>Brive</t>
  </si>
  <si>
    <t>Cerons</t>
  </si>
  <si>
    <t>Chailly-sur-Armancon</t>
  </si>
  <si>
    <t>Chalons-en-Champagne</t>
  </si>
  <si>
    <t>Chalon-sur-Saone</t>
  </si>
  <si>
    <t>Charleville-Mezieres</t>
  </si>
  <si>
    <t>Chateau-Landon</t>
  </si>
  <si>
    <t>Chatillon-sur-Loire</t>
  </si>
  <si>
    <t>Compiegne</t>
  </si>
  <si>
    <t>Creancey</t>
  </si>
  <si>
    <t>Creches-sur-Saone</t>
  </si>
  <si>
    <t>Dielette</t>
  </si>
  <si>
    <t>Ecuelles</t>
  </si>
  <si>
    <t>Epagne-Epagnette</t>
  </si>
  <si>
    <t>Epervans</t>
  </si>
  <si>
    <t>Fecamp</t>
  </si>
  <si>
    <t>Guines</t>
  </si>
  <si>
    <t>Herault</t>
  </si>
  <si>
    <t>Hyeres</t>
  </si>
  <si>
    <t>Ile-d'Yeu</t>
  </si>
  <si>
    <t>La Barbotiere</t>
  </si>
  <si>
    <t>La Bassee</t>
  </si>
  <si>
    <t>La Bussiere-sur-Ouche</t>
  </si>
  <si>
    <t>La Foret-Fouesnant</t>
  </si>
  <si>
    <t>La Mede</t>
  </si>
  <si>
    <t>La Trinite-sur-Mer</t>
  </si>
  <si>
    <t>Lavans-les-Dole</t>
  </si>
  <si>
    <t>Lavera</t>
  </si>
  <si>
    <t>Le Barcares</t>
  </si>
  <si>
    <t>Le Guildo/Crehen</t>
  </si>
  <si>
    <t>Le Roc-Saint-Andre</t>
  </si>
  <si>
    <t>Le Treport</t>
  </si>
  <si>
    <t>Lege-Cap-Ferret</t>
  </si>
  <si>
    <t>Les Fougerets</t>
  </si>
  <si>
    <t>Lezardrieux</t>
  </si>
  <si>
    <t>Lignieres-de-Touraine</t>
  </si>
  <si>
    <t>Lire</t>
  </si>
  <si>
    <t>Locmiquelic</t>
  </si>
  <si>
    <t>Macon</t>
  </si>
  <si>
    <t>Mailly-le-Chateau</t>
  </si>
  <si>
    <t>Mery-sur-Oise</t>
  </si>
  <si>
    <t>Mezieres-sur-Seine</t>
  </si>
  <si>
    <t>Mezoargues</t>
  </si>
  <si>
    <t>Montbeliard</t>
  </si>
  <si>
    <t>Perignat-les-Sarlieve</t>
  </si>
  <si>
    <t>Plouer-sur-Rance</t>
  </si>
  <si>
    <t>Pont-de-l'Isere</t>
  </si>
  <si>
    <t>Pont-l'Abbe</t>
  </si>
  <si>
    <t>Pont-Rean</t>
  </si>
  <si>
    <t>Port-Jerome</t>
  </si>
  <si>
    <t>Port-Saint-Louis-du-Rhone</t>
  </si>
  <si>
    <t>Precy-sur-Marne</t>
  </si>
  <si>
    <t>Riec-sur-Belon</t>
  </si>
  <si>
    <t>Rosieres-aux-Salines</t>
  </si>
  <si>
    <t>Saacy-sur-Marne</t>
  </si>
  <si>
    <t>Saint-Andre-de-la-Roche</t>
  </si>
  <si>
    <t>Saint-Brevin-l'Ocean</t>
  </si>
  <si>
    <t>Saint-Christoly-Medoc</t>
  </si>
  <si>
    <t>Saint-Desirat</t>
  </si>
  <si>
    <t>Saint-Gereon</t>
  </si>
  <si>
    <t>Saint-Julien-de-Chedon</t>
  </si>
  <si>
    <t>Saint-Leger-le-Petit</t>
  </si>
  <si>
    <t>Saint-Leger-sur-Dheune</t>
  </si>
  <si>
    <t>Saint-Raphael</t>
  </si>
  <si>
    <t>Saint-Remy</t>
  </si>
  <si>
    <t>Saint-Sebastien-sur-Loire</t>
  </si>
  <si>
    <t>Saint-Valery-sur-Somme</t>
  </si>
  <si>
    <t>Saint-Wandrille-Rancon</t>
  </si>
  <si>
    <t>Sance</t>
  </si>
  <si>
    <t>Segre</t>
  </si>
  <si>
    <t>Sene</t>
  </si>
  <si>
    <t>Sete</t>
  </si>
  <si>
    <t>Teteghem</t>
  </si>
  <si>
    <t>Treguier</t>
  </si>
  <si>
    <t>Vallabregues</t>
  </si>
  <si>
    <t>Vandieres</t>
  </si>
  <si>
    <t>Veron</t>
  </si>
  <si>
    <t>Villefranche-sur-Saone</t>
  </si>
  <si>
    <t>Villeneuve-les-Avignon</t>
  </si>
  <si>
    <t>Aber Soch (Abersoch)</t>
  </si>
  <si>
    <t>Banff Off Shore</t>
  </si>
  <si>
    <t>Rhos-on-Sea</t>
  </si>
  <si>
    <t>Degrad des Cannes</t>
  </si>
  <si>
    <t>Kangerdluarssoruseg (Faringehavn</t>
  </si>
  <si>
    <t>Pointe-a-Pitre</t>
  </si>
  <si>
    <t>Saint-Francois</t>
  </si>
  <si>
    <t>Malabo</t>
  </si>
  <si>
    <t>Agia Pelagia</t>
  </si>
  <si>
    <t>Agios Efstratios</t>
  </si>
  <si>
    <t>Agios Kirykos</t>
  </si>
  <si>
    <t>Agios Konstantinos</t>
  </si>
  <si>
    <t>Agios Nikolaos, Kriti</t>
  </si>
  <si>
    <t>Agria</t>
  </si>
  <si>
    <t>Aigion</t>
  </si>
  <si>
    <t>Alexandroupolis</t>
  </si>
  <si>
    <t>Alonnisos</t>
  </si>
  <si>
    <t>Amaliapolis</t>
  </si>
  <si>
    <t>Amfilochia</t>
  </si>
  <si>
    <t>Amoliani</t>
  </si>
  <si>
    <t>Anafi</t>
  </si>
  <si>
    <t>Andirrion</t>
  </si>
  <si>
    <t>Argostolion</t>
  </si>
  <si>
    <t>Arkitsa</t>
  </si>
  <si>
    <t>Aspropirgos</t>
  </si>
  <si>
    <t>Asprovalta</t>
  </si>
  <si>
    <t>Astakos</t>
  </si>
  <si>
    <t>Astros</t>
  </si>
  <si>
    <t>Astypalaia</t>
  </si>
  <si>
    <t>Atalandi</t>
  </si>
  <si>
    <t>Chios</t>
  </si>
  <si>
    <t>Dafni</t>
  </si>
  <si>
    <t>Diafanion</t>
  </si>
  <si>
    <t>Elaiokhoria</t>
  </si>
  <si>
    <t>Eretria</t>
  </si>
  <si>
    <t>Ermioni</t>
  </si>
  <si>
    <t>Fiskardo</t>
  </si>
  <si>
    <t>Folegandros</t>
  </si>
  <si>
    <t>Fournoi</t>
  </si>
  <si>
    <t>Gavrion</t>
  </si>
  <si>
    <t>Ierapetra</t>
  </si>
  <si>
    <t>Igoumenitsa</t>
  </si>
  <si>
    <t>Isthmia</t>
  </si>
  <si>
    <t>Kalamata</t>
  </si>
  <si>
    <t>Kalymnos</t>
  </si>
  <si>
    <t>Kardamyla</t>
  </si>
  <si>
    <t>Karpathos</t>
  </si>
  <si>
    <t>Kastellorizou (ex Megisti)</t>
  </si>
  <si>
    <t>Katapola</t>
  </si>
  <si>
    <t>Katerini</t>
  </si>
  <si>
    <t>Kato Achaia</t>
  </si>
  <si>
    <t>Kavala</t>
  </si>
  <si>
    <t>Kea (Tzia)</t>
  </si>
  <si>
    <t>Keratsinion</t>
  </si>
  <si>
    <t>Kerkira (Corfu)</t>
  </si>
  <si>
    <t>Khora Sfakion</t>
  </si>
  <si>
    <t>Kimasi</t>
  </si>
  <si>
    <t>Kimi (Kymi)</t>
  </si>
  <si>
    <t>Kimolos</t>
  </si>
  <si>
    <t>Kopanos</t>
  </si>
  <si>
    <t>Korinthos</t>
  </si>
  <si>
    <t>Kyllini</t>
  </si>
  <si>
    <t>Lagos (Porto-Lago)</t>
  </si>
  <si>
    <t>Lefkada (Lefkas)</t>
  </si>
  <si>
    <t>Lefkimmi</t>
  </si>
  <si>
    <t>Leonidion</t>
  </si>
  <si>
    <t>Lipsoi</t>
  </si>
  <si>
    <t>Magoula</t>
  </si>
  <si>
    <t>Megalon Livadion</t>
  </si>
  <si>
    <t>Meganisi</t>
  </si>
  <si>
    <t>Mesolongion</t>
  </si>
  <si>
    <t>Mirina</t>
  </si>
  <si>
    <t>Monemvasia</t>
  </si>
  <si>
    <t>Moni Vatopediou</t>
  </si>
  <si>
    <t>Moudhros</t>
  </si>
  <si>
    <t>Moutsouna</t>
  </si>
  <si>
    <t>Nafplion</t>
  </si>
  <si>
    <t>Navpaktos</t>
  </si>
  <si>
    <t>Naxos</t>
  </si>
  <si>
    <t>Nea Artaki</t>
  </si>
  <si>
    <t>Nea Kallikratia</t>
  </si>
  <si>
    <t>Nea Karvali</t>
  </si>
  <si>
    <t>Nea Moudhania</t>
  </si>
  <si>
    <t>Nea Playia</t>
  </si>
  <si>
    <t>Nea Stira</t>
  </si>
  <si>
    <t>Neon Karlovasion</t>
  </si>
  <si>
    <t>Nidhrion</t>
  </si>
  <si>
    <t>Ormos Panormou</t>
  </si>
  <si>
    <t>Othonoi</t>
  </si>
  <si>
    <t>Ouranopolis</t>
  </si>
  <si>
    <t>Palaia Epidavros</t>
  </si>
  <si>
    <t>Palaia Fokaia</t>
  </si>
  <si>
    <t>Paloukia</t>
  </si>
  <si>
    <t>Parga</t>
  </si>
  <si>
    <t>Paros</t>
  </si>
  <si>
    <t>Patmos</t>
  </si>
  <si>
    <t>Pelasyia</t>
  </si>
  <si>
    <t>Plomarion</t>
  </si>
  <si>
    <t>Politika</t>
  </si>
  <si>
    <t>Port Vathy (Vathy)</t>
  </si>
  <si>
    <t>Prosotsani</t>
  </si>
  <si>
    <t>Proti</t>
  </si>
  <si>
    <t>Psakhna</t>
  </si>
  <si>
    <t>Psara</t>
  </si>
  <si>
    <t>Pylos</t>
  </si>
  <si>
    <t>Pythagoreion</t>
  </si>
  <si>
    <t>Rethymnon</t>
  </si>
  <si>
    <t>Rizes</t>
  </si>
  <si>
    <t>Salamis</t>
  </si>
  <si>
    <t>Sami</t>
  </si>
  <si>
    <t>Samothraki</t>
  </si>
  <si>
    <t>Serifos</t>
  </si>
  <si>
    <t>Seriphos</t>
  </si>
  <si>
    <t>Siteia</t>
  </si>
  <si>
    <t>Skaloma</t>
  </si>
  <si>
    <t>Skaramangas</t>
  </si>
  <si>
    <t>Skiathos</t>
  </si>
  <si>
    <t>Skiros</t>
  </si>
  <si>
    <t>Souflion</t>
  </si>
  <si>
    <t>Spetsai</t>
  </si>
  <si>
    <t>Stylida (Stylis)</t>
  </si>
  <si>
    <t>Tavros</t>
  </si>
  <si>
    <t>Thessaloniki</t>
  </si>
  <si>
    <t>Thira</t>
  </si>
  <si>
    <t>Thirasia</t>
  </si>
  <si>
    <t>Tinos</t>
  </si>
  <si>
    <t>Tsingeli</t>
  </si>
  <si>
    <t>Volos</t>
  </si>
  <si>
    <t>Vouliagmeni</t>
  </si>
  <si>
    <t>Vrisakia</t>
  </si>
  <si>
    <t>Xirokambion</t>
  </si>
  <si>
    <t>Yerakini</t>
  </si>
  <si>
    <t>Zakynthos</t>
  </si>
  <si>
    <t>Livingston</t>
  </si>
  <si>
    <t>Puerto Santo Tomas de Castilla</t>
  </si>
  <si>
    <t>Rio Bravo</t>
  </si>
  <si>
    <t>Puerto Cortes</t>
  </si>
  <si>
    <t>Roatan</t>
  </si>
  <si>
    <t>Cap-Haitien</t>
  </si>
  <si>
    <t>Gonaives</t>
  </si>
  <si>
    <t>Jeremie</t>
  </si>
  <si>
    <t>Petit Goave</t>
  </si>
  <si>
    <t>Almasfuzito</t>
  </si>
  <si>
    <t>Alsoors</t>
  </si>
  <si>
    <t>Andornaktalya</t>
  </si>
  <si>
    <t>Badacsonyors</t>
  </si>
  <si>
    <t>Balatonszarszo</t>
  </si>
  <si>
    <t>Csomor</t>
  </si>
  <si>
    <t>Dunaujvaros</t>
  </si>
  <si>
    <t>God</t>
  </si>
  <si>
    <t>Gonyu</t>
  </si>
  <si>
    <t>Halasztelek</t>
  </si>
  <si>
    <t>Jaszarokszallas</t>
  </si>
  <si>
    <t>Kisvarda</t>
  </si>
  <si>
    <t>Komarom</t>
  </si>
  <si>
    <t>Kormend</t>
  </si>
  <si>
    <t>Labatlan</t>
  </si>
  <si>
    <t>Lagymanyos</t>
  </si>
  <si>
    <t>Martely</t>
  </si>
  <si>
    <t>Mecseknadasd</t>
  </si>
  <si>
    <t>Mohacs</t>
  </si>
  <si>
    <t>Neszmely</t>
  </si>
  <si>
    <t>Palmonostora</t>
  </si>
  <si>
    <t>Sarospatak</t>
  </si>
  <si>
    <t>Szigetcsep</t>
  </si>
  <si>
    <t>Szigetszentmiklos</t>
  </si>
  <si>
    <t>Ujpest</t>
  </si>
  <si>
    <t>Visegrad</t>
  </si>
  <si>
    <t>Karimun Besar Off Shore</t>
  </si>
  <si>
    <t>Mandvi</t>
  </si>
  <si>
    <t>Mul Dwarka</t>
  </si>
  <si>
    <t>Baghdad</t>
  </si>
  <si>
    <t>Bandar-e Mah Shahr</t>
  </si>
  <si>
    <t>Bakkafjordur</t>
  </si>
  <si>
    <t>Bildudalur - hofn</t>
  </si>
  <si>
    <t>Borgarfjordur eystri</t>
  </si>
  <si>
    <t>Dalvik</t>
  </si>
  <si>
    <t>Djupivogur</t>
  </si>
  <si>
    <t>Eskifjordur - hofn</t>
  </si>
  <si>
    <t>Faskrudsfjordur</t>
  </si>
  <si>
    <t>Grenivik</t>
  </si>
  <si>
    <t>Grindavik</t>
  </si>
  <si>
    <t>Grundarfjordur</t>
  </si>
  <si>
    <t>Hafnarfjordur</t>
  </si>
  <si>
    <t>Hofn, Hornafjordur</t>
  </si>
  <si>
    <t>Hofsos</t>
  </si>
  <si>
    <t>Husavik - hofn</t>
  </si>
  <si>
    <t>Hvalfjordur</t>
  </si>
  <si>
    <t>Isafjordur - hofn</t>
  </si>
  <si>
    <t>Kopasker - hofn</t>
  </si>
  <si>
    <t>Kopavogur</t>
  </si>
  <si>
    <t>Mjofjordur</t>
  </si>
  <si>
    <t>Nordurfjordur</t>
  </si>
  <si>
    <t>Olafsfjordur</t>
  </si>
  <si>
    <t>Olafsvik</t>
  </si>
  <si>
    <t>Patreksfjordur - hofn</t>
  </si>
  <si>
    <t>Raufarhofn</t>
  </si>
  <si>
    <t>Reydarfjordur</t>
  </si>
  <si>
    <t>Reykholar</t>
  </si>
  <si>
    <t>Reykjavik</t>
  </si>
  <si>
    <t>Saudarkrokur - hofn</t>
  </si>
  <si>
    <t>Seydisfjordur</t>
  </si>
  <si>
    <t>Siglufjordur - hofn</t>
  </si>
  <si>
    <t>Skagastrond</t>
  </si>
  <si>
    <t>Skerjafjordur</t>
  </si>
  <si>
    <t>Stodhvarfjordur</t>
  </si>
  <si>
    <t>Stykkisholmur - hofn</t>
  </si>
  <si>
    <t>Talknafjordur/Sveinseyri</t>
  </si>
  <si>
    <t>Tjorneshofn</t>
  </si>
  <si>
    <t>Vestmannaeyjar - hofn</t>
  </si>
  <si>
    <t>Vopnafjordur</t>
  </si>
  <si>
    <t>Cefalu</t>
  </si>
  <si>
    <t>Ciro Marina</t>
  </si>
  <si>
    <t>Oshima, Nagasaki</t>
  </si>
  <si>
    <t>Kampong Saom</t>
  </si>
  <si>
    <t>Sayda</t>
  </si>
  <si>
    <t>Botinge</t>
  </si>
  <si>
    <t>Ait Melloul</t>
  </si>
  <si>
    <t>Al Hoceima</t>
  </si>
  <si>
    <t>Sale</t>
  </si>
  <si>
    <t>Tetouan</t>
  </si>
  <si>
    <t>Amatitan</t>
  </si>
  <si>
    <t>Boca del Rio</t>
  </si>
  <si>
    <t>Cadereyta Jimenez</t>
  </si>
  <si>
    <t>Ciudad Rio Bravo</t>
  </si>
  <si>
    <t>Ciudad Sahagun</t>
  </si>
  <si>
    <t>General Teran</t>
  </si>
  <si>
    <t>Huatulco (Santa Maria Huatulco)</t>
  </si>
  <si>
    <t>Hunucma</t>
  </si>
  <si>
    <t>Jimenez</t>
  </si>
  <si>
    <t>Juchitan de Zaragoza</t>
  </si>
  <si>
    <t>Lazaro Cardenas</t>
  </si>
  <si>
    <t>Merida</t>
  </si>
  <si>
    <t>Obregon</t>
  </si>
  <si>
    <t>Puerto Angel</t>
  </si>
  <si>
    <t>Puerto Mexico</t>
  </si>
  <si>
    <t>Puerto Penasco</t>
  </si>
  <si>
    <t>Tenabo</t>
  </si>
  <si>
    <t>Villa Nicolas Romero</t>
  </si>
  <si>
    <t>Yuum K'Ak'Naab</t>
  </si>
  <si>
    <t>Mocimboa da Praia</t>
  </si>
  <si>
    <t>Luderitz</t>
  </si>
  <si>
    <t>Nakety</t>
  </si>
  <si>
    <t>Nepoui</t>
  </si>
  <si>
    <t>Noumea</t>
  </si>
  <si>
    <t>NLMSV</t>
  </si>
  <si>
    <t>Maasvlakte</t>
  </si>
  <si>
    <t>A i Lofoten</t>
  </si>
  <si>
    <t>Abelvar</t>
  </si>
  <si>
    <t>Afjord</t>
  </si>
  <si>
    <t>Agotnes</t>
  </si>
  <si>
    <t>Agskardet</t>
  </si>
  <si>
    <t>Aheim</t>
  </si>
  <si>
    <t>Akrehamn</t>
  </si>
  <si>
    <t>Alefjar</t>
  </si>
  <si>
    <t>Alesund</t>
  </si>
  <si>
    <t>Alvik</t>
  </si>
  <si>
    <t>Andalsnes</t>
  </si>
  <si>
    <t>Andoy</t>
  </si>
  <si>
    <t>Ardal</t>
  </si>
  <si>
    <t>Ardal - Hjelmeland</t>
  </si>
  <si>
    <t>Ardalstangen</t>
  </si>
  <si>
    <t>Arnoyhamn</t>
  </si>
  <si>
    <t>Askoy</t>
  </si>
  <si>
    <t>Atangen</t>
  </si>
  <si>
    <t>Atloy</t>
  </si>
  <si>
    <t>Averoy</t>
  </si>
  <si>
    <t>Baly</t>
  </si>
  <si>
    <t>Barum</t>
  </si>
  <si>
    <t>Batsfjord</t>
  </si>
  <si>
    <t>Berlevag</t>
  </si>
  <si>
    <t>Bjarkoy</t>
  </si>
  <si>
    <t>Bjorkas</t>
  </si>
  <si>
    <t>Blomvag</t>
  </si>
  <si>
    <t>Bodo</t>
  </si>
  <si>
    <t>Bogoy</t>
  </si>
  <si>
    <t>Bomlo</t>
  </si>
  <si>
    <t>Boneset - Karmoy</t>
  </si>
  <si>
    <t>Botn - Sandnessjoen</t>
  </si>
  <si>
    <t>Bovagen - Radoy</t>
  </si>
  <si>
    <t>Brattvag</t>
  </si>
  <si>
    <t>Bronnoy</t>
  </si>
  <si>
    <t>Bronnoysund</t>
  </si>
  <si>
    <t>Bugoynes</t>
  </si>
  <si>
    <t>Byggnes - Karmoy</t>
  </si>
  <si>
    <t>Byrknesoy</t>
  </si>
  <si>
    <t>Dafjord</t>
  </si>
  <si>
    <t>Dolmoy</t>
  </si>
  <si>
    <t>Donna</t>
  </si>
  <si>
    <t>Drobak</t>
  </si>
  <si>
    <t>Dyroy</t>
  </si>
  <si>
    <t>Dyroyhamn</t>
  </si>
  <si>
    <t>Eggesbones</t>
  </si>
  <si>
    <t>Ellingsoy</t>
  </si>
  <si>
    <t>Elnesvagen</t>
  </si>
  <si>
    <t>Festvag</t>
  </si>
  <si>
    <t>Finnoy</t>
  </si>
  <si>
    <t>Fiskabygd - Vanylven</t>
  </si>
  <si>
    <t>Fiskebol</t>
  </si>
  <si>
    <t>Fjarland</t>
  </si>
  <si>
    <t>Flam</t>
  </si>
  <si>
    <t>Flatoy</t>
  </si>
  <si>
    <t>Floro</t>
  </si>
  <si>
    <t>Florvag</t>
  </si>
  <si>
    <t>Forde</t>
  </si>
  <si>
    <t>Foroy</t>
  </si>
  <si>
    <t>Forsol</t>
  </si>
  <si>
    <t>Fosnavag</t>
  </si>
  <si>
    <t>Fraena</t>
  </si>
  <si>
    <t>Froya</t>
  </si>
  <si>
    <t>Gildeskal</t>
  </si>
  <si>
    <t>Gjesvar</t>
  </si>
  <si>
    <t>Gjosundet</t>
  </si>
  <si>
    <t>Glesvar</t>
  </si>
  <si>
    <t>Godoya</t>
  </si>
  <si>
    <t>Grotavar</t>
  </si>
  <si>
    <t>Gunhildvagen</t>
  </si>
  <si>
    <t>Ha</t>
  </si>
  <si>
    <t>Haeimsvika</t>
  </si>
  <si>
    <t>Halsa Meloy</t>
  </si>
  <si>
    <t>Halsnoy</t>
  </si>
  <si>
    <t>Hamaroy</t>
  </si>
  <si>
    <t>Hammarvika - Froya</t>
  </si>
  <si>
    <t>Hanoytangen</t>
  </si>
  <si>
    <t>Haroysundet</t>
  </si>
  <si>
    <t>Havik</t>
  </si>
  <si>
    <t>Havoysund</t>
  </si>
  <si>
    <t>Helle - Kragero</t>
  </si>
  <si>
    <t>Helligvar</t>
  </si>
  <si>
    <t>Henningsvar</t>
  </si>
  <si>
    <t>Heroy</t>
  </si>
  <si>
    <t>Heroya</t>
  </si>
  <si>
    <t>Heroysundet</t>
  </si>
  <si>
    <t>Hjorungavag</t>
  </si>
  <si>
    <t>Hogset</t>
  </si>
  <si>
    <t>Hollen</t>
  </si>
  <si>
    <t>Honningsvag</t>
  </si>
  <si>
    <t>Horsoy</t>
  </si>
  <si>
    <t>Hoyanger</t>
  </si>
  <si>
    <t>Hoylandsbygda</t>
  </si>
  <si>
    <t>Husoy - Karmoy</t>
  </si>
  <si>
    <t>Husoy - Lenvik</t>
  </si>
  <si>
    <t>Husoy - Tonsberg</t>
  </si>
  <si>
    <t>Igeroy</t>
  </si>
  <si>
    <t>Inderoy</t>
  </si>
  <si>
    <t>Ingoy</t>
  </si>
  <si>
    <t>Jarlsoy</t>
  </si>
  <si>
    <t>Jossingfjord</t>
  </si>
  <si>
    <t>Jovik</t>
  </si>
  <si>
    <t>Kabelvag</t>
  </si>
  <si>
    <t>Kafjord</t>
  </si>
  <si>
    <t>Kalvag</t>
  </si>
  <si>
    <t>Karhamn</t>
  </si>
  <si>
    <t>Karlsoy</t>
  </si>
  <si>
    <t>Karmoy</t>
  </si>
  <si>
    <t>Karsto</t>
  </si>
  <si>
    <t>Karvikhamn</t>
  </si>
  <si>
    <t>Kjerringoy</t>
  </si>
  <si>
    <t>Kjollefjord</t>
  </si>
  <si>
    <t>Kjopmannskjar</t>
  </si>
  <si>
    <t>Kjopsvik</t>
  </si>
  <si>
    <t>Kjorebonn</t>
  </si>
  <si>
    <t>Kleppesto</t>
  </si>
  <si>
    <t>Kobbvagen</t>
  </si>
  <si>
    <t>Kollsnes Ost</t>
  </si>
  <si>
    <t>Kragero</t>
  </si>
  <si>
    <t>Kvafjord</t>
  </si>
  <si>
    <t>Kvanangen</t>
  </si>
  <si>
    <t>Kvitsoy</t>
  </si>
  <si>
    <t>Kyrksaterora</t>
  </si>
  <si>
    <t>Laksevag</t>
  </si>
  <si>
    <t>Langevag</t>
  </si>
  <si>
    <t>Langevag - Sula</t>
  </si>
  <si>
    <t>Langoya</t>
  </si>
  <si>
    <t>Lardal</t>
  </si>
  <si>
    <t>Lenangen Sondre</t>
  </si>
  <si>
    <t>Lenangsoyra</t>
  </si>
  <si>
    <t>Liavag</t>
  </si>
  <si>
    <t>Lindas</t>
  </si>
  <si>
    <t>Lodingen</t>
  </si>
  <si>
    <t>Lonevag</t>
  </si>
  <si>
    <t>Luroy</t>
  </si>
  <si>
    <t>Lysoysund</t>
  </si>
  <si>
    <t>Maloy</t>
  </si>
  <si>
    <t>Malselv</t>
  </si>
  <si>
    <t>Masoy</t>
  </si>
  <si>
    <t>Melkoya</t>
  </si>
  <si>
    <t>Meloy</t>
  </si>
  <si>
    <t>Misvar</t>
  </si>
  <si>
    <t>Mjolkevikvarden</t>
  </si>
  <si>
    <t>Mjolstadneset</t>
  </si>
  <si>
    <t>Molstrevag</t>
  </si>
  <si>
    <t>Morsvikbotn</t>
  </si>
  <si>
    <t>Mosjoen</t>
  </si>
  <si>
    <t>Myre-Oksnes</t>
  </si>
  <si>
    <t>Naroy</t>
  </si>
  <si>
    <t>Nordskaget - Froya</t>
  </si>
  <si>
    <t>Notteroy</t>
  </si>
  <si>
    <t>Oksfjord</t>
  </si>
  <si>
    <t>Olve</t>
  </si>
  <si>
    <t>Oppegard</t>
  </si>
  <si>
    <t>Orland</t>
  </si>
  <si>
    <t>Ornes</t>
  </si>
  <si>
    <t>Orskog</t>
  </si>
  <si>
    <t>Orsta</t>
  </si>
  <si>
    <t>Osteroy</t>
  </si>
  <si>
    <t>Ottersoy</t>
  </si>
  <si>
    <t>Ottersoya</t>
  </si>
  <si>
    <t>Oygarden</t>
  </si>
  <si>
    <t>Rade</t>
  </si>
  <si>
    <t>Radoy</t>
  </si>
  <si>
    <t>Rennesoy</t>
  </si>
  <si>
    <t>Repvag</t>
  </si>
  <si>
    <t>Risor</t>
  </si>
  <si>
    <t>Risoyhamn</t>
  </si>
  <si>
    <t>Rodoy</t>
  </si>
  <si>
    <t>Rorvik</t>
  </si>
  <si>
    <t>Rost</t>
  </si>
  <si>
    <t>Sandnessjoen</t>
  </si>
  <si>
    <t>Sandoya</t>
  </si>
  <si>
    <t>Savareid</t>
  </si>
  <si>
    <t>Savlandsvik</t>
  </si>
  <si>
    <t>Sirevag</t>
  </si>
  <si>
    <t>Sjoholt</t>
  </si>
  <si>
    <t>Sjovegan</t>
  </si>
  <si>
    <t>Sjursoja/Oslo</t>
  </si>
  <si>
    <t>Skalevik</t>
  </si>
  <si>
    <t>Skanevik</t>
  </si>
  <si>
    <t>Skanland</t>
  </si>
  <si>
    <t>Skarsvag</t>
  </si>
  <si>
    <t>Skjarhalden</t>
  </si>
  <si>
    <t>Skjerkoya</t>
  </si>
  <si>
    <t>Skjervoy</t>
  </si>
  <si>
    <t>Slovag</t>
  </si>
  <si>
    <t>Smola</t>
  </si>
  <si>
    <t>Snaroya</t>
  </si>
  <si>
    <t>Sogne</t>
  </si>
  <si>
    <t>Somna</t>
  </si>
  <si>
    <t>Sorarnoy</t>
  </si>
  <si>
    <t>Sorfold</t>
  </si>
  <si>
    <t>Sorkjosen</t>
  </si>
  <si>
    <t>Sorreisa</t>
  </si>
  <si>
    <t>Sorvar</t>
  </si>
  <si>
    <t>Sovik</t>
  </si>
  <si>
    <t>Steinesjoen</t>
  </si>
  <si>
    <t>Stjernoya</t>
  </si>
  <si>
    <t>Stjordal</t>
  </si>
  <si>
    <t>Sto</t>
  </si>
  <si>
    <t>Stokkvagen</t>
  </si>
  <si>
    <t>Storebo</t>
  </si>
  <si>
    <t>Storoya</t>
  </si>
  <si>
    <t>Stranda - Froya</t>
  </si>
  <si>
    <t>Straumsjoen</t>
  </si>
  <si>
    <t>Sund - Karmoy</t>
  </si>
  <si>
    <t>Sunndalsora</t>
  </si>
  <si>
    <t>Svolvar</t>
  </si>
  <si>
    <t>Svolvar Osan</t>
  </si>
  <si>
    <t>Talavag</t>
  </si>
  <si>
    <t>Thoroya</t>
  </si>
  <si>
    <t>Tjome</t>
  </si>
  <si>
    <t>Tjorvag</t>
  </si>
  <si>
    <t>Tjotta</t>
  </si>
  <si>
    <t>Tonsberg</t>
  </si>
  <si>
    <t>Torangsvag</t>
  </si>
  <si>
    <t>Torjulvagen</t>
  </si>
  <si>
    <t>Torsvag</t>
  </si>
  <si>
    <t>Trana</t>
  </si>
  <si>
    <t>Tranoy</t>
  </si>
  <si>
    <t>Trollasen</t>
  </si>
  <si>
    <t>Tromso</t>
  </si>
  <si>
    <t>Tysvar</t>
  </si>
  <si>
    <t>Tytebarvika</t>
  </si>
  <si>
    <t>Uloybukt</t>
  </si>
  <si>
    <t>Utgardskilen</t>
  </si>
  <si>
    <t>Vadso</t>
  </si>
  <si>
    <t>Vagaholmen</t>
  </si>
  <si>
    <t>Vagan</t>
  </si>
  <si>
    <t>Vagsoy</t>
  </si>
  <si>
    <t>Vagsvag</t>
  </si>
  <si>
    <t>Valevag</t>
  </si>
  <si>
    <t>Valloy</t>
  </si>
  <si>
    <t>Vardo</t>
  </si>
  <si>
    <t>Varoy</t>
  </si>
  <si>
    <t>Vedavagen</t>
  </si>
  <si>
    <t>Vengsoy</t>
  </si>
  <si>
    <t>Vestvagoy</t>
  </si>
  <si>
    <t>Vikan - Smola</t>
  </si>
  <si>
    <t>Vinjeora</t>
  </si>
  <si>
    <t>Off Shore Tui</t>
  </si>
  <si>
    <t>Bahia Las Minas</t>
  </si>
  <si>
    <t>Canazas</t>
  </si>
  <si>
    <t>Chiriqui Grande</t>
  </si>
  <si>
    <t>Cristobal</t>
  </si>
  <si>
    <t>Panama, Ciudad de</t>
  </si>
  <si>
    <t>Pese</t>
  </si>
  <si>
    <t>Conchan</t>
  </si>
  <si>
    <t>Eten</t>
  </si>
  <si>
    <t>Binan</t>
  </si>
  <si>
    <t>Castanas</t>
  </si>
  <si>
    <t>Chroscice</t>
  </si>
  <si>
    <t>Dabrowka</t>
  </si>
  <si>
    <t>Gorki Zachodnie</t>
  </si>
  <si>
    <t>Jedlina-Zdroj</t>
  </si>
  <si>
    <t>Karsibor</t>
  </si>
  <si>
    <t>Losiow</t>
  </si>
  <si>
    <t>Mietkow</t>
  </si>
  <si>
    <t>Osinow Dolny</t>
  </si>
  <si>
    <t>Piorunow</t>
  </si>
  <si>
    <t>Polanow</t>
  </si>
  <si>
    <t>Siennica Rozana</t>
  </si>
  <si>
    <t>Wolborz</t>
  </si>
  <si>
    <t>Mayaguez</t>
  </si>
  <si>
    <t>Amoreira da Gandara</t>
  </si>
  <si>
    <t>Angra do Heroismo</t>
  </si>
  <si>
    <t>Armacao de Pera</t>
  </si>
  <si>
    <t>Bouca</t>
  </si>
  <si>
    <t>Cacem</t>
  </si>
  <si>
    <t>Calheta, Island Sao Jorge</t>
  </si>
  <si>
    <t>Camara de Lobos</t>
  </si>
  <si>
    <t>Canical</t>
  </si>
  <si>
    <t>Gueifaes</t>
  </si>
  <si>
    <t>Guifoes</t>
  </si>
  <si>
    <t>Leca da Palmeira</t>
  </si>
  <si>
    <t>Leixoes</t>
  </si>
  <si>
    <t>Olhao</t>
  </si>
  <si>
    <t>Olhos de Agua</t>
  </si>
  <si>
    <t>Pomarao</t>
  </si>
  <si>
    <t>Povoacao</t>
  </si>
  <si>
    <t>Praia da Vitoria</t>
  </si>
  <si>
    <t>Requiao</t>
  </si>
  <si>
    <t>Sao Mateus</t>
  </si>
  <si>
    <t>Sao Miguel</t>
  </si>
  <si>
    <t>Sao Pedro da Afurada</t>
  </si>
  <si>
    <t>Setubal</t>
  </si>
  <si>
    <t>Varzea do Douro</t>
  </si>
  <si>
    <t>Vila Cha</t>
  </si>
  <si>
    <t>Vila Real de Santo Antonio</t>
  </si>
  <si>
    <t>Asuncion</t>
  </si>
  <si>
    <t>Barrio Caacupe Mi</t>
  </si>
  <si>
    <t>Caacupe</t>
  </si>
  <si>
    <t>Encarnacion</t>
  </si>
  <si>
    <t>Harsova</t>
  </si>
  <si>
    <t>Ozery</t>
  </si>
  <si>
    <t>RURND</t>
  </si>
  <si>
    <t>Rostov-na-Donu</t>
  </si>
  <si>
    <t>Zelenodol'sk</t>
  </si>
  <si>
    <t>Ahus</t>
  </si>
  <si>
    <t>Alvangen</t>
  </si>
  <si>
    <t>Alvenas</t>
  </si>
  <si>
    <t>Amal</t>
  </si>
  <si>
    <t>Ann</t>
  </si>
  <si>
    <t>Arbra</t>
  </si>
  <si>
    <t>Arildslage</t>
  </si>
  <si>
    <t>Arkosund</t>
  </si>
  <si>
    <t>Arnoviken</t>
  </si>
  <si>
    <t>Backviken</t>
  </si>
  <si>
    <t>Balsta</t>
  </si>
  <si>
    <t>Bastad</t>
  </si>
  <si>
    <t>Batskarsnas</t>
  </si>
  <si>
    <t>Berga Orlogsskolor</t>
  </si>
  <si>
    <t>Bjarred</t>
  </si>
  <si>
    <t>Boda</t>
  </si>
  <si>
    <t>Braviken</t>
  </si>
  <si>
    <t>Burea</t>
  </si>
  <si>
    <t>Dalaro</t>
  </si>
  <si>
    <t>Djuron</t>
  </si>
  <si>
    <t>Domsjo</t>
  </si>
  <si>
    <t>Donso</t>
  </si>
  <si>
    <t>Dynas</t>
  </si>
  <si>
    <t>Ellos</t>
  </si>
  <si>
    <t>Enkoping</t>
  </si>
  <si>
    <t>Falkoping</t>
  </si>
  <si>
    <t>Farjestaden</t>
  </si>
  <si>
    <t>Farosund</t>
  </si>
  <si>
    <t>Fiskeback</t>
  </si>
  <si>
    <t>Fiskebackskil</t>
  </si>
  <si>
    <t>Fjallbacka</t>
  </si>
  <si>
    <t>Frano</t>
  </si>
  <si>
    <t>Gavle</t>
  </si>
  <si>
    <t>Gota</t>
  </si>
  <si>
    <t>Goteborg</t>
  </si>
  <si>
    <t>Grono</t>
  </si>
  <si>
    <t>Gruvon</t>
  </si>
  <si>
    <t>Hackas</t>
  </si>
  <si>
    <t>Hallekis</t>
  </si>
  <si>
    <t>Hallstanas</t>
  </si>
  <si>
    <t>Harnosand</t>
  </si>
  <si>
    <t>Hasselbyverket/Stockholm</t>
  </si>
  <si>
    <t>Herrang</t>
  </si>
  <si>
    <t>Hoganas</t>
  </si>
  <si>
    <t>Hogsjo</t>
  </si>
  <si>
    <t>Honsater</t>
  </si>
  <si>
    <t>Horneborg</t>
  </si>
  <si>
    <t>Hornefors</t>
  </si>
  <si>
    <t>Jarfalla</t>
  </si>
  <si>
    <t>Jatterson</t>
  </si>
  <si>
    <t>Jonkoping</t>
  </si>
  <si>
    <t>Jorlanda</t>
  </si>
  <si>
    <t>Kage</t>
  </si>
  <si>
    <t>Kapellskar</t>
  </si>
  <si>
    <t>Karehamn</t>
  </si>
  <si>
    <t>Karskar</t>
  </si>
  <si>
    <t>Kladesholmen</t>
  </si>
  <si>
    <t>Klavrestrom</t>
  </si>
  <si>
    <t>Koping</t>
  </si>
  <si>
    <t>Kopmanholmen</t>
  </si>
  <si>
    <t>Kungalv</t>
  </si>
  <si>
    <t>Kungsor</t>
  </si>
  <si>
    <t>Lidingo</t>
  </si>
  <si>
    <t>Lidkoping</t>
  </si>
  <si>
    <t>Linanas</t>
  </si>
  <si>
    <t>Loddekopinge</t>
  </si>
  <si>
    <t>Lodose</t>
  </si>
  <si>
    <t>Loten</t>
  </si>
  <si>
    <t>Lovanger</t>
  </si>
  <si>
    <t>Lovholmen</t>
  </si>
  <si>
    <t>Lulea</t>
  </si>
  <si>
    <t>Malmo</t>
  </si>
  <si>
    <t>Molle</t>
  </si>
  <si>
    <t>Mollosund</t>
  </si>
  <si>
    <t>Monsteras</t>
  </si>
  <si>
    <t>Morbylanga</t>
  </si>
  <si>
    <t>Musko</t>
  </si>
  <si>
    <t>Nas</t>
  </si>
  <si>
    <t>Navekvarn</t>
  </si>
  <si>
    <t>Norastrom</t>
  </si>
  <si>
    <t>Norrbottens Jarnverk-SSAB</t>
  </si>
  <si>
    <t>Norrbyskar</t>
  </si>
  <si>
    <t>Norrkoping</t>
  </si>
  <si>
    <t>Norrtalje</t>
  </si>
  <si>
    <t>Nykoping</t>
  </si>
  <si>
    <t>Nynashamn</t>
  </si>
  <si>
    <t>Ockero</t>
  </si>
  <si>
    <t>Oregrund</t>
  </si>
  <si>
    <t>Ornskoldsvik</t>
  </si>
  <si>
    <t>Orviken</t>
  </si>
  <si>
    <t>Ostrand</t>
  </si>
  <si>
    <t>Otterbacken</t>
  </si>
  <si>
    <t>Oxelosund</t>
  </si>
  <si>
    <t>Paskallavik</t>
  </si>
  <si>
    <t>Pitea</t>
  </si>
  <si>
    <t>Raa</t>
  </si>
  <si>
    <t>Ronnang</t>
  </si>
  <si>
    <t>Ronnskar</t>
  </si>
  <si>
    <t>Ronnskarsverken</t>
  </si>
  <si>
    <t>Saffle</t>
  </si>
  <si>
    <t>Saltkallan</t>
  </si>
  <si>
    <t>Saltsjobaden</t>
  </si>
  <si>
    <t>Saltsjo-Boo</t>
  </si>
  <si>
    <t>Sandvik, Styrso</t>
  </si>
  <si>
    <t>Seskaro</t>
  </si>
  <si>
    <t>Sikea</t>
  </si>
  <si>
    <t>Skanor</t>
  </si>
  <si>
    <t>Skarblacka</t>
  </si>
  <si>
    <t>Skarhamn</t>
  </si>
  <si>
    <t>Skattkarr</t>
  </si>
  <si>
    <t>Skelleftea</t>
  </si>
  <si>
    <t>Skutskar</t>
  </si>
  <si>
    <t>Smogen</t>
  </si>
  <si>
    <t>Soderhamn</t>
  </si>
  <si>
    <t>Soderkoping</t>
  </si>
  <si>
    <t>Sodertalje</t>
  </si>
  <si>
    <t>Solvesborg</t>
  </si>
  <si>
    <t>Soraker</t>
  </si>
  <si>
    <t>Sprangsviken</t>
  </si>
  <si>
    <t>Stavsjo</t>
  </si>
  <si>
    <t>Stra</t>
  </si>
  <si>
    <t>Strangnas</t>
  </si>
  <si>
    <t>Stromstad</t>
  </si>
  <si>
    <t>Svano</t>
  </si>
  <si>
    <t>Tore</t>
  </si>
  <si>
    <t>Torshalla</t>
  </si>
  <si>
    <t>Traslovslage</t>
  </si>
  <si>
    <t>Trollhattan</t>
  </si>
  <si>
    <t>Umea</t>
  </si>
  <si>
    <t>Underas</t>
  </si>
  <si>
    <t>Utansjo</t>
  </si>
  <si>
    <t>Vaja</t>
  </si>
  <si>
    <t>Vanersborg</t>
  </si>
  <si>
    <t>Varby</t>
  </si>
  <si>
    <t>Vargon</t>
  </si>
  <si>
    <t>Vasteras</t>
  </si>
  <si>
    <t>Vastervik</t>
  </si>
  <si>
    <t>Verkeback</t>
  </si>
  <si>
    <t>Vrango</t>
  </si>
  <si>
    <t>Ny-Alesund</t>
  </si>
  <si>
    <t>Kolarovo</t>
  </si>
  <si>
    <t>Krasno</t>
  </si>
  <si>
    <t>Mala Trna</t>
  </si>
  <si>
    <t>Mojmirovce</t>
  </si>
  <si>
    <t>Spissky Stiavnik</t>
  </si>
  <si>
    <t>Vel'ke Zlievce</t>
  </si>
  <si>
    <t>Port-aux-Francais</t>
  </si>
  <si>
    <t>Aneho</t>
  </si>
  <si>
    <t>Al Marsa</t>
  </si>
  <si>
    <t>Gabes</t>
  </si>
  <si>
    <t>Ksibet el Mediouni</t>
  </si>
  <si>
    <t>Rades</t>
  </si>
  <si>
    <t>Akcaabat</t>
  </si>
  <si>
    <t>Akcapinar</t>
  </si>
  <si>
    <t>Akcay</t>
  </si>
  <si>
    <t>Buyukcukur</t>
  </si>
  <si>
    <t>Camalti</t>
  </si>
  <si>
    <t>Canakkale</t>
  </si>
  <si>
    <t>Cesme</t>
  </si>
  <si>
    <t>Datca</t>
  </si>
  <si>
    <t>Dortyol</t>
  </si>
  <si>
    <t>Firuzkoy</t>
  </si>
  <si>
    <t>Foca</t>
  </si>
  <si>
    <t>Gorele</t>
  </si>
  <si>
    <t>Gulluk</t>
  </si>
  <si>
    <t>Haskoy</t>
  </si>
  <si>
    <t>Hisaronu</t>
  </si>
  <si>
    <t>Karakoy/Istambul</t>
  </si>
  <si>
    <t>Korfez</t>
  </si>
  <si>
    <t>Pasakoy</t>
  </si>
  <si>
    <t>Unye</t>
  </si>
  <si>
    <t>Uskudar</t>
  </si>
  <si>
    <t>Yenikoy-Autoport</t>
  </si>
  <si>
    <t>Louisiana Off Shore Oil Port (Loop)</t>
  </si>
  <si>
    <t>Piriapolis</t>
  </si>
  <si>
    <t>Chiquinquira</t>
  </si>
  <si>
    <t>Ciudad Bolivar</t>
  </si>
  <si>
    <t>Palua</t>
  </si>
  <si>
    <t>Puerto Paez</t>
  </si>
  <si>
    <t>Punta Cardon</t>
  </si>
  <si>
    <t>San Felix</t>
  </si>
  <si>
    <t>Urena</t>
  </si>
  <si>
    <t>Ben Nghe</t>
  </si>
  <si>
    <t>Bong Sen</t>
  </si>
  <si>
    <t>Cam Lam</t>
  </si>
  <si>
    <t>Cat Lai</t>
  </si>
  <si>
    <t>Dong Hai</t>
  </si>
  <si>
    <t>Phu Bai</t>
  </si>
  <si>
    <t>Phuoc Long</t>
  </si>
  <si>
    <t>Quang Binh</t>
  </si>
  <si>
    <t>Sa Dec</t>
  </si>
  <si>
    <t>Tan Thuan Dong</t>
  </si>
  <si>
    <t>Vung Ang</t>
  </si>
  <si>
    <t>Mata'utu</t>
  </si>
  <si>
    <t>Sigave</t>
  </si>
  <si>
    <t>Suqutra</t>
  </si>
  <si>
    <t>XZBAL</t>
  </si>
  <si>
    <t>Baltic Sea</t>
  </si>
  <si>
    <t>XZBIS</t>
  </si>
  <si>
    <t>Gulf of Biscay</t>
  </si>
  <si>
    <t>XZBLA</t>
  </si>
  <si>
    <t>Black Sea</t>
  </si>
  <si>
    <t>XZBSE</t>
  </si>
  <si>
    <t>Barents Sea</t>
  </si>
  <si>
    <t>XZCAH</t>
  </si>
  <si>
    <t>Cape Horn</t>
  </si>
  <si>
    <t>XZCGH</t>
  </si>
  <si>
    <t>Cape Good Hope</t>
  </si>
  <si>
    <t>XZECN</t>
  </si>
  <si>
    <t>English Channel</t>
  </si>
  <si>
    <t>XZEUI</t>
  </si>
  <si>
    <t>Enter EU Boundary</t>
  </si>
  <si>
    <t>XZEUO</t>
  </si>
  <si>
    <t>Leave EU Boundary</t>
  </si>
  <si>
    <t>XZEUP</t>
  </si>
  <si>
    <t>Start from Non-EU Port</t>
  </si>
  <si>
    <t>XZGIB</t>
  </si>
  <si>
    <t>Strait of Gibraltar</t>
  </si>
  <si>
    <t>XZGOF</t>
  </si>
  <si>
    <t>Gofrep Area</t>
  </si>
  <si>
    <t>XZMEX</t>
  </si>
  <si>
    <t>Mexican Gulf</t>
  </si>
  <si>
    <t>XZNAO</t>
  </si>
  <si>
    <t>North Atlantic Ocean</t>
  </si>
  <si>
    <t>XZOFB</t>
  </si>
  <si>
    <t>Offshoreinst. Barents Sea</t>
  </si>
  <si>
    <t>Offshore</t>
  </si>
  <si>
    <t>XZOFH</t>
  </si>
  <si>
    <t>Offshoreinst Halten-Helgeland</t>
  </si>
  <si>
    <t>XZOFN</t>
  </si>
  <si>
    <t>Offshoreinst North Sea</t>
  </si>
  <si>
    <t>XZPAN</t>
  </si>
  <si>
    <t>Panama Channel</t>
  </si>
  <si>
    <t>XZSAO</t>
  </si>
  <si>
    <t>South Atlantic Ocean</t>
  </si>
  <si>
    <t>XZSIM</t>
  </si>
  <si>
    <t>Sicily-Malta</t>
  </si>
  <si>
    <t>XZSKA</t>
  </si>
  <si>
    <t>Skagerrak</t>
  </si>
  <si>
    <t>XZSUE</t>
  </si>
  <si>
    <t>Suez Channel</t>
  </si>
  <si>
    <t>XZZNO</t>
  </si>
  <si>
    <t>North sea</t>
  </si>
  <si>
    <t>CACAC</t>
  </si>
  <si>
    <t>Cap-Chat</t>
  </si>
  <si>
    <t>BRFNO</t>
  </si>
  <si>
    <t>Forno Pt/Arraial do Cabo</t>
  </si>
  <si>
    <t>BMSAN</t>
  </si>
  <si>
    <t>Sandys</t>
  </si>
  <si>
    <t>ITVT3</t>
  </si>
  <si>
    <t>Villafranca Tirrena</t>
  </si>
  <si>
    <t>ITM2R</t>
  </si>
  <si>
    <t>Marina di Ragusa</t>
  </si>
  <si>
    <t>HUTAC</t>
  </si>
  <si>
    <t>Tac</t>
  </si>
  <si>
    <t>GRMRS</t>
  </si>
  <si>
    <t>Myrties Kalymnou</t>
  </si>
  <si>
    <t>EEPAP</t>
  </si>
  <si>
    <t>Papissaare Sadam</t>
  </si>
  <si>
    <t>DZ2ON</t>
  </si>
  <si>
    <t>Oran Dry Port</t>
  </si>
  <si>
    <t>CNGUI</t>
  </si>
  <si>
    <t>Guilin</t>
  </si>
  <si>
    <t>CHGEL</t>
  </si>
  <si>
    <t>Lancy</t>
  </si>
  <si>
    <t>CAGPD</t>
  </si>
  <si>
    <t>Port-Daniel - Gascons</t>
  </si>
  <si>
    <t>CALB3</t>
  </si>
  <si>
    <t>L'Anse-a-Beaufils</t>
  </si>
  <si>
    <t>SRLLW</t>
  </si>
  <si>
    <t>Lelydorp</t>
  </si>
  <si>
    <t>RUBNK</t>
  </si>
  <si>
    <t>Bronka Port</t>
  </si>
  <si>
    <t>RUABK</t>
  </si>
  <si>
    <t>Abinsk</t>
  </si>
  <si>
    <t>NZGLE</t>
  </si>
  <si>
    <t>Glenavy</t>
  </si>
  <si>
    <t>NOT8N</t>
  </si>
  <si>
    <t>Oteren</t>
  </si>
  <si>
    <t>MYTRB</t>
  </si>
  <si>
    <t>Teluk Rubiah</t>
  </si>
  <si>
    <t>MYBTW</t>
  </si>
  <si>
    <t>Batu Kawan</t>
  </si>
  <si>
    <t>JPSYD</t>
  </si>
  <si>
    <t>Sanyo Onoda Yamaguchi</t>
  </si>
  <si>
    <t>JPGOO</t>
  </si>
  <si>
    <t>Gobo Wakayama</t>
  </si>
  <si>
    <t>EEVIK</t>
  </si>
  <si>
    <t>Vikati Sadam</t>
  </si>
  <si>
    <t>EEOSM</t>
  </si>
  <si>
    <t>Osmussaare Sadam</t>
  </si>
  <si>
    <t>EEMIH</t>
  </si>
  <si>
    <t>Mihkli Sadam</t>
  </si>
  <si>
    <t>EEKPA</t>
  </si>
  <si>
    <t>Karepa Sadam</t>
  </si>
  <si>
    <t>EEKDR</t>
  </si>
  <si>
    <t>Kudrukula Sadam</t>
  </si>
  <si>
    <t>HRIVB</t>
  </si>
  <si>
    <t>IVANA B</t>
  </si>
  <si>
    <t>HRIVA</t>
  </si>
  <si>
    <t>IVANA A</t>
  </si>
  <si>
    <t>HRIRI</t>
  </si>
  <si>
    <t>IRINA</t>
  </si>
  <si>
    <t>HRIKJ</t>
  </si>
  <si>
    <t>IKA JZ</t>
  </si>
  <si>
    <t>HRIKB</t>
  </si>
  <si>
    <t>IKA B</t>
  </si>
  <si>
    <t>HRIKA</t>
  </si>
  <si>
    <t>IKA A</t>
  </si>
  <si>
    <t>HRIDC</t>
  </si>
  <si>
    <t>IDA C</t>
  </si>
  <si>
    <t>HRIDB</t>
  </si>
  <si>
    <t>IDA B</t>
  </si>
  <si>
    <t>HRIDA</t>
  </si>
  <si>
    <t>IDA A</t>
  </si>
  <si>
    <t>HRANN</t>
  </si>
  <si>
    <t>ANNAMARIA A</t>
  </si>
  <si>
    <t>HRANA</t>
  </si>
  <si>
    <t>ANA</t>
  </si>
  <si>
    <t>HRVES</t>
  </si>
  <si>
    <t>VESNA</t>
  </si>
  <si>
    <t>HRMAR</t>
  </si>
  <si>
    <t>MARICA</t>
  </si>
  <si>
    <t>HRKAT</t>
  </si>
  <si>
    <t>KATARINA</t>
  </si>
  <si>
    <t>HRIZS</t>
  </si>
  <si>
    <t>IZABELA SJEVER</t>
  </si>
  <si>
    <t>HRIZJ</t>
  </si>
  <si>
    <t>IZABELA JUG</t>
  </si>
  <si>
    <t>HRIVK</t>
  </si>
  <si>
    <t>IVANA K</t>
  </si>
  <si>
    <t>HRIVE</t>
  </si>
  <si>
    <t>IVANA E</t>
  </si>
  <si>
    <t>HRIVD</t>
  </si>
  <si>
    <t>IVANA D</t>
  </si>
  <si>
    <t>HRIVC</t>
  </si>
  <si>
    <t>IVANA C</t>
  </si>
  <si>
    <t>Obereiderhafen</t>
  </si>
  <si>
    <t>Klintholm Havn</t>
  </si>
  <si>
    <t>AOMAL</t>
  </si>
  <si>
    <t>Malongo</t>
  </si>
  <si>
    <t>BEANL</t>
  </si>
  <si>
    <t>Anderlecht/Brussel (Bruxelles)</t>
  </si>
  <si>
    <t>BEBEZ</t>
  </si>
  <si>
    <t>Beez</t>
  </si>
  <si>
    <t>BEBLZ</t>
  </si>
  <si>
    <t>Bilzen</t>
  </si>
  <si>
    <t>BEBRC</t>
  </si>
  <si>
    <t>Brecht</t>
  </si>
  <si>
    <t>BECHA</t>
  </si>
  <si>
    <t>Chatelet</t>
  </si>
  <si>
    <t>BECHE</t>
  </si>
  <si>
    <t>Chenee</t>
  </si>
  <si>
    <t>BECHI</t>
  </si>
  <si>
    <t>Chievres</t>
  </si>
  <si>
    <t>BEELA</t>
  </si>
  <si>
    <t>Ecaussinnes-Lalaing</t>
  </si>
  <si>
    <t>BEGIS</t>
  </si>
  <si>
    <t>Gistel</t>
  </si>
  <si>
    <t>BEGZE</t>
  </si>
  <si>
    <t>Gozee</t>
  </si>
  <si>
    <t>BEHZO</t>
  </si>
  <si>
    <t>Heusden-Zolder</t>
  </si>
  <si>
    <t>BEIDG</t>
  </si>
  <si>
    <t>Idegem</t>
  </si>
  <si>
    <t>BEIPR</t>
  </si>
  <si>
    <t>Ieper</t>
  </si>
  <si>
    <t>BEJBE</t>
  </si>
  <si>
    <t>Jabbeke</t>
  </si>
  <si>
    <t>BEKWB</t>
  </si>
  <si>
    <t>Klein Willebroek</t>
  </si>
  <si>
    <t>BELLO</t>
  </si>
  <si>
    <t>La Louviere</t>
  </si>
  <si>
    <t>BELDA</t>
  </si>
  <si>
    <t>Laakdal</t>
  </si>
  <si>
    <t>BELVO</t>
  </si>
  <si>
    <t>Lovendegem</t>
  </si>
  <si>
    <t>BEMCN</t>
  </si>
  <si>
    <t>Machelen</t>
  </si>
  <si>
    <t>BEMRI</t>
  </si>
  <si>
    <t>Mariakerke</t>
  </si>
  <si>
    <t>BEMCA</t>
  </si>
  <si>
    <t>Merbes-le-Chateau</t>
  </si>
  <si>
    <t>BEOSH</t>
  </si>
  <si>
    <t>Oostham</t>
  </si>
  <si>
    <t>BEPWZ</t>
  </si>
  <si>
    <t>Peruwelz</t>
  </si>
  <si>
    <t>BERAS</t>
  </si>
  <si>
    <t>Ranst</t>
  </si>
  <si>
    <t>BERIS</t>
  </si>
  <si>
    <t>Riemst</t>
  </si>
  <si>
    <t>BESGS</t>
  </si>
  <si>
    <t>Saint-Georges</t>
  </si>
  <si>
    <t>BESTV</t>
  </si>
  <si>
    <t>Sint-Baafs-Vijve</t>
  </si>
  <si>
    <t>BESEV</t>
  </si>
  <si>
    <t>Sint-Eloois-Vijve</t>
  </si>
  <si>
    <t>BESPT</t>
  </si>
  <si>
    <t>Sint-Pieters-Leeuw</t>
  </si>
  <si>
    <t>BESKE</t>
  </si>
  <si>
    <t>Steenkerke</t>
  </si>
  <si>
    <t>BESTB</t>
  </si>
  <si>
    <t>Strepy-Bracquegnies</t>
  </si>
  <si>
    <t>BEVIS</t>
  </si>
  <si>
    <t>Vise</t>
  </si>
  <si>
    <t>BEWES</t>
  </si>
  <si>
    <t>BEWSL</t>
  </si>
  <si>
    <t>Wilsele</t>
  </si>
  <si>
    <t>BEZAN</t>
  </si>
  <si>
    <t>Zandhoven</t>
  </si>
  <si>
    <t>BGPOR</t>
  </si>
  <si>
    <t>Pomorie</t>
  </si>
  <si>
    <t>BRARE</t>
  </si>
  <si>
    <t>Areia Branca</t>
  </si>
  <si>
    <t>BRIAR</t>
  </si>
  <si>
    <t>Itaberai</t>
  </si>
  <si>
    <t>BRITA</t>
  </si>
  <si>
    <t>Itacoatiara</t>
  </si>
  <si>
    <t>BRSTM</t>
  </si>
  <si>
    <t>Santarem</t>
  </si>
  <si>
    <t>BRSBJ</t>
  </si>
  <si>
    <t>BRTFO</t>
  </si>
  <si>
    <t>Triunfo</t>
  </si>
  <si>
    <t>BRTMT</t>
  </si>
  <si>
    <t>Trombetas</t>
  </si>
  <si>
    <t>CACMS</t>
  </si>
  <si>
    <t>Cap-aux-Meules</t>
  </si>
  <si>
    <t>CNTAX</t>
  </si>
  <si>
    <t>Taixing</t>
  </si>
  <si>
    <t>COCIE</t>
  </si>
  <si>
    <t>Cienaga</t>
  </si>
  <si>
    <t>CUMOA</t>
  </si>
  <si>
    <t>Moa</t>
  </si>
  <si>
    <t>CVPAL</t>
  </si>
  <si>
    <t>Palmeira</t>
  </si>
  <si>
    <t>CVSAR</t>
  </si>
  <si>
    <t>Sal Rei</t>
  </si>
  <si>
    <t>CYMOI</t>
  </si>
  <si>
    <t>Moni</t>
  </si>
  <si>
    <t>CYZYY</t>
  </si>
  <si>
    <t>Zyyi</t>
  </si>
  <si>
    <t>CZPRG</t>
  </si>
  <si>
    <t>DEAHC</t>
  </si>
  <si>
    <t>Ahlbeck</t>
  </si>
  <si>
    <t>DEBBH</t>
  </si>
  <si>
    <t>Barth</t>
  </si>
  <si>
    <t>DEBXN</t>
  </si>
  <si>
    <t>Blexen</t>
  </si>
  <si>
    <t>DE73A</t>
  </si>
  <si>
    <t>Langballig</t>
  </si>
  <si>
    <t>DKAZS</t>
  </si>
  <si>
    <t>Aars</t>
  </si>
  <si>
    <t>DKGLE</t>
  </si>
  <si>
    <t>Gilleleje</t>
  </si>
  <si>
    <t>DKHRP</t>
  </si>
  <si>
    <t>Hellerup</t>
  </si>
  <si>
    <t>DKKAV</t>
  </si>
  <si>
    <t>Kalvehave</t>
  </si>
  <si>
    <t>DKNBR</t>
  </si>
  <si>
    <t>Nordborg</t>
  </si>
  <si>
    <t>DKNYS</t>
  </si>
  <si>
    <t>Nykobing Sjalland</t>
  </si>
  <si>
    <t>DKPRS</t>
  </si>
  <si>
    <t>Prasto</t>
  </si>
  <si>
    <t>DKSJO</t>
  </si>
  <si>
    <t>Sjallands Odde</t>
  </si>
  <si>
    <t>DKSKB</t>
  </si>
  <si>
    <t>Skarbak</t>
  </si>
  <si>
    <t>DKSTD</t>
  </si>
  <si>
    <t>Strandby</t>
  </si>
  <si>
    <t>ECPSJ</t>
  </si>
  <si>
    <t>Posorja</t>
  </si>
  <si>
    <t>EEAUD</t>
  </si>
  <si>
    <t>Audru</t>
  </si>
  <si>
    <t>EEKAB</t>
  </si>
  <si>
    <t>Kaberneeme</t>
  </si>
  <si>
    <t>EGAAC</t>
  </si>
  <si>
    <t>El'Arish</t>
  </si>
  <si>
    <t>EGIKU</t>
  </si>
  <si>
    <t>Idku</t>
  </si>
  <si>
    <t>EGSKT</t>
  </si>
  <si>
    <t>Sidi Kerir Terminal</t>
  </si>
  <si>
    <t>ESBRB</t>
  </si>
  <si>
    <t>Barbastro</t>
  </si>
  <si>
    <t>ESCSA</t>
  </si>
  <si>
    <t>ESCAA</t>
  </si>
  <si>
    <t>Castalla</t>
  </si>
  <si>
    <t>ESCDR</t>
  </si>
  <si>
    <t>Castellon de Rugat</t>
  </si>
  <si>
    <t>ESRGA</t>
  </si>
  <si>
    <t>Arinaga</t>
  </si>
  <si>
    <t>ESCSV</t>
  </si>
  <si>
    <t>Cassa de la Selva</t>
  </si>
  <si>
    <t>ESLOJ</t>
  </si>
  <si>
    <t>La Nora</t>
  </si>
  <si>
    <t>ESLPL</t>
  </si>
  <si>
    <t>ESMAD</t>
  </si>
  <si>
    <t>Madrid</t>
  </si>
  <si>
    <t>ESMLL</t>
  </si>
  <si>
    <t>Mallorca</t>
  </si>
  <si>
    <t>ESMZA</t>
  </si>
  <si>
    <t>Mazagon</t>
  </si>
  <si>
    <t>ESCUT</t>
  </si>
  <si>
    <t>Morro del Jable</t>
  </si>
  <si>
    <t>ESOEJ</t>
  </si>
  <si>
    <t>Ordenes</t>
  </si>
  <si>
    <t>ESPDQ</t>
  </si>
  <si>
    <t>Palma Del Condado</t>
  </si>
  <si>
    <t>ESPLL</t>
  </si>
  <si>
    <t>Portilla</t>
  </si>
  <si>
    <t>ESRUZ</t>
  </si>
  <si>
    <t>Puerto de la Cruz</t>
  </si>
  <si>
    <t>ESPUS</t>
  </si>
  <si>
    <t>Puerto Real</t>
  </si>
  <si>
    <t>ESSST</t>
  </si>
  <si>
    <t>Sestao/Bilbao</t>
  </si>
  <si>
    <t>ESSTG</t>
  </si>
  <si>
    <t>Sotogrande</t>
  </si>
  <si>
    <t>ESTCI</t>
  </si>
  <si>
    <t>Tenerife</t>
  </si>
  <si>
    <t>ESVVC</t>
  </si>
  <si>
    <t>Villanueva de Castellon</t>
  </si>
  <si>
    <t>ESZFR</t>
  </si>
  <si>
    <t>Zona Franca de Cadiz</t>
  </si>
  <si>
    <t>FIMJO</t>
  </si>
  <si>
    <t>Mjosund</t>
  </si>
  <si>
    <t>FISPE</t>
  </si>
  <si>
    <t>Savitaipale</t>
  </si>
  <si>
    <t>FRARL</t>
  </si>
  <si>
    <t>Arles</t>
  </si>
  <si>
    <t>FRBSM</t>
  </si>
  <si>
    <t>Bonneuil-sur-Marne</t>
  </si>
  <si>
    <t>FRBNI</t>
  </si>
  <si>
    <t>Bonnieres-sur-Seine</t>
  </si>
  <si>
    <t>FRBAU</t>
  </si>
  <si>
    <t>Boucau</t>
  </si>
  <si>
    <t>FRCOS</t>
  </si>
  <si>
    <t>Carros</t>
  </si>
  <si>
    <t>FRCSH</t>
  </si>
  <si>
    <t>Conflans-Sainte-Honorine</t>
  </si>
  <si>
    <t>FREBF</t>
  </si>
  <si>
    <t>Elbeuf</t>
  </si>
  <si>
    <t>FRETL</t>
  </si>
  <si>
    <t>Estillac</t>
  </si>
  <si>
    <t>FRFOC</t>
  </si>
  <si>
    <t>Fontenay-le-Comte</t>
  </si>
  <si>
    <t>FRGOA</t>
  </si>
  <si>
    <t>Guerande</t>
  </si>
  <si>
    <t>FRGRC</t>
  </si>
  <si>
    <t>Grand-Couronne</t>
  </si>
  <si>
    <t>FRIST</t>
  </si>
  <si>
    <t>Istres</t>
  </si>
  <si>
    <t>FRLPA</t>
  </si>
  <si>
    <t>La Poterie-Cap-d'Antifer</t>
  </si>
  <si>
    <t>FRLGM</t>
  </si>
  <si>
    <t>Lagny-sur-Marne</t>
  </si>
  <si>
    <t>FRLAD</t>
  </si>
  <si>
    <t>L'Ardoise</t>
  </si>
  <si>
    <t>FRLLG</t>
  </si>
  <si>
    <t>Le Legue</t>
  </si>
  <si>
    <t>FRXLG</t>
  </si>
  <si>
    <t>Lignoelles</t>
  </si>
  <si>
    <t>FRLNE</t>
  </si>
  <si>
    <t>Lillebonne</t>
  </si>
  <si>
    <t>FRMAN</t>
  </si>
  <si>
    <t>Mantes-la-Jolie</t>
  </si>
  <si>
    <t>FRXET</t>
  </si>
  <si>
    <t>Prignac-et-Marcamps</t>
  </si>
  <si>
    <t>FRSLP</t>
  </si>
  <si>
    <t>Saint-Brevin-les-Pins</t>
  </si>
  <si>
    <t>FRVIG</t>
  </si>
  <si>
    <t>Saint-Thibault-des-Vignes</t>
  </si>
  <si>
    <t>FRSDG</t>
  </si>
  <si>
    <t>Salin-de-Giraud</t>
  </si>
  <si>
    <t>FRVIM</t>
  </si>
  <si>
    <t>Villeneuve-la-Garenne</t>
  </si>
  <si>
    <t>FRZEF</t>
  </si>
  <si>
    <t>Saint-Etienne-du-Rouvray</t>
  </si>
  <si>
    <t>GBLES</t>
  </si>
  <si>
    <t>Lee-on-the-Solent</t>
  </si>
  <si>
    <t>GFSLM</t>
  </si>
  <si>
    <t>Saint Laurent du Maroni</t>
  </si>
  <si>
    <t>GLJNS</t>
  </si>
  <si>
    <t>Narsaq</t>
  </si>
  <si>
    <t>GPMSB</t>
  </si>
  <si>
    <t>HRZAG</t>
  </si>
  <si>
    <t>Zagreb</t>
  </si>
  <si>
    <t>IECBR</t>
  </si>
  <si>
    <t>Coomhola Bridge</t>
  </si>
  <si>
    <t>ISAEY</t>
  </si>
  <si>
    <t>Akureyri Apt</t>
  </si>
  <si>
    <t>ISEFJ</t>
  </si>
  <si>
    <t>Eskifjordur Apt</t>
  </si>
  <si>
    <t>ISGRY</t>
  </si>
  <si>
    <t>Grimsey</t>
  </si>
  <si>
    <t>ISHVK</t>
  </si>
  <si>
    <t>Holmavik</t>
  </si>
  <si>
    <t>ISKEF</t>
  </si>
  <si>
    <t>Keflavik</t>
  </si>
  <si>
    <t>ITROM</t>
  </si>
  <si>
    <t>Rome (Roma)</t>
  </si>
  <si>
    <t>JPIWO</t>
  </si>
  <si>
    <t>Iwojima, Tokyo</t>
  </si>
  <si>
    <t>JPKMQ</t>
  </si>
  <si>
    <t>Komatsu, Ishikawa</t>
  </si>
  <si>
    <t>JPMTA</t>
  </si>
  <si>
    <t>Mitaka, Tokyo</t>
  </si>
  <si>
    <t>JPNRI</t>
  </si>
  <si>
    <t>Narita, Chiba</t>
  </si>
  <si>
    <t>JPNCO</t>
  </si>
  <si>
    <t>Nonoichi, Ishikawa</t>
  </si>
  <si>
    <t>JPOTG</t>
  </si>
  <si>
    <t>Ota, Gunma</t>
  </si>
  <si>
    <t>KZKUR</t>
  </si>
  <si>
    <t>Kuryk</t>
  </si>
  <si>
    <t>LBQJN</t>
  </si>
  <si>
    <t>Jounieh</t>
  </si>
  <si>
    <t>LCSLU</t>
  </si>
  <si>
    <t>Saint Lucia Apt</t>
  </si>
  <si>
    <t>LVZJA</t>
  </si>
  <si>
    <t>Jurmala</t>
  </si>
  <si>
    <t>LVPVT</t>
  </si>
  <si>
    <t>Pavilosta</t>
  </si>
  <si>
    <t>LYZUE</t>
  </si>
  <si>
    <t>Zueitina</t>
  </si>
  <si>
    <t>MATTA</t>
  </si>
  <si>
    <t>Tan Tan</t>
  </si>
  <si>
    <t>MQQPC</t>
  </si>
  <si>
    <t>Pointe Des Carrieres</t>
  </si>
  <si>
    <t>NCTUD</t>
  </si>
  <si>
    <t>Teoudie</t>
  </si>
  <si>
    <t>NLBZM</t>
  </si>
  <si>
    <t>Bergen op Zoom</t>
  </si>
  <si>
    <t>NLFOX</t>
  </si>
  <si>
    <t>Foxhol</t>
  </si>
  <si>
    <t>NLGOR</t>
  </si>
  <si>
    <t>Gorinchem</t>
  </si>
  <si>
    <t>NLKAI</t>
  </si>
  <si>
    <t>Krimpen aan den IJssel</t>
  </si>
  <si>
    <t>NLNIJ</t>
  </si>
  <si>
    <t>Nijmegen</t>
  </si>
  <si>
    <t>NLHAG</t>
  </si>
  <si>
    <t>'s-Gravenhage (Den Haag)</t>
  </si>
  <si>
    <t>NLPAP</t>
  </si>
  <si>
    <t>Papendrecht</t>
  </si>
  <si>
    <t>NLOMD</t>
  </si>
  <si>
    <t>Roermond</t>
  </si>
  <si>
    <t>NLRSL</t>
  </si>
  <si>
    <t>Roompotsluis</t>
  </si>
  <si>
    <t>NLSMD</t>
  </si>
  <si>
    <t>Scheemda</t>
  </si>
  <si>
    <t>NLSIT</t>
  </si>
  <si>
    <t>Sittard</t>
  </si>
  <si>
    <t>NLSLD</t>
  </si>
  <si>
    <t>Sliedrecht</t>
  </si>
  <si>
    <t>NLVDM</t>
  </si>
  <si>
    <t>Veendam</t>
  </si>
  <si>
    <t>NLVEN</t>
  </si>
  <si>
    <t>Venlo</t>
  </si>
  <si>
    <t>NLWIW</t>
  </si>
  <si>
    <t>Wieringerwerf</t>
  </si>
  <si>
    <t>NLYSK</t>
  </si>
  <si>
    <t>Yerseke</t>
  </si>
  <si>
    <t>NOBRS</t>
  </si>
  <si>
    <t>Braskereidfoss</t>
  </si>
  <si>
    <t>NOGNR</t>
  </si>
  <si>
    <t>Geiranger</t>
  </si>
  <si>
    <t>NOGRI</t>
  </si>
  <si>
    <t>Granerudstoa</t>
  </si>
  <si>
    <t>NOGRO</t>
  </si>
  <si>
    <t>Grong</t>
  </si>
  <si>
    <t>NOHED</t>
  </si>
  <si>
    <t>Herdla</t>
  </si>
  <si>
    <t>NOHLA</t>
  </si>
  <si>
    <t>NOHYE</t>
  </si>
  <si>
    <t>Hyen</t>
  </si>
  <si>
    <t>NOKOB</t>
  </si>
  <si>
    <t>Koblu</t>
  </si>
  <si>
    <t>NOKVD</t>
  </si>
  <si>
    <t>Kvinesdal</t>
  </si>
  <si>
    <t>NOLEN</t>
  </si>
  <si>
    <t>Lensvik</t>
  </si>
  <si>
    <t>NOLND</t>
  </si>
  <si>
    <t>Lyngdal</t>
  </si>
  <si>
    <t>NOOTB</t>
  </si>
  <si>
    <t>Ottersbo</t>
  </si>
  <si>
    <t>NOREI</t>
  </si>
  <si>
    <t>Reine</t>
  </si>
  <si>
    <t>NORON</t>
  </si>
  <si>
    <t>Ronningen</t>
  </si>
  <si>
    <t>NORSE</t>
  </si>
  <si>
    <t>Rosendal</t>
  </si>
  <si>
    <t>NOSDN</t>
  </si>
  <si>
    <t>Sandane</t>
  </si>
  <si>
    <t>NOSEK</t>
  </si>
  <si>
    <t>Sellebakk</t>
  </si>
  <si>
    <t>NOORN</t>
  </si>
  <si>
    <t>Skutvik</t>
  </si>
  <si>
    <t>NOSBE</t>
  </si>
  <si>
    <t>Solbergelva</t>
  </si>
  <si>
    <t>NOTRF</t>
  </si>
  <si>
    <t>Sandefjord</t>
  </si>
  <si>
    <t>NOSKG</t>
  </si>
  <si>
    <t>Skogsvag</t>
  </si>
  <si>
    <t>NOSLE</t>
  </si>
  <si>
    <t>Slependen</t>
  </si>
  <si>
    <t>NOSLA</t>
  </si>
  <si>
    <t>Sola</t>
  </si>
  <si>
    <t>NOSOM</t>
  </si>
  <si>
    <t>Sommaroy</t>
  </si>
  <si>
    <t>NOSTS</t>
  </si>
  <si>
    <t>Storskog</t>
  </si>
  <si>
    <t>NOSVN</t>
  </si>
  <si>
    <t>Svinndal</t>
  </si>
  <si>
    <t>NOTSD</t>
  </si>
  <si>
    <t>Torvastad</t>
  </si>
  <si>
    <t>NOVAT</t>
  </si>
  <si>
    <t>Vatnstraum</t>
  </si>
  <si>
    <t>NOVIG</t>
  </si>
  <si>
    <t>Vigra</t>
  </si>
  <si>
    <t>NOVIN</t>
  </si>
  <si>
    <t>Vinstra</t>
  </si>
  <si>
    <t>PTLMG</t>
  </si>
  <si>
    <t>Lamego</t>
  </si>
  <si>
    <t>PTSMA</t>
  </si>
  <si>
    <t>Santa Maria Island Apt</t>
  </si>
  <si>
    <t>PTSRP</t>
  </si>
  <si>
    <t>Sao Roque do Pico</t>
  </si>
  <si>
    <t>PTVIF</t>
  </si>
  <si>
    <t>Vila Moura</t>
  </si>
  <si>
    <t>ROBRA</t>
  </si>
  <si>
    <t>Braila</t>
  </si>
  <si>
    <t>RUTMR</t>
  </si>
  <si>
    <t>Temryuk</t>
  </si>
  <si>
    <t>SEGMS</t>
  </si>
  <si>
    <t>Grums</t>
  </si>
  <si>
    <t>SEHSG</t>
  </si>
  <si>
    <t>Hallsberg</t>
  </si>
  <si>
    <t>SEKBG</t>
  </si>
  <si>
    <t>Karlsborg</t>
  </si>
  <si>
    <t>SEKOS</t>
  </si>
  <si>
    <t>Korsnas</t>
  </si>
  <si>
    <t>SEKRO</t>
  </si>
  <si>
    <t>Krokvag</t>
  </si>
  <si>
    <t>SEOSB</t>
  </si>
  <si>
    <t>Osby</t>
  </si>
  <si>
    <t>SESAN</t>
  </si>
  <si>
    <t>Sandviken</t>
  </si>
  <si>
    <t>SESMA</t>
  </si>
  <si>
    <t>Smalandsstenar</t>
  </si>
  <si>
    <t>SESTD</t>
  </si>
  <si>
    <t>Stalldalen</t>
  </si>
  <si>
    <t>SJHOP</t>
  </si>
  <si>
    <t>SJJAM</t>
  </si>
  <si>
    <t>Jan Mayen</t>
  </si>
  <si>
    <t>TNMIR</t>
  </si>
  <si>
    <t>Monastir</t>
  </si>
  <si>
    <t>TRAMR</t>
  </si>
  <si>
    <t>TRBTN</t>
  </si>
  <si>
    <t>Bartin</t>
  </si>
  <si>
    <t>TRCEY</t>
  </si>
  <si>
    <t>Ceyhan</t>
  </si>
  <si>
    <t>TREDO</t>
  </si>
  <si>
    <t>Edremit</t>
  </si>
  <si>
    <t>TRKRS</t>
  </si>
  <si>
    <t>Karasu</t>
  </si>
  <si>
    <t>TRKRT</t>
  </si>
  <si>
    <t>Karatas</t>
  </si>
  <si>
    <t>TRKMR</t>
  </si>
  <si>
    <t>Kemer</t>
  </si>
  <si>
    <t>TRMVG</t>
  </si>
  <si>
    <t>Manavgat</t>
  </si>
  <si>
    <t>TRSIL</t>
  </si>
  <si>
    <t>Silivri</t>
  </si>
  <si>
    <t>TWMZG</t>
  </si>
  <si>
    <t>Makung</t>
  </si>
  <si>
    <t>UADNB</t>
  </si>
  <si>
    <t>Dneprobugskiy</t>
  </si>
  <si>
    <t>USFAH</t>
  </si>
  <si>
    <t>Fairless Hills</t>
  </si>
  <si>
    <t>USPAU</t>
  </si>
  <si>
    <t>Paulsboro</t>
  </si>
  <si>
    <t>USUYU</t>
  </si>
  <si>
    <t>Staten Island</t>
  </si>
  <si>
    <t>Crecy-sur-Serre</t>
  </si>
  <si>
    <t>0bfb17709e14a0eef2db53febb639e5d29d3a704</t>
  </si>
  <si>
    <t>a1db60e52259b4f40d766d665f399f739e135bda</t>
  </si>
  <si>
    <t>2519cb65998dd30322e1ba0c4715845df18e3ab8</t>
  </si>
  <si>
    <t>25b9dba51045b5f1fc17cd22379579557c4e5f96</t>
  </si>
  <si>
    <t>930d8cc29e8f8ea3e5ef3e87747438d7f9bc06fa</t>
  </si>
  <si>
    <t>c1bd4d38a5f4c0a0f24efa03ddcb9a94f1ec195a</t>
  </si>
  <si>
    <t>a943e4a9a9009f0e2b8610860201b79826b5775f</t>
  </si>
  <si>
    <t>2fa32d5f1c9ac944568e5533ccc30e15baf59f6d</t>
  </si>
  <si>
    <t>Unknown</t>
  </si>
  <si>
    <t>06d76d28d6f9c4502e660ab80bd80ecec4123249</t>
  </si>
  <si>
    <t>ISSC expiry date must be in the future</t>
  </si>
  <si>
    <t>This workbook requires the use of ActiveX and is only tested with Microsoft Office365 for Windows. Standalone versions such as Excel 2016, 2019 and 2021 should be compatible, whilst Excel 2013 is periodically tested. As of 2021 both Excel 2010 and 2007 are End of Life unsupported products so not tested by the MCA though are expected to continue to work. This Workbook is not tested on Excel for Mac or mobile devices or alternative applications like Libre Office or Open Office and may not function correctly when run on these applications.</t>
  </si>
  <si>
    <t>PURPOSE
This Excel workbook forms part of a reporting framework, providing a bridge to minimise the effort required by PCAOS port authorities for reporting to CERS, eliminating duplication of data entry as far as is possible, and maximising flexibility in fulfilling these regulatory reporting needs. Please consult MSN 1899 for further information.
AUGMENTATION TO EXISTING INTERFACES
The usage of this workbook is not intended to replace either the CERS web application or the existing PCAOS technical interfaces into CERS, and it is always recommended that where possible the specific fields in the XML schema are produced and sent, or that the CERS web application, with its rich user interface and interactive feedback, is used to ensure good data quality and successful messages.
However, MCA has recognised the voice of industry and the need to reduce impact on users and provides this mechanism to help those impacted by the various reporting regulations affecting maritime voyages in the UK. 
HOW TO COMPLETE THIS WORKBOOK
This workbook is intended to be used to create new PortPlus reports for voyages to UK ports, fulfilling international vessel reporting requirements. Each worksheet in the Workbook can be considered a discrete, independent entity for a different required form. As such, it will be possible for only a subset of the worksheets in this workbook to be completed and submitted to CERS, whether by web application UI or technical SOAP web services.
For use via the web application UI, users may complete only those sheets which are relevant, and change the "Includes" fields above to specify exactly which sheets are to be uploaded. Users must set these before upload as explicit acknowledgement they are submitting the respective forms.
For use via the technical web services, these fields may or may not be used by the intermediate authority in the construction of the XML message sent to CERS. It is solely the contents of this message, and the definition of the attribute corresponding to which sheets of this spreadsheet are to be extracted from the base64 encoded workbook that will be uploaded. The PCAOS reporting entity has the discretion to define whether or not these fields are strictly followed or not depending on the capabilities of their system, however it is strongly recommended for consistency amongst the UK ports that where possible these fields are used as the flags for inclusion or exclusion.
AUTHENTICATION / PERMISSION 
Voyage details in this document may only be entered into CERS via authenticated users utilising either the CERS web user interface or web technical connection. Regardless of the method of data input, CERS will only accept data which users have the permissions to upload. Voyages cannot be created for a port of call which the user does not have permissions for.
PCAOS technical transmitting users will each have a unique authentication key, assigned to them during the testing phase that must be included in the 'APIKey' field in the header of the CERS web service.
Web UI users of CERS will be also able to upload this spreadsheet directly in the web interface, which while not the optimal method of entry at least permits offline entry or an alternative where technical issues prevent use of the API for any reasons.
RESTRICTIONS
Users are not to copy and paste data into fields except as described in official documentation. The sheets in the workbook are not to be removed, even if they are returned later. Worksheets in the workbook must not be modified from the official versions. Only standard English characters and Arabic numerals should be used in the workbook. 
TRANSMISSION OF COMPLETED WORKBOOKS
Voyage details may be entered onto this workbook and then uploaded into CERS either by embedding the workbook into an XML message to be technically sent to the CERS SOAP web services, or by manual use of the CERS web application to upload the spreadsheet.
VERSION CONTROL
This workbook is designed to work entirely offline, and none of the data used to validate entries will therefore be updated in real-time. This means that uploads may fail because of updates to reference data in the core CERS application (such as LOCODE changes or vessel detail changes) and that periodically users of this workbook will need to update their local version to a new one which will be made available on www.gov.uk/government/publications/the-cers-workbook. 
COMPATIBILITY
This workbook requires the use of ActiveX and is only tested with Microsoft Office365 for Windows. Standalone versions such as Excel 2016, 2019 and 2021 should be compatible, whilst Excel 2013 is periodically tested. As of 2021 both Excel 2010 and 2007 are End of Life unsupported products so not tested by the MCA though are expected to continue to work. This Workbook is not tested on Excel for Mac or mobile devices or alternative applications like Libre Office or Open Office and may not function correctly when run on these applications.
TIME ZONES IN THE CERS WORKBOOK
The CERS Workbook is used by people in many zones, and daylight savings changes at different times in different time zones, the CERS workbook supports times in UTC only. This ensures that users can consistently report the correct time in CERS.</t>
  </si>
  <si>
    <t>1</t>
  </si>
  <si>
    <t xml:space="preserve">Note: If a ship goes beyond UK waters (beyond 12nm) food waste onboard will need to be treated as International Catering Waste.
</t>
  </si>
  <si>
    <t>-</t>
  </si>
  <si>
    <t>Row 1 -'Port of loading LOCODE' is invalid</t>
  </si>
  <si>
    <t>Row 1 - 'Port of discharge LOCODE' is invalid</t>
  </si>
  <si>
    <t>Row 1 - 'Port of loading LOCODE' is invalid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</si>
</sst>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
    <numFmt numFmtId="169" formatCode="dd/mm/yyyy;@"/>
  </numFmts>
  <fonts count="52" x14ac:knownFonts="1">
    <font>
      <sz val="10"/>
      <color theme="1" tint="0.14993743705557422"/>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tint="0.14993743705557422"/>
      <name val="Arial"/>
      <family val="2"/>
    </font>
    <font>
      <sz val="10"/>
      <color theme="0"/>
      <name val="Arial"/>
      <family val="2"/>
    </font>
    <font>
      <b/>
      <sz val="16"/>
      <color theme="0"/>
      <name val="Arial"/>
      <family val="2"/>
    </font>
    <font>
      <b/>
      <sz val="10"/>
      <color theme="1" tint="0.14993743705557422"/>
      <name val="Arial"/>
      <family val="2"/>
    </font>
    <font>
      <sz val="14"/>
      <color rgb="FF455A64"/>
      <name val="Arial"/>
      <family val="2"/>
    </font>
    <font>
      <i/>
      <sz val="10"/>
      <color theme="1" tint="0.14993743705557422"/>
      <name val="Arial"/>
      <family val="2"/>
    </font>
    <font>
      <sz val="10"/>
      <color theme="1" tint="0.14993743705557422"/>
      <name val="Consolas"/>
      <family val="3"/>
    </font>
    <font>
      <sz val="11"/>
      <color theme="1" tint="0.14993743705557422"/>
      <name val="Arial"/>
      <family val="2"/>
    </font>
    <font>
      <b/>
      <sz val="11"/>
      <color theme="0"/>
      <name val="Arial"/>
      <family val="2"/>
    </font>
    <font>
      <u/>
      <sz val="10"/>
      <color theme="10"/>
      <name val="Arial"/>
      <family val="2"/>
    </font>
    <font>
      <b/>
      <u/>
      <sz val="10"/>
      <color theme="10"/>
      <name val="Arial"/>
      <family val="2"/>
    </font>
    <font>
      <sz val="14"/>
      <color theme="0"/>
      <name val="Arial"/>
      <family val="2"/>
    </font>
    <font>
      <sz val="10"/>
      <name val="Arial"/>
      <family val="2"/>
    </font>
    <font>
      <sz val="10"/>
      <color theme="1" tint="0.14990691854609822"/>
      <name val="Consolas"/>
      <family val="3"/>
    </font>
    <font>
      <sz val="12"/>
      <color theme="1"/>
      <name val="Calibri"/>
      <family val="2"/>
      <scheme val="minor"/>
    </font>
    <font>
      <b/>
      <sz val="10"/>
      <color theme="1"/>
      <name val="Arial"/>
      <family val="2"/>
    </font>
    <font>
      <b/>
      <sz val="14"/>
      <color theme="0"/>
      <name val="Arial"/>
      <family val="2"/>
    </font>
    <font>
      <sz val="12"/>
      <color theme="1" tint="0.14993743705557422"/>
      <name val="Consolas"/>
      <family val="3"/>
    </font>
    <font>
      <sz val="12"/>
      <color theme="1" tint="0.14999847407452621"/>
      <name val="Consolas"/>
      <family val="3"/>
    </font>
    <font>
      <b/>
      <sz val="10"/>
      <color theme="0"/>
      <name val="Arial"/>
      <family val="2"/>
    </font>
    <font>
      <b/>
      <sz val="12"/>
      <color theme="0"/>
      <name val="Arial"/>
      <family val="2"/>
    </font>
    <font>
      <b/>
      <sz val="10"/>
      <color rgb="FFFF0000"/>
      <name val="Arial"/>
      <family val="2"/>
    </font>
    <font>
      <b/>
      <sz val="10"/>
      <name val="Arial"/>
      <family val="2"/>
    </font>
    <font>
      <sz val="20"/>
      <color theme="1" tint="0.14993743705557422"/>
      <name val="Arial"/>
      <family val="2"/>
    </font>
    <font>
      <sz val="11"/>
      <color theme="1" tint="0.14993743705557422"/>
      <name val="Calibri"/>
      <family val="2"/>
    </font>
    <font>
      <sz val="11"/>
      <color theme="1" tint="0.14993743705557422"/>
      <name val="Calibri"/>
      <family val="2"/>
      <scheme val="minor"/>
    </font>
    <font>
      <b/>
      <i/>
      <sz val="10"/>
      <name val="Arial"/>
      <family val="2"/>
    </font>
    <font>
      <b/>
      <sz val="10"/>
      <color theme="1" tint="0.14990691854609822"/>
      <name val="Consolas"/>
      <family val="3"/>
    </font>
    <font>
      <sz val="12"/>
      <color theme="1" tint="0.14993743705557422"/>
      <name val="Calibri"/>
      <family val="2"/>
      <scheme val="minor"/>
    </font>
    <font>
      <sz val="12"/>
      <color rgb="FF222222"/>
      <name val="Arial"/>
      <family val="2"/>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rgb="FFCFD8DC"/>
        <bgColor indexed="64"/>
      </patternFill>
    </fill>
    <fill>
      <patternFill patternType="solid">
        <fgColor rgb="FFB0BEC5"/>
        <bgColor indexed="64"/>
      </patternFill>
    </fill>
    <fill>
      <patternFill patternType="solid">
        <fgColor rgb="FFDEE0E2"/>
        <bgColor indexed="64"/>
      </patternFill>
    </fill>
    <fill>
      <patternFill patternType="solid">
        <fgColor theme="1"/>
        <bgColor indexed="64"/>
      </patternFill>
    </fill>
    <fill>
      <patternFill patternType="solid">
        <fgColor rgb="FF6F777B"/>
        <bgColor indexed="64"/>
      </patternFill>
    </fill>
    <fill>
      <patternFill patternType="solid">
        <fgColor rgb="FFDEE0E2"/>
        <bgColor theme="0"/>
      </patternFill>
    </fill>
    <fill>
      <patternFill patternType="solid">
        <fgColor theme="0"/>
        <bgColor theme="0"/>
      </patternFill>
    </fill>
    <fill>
      <patternFill patternType="solid">
        <fgColor rgb="FFD53880"/>
        <bgColor indexed="64"/>
      </patternFill>
    </fill>
    <fill>
      <patternFill patternType="solid">
        <fgColor theme="7" tint="0.79998168889431442"/>
        <bgColor theme="0"/>
      </patternFill>
    </fill>
    <fill>
      <patternFill patternType="solid">
        <fgColor theme="1"/>
        <bgColor theme="0"/>
      </patternFill>
    </fill>
    <fill>
      <patternFill patternType="solid">
        <fgColor theme="0" tint="-0.34998626667073579"/>
        <bgColor indexed="64"/>
      </patternFill>
    </fill>
    <fill>
      <patternFill patternType="solid">
        <fgColor rgb="FFFFFF00"/>
        <bgColor theme="0"/>
      </patternFill>
    </fill>
    <fill>
      <patternFill patternType="solid">
        <fgColor theme="0" tint="-0.14999847407452621"/>
        <bgColor theme="0"/>
      </patternFill>
    </fill>
    <fill>
      <patternFill patternType="solid">
        <fgColor rgb="FFFFFF00"/>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4.9989318521683403E-2"/>
        <bgColor theme="0"/>
      </patternFill>
    </fill>
    <fill>
      <patternFill patternType="solid">
        <fgColor theme="7" tint="0.79998168889431442"/>
        <bgColor indexed="64"/>
      </patternFill>
    </fill>
  </fills>
  <borders count="28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263238"/>
      </bottom>
      <diagonal/>
    </border>
    <border>
      <left style="thin">
        <color rgb="FF455A64"/>
      </left>
      <right style="thin">
        <color rgb="FF455A64"/>
      </right>
      <top style="thin">
        <color rgb="FF455A64"/>
      </top>
      <bottom style="thin">
        <color rgb="FF455A64"/>
      </bottom>
      <diagonal/>
    </border>
    <border>
      <left style="dashed">
        <color rgb="FFB0BEC5"/>
      </left>
      <right style="thin">
        <color rgb="FF455A64"/>
      </right>
      <top style="dashed">
        <color rgb="FFB0BEC5"/>
      </top>
      <bottom style="dashed">
        <color rgb="FFB0BEC5"/>
      </bottom>
      <diagonal/>
    </border>
    <border>
      <left style="thin">
        <color rgb="FF455A64"/>
      </left>
      <right style="dashed">
        <color rgb="FFB0BEC5"/>
      </right>
      <top style="dashed">
        <color rgb="FFB0BEC5"/>
      </top>
      <bottom style="dashed">
        <color rgb="FFB0BEC5"/>
      </bottom>
      <diagonal/>
    </border>
    <border>
      <left style="dashed">
        <color rgb="FFB0BEC5"/>
      </left>
      <right style="thin">
        <color rgb="FF455A64"/>
      </right>
      <top style="dashed">
        <color rgb="FFB0BEC5"/>
      </top>
      <bottom/>
      <diagonal/>
    </border>
    <border>
      <left style="thin">
        <color rgb="FF455A64"/>
      </left>
      <right/>
      <top style="dashed">
        <color rgb="FFB0BEC5"/>
      </top>
      <bottom/>
      <diagonal/>
    </border>
    <border>
      <left style="thick">
        <color rgb="FFBFC1C3"/>
      </left>
      <right style="thick">
        <color rgb="FFBFC1C3"/>
      </right>
      <top style="thick">
        <color rgb="FFBFC1C3"/>
      </top>
      <bottom/>
      <diagonal/>
    </border>
    <border>
      <left style="thick">
        <color rgb="FFBFC1C3"/>
      </left>
      <right/>
      <top style="thick">
        <color rgb="FFBFC1C3"/>
      </top>
      <bottom/>
      <diagonal/>
    </border>
    <border>
      <left/>
      <right style="thick">
        <color rgb="FFBFC1C3"/>
      </right>
      <top style="thick">
        <color rgb="FFBFC1C3"/>
      </top>
      <bottom/>
      <diagonal/>
    </border>
    <border>
      <left style="thick">
        <color rgb="FFBFC1C3"/>
      </left>
      <right/>
      <top/>
      <bottom/>
      <diagonal/>
    </border>
    <border>
      <left/>
      <right style="thick">
        <color rgb="FFBFC1C3"/>
      </right>
      <top/>
      <bottom/>
      <diagonal/>
    </border>
    <border>
      <left style="thick">
        <color theme="0" tint="-0.24994659260841701"/>
      </left>
      <right/>
      <top style="thick">
        <color theme="0" tint="-0.24994659260841701"/>
      </top>
      <bottom/>
      <diagonal/>
    </border>
    <border>
      <left/>
      <right/>
      <top style="thick">
        <color theme="0" tint="-0.24994659260841701"/>
      </top>
      <bottom/>
      <diagonal/>
    </border>
    <border>
      <left/>
      <right style="thick">
        <color theme="0" tint="-0.24994659260841701"/>
      </right>
      <top style="thick">
        <color theme="0" tint="-0.24994659260841701"/>
      </top>
      <bottom/>
      <diagonal/>
    </border>
    <border>
      <left style="thick">
        <color theme="0" tint="-0.24994659260841701"/>
      </left>
      <right/>
      <top/>
      <bottom/>
      <diagonal/>
    </border>
    <border>
      <left/>
      <right style="thick">
        <color theme="0" tint="-0.24994659260841701"/>
      </right>
      <top/>
      <bottom/>
      <diagonal/>
    </border>
    <border>
      <left style="thick">
        <color theme="0" tint="-0.24994659260841701"/>
      </left>
      <right/>
      <top/>
      <bottom style="thick">
        <color theme="0" tint="-0.24994659260841701"/>
      </bottom>
      <diagonal/>
    </border>
    <border>
      <left/>
      <right/>
      <top/>
      <bottom style="thick">
        <color theme="0" tint="-0.24994659260841701"/>
      </bottom>
      <diagonal/>
    </border>
    <border>
      <left/>
      <right style="thick">
        <color theme="0" tint="-0.24994659260841701"/>
      </right>
      <top/>
      <bottom style="thick">
        <color theme="0" tint="-0.24994659260841701"/>
      </bottom>
      <diagonal/>
    </border>
    <border>
      <left style="dashed">
        <color rgb="FFB0BEC5"/>
      </left>
      <right/>
      <top style="dashed">
        <color rgb="FFB0BEC5"/>
      </top>
      <bottom/>
      <diagonal/>
    </border>
    <border>
      <left style="dashed">
        <color rgb="FFB0BEC5"/>
      </left>
      <right style="thick">
        <color rgb="FFBFC1C3"/>
      </right>
      <top style="dashed">
        <color rgb="FFB0BEC5"/>
      </top>
      <bottom style="thick">
        <color rgb="FFBFC1C3"/>
      </bottom>
      <diagonal/>
    </border>
    <border>
      <left style="thin">
        <color rgb="FF455A64"/>
      </left>
      <right style="thick">
        <color rgb="FFBFC1C3"/>
      </right>
      <top style="dashed">
        <color rgb="FFB0BEC5"/>
      </top>
      <bottom style="thick">
        <color rgb="FFBFC1C3"/>
      </bottom>
      <diagonal/>
    </border>
    <border>
      <left style="thick">
        <color rgb="FFBFC1C3"/>
      </left>
      <right/>
      <top/>
      <bottom style="thick">
        <color rgb="FFBFC1C3"/>
      </bottom>
      <diagonal/>
    </border>
    <border>
      <left style="thin">
        <color rgb="FF455A64"/>
      </left>
      <right style="thick">
        <color rgb="FFBFC1C3"/>
      </right>
      <top/>
      <bottom/>
      <diagonal/>
    </border>
    <border>
      <left style="thick">
        <color rgb="FFBFC1C3"/>
      </left>
      <right/>
      <top style="dashed">
        <color rgb="FFB0BEC5"/>
      </top>
      <bottom/>
      <diagonal/>
    </border>
    <border>
      <left style="thin">
        <color rgb="FF455A64"/>
      </left>
      <right style="thick">
        <color rgb="FFBFC1C3"/>
      </right>
      <top style="dashed">
        <color rgb="FFB0BEC5"/>
      </top>
      <bottom/>
      <diagonal/>
    </border>
    <border>
      <left style="thick">
        <color rgb="FFBFC1C3"/>
      </left>
      <right/>
      <top style="dashed">
        <color rgb="FFB0BEC5"/>
      </top>
      <bottom style="thick">
        <color rgb="FFBFC1C3"/>
      </bottom>
      <diagonal/>
    </border>
    <border>
      <left style="thin">
        <color rgb="FF455A64"/>
      </left>
      <right style="thick">
        <color rgb="FFBFC1C3"/>
      </right>
      <top/>
      <bottom style="thick">
        <color rgb="FFBFC1C3"/>
      </bottom>
      <diagonal/>
    </border>
    <border>
      <left style="dashed">
        <color rgb="FF455A64"/>
      </left>
      <right/>
      <top/>
      <bottom/>
      <diagonal/>
    </border>
    <border>
      <left style="dashed">
        <color rgb="FFB0BEC5"/>
      </left>
      <right/>
      <top style="dashed">
        <color rgb="FFB0BEC5"/>
      </top>
      <bottom style="thick">
        <color rgb="FFBFC1C3"/>
      </bottom>
      <diagonal/>
    </border>
    <border>
      <left style="thin">
        <color rgb="FF6F777B"/>
      </left>
      <right style="thick">
        <color rgb="FFBFC1C3"/>
      </right>
      <top style="dashed">
        <color rgb="FFB0BEC5"/>
      </top>
      <bottom/>
      <diagonal/>
    </border>
    <border>
      <left style="thin">
        <color rgb="FF6F777B"/>
      </left>
      <right style="thick">
        <color rgb="FFBFC1C3"/>
      </right>
      <top/>
      <bottom/>
      <diagonal/>
    </border>
    <border>
      <left style="thin">
        <color rgb="FF6F777B"/>
      </left>
      <right style="thick">
        <color rgb="FFBFC1C3"/>
      </right>
      <top/>
      <bottom style="thick">
        <color rgb="FFBFC1C3"/>
      </bottom>
      <diagonal/>
    </border>
    <border>
      <left style="thick">
        <color rgb="FFBFC1C3"/>
      </left>
      <right style="thin">
        <color rgb="FF6F777B"/>
      </right>
      <top style="dashed">
        <color rgb="FFB0BEC5"/>
      </top>
      <bottom/>
      <diagonal/>
    </border>
    <border>
      <left style="thick">
        <color rgb="FFBFC1C3"/>
      </left>
      <right style="thin">
        <color rgb="FF6F777B"/>
      </right>
      <top/>
      <bottom/>
      <diagonal/>
    </border>
    <border>
      <left style="thick">
        <color rgb="FFBFC1C3"/>
      </left>
      <right style="thin">
        <color rgb="FF6F777B"/>
      </right>
      <top/>
      <bottom style="thick">
        <color rgb="FFBFC1C3"/>
      </bottom>
      <diagonal/>
    </border>
    <border>
      <left style="thick">
        <color rgb="FFBFC1C3"/>
      </left>
      <right/>
      <top/>
      <bottom style="dotted">
        <color rgb="FFBFC1C3"/>
      </bottom>
      <diagonal/>
    </border>
    <border>
      <left style="thick">
        <color rgb="FFBFC1C3"/>
      </left>
      <right/>
      <top style="dotted">
        <color rgb="FFBFC1C3"/>
      </top>
      <bottom style="dotted">
        <color rgb="FFBFC1C3"/>
      </bottom>
      <diagonal/>
    </border>
    <border>
      <left style="thin">
        <color rgb="FF455A64"/>
      </left>
      <right style="thick">
        <color rgb="FFBFC1C3"/>
      </right>
      <top style="dotted">
        <color rgb="FFBFC1C3"/>
      </top>
      <bottom style="dashed">
        <color rgb="FFB0BEC5"/>
      </bottom>
      <diagonal/>
    </border>
    <border>
      <left style="thin">
        <color rgb="FF455A64"/>
      </left>
      <right style="thick">
        <color rgb="FFBFC1C3"/>
      </right>
      <top style="dashed">
        <color rgb="FFB0BEC5"/>
      </top>
      <bottom style="dotted">
        <color rgb="FFBFC1C3"/>
      </bottom>
      <diagonal/>
    </border>
    <border>
      <left/>
      <right/>
      <top style="dashed">
        <color rgb="FFB0BEC5"/>
      </top>
      <bottom/>
      <diagonal/>
    </border>
    <border>
      <left/>
      <right style="thick">
        <color rgb="FFBFC1C3"/>
      </right>
      <top/>
      <bottom style="thick">
        <color rgb="FFBFC1C3"/>
      </bottom>
      <diagonal/>
    </border>
    <border>
      <left/>
      <right/>
      <top style="thick">
        <color rgb="FFBFC1C3"/>
      </top>
      <bottom/>
      <diagonal/>
    </border>
    <border>
      <left style="thin">
        <color rgb="FF455A64"/>
      </left>
      <right/>
      <top style="dashed">
        <color rgb="FFB0BEC5"/>
      </top>
      <bottom style="thick">
        <color rgb="FFBFC1C3"/>
      </bottom>
      <diagonal/>
    </border>
    <border>
      <left/>
      <right/>
      <top/>
      <bottom style="thick">
        <color rgb="FFBFC1C3"/>
      </bottom>
      <diagonal/>
    </border>
    <border>
      <left style="thin">
        <color auto="1"/>
      </left>
      <right/>
      <top style="dotted">
        <color rgb="FFBFC1C3"/>
      </top>
      <bottom style="dotted">
        <color rgb="FFBFC1C3"/>
      </bottom>
      <diagonal/>
    </border>
    <border>
      <left style="thin">
        <color auto="1"/>
      </left>
      <right/>
      <top style="dotted">
        <color rgb="FFBFC1C3"/>
      </top>
      <bottom style="thick">
        <color rgb="FFBFC1C3"/>
      </bottom>
      <diagonal/>
    </border>
    <border>
      <left style="thick">
        <color rgb="FFBFC1C3"/>
      </left>
      <right style="dotted">
        <color rgb="FF90A4AE"/>
      </right>
      <top style="dotted">
        <color rgb="FF90A4AE"/>
      </top>
      <bottom style="dotted">
        <color rgb="FF90A4AE"/>
      </bottom>
      <diagonal/>
    </border>
    <border>
      <left style="dotted">
        <color rgb="FF90A4AE"/>
      </left>
      <right style="dotted">
        <color rgb="FF90A4AE"/>
      </right>
      <top style="dotted">
        <color rgb="FF90A4AE"/>
      </top>
      <bottom style="dotted">
        <color rgb="FF90A4AE"/>
      </bottom>
      <diagonal/>
    </border>
    <border>
      <left style="dotted">
        <color rgb="FF90A4AE"/>
      </left>
      <right style="thick">
        <color rgb="FFBFC1C3"/>
      </right>
      <top style="dotted">
        <color rgb="FF90A4AE"/>
      </top>
      <bottom style="dotted">
        <color rgb="FF90A4AE"/>
      </bottom>
      <diagonal/>
    </border>
    <border>
      <left style="thick">
        <color rgb="FFBFC1C3"/>
      </left>
      <right style="dotted">
        <color rgb="FF90A4AE"/>
      </right>
      <top style="dotted">
        <color rgb="FF90A4AE"/>
      </top>
      <bottom style="thick">
        <color rgb="FFBFC1C3"/>
      </bottom>
      <diagonal/>
    </border>
    <border>
      <left style="dotted">
        <color rgb="FF90A4AE"/>
      </left>
      <right style="dotted">
        <color rgb="FF90A4AE"/>
      </right>
      <top style="dotted">
        <color rgb="FF90A4AE"/>
      </top>
      <bottom style="thick">
        <color rgb="FFBFC1C3"/>
      </bottom>
      <diagonal/>
    </border>
    <border>
      <left style="dotted">
        <color rgb="FF90A4AE"/>
      </left>
      <right style="thick">
        <color rgb="FFBFC1C3"/>
      </right>
      <top style="dotted">
        <color rgb="FF90A4AE"/>
      </top>
      <bottom style="thick">
        <color rgb="FFBFC1C3"/>
      </bottom>
      <diagonal/>
    </border>
    <border>
      <left style="thick">
        <color rgb="FFBFC1C3"/>
      </left>
      <right style="dotted">
        <color rgb="FF90A4AE"/>
      </right>
      <top/>
      <bottom style="dotted">
        <color rgb="FF90A4AE"/>
      </bottom>
      <diagonal/>
    </border>
    <border>
      <left style="dotted">
        <color rgb="FF90A4AE"/>
      </left>
      <right style="dotted">
        <color rgb="FF90A4AE"/>
      </right>
      <top/>
      <bottom style="dotted">
        <color rgb="FF90A4AE"/>
      </bottom>
      <diagonal/>
    </border>
    <border>
      <left style="dotted">
        <color rgb="FF90A4AE"/>
      </left>
      <right style="thick">
        <color rgb="FFBFC1C3"/>
      </right>
      <top/>
      <bottom style="dotted">
        <color rgb="FF90A4AE"/>
      </bottom>
      <diagonal/>
    </border>
    <border>
      <left style="dotted">
        <color rgb="FF90A4AE"/>
      </left>
      <right/>
      <top/>
      <bottom style="dotted">
        <color rgb="FF90A4AE"/>
      </bottom>
      <diagonal/>
    </border>
    <border>
      <left style="dotted">
        <color rgb="FF90A4AE"/>
      </left>
      <right/>
      <top style="dotted">
        <color rgb="FF90A4AE"/>
      </top>
      <bottom style="dotted">
        <color rgb="FF90A4AE"/>
      </bottom>
      <diagonal/>
    </border>
    <border>
      <left style="dotted">
        <color rgb="FF90A4AE"/>
      </left>
      <right/>
      <top style="dotted">
        <color rgb="FF90A4AE"/>
      </top>
      <bottom style="thick">
        <color rgb="FFBFC1C3"/>
      </bottom>
      <diagonal/>
    </border>
    <border>
      <left/>
      <right/>
      <top style="dashed">
        <color rgb="FFB0BEC5"/>
      </top>
      <bottom style="thick">
        <color rgb="FFBFC1C3"/>
      </bottom>
      <diagonal/>
    </border>
    <border>
      <left style="thick">
        <color rgb="FFBFC1C3"/>
      </left>
      <right style="thick">
        <color rgb="FFBFC1C3"/>
      </right>
      <top style="dashed">
        <color rgb="FFB0BEC5"/>
      </top>
      <bottom style="dotted">
        <color rgb="FFBFC1C3"/>
      </bottom>
      <diagonal/>
    </border>
    <border>
      <left style="thick">
        <color rgb="FFBFC1C3"/>
      </left>
      <right style="thick">
        <color rgb="FFBFC1C3"/>
      </right>
      <top style="thin">
        <color rgb="FFFF0000"/>
      </top>
      <bottom style="thin">
        <color rgb="FFFF0000"/>
      </bottom>
      <diagonal/>
    </border>
    <border>
      <left style="dashed">
        <color rgb="FF455A64"/>
      </left>
      <right/>
      <top/>
      <bottom style="dashed">
        <color rgb="FFB0BEC5"/>
      </bottom>
      <diagonal/>
    </border>
    <border>
      <left style="dashed">
        <color rgb="FFB0BEC5"/>
      </left>
      <right/>
      <top style="dashed">
        <color rgb="FFB0BEC5"/>
      </top>
      <bottom style="dashed">
        <color rgb="FFB0BEC5"/>
      </bottom>
      <diagonal/>
    </border>
    <border>
      <left/>
      <right/>
      <top/>
      <bottom style="dashed">
        <color rgb="FFB0BEC5"/>
      </bottom>
      <diagonal/>
    </border>
    <border>
      <left style="thick">
        <color rgb="FFBFC1C3"/>
      </left>
      <right/>
      <top/>
      <bottom style="dashed">
        <color rgb="FFB0BEC5"/>
      </bottom>
      <diagonal/>
    </border>
    <border>
      <left/>
      <right style="thin">
        <color rgb="FF455A64"/>
      </right>
      <top/>
      <bottom style="dashed">
        <color rgb="FFB0BEC5"/>
      </bottom>
      <diagonal/>
    </border>
    <border>
      <left style="thick">
        <color rgb="FFBFC1C3"/>
      </left>
      <right/>
      <top style="dashed">
        <color rgb="FFB0BEC5"/>
      </top>
      <bottom style="dashed">
        <color rgb="FFB0BEC5"/>
      </bottom>
      <diagonal/>
    </border>
    <border>
      <left/>
      <right style="thin">
        <color rgb="FF455A64"/>
      </right>
      <top style="dashed">
        <color rgb="FFB0BEC5"/>
      </top>
      <bottom style="dashed">
        <color rgb="FFB0BEC5"/>
      </bottom>
      <diagonal/>
    </border>
    <border>
      <left/>
      <right style="thin">
        <color rgb="FF455A64"/>
      </right>
      <top style="dashed">
        <color rgb="FFB0BEC5"/>
      </top>
      <bottom style="thick">
        <color rgb="FFBFC1C3"/>
      </bottom>
      <diagonal/>
    </border>
    <border>
      <left style="thin">
        <color rgb="FF455A64"/>
      </left>
      <right/>
      <top style="dashed">
        <color rgb="FFB0BEC5"/>
      </top>
      <bottom style="dashed">
        <color rgb="FFB0BEC5"/>
      </bottom>
      <diagonal/>
    </border>
    <border>
      <left style="thick">
        <color rgb="FFBFC1C3"/>
      </left>
      <right/>
      <top/>
      <bottom style="dotted">
        <color rgb="FF90A4AE"/>
      </bottom>
      <diagonal/>
    </border>
    <border>
      <left style="thick">
        <color rgb="FFBFC1C3"/>
      </left>
      <right/>
      <top style="dotted">
        <color rgb="FF90A4AE"/>
      </top>
      <bottom style="dotted">
        <color rgb="FF90A4AE"/>
      </bottom>
      <diagonal/>
    </border>
    <border>
      <left style="thick">
        <color rgb="FFBFC1C3"/>
      </left>
      <right/>
      <top style="dotted">
        <color rgb="FF90A4AE"/>
      </top>
      <bottom style="thick">
        <color rgb="FFBFC1C3"/>
      </bottom>
      <diagonal/>
    </border>
    <border>
      <left style="dotted">
        <color rgb="FF90A4AE"/>
      </left>
      <right/>
      <top/>
      <bottom/>
      <diagonal/>
    </border>
    <border>
      <left/>
      <right style="thin">
        <color auto="1"/>
      </right>
      <top/>
      <bottom/>
      <diagonal/>
    </border>
    <border>
      <left/>
      <right style="thin">
        <color auto="1"/>
      </right>
      <top/>
      <bottom style="thick">
        <color rgb="FFBFC1C3"/>
      </bottom>
      <diagonal/>
    </border>
    <border>
      <left style="thick">
        <color rgb="FFBFC1C3"/>
      </left>
      <right/>
      <top style="dotted">
        <color rgb="FFBFC1C3"/>
      </top>
      <bottom style="thick">
        <color rgb="FFBFC1C3"/>
      </bottom>
      <diagonal/>
    </border>
    <border>
      <left/>
      <right/>
      <top style="dotted">
        <color rgb="FFBFC1C3"/>
      </top>
      <bottom style="thick">
        <color rgb="FFBFC1C3"/>
      </bottom>
      <diagonal/>
    </border>
    <border>
      <left/>
      <right/>
      <top style="dotted">
        <color rgb="FFBFC1C3"/>
      </top>
      <bottom style="dotted">
        <color rgb="FFBFC1C3"/>
      </bottom>
      <diagonal/>
    </border>
    <border>
      <left/>
      <right style="dashed">
        <color rgb="FFB0BEC5"/>
      </right>
      <top style="dashed">
        <color rgb="FFB0BEC5"/>
      </top>
      <bottom style="dashed">
        <color rgb="FFB0BEC5"/>
      </bottom>
      <diagonal/>
    </border>
    <border>
      <left style="thin">
        <color rgb="FF455A64"/>
      </left>
      <right/>
      <top/>
      <bottom style="dashed">
        <color rgb="FFB0BEC5"/>
      </bottom>
      <diagonal/>
    </border>
    <border>
      <left/>
      <right style="thick">
        <color rgb="FFBFC1C3"/>
      </right>
      <top/>
      <bottom style="dashed">
        <color rgb="FFB0BEC5"/>
      </bottom>
      <diagonal/>
    </border>
    <border>
      <left/>
      <right style="thick">
        <color rgb="FFBFC1C3"/>
      </right>
      <top style="dashed">
        <color rgb="FFB0BEC5"/>
      </top>
      <bottom style="dashed">
        <color rgb="FFB0BEC5"/>
      </bottom>
      <diagonal/>
    </border>
    <border>
      <left/>
      <right style="thick">
        <color rgb="FFBFC1C3"/>
      </right>
      <top style="dashed">
        <color rgb="FFB0BEC5"/>
      </top>
      <bottom style="thick">
        <color rgb="FFBFC1C3"/>
      </bottom>
      <diagonal/>
    </border>
    <border>
      <left style="dashed">
        <color rgb="FFB0BEC5"/>
      </left>
      <right style="dashed">
        <color rgb="FFB0BEC5"/>
      </right>
      <top style="dashed">
        <color rgb="FFB0BEC5"/>
      </top>
      <bottom style="dashed">
        <color rgb="FFB0BEC5"/>
      </bottom>
      <diagonal/>
    </border>
    <border>
      <left style="thin">
        <color rgb="FF455A64"/>
      </left>
      <right style="dashed">
        <color rgb="FFB0BEC5"/>
      </right>
      <top style="dashed">
        <color rgb="FFB0BEC5"/>
      </top>
      <bottom style="thick">
        <color rgb="FFBFC1C3"/>
      </bottom>
      <diagonal/>
    </border>
    <border>
      <left style="dashed">
        <color rgb="FFB0BEC5"/>
      </left>
      <right style="dashed">
        <color rgb="FFB0BEC5"/>
      </right>
      <top style="dashed">
        <color rgb="FFB0BEC5"/>
      </top>
      <bottom style="thick">
        <color rgb="FFBFC1C3"/>
      </bottom>
      <diagonal/>
    </border>
    <border>
      <left/>
      <right/>
      <top/>
      <bottom style="dotted">
        <color rgb="FFBFC1C3"/>
      </bottom>
      <diagonal/>
    </border>
    <border>
      <left/>
      <right style="dashed">
        <color rgb="FF455A64"/>
      </right>
      <top/>
      <bottom/>
      <diagonal/>
    </border>
    <border>
      <left style="thick">
        <color rgb="FFBFC1C3"/>
      </left>
      <right/>
      <top style="dashed">
        <color rgb="FFB0BEC5"/>
      </top>
      <bottom style="dashed">
        <color rgb="FFBFC1C3"/>
      </bottom>
      <diagonal/>
    </border>
    <border>
      <left/>
      <right style="thick">
        <color rgb="FFBFC1C3"/>
      </right>
      <top style="dashed">
        <color rgb="FFB0BEC5"/>
      </top>
      <bottom style="dashed">
        <color rgb="FFBFC1C3"/>
      </bottom>
      <diagonal/>
    </border>
    <border>
      <left/>
      <right/>
      <top style="dashed">
        <color rgb="FFB0BEC5"/>
      </top>
      <bottom style="dashed">
        <color rgb="FFBFC1C3"/>
      </bottom>
      <diagonal/>
    </border>
    <border>
      <left/>
      <right style="thick">
        <color rgb="FFBFC1C3"/>
      </right>
      <top style="dashed">
        <color rgb="FFB0BEC5"/>
      </top>
      <bottom/>
      <diagonal/>
    </border>
    <border>
      <left/>
      <right/>
      <top style="dashed">
        <color rgb="FFB0BEC5"/>
      </top>
      <bottom style="dashed">
        <color rgb="FFB0BEC5"/>
      </bottom>
      <diagonal/>
    </border>
    <border>
      <left/>
      <right/>
      <top style="thick">
        <color rgb="FFBFC1C3"/>
      </top>
      <bottom style="thick">
        <color rgb="FFBFC1C3"/>
      </bottom>
      <diagonal/>
    </border>
    <border>
      <left style="dashed">
        <color rgb="FFB0BEC5"/>
      </left>
      <right/>
      <top/>
      <bottom style="dashed">
        <color rgb="FFB0BEC5"/>
      </bottom>
      <diagonal/>
    </border>
    <border>
      <left/>
      <right style="dashed">
        <color rgb="FFB0BEC5"/>
      </right>
      <top/>
      <bottom style="dashed">
        <color rgb="FFB0BEC5"/>
      </bottom>
      <diagonal/>
    </border>
    <border>
      <left style="thin">
        <color rgb="FF455A64"/>
      </left>
      <right style="thick">
        <color rgb="FFBFC1C3"/>
      </right>
      <top/>
      <bottom style="dashed">
        <color rgb="FFB0BEC5"/>
      </bottom>
      <diagonal/>
    </border>
    <border>
      <left style="thin">
        <color rgb="FF455A64"/>
      </left>
      <right style="thick">
        <color rgb="FFBFC1C3"/>
      </right>
      <top style="dashed">
        <color rgb="FFB0BEC5"/>
      </top>
      <bottom style="dashed">
        <color rgb="FFB0BEC5"/>
      </bottom>
      <diagonal/>
    </border>
    <border>
      <left style="thick">
        <color rgb="FFBFC1C3"/>
      </left>
      <right/>
      <top style="dashed">
        <color rgb="FFBFC1C3"/>
      </top>
      <bottom/>
      <diagonal/>
    </border>
    <border>
      <left/>
      <right/>
      <top style="dashed">
        <color rgb="FFBFC1C3"/>
      </top>
      <bottom/>
      <diagonal/>
    </border>
    <border>
      <left/>
      <right style="thick">
        <color rgb="FFBFC1C3"/>
      </right>
      <top style="dashed">
        <color rgb="FFBFC1C3"/>
      </top>
      <bottom/>
      <diagonal/>
    </border>
    <border>
      <left style="dashed">
        <color rgb="FFB0BEC5"/>
      </left>
      <right style="dashed">
        <color rgb="FFB0BEC5"/>
      </right>
      <top/>
      <bottom style="dashed">
        <color rgb="FFB0BEC5"/>
      </bottom>
      <diagonal/>
    </border>
    <border>
      <left style="dashed">
        <color rgb="FFB0BEC5"/>
      </left>
      <right style="thick">
        <color rgb="FFBFC1C3"/>
      </right>
      <top style="dashed">
        <color rgb="FFB0BEC5"/>
      </top>
      <bottom style="dashed">
        <color rgb="FFB0BEC5"/>
      </bottom>
      <diagonal/>
    </border>
    <border>
      <left style="dashed">
        <color rgb="FFB0BEC5"/>
      </left>
      <right style="dashed">
        <color rgb="FFB0BEC5"/>
      </right>
      <top/>
      <bottom style="dashed">
        <color rgb="FFBFC1C3"/>
      </bottom>
      <diagonal/>
    </border>
    <border>
      <left style="dashed">
        <color rgb="FFB0BEC5"/>
      </left>
      <right style="dashed">
        <color rgb="FFB0BEC5"/>
      </right>
      <top style="dashed">
        <color rgb="FFBFC1C3"/>
      </top>
      <bottom style="dashed">
        <color rgb="FFBFC1C3"/>
      </bottom>
      <diagonal/>
    </border>
    <border>
      <left style="dashed">
        <color rgb="FFB0BEC5"/>
      </left>
      <right style="dashed">
        <color rgb="FFB0BEC5"/>
      </right>
      <top style="dashed">
        <color rgb="FFBFC1C3"/>
      </top>
      <bottom style="thick">
        <color rgb="FFBFC1C3"/>
      </bottom>
      <diagonal/>
    </border>
    <border>
      <left style="thin">
        <color rgb="FF455A64"/>
      </left>
      <right/>
      <top/>
      <bottom/>
      <diagonal/>
    </border>
    <border>
      <left/>
      <right style="thick">
        <color rgb="FFB0BEC5"/>
      </right>
      <top style="dashed">
        <color rgb="FFB0BEC5"/>
      </top>
      <bottom style="dashed">
        <color rgb="FFB0BEC5"/>
      </bottom>
      <diagonal/>
    </border>
    <border>
      <left style="dashed">
        <color rgb="FFB0BEC5"/>
      </left>
      <right style="dashed">
        <color rgb="FFB0BEC5"/>
      </right>
      <top style="dashed">
        <color rgb="FFB0BEC5"/>
      </top>
      <bottom style="thick">
        <color rgb="FFB0BEC5"/>
      </bottom>
      <diagonal/>
    </border>
    <border>
      <left/>
      <right style="thin">
        <color rgb="FF455A64"/>
      </right>
      <top/>
      <bottom/>
      <diagonal/>
    </border>
    <border>
      <left style="thin">
        <color indexed="64"/>
      </left>
      <right style="thin">
        <color indexed="64"/>
      </right>
      <top/>
      <bottom style="thick">
        <color rgb="FFBFC1C3"/>
      </bottom>
      <diagonal/>
    </border>
    <border>
      <left style="thin">
        <color auto="1"/>
      </left>
      <right/>
      <top/>
      <bottom/>
      <diagonal/>
    </border>
    <border>
      <left style="thin">
        <color theme="1"/>
      </left>
      <right/>
      <top/>
      <bottom/>
      <diagonal/>
    </border>
    <border>
      <left style="thin">
        <color theme="1"/>
      </left>
      <right style="thick">
        <color rgb="FFBFC1C3"/>
      </right>
      <top/>
      <bottom style="dotted">
        <color rgb="FFBFC1C3"/>
      </bottom>
      <diagonal/>
    </border>
    <border>
      <left style="thin">
        <color theme="1"/>
      </left>
      <right style="thick">
        <color rgb="FFBFC1C3"/>
      </right>
      <top style="dotted">
        <color rgb="FFBFC1C3"/>
      </top>
      <bottom style="thick">
        <color rgb="FFBFC1C3"/>
      </bottom>
      <diagonal/>
    </border>
    <border>
      <left style="thick">
        <color rgb="FFBFC1C3"/>
      </left>
      <right style="thick">
        <color rgb="FFBFC1C3"/>
      </right>
      <top/>
      <bottom style="dotted">
        <color rgb="FF90A4AE"/>
      </bottom>
      <diagonal/>
    </border>
    <border>
      <left style="thin">
        <color theme="1"/>
      </left>
      <right/>
      <top/>
      <bottom style="thick">
        <color rgb="FFBFC1C3"/>
      </bottom>
      <diagonal/>
    </border>
    <border>
      <left/>
      <right style="thin">
        <color rgb="FF455A64"/>
      </right>
      <top/>
      <bottom style="dotted">
        <color rgb="FFBFC1C3"/>
      </bottom>
      <diagonal/>
    </border>
    <border>
      <left/>
      <right style="thin">
        <color auto="1"/>
      </right>
      <top style="dotted">
        <color rgb="FFBFC1C3"/>
      </top>
      <bottom style="dotted">
        <color rgb="FFBFC1C3"/>
      </bottom>
      <diagonal/>
    </border>
    <border>
      <left/>
      <right style="thin">
        <color rgb="FF455A64"/>
      </right>
      <top style="dotted">
        <color rgb="FFBFC1C3"/>
      </top>
      <bottom style="thick">
        <color rgb="FFBFC1C3"/>
      </bottom>
      <diagonal/>
    </border>
    <border>
      <left style="thick">
        <color rgb="FFB0BEC5"/>
      </left>
      <right/>
      <top style="thick">
        <color rgb="FFB0BEC5"/>
      </top>
      <bottom/>
      <diagonal/>
    </border>
    <border>
      <left/>
      <right/>
      <top style="thick">
        <color rgb="FFB0BEC5"/>
      </top>
      <bottom/>
      <diagonal/>
    </border>
    <border>
      <left/>
      <right style="thick">
        <color rgb="FFB0BEC5"/>
      </right>
      <top style="thick">
        <color rgb="FFB0BEC5"/>
      </top>
      <bottom/>
      <diagonal/>
    </border>
    <border>
      <left style="thick">
        <color rgb="FFB0BEC5"/>
      </left>
      <right/>
      <top/>
      <bottom/>
      <diagonal/>
    </border>
    <border>
      <left style="thin">
        <color rgb="FF455A64"/>
      </left>
      <right style="thick">
        <color rgb="FFB0BEC5"/>
      </right>
      <top/>
      <bottom/>
      <diagonal/>
    </border>
    <border>
      <left style="thin">
        <color rgb="FF455A64"/>
      </left>
      <right style="thick">
        <color rgb="FFB0BEC5"/>
      </right>
      <top style="dashed">
        <color rgb="FFB0BEC5"/>
      </top>
      <bottom/>
      <diagonal/>
    </border>
    <border>
      <left style="thin">
        <color rgb="FF455A64"/>
      </left>
      <right style="thick">
        <color rgb="FFB0BEC5"/>
      </right>
      <top style="medium">
        <color rgb="FF6F777B"/>
      </top>
      <bottom style="thick">
        <color rgb="FFB0BEC5"/>
      </bottom>
      <diagonal/>
    </border>
    <border>
      <left style="dotted">
        <color rgb="FF90A4AE"/>
      </left>
      <right/>
      <top style="dotted">
        <color rgb="FF90A4AE"/>
      </top>
      <bottom style="thick">
        <color rgb="FFB0BEC5"/>
      </bottom>
      <diagonal/>
    </border>
    <border>
      <left style="thin">
        <color auto="1"/>
      </left>
      <right/>
      <top/>
      <bottom style="thick">
        <color rgb="FFBFC1C3"/>
      </bottom>
      <diagonal/>
    </border>
    <border>
      <left style="thin">
        <color auto="1"/>
      </left>
      <right/>
      <top style="thin">
        <color auto="1"/>
      </top>
      <bottom style="dotted">
        <color rgb="FFBFC1C3"/>
      </bottom>
      <diagonal/>
    </border>
    <border>
      <left style="thick">
        <color rgb="FFBFC1C3"/>
      </left>
      <right style="thick">
        <color rgb="FFBFC1C3"/>
      </right>
      <top style="dotted">
        <color rgb="FF90A4AE"/>
      </top>
      <bottom style="dotted">
        <color rgb="FFBFC1C3"/>
      </bottom>
      <diagonal/>
    </border>
    <border>
      <left style="thick">
        <color rgb="FFBFC1C3"/>
      </left>
      <right style="thick">
        <color rgb="FFBFC1C3"/>
      </right>
      <top style="dotted">
        <color rgb="FF90A4AE"/>
      </top>
      <bottom style="thick">
        <color rgb="FFBFC1C3"/>
      </bottom>
      <diagonal/>
    </border>
    <border>
      <left/>
      <right style="thin">
        <color rgb="FF0B0C0C"/>
      </right>
      <top/>
      <bottom/>
      <diagonal/>
    </border>
    <border>
      <left style="dotted">
        <color rgb="FF90A4AE"/>
      </left>
      <right style="thick">
        <color rgb="FFBFC1C3"/>
      </right>
      <top style="dotted">
        <color rgb="FF90A4AE"/>
      </top>
      <bottom style="thick">
        <color rgb="FFB0BEC5"/>
      </bottom>
      <diagonal/>
    </border>
    <border>
      <left/>
      <right/>
      <top/>
      <bottom style="dotted">
        <color rgb="FF90A4AE"/>
      </bottom>
      <diagonal/>
    </border>
    <border>
      <left style="thin">
        <color auto="1"/>
      </left>
      <right/>
      <top style="dotted">
        <color rgb="FF90A4AE"/>
      </top>
      <bottom style="dotted">
        <color rgb="FF90A4AE"/>
      </bottom>
      <diagonal/>
    </border>
    <border>
      <left/>
      <right style="thin">
        <color auto="1"/>
      </right>
      <top style="dotted">
        <color rgb="FF90A4AE"/>
      </top>
      <bottom style="dotted">
        <color rgb="FF90A4AE"/>
      </bottom>
      <diagonal/>
    </border>
    <border>
      <left style="thin">
        <color auto="1"/>
      </left>
      <right/>
      <top style="dotted">
        <color rgb="FF90A4AE"/>
      </top>
      <bottom style="thick">
        <color rgb="FFBFC1C3"/>
      </bottom>
      <diagonal/>
    </border>
    <border>
      <left/>
      <right/>
      <top style="dotted">
        <color rgb="FF90A4AE"/>
      </top>
      <bottom style="thick">
        <color rgb="FFBFC1C3"/>
      </bottom>
      <diagonal/>
    </border>
    <border>
      <left/>
      <right style="thick">
        <color rgb="FFBFC1C3"/>
      </right>
      <top style="dotted">
        <color rgb="FF90A4AE"/>
      </top>
      <bottom style="thick">
        <color rgb="FFBFC1C3"/>
      </bottom>
      <diagonal/>
    </border>
    <border>
      <left style="thin">
        <color auto="1"/>
      </left>
      <right style="thin">
        <color indexed="64"/>
      </right>
      <top/>
      <bottom/>
      <diagonal/>
    </border>
    <border>
      <left/>
      <right style="thick">
        <color rgb="FFBFC1C3"/>
      </right>
      <top style="dotted">
        <color rgb="FFBFC1C3"/>
      </top>
      <bottom style="thick">
        <color rgb="FFBFC1C3"/>
      </bottom>
      <diagonal/>
    </border>
    <border>
      <left style="thin">
        <color theme="1"/>
      </left>
      <right/>
      <top style="dotted">
        <color rgb="FF90A4AE"/>
      </top>
      <bottom style="thick">
        <color rgb="FFBFC1C3"/>
      </bottom>
      <diagonal/>
    </border>
    <border>
      <left style="thick">
        <color rgb="FFBFC1C3"/>
      </left>
      <right/>
      <top/>
      <bottom style="dashed">
        <color rgb="FFBFC1C3"/>
      </bottom>
      <diagonal/>
    </border>
    <border>
      <left/>
      <right style="thin">
        <color rgb="FF455A64"/>
      </right>
      <top/>
      <bottom style="dashed">
        <color rgb="FFBFC1C3"/>
      </bottom>
      <diagonal/>
    </border>
    <border>
      <left style="thick">
        <color rgb="FFBFC1C3"/>
      </left>
      <right/>
      <top style="dashed">
        <color rgb="FFBFC1C3"/>
      </top>
      <bottom style="dashed">
        <color rgb="FFBFC1C3"/>
      </bottom>
      <diagonal/>
    </border>
    <border>
      <left/>
      <right style="thin">
        <color rgb="FF455A64"/>
      </right>
      <top style="dashed">
        <color rgb="FFBFC1C3"/>
      </top>
      <bottom style="dashed">
        <color rgb="FFBFC1C3"/>
      </bottom>
      <diagonal/>
    </border>
    <border>
      <left style="thick">
        <color rgb="FFBFC1C3"/>
      </left>
      <right/>
      <top style="dashed">
        <color rgb="FFBFC1C3"/>
      </top>
      <bottom style="thick">
        <color rgb="FFBFC1C3"/>
      </bottom>
      <diagonal/>
    </border>
    <border>
      <left/>
      <right style="thin">
        <color rgb="FF455A64"/>
      </right>
      <top style="dashed">
        <color rgb="FFBFC1C3"/>
      </top>
      <bottom style="thick">
        <color rgb="FFBFC1C3"/>
      </bottom>
      <diagonal/>
    </border>
    <border>
      <left/>
      <right/>
      <top/>
      <bottom style="dashed">
        <color rgb="FFBFC1C3"/>
      </bottom>
      <diagonal/>
    </border>
    <border>
      <left/>
      <right/>
      <top style="dashed">
        <color rgb="FFBFC1C3"/>
      </top>
      <bottom style="dashed">
        <color rgb="FFBFC1C3"/>
      </bottom>
      <diagonal/>
    </border>
    <border>
      <left/>
      <right/>
      <top style="dashed">
        <color rgb="FFBFC1C3"/>
      </top>
      <bottom style="thick">
        <color rgb="FFBFC1C3"/>
      </bottom>
      <diagonal/>
    </border>
    <border>
      <left/>
      <right style="thin">
        <color theme="1"/>
      </right>
      <top/>
      <bottom/>
      <diagonal/>
    </border>
    <border>
      <left style="thin">
        <color rgb="FF455A64"/>
      </left>
      <right/>
      <top/>
      <bottom style="thick">
        <color rgb="FFBFC1C3"/>
      </bottom>
      <diagonal/>
    </border>
    <border>
      <left style="thin">
        <color rgb="FF455A64"/>
      </left>
      <right/>
      <top/>
      <bottom style="dotted">
        <color rgb="FF90A4AE"/>
      </bottom>
      <diagonal/>
    </border>
    <border>
      <left style="thin">
        <color auto="1"/>
      </left>
      <right/>
      <top style="thin">
        <color indexed="64"/>
      </top>
      <bottom style="dotted">
        <color rgb="FF90A4AE"/>
      </bottom>
      <diagonal/>
    </border>
    <border>
      <left/>
      <right style="thin">
        <color auto="1"/>
      </right>
      <top style="thin">
        <color indexed="64"/>
      </top>
      <bottom style="dotted">
        <color rgb="FF90A4AE"/>
      </bottom>
      <diagonal/>
    </border>
    <border>
      <left/>
      <right style="thin">
        <color theme="1"/>
      </right>
      <top style="thin">
        <color indexed="64"/>
      </top>
      <bottom style="dotted">
        <color rgb="FFBFC1C3"/>
      </bottom>
      <diagonal/>
    </border>
    <border>
      <left/>
      <right style="thin">
        <color auto="1"/>
      </right>
      <top style="thin">
        <color indexed="64"/>
      </top>
      <bottom style="dotted">
        <color rgb="FFBFC1C3"/>
      </bottom>
      <diagonal/>
    </border>
    <border>
      <left/>
      <right/>
      <top style="thin">
        <color indexed="64"/>
      </top>
      <bottom style="dotted">
        <color rgb="FF90A4AE"/>
      </bottom>
      <diagonal/>
    </border>
    <border>
      <left style="thin">
        <color theme="1"/>
      </left>
      <right/>
      <top style="thin">
        <color indexed="64"/>
      </top>
      <bottom style="dotted">
        <color rgb="FF90A4AE"/>
      </bottom>
      <diagonal/>
    </border>
    <border>
      <left/>
      <right style="thick">
        <color rgb="FFBFC1C3"/>
      </right>
      <top style="thin">
        <color indexed="64"/>
      </top>
      <bottom style="dotted">
        <color rgb="FF90A4AE"/>
      </bottom>
      <diagonal/>
    </border>
    <border>
      <left/>
      <right style="thin">
        <color theme="1"/>
      </right>
      <top style="dotted">
        <color rgb="FFBFC1C3"/>
      </top>
      <bottom style="thick">
        <color rgb="FFBFC1C3"/>
      </bottom>
      <diagonal/>
    </border>
    <border>
      <left style="dotted">
        <color rgb="FF90A4AE"/>
      </left>
      <right style="dotted">
        <color rgb="FF90A4AE"/>
      </right>
      <top style="dotted">
        <color rgb="FF90A4AE"/>
      </top>
      <bottom style="thick">
        <color rgb="FFB0BEC5"/>
      </bottom>
      <diagonal/>
    </border>
    <border>
      <left/>
      <right style="thin">
        <color theme="1"/>
      </right>
      <top/>
      <bottom style="thick">
        <color rgb="FFBFC1C3"/>
      </bottom>
      <diagonal/>
    </border>
    <border>
      <left/>
      <right style="thin">
        <color rgb="FF455A64"/>
      </right>
      <top style="dashed">
        <color rgb="FFB0BEC5"/>
      </top>
      <bottom/>
      <diagonal/>
    </border>
    <border>
      <left/>
      <right style="thin">
        <color rgb="FF455A64"/>
      </right>
      <top/>
      <bottom style="thick">
        <color rgb="FFBFC1C3"/>
      </bottom>
      <diagonal/>
    </border>
    <border>
      <left style="thin">
        <color rgb="FF455A64"/>
      </left>
      <right style="thin">
        <color rgb="FF455A64"/>
      </right>
      <top/>
      <bottom/>
      <diagonal/>
    </border>
    <border>
      <left/>
      <right style="thin">
        <color rgb="FF455A64"/>
      </right>
      <top style="dashed">
        <color rgb="FFB0BEC5"/>
      </top>
      <bottom style="dotted">
        <color rgb="FFBFC1C3"/>
      </bottom>
      <diagonal/>
    </border>
    <border>
      <left style="thick">
        <color rgb="FFB0BEC5"/>
      </left>
      <right/>
      <top style="dashed">
        <color rgb="FFB0BEC5"/>
      </top>
      <bottom style="thick">
        <color rgb="FFB0BEC5"/>
      </bottom>
      <diagonal/>
    </border>
    <border>
      <left/>
      <right style="thin">
        <color rgb="FF455A64"/>
      </right>
      <top style="dashed">
        <color rgb="FFB0BEC5"/>
      </top>
      <bottom style="thick">
        <color rgb="FFB0BEC5"/>
      </bottom>
      <diagonal/>
    </border>
    <border>
      <left style="thin">
        <color rgb="FF455A64"/>
      </left>
      <right style="thin">
        <color rgb="FF455A64"/>
      </right>
      <top style="dashed">
        <color rgb="FFB0BEC5"/>
      </top>
      <bottom style="thick">
        <color rgb="FFBFC1C3"/>
      </bottom>
      <diagonal/>
    </border>
    <border>
      <left style="thin">
        <color rgb="FF455A64"/>
      </left>
      <right style="thin">
        <color rgb="FF455A64"/>
      </right>
      <top/>
      <bottom style="thin">
        <color rgb="FF455A64"/>
      </bottom>
      <diagonal/>
    </border>
    <border>
      <left style="dashed">
        <color rgb="FFB0BEC5"/>
      </left>
      <right style="thin">
        <color rgb="FF455A64"/>
      </right>
      <top/>
      <bottom style="dashed">
        <color rgb="FFB0BEC5"/>
      </bottom>
      <diagonal/>
    </border>
    <border>
      <left/>
      <right style="thick">
        <color rgb="FFBFC1C3"/>
      </right>
      <top/>
      <bottom style="dotted">
        <color rgb="FFBFC1C3"/>
      </bottom>
      <diagonal/>
    </border>
    <border>
      <left style="thin">
        <color rgb="FF455A64"/>
      </left>
      <right/>
      <top style="thin">
        <color rgb="FF455A64"/>
      </top>
      <bottom/>
      <diagonal/>
    </border>
    <border>
      <left/>
      <right/>
      <top style="thin">
        <color rgb="FF455A64"/>
      </top>
      <bottom/>
      <diagonal/>
    </border>
    <border>
      <left style="thin">
        <color rgb="FF455A64"/>
      </left>
      <right/>
      <top style="dotted">
        <color rgb="FFBFC1C3"/>
      </top>
      <bottom style="dotted">
        <color rgb="FFBFC1C3"/>
      </bottom>
      <diagonal/>
    </border>
    <border>
      <left/>
      <right/>
      <top style="dotted">
        <color rgb="FF90A4AE"/>
      </top>
      <bottom style="dotted">
        <color rgb="FF90A4AE"/>
      </bottom>
      <diagonal/>
    </border>
    <border>
      <left style="thin">
        <color rgb="FF455A64"/>
      </left>
      <right style="thin">
        <color rgb="FF455A64"/>
      </right>
      <top style="thin">
        <color rgb="FF455A64"/>
      </top>
      <bottom style="dashed">
        <color rgb="FFB0BEC5"/>
      </bottom>
      <diagonal/>
    </border>
    <border>
      <left style="thin">
        <color rgb="FF455A64"/>
      </left>
      <right style="thin">
        <color rgb="FF455A64"/>
      </right>
      <top style="dashed">
        <color rgb="FFB0BEC5"/>
      </top>
      <bottom style="dashed">
        <color rgb="FFB0BEC5"/>
      </bottom>
      <diagonal/>
    </border>
    <border>
      <left style="thin">
        <color rgb="FF455A64"/>
      </left>
      <right/>
      <top style="dotted">
        <color rgb="FFBFC1C3"/>
      </top>
      <bottom style="thick">
        <color rgb="FFBFC1C3"/>
      </bottom>
      <diagonal/>
    </border>
    <border>
      <left style="thick">
        <color rgb="FFBFC1C3"/>
      </left>
      <right style="thin">
        <color rgb="FF455A64"/>
      </right>
      <top/>
      <bottom style="thin">
        <color rgb="FF455A64"/>
      </bottom>
      <diagonal/>
    </border>
    <border>
      <left style="thin">
        <color rgb="FF455A64"/>
      </left>
      <right style="thick">
        <color rgb="FFBFC1C3"/>
      </right>
      <top/>
      <bottom style="thin">
        <color rgb="FF455A64"/>
      </bottom>
      <diagonal/>
    </border>
    <border>
      <left style="thin">
        <color rgb="FF455A64"/>
      </left>
      <right/>
      <top style="thin">
        <color rgb="FF455A64"/>
      </top>
      <bottom style="dotted">
        <color rgb="FFBFC1C3"/>
      </bottom>
      <diagonal/>
    </border>
    <border>
      <left/>
      <right style="thin">
        <color rgb="FF455A64"/>
      </right>
      <top style="thin">
        <color rgb="FF455A64"/>
      </top>
      <bottom style="dotted">
        <color rgb="FFBFC1C3"/>
      </bottom>
      <diagonal/>
    </border>
    <border>
      <left style="thick">
        <color rgb="FFDEE0E2"/>
      </left>
      <right/>
      <top style="thick">
        <color rgb="FFDEE0E2"/>
      </top>
      <bottom/>
      <diagonal/>
    </border>
    <border>
      <left style="thick">
        <color rgb="FFDEE0E2"/>
      </left>
      <right/>
      <top/>
      <bottom/>
      <diagonal/>
    </border>
    <border>
      <left style="thick">
        <color rgb="FFDEE0E2"/>
      </left>
      <right/>
      <top/>
      <bottom style="thick">
        <color rgb="FFDEE0E2"/>
      </bottom>
      <diagonal/>
    </border>
    <border>
      <left style="thin">
        <color rgb="FF455A64"/>
      </left>
      <right style="thin">
        <color rgb="FF455A64"/>
      </right>
      <top style="thin">
        <color rgb="FF455A64"/>
      </top>
      <bottom style="thick">
        <color rgb="FFBFC1C3"/>
      </bottom>
      <diagonal/>
    </border>
    <border>
      <left style="thick">
        <color rgb="FFBFC1C3"/>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bottom style="thin">
        <color indexed="64"/>
      </bottom>
      <diagonal/>
    </border>
    <border>
      <left/>
      <right style="thick">
        <color rgb="FFBFC1C3"/>
      </right>
      <top/>
      <bottom style="thin">
        <color indexed="64"/>
      </bottom>
      <diagonal/>
    </border>
    <border>
      <left style="dashed">
        <color rgb="FF455A64"/>
      </left>
      <right style="dashed">
        <color rgb="FF455A64"/>
      </right>
      <top/>
      <bottom/>
      <diagonal/>
    </border>
    <border>
      <left/>
      <right style="dashed">
        <color auto="1"/>
      </right>
      <top/>
      <bottom/>
      <diagonal/>
    </border>
    <border>
      <left style="thin">
        <color rgb="FF455A64"/>
      </left>
      <right style="dashed">
        <color rgb="FFB0BEC5"/>
      </right>
      <top/>
      <bottom style="dashed">
        <color rgb="FFB0BEC5"/>
      </bottom>
      <diagonal/>
    </border>
    <border>
      <left style="dashed">
        <color rgb="FF455A64"/>
      </left>
      <right style="dashed">
        <color rgb="FF455A64"/>
      </right>
      <top/>
      <bottom style="dashed">
        <color rgb="FFBFC1C3"/>
      </bottom>
      <diagonal/>
    </border>
    <border>
      <left style="dashed">
        <color rgb="FF455A64"/>
      </left>
      <right/>
      <top/>
      <bottom style="dashed">
        <color rgb="FFBFC1C3"/>
      </bottom>
      <diagonal/>
    </border>
    <border>
      <left/>
      <right style="dashed">
        <color auto="1"/>
      </right>
      <top/>
      <bottom style="dashed">
        <color rgb="FFBFC1C3"/>
      </bottom>
      <diagonal/>
    </border>
    <border>
      <left/>
      <right style="dashed">
        <color rgb="FF455A64"/>
      </right>
      <top/>
      <bottom style="dashed">
        <color rgb="FFBFC1C3"/>
      </bottom>
      <diagonal/>
    </border>
    <border>
      <left style="dashed">
        <color rgb="FF455A64"/>
      </left>
      <right/>
      <top/>
      <bottom style="dashed">
        <color rgb="FF455A64"/>
      </bottom>
      <diagonal/>
    </border>
    <border>
      <left/>
      <right/>
      <top/>
      <bottom style="dashed">
        <color rgb="FF455A64"/>
      </bottom>
      <diagonal/>
    </border>
    <border>
      <left style="medium">
        <color auto="1"/>
      </left>
      <right/>
      <top/>
      <bottom/>
      <diagonal/>
    </border>
    <border>
      <left style="medium">
        <color auto="1"/>
      </left>
      <right/>
      <top/>
      <bottom style="thick">
        <color rgb="FFBFC1C3"/>
      </bottom>
      <diagonal/>
    </border>
    <border>
      <left style="thin">
        <color indexed="64"/>
      </left>
      <right style="thin">
        <color indexed="64"/>
      </right>
      <top style="thin">
        <color indexed="64"/>
      </top>
      <bottom style="thin">
        <color indexed="64"/>
      </bottom>
      <diagonal/>
    </border>
    <border>
      <left style="dashed">
        <color rgb="FFB0BEC5"/>
      </left>
      <right/>
      <top style="dashed">
        <color rgb="FFBFC1C3"/>
      </top>
      <bottom style="dashed">
        <color rgb="FFBFC1C3"/>
      </bottom>
      <diagonal/>
    </border>
    <border>
      <left style="dashed">
        <color rgb="FFB0BEC5"/>
      </left>
      <right/>
      <top style="dashed">
        <color rgb="FFBFC1C3"/>
      </top>
      <bottom style="thick">
        <color rgb="FFBFC1C3"/>
      </bottom>
      <diagonal/>
    </border>
    <border>
      <left/>
      <right style="dashed">
        <color rgb="FFB0BEC5"/>
      </right>
      <top style="dashed">
        <color rgb="FFB0BEC5"/>
      </top>
      <bottom/>
      <diagonal/>
    </border>
    <border>
      <left style="dashed">
        <color rgb="FFBFC1C3"/>
      </left>
      <right style="dashed">
        <color rgb="FFBFC1C3"/>
      </right>
      <top/>
      <bottom style="dashed">
        <color rgb="FFBFC1C3"/>
      </bottom>
      <diagonal/>
    </border>
    <border>
      <left style="dashed">
        <color rgb="FFBFC1C3"/>
      </left>
      <right style="dashed">
        <color rgb="FFBFC1C3"/>
      </right>
      <top style="dashed">
        <color rgb="FFBFC1C3"/>
      </top>
      <bottom style="dashed">
        <color rgb="FFBFC1C3"/>
      </bottom>
      <diagonal/>
    </border>
    <border>
      <left/>
      <right style="dashed">
        <color rgb="FFBFC1C3"/>
      </right>
      <top style="dashed">
        <color rgb="FFBFC1C3"/>
      </top>
      <bottom style="thick">
        <color rgb="FFBFC1C3"/>
      </bottom>
      <diagonal/>
    </border>
    <border>
      <left style="dashed">
        <color rgb="FFBFC1C3"/>
      </left>
      <right style="dashed">
        <color rgb="FFBFC1C3"/>
      </right>
      <top style="dashed">
        <color rgb="FFBFC1C3"/>
      </top>
      <bottom style="thick">
        <color rgb="FFBFC1C3"/>
      </bottom>
      <diagonal/>
    </border>
    <border>
      <left style="dashed">
        <color rgb="FFBFC1C3"/>
      </left>
      <right/>
      <top/>
      <bottom style="dashed">
        <color rgb="FFBFC1C3"/>
      </bottom>
      <diagonal/>
    </border>
    <border>
      <left style="dashed">
        <color rgb="FFBFC1C3"/>
      </left>
      <right/>
      <top style="dashed">
        <color rgb="FFBFC1C3"/>
      </top>
      <bottom style="dashed">
        <color rgb="FFBFC1C3"/>
      </bottom>
      <diagonal/>
    </border>
    <border>
      <left style="dashed">
        <color rgb="FFBFC1C3"/>
      </left>
      <right/>
      <top style="dashed">
        <color rgb="FFBFC1C3"/>
      </top>
      <bottom style="thick">
        <color rgb="FFBFC1C3"/>
      </bottom>
      <diagonal/>
    </border>
    <border>
      <left style="thin">
        <color auto="1"/>
      </left>
      <right style="dashed">
        <color rgb="FFBFC1C3"/>
      </right>
      <top/>
      <bottom style="dashed">
        <color rgb="FFBFC1C3"/>
      </bottom>
      <diagonal/>
    </border>
    <border>
      <left style="thin">
        <color auto="1"/>
      </left>
      <right style="dashed">
        <color rgb="FFBFC1C3"/>
      </right>
      <top style="dashed">
        <color rgb="FFBFC1C3"/>
      </top>
      <bottom style="dashed">
        <color rgb="FFBFC1C3"/>
      </bottom>
      <diagonal/>
    </border>
    <border>
      <left style="thin">
        <color auto="1"/>
      </left>
      <right style="dashed">
        <color rgb="FFBFC1C3"/>
      </right>
      <top style="dashed">
        <color rgb="FFBFC1C3"/>
      </top>
      <bottom style="thick">
        <color rgb="FFBFC1C3"/>
      </bottom>
      <diagonal/>
    </border>
    <border>
      <left/>
      <right style="thin">
        <color auto="1"/>
      </right>
      <top style="dashed">
        <color rgb="FFB0BEC5"/>
      </top>
      <bottom style="thick">
        <color rgb="FFBFC1C3"/>
      </bottom>
      <diagonal/>
    </border>
    <border>
      <left style="thin">
        <color auto="1"/>
      </left>
      <right style="dashed">
        <color rgb="FFBFC1C3"/>
      </right>
      <top style="dashed">
        <color rgb="FFB0BEC5"/>
      </top>
      <bottom style="thick">
        <color rgb="FFBFC1C3"/>
      </bottom>
      <diagonal/>
    </border>
    <border>
      <left style="dashed">
        <color rgb="FFBFC1C3"/>
      </left>
      <right/>
      <top style="dashed">
        <color rgb="FFB0BEC5"/>
      </top>
      <bottom style="thick">
        <color rgb="FFBFC1C3"/>
      </bottom>
      <diagonal/>
    </border>
    <border>
      <left style="dashed">
        <color rgb="FFBFC1C3"/>
      </left>
      <right style="dashed">
        <color rgb="FFBFC1C3"/>
      </right>
      <top style="dashed">
        <color rgb="FFB0BEC5"/>
      </top>
      <bottom style="thick">
        <color rgb="FFBFC1C3"/>
      </bottom>
      <diagonal/>
    </border>
    <border>
      <left style="dashed">
        <color rgb="FFBFC1C3"/>
      </left>
      <right/>
      <top style="thick">
        <color rgb="FFBFC1C3"/>
      </top>
      <bottom/>
      <diagonal/>
    </border>
    <border>
      <left style="dashed">
        <color rgb="FFBFC1C3"/>
      </left>
      <right/>
      <top style="dashed">
        <color rgb="FFB0BEC5"/>
      </top>
      <bottom style="dashed">
        <color rgb="FFB0BEC5"/>
      </bottom>
      <diagonal/>
    </border>
    <border>
      <left/>
      <right style="thin">
        <color auto="1"/>
      </right>
      <top style="dashed">
        <color rgb="FFB0BEC5"/>
      </top>
      <bottom style="dashed">
        <color rgb="FFB0BEC5"/>
      </bottom>
      <diagonal/>
    </border>
    <border>
      <left/>
      <right style="dashed">
        <color rgb="FFBFC1C3"/>
      </right>
      <top style="dashed">
        <color rgb="FFB0BEC5"/>
      </top>
      <bottom style="dashed">
        <color rgb="FFB0BEC5"/>
      </bottom>
      <diagonal/>
    </border>
    <border>
      <left/>
      <right style="dashed">
        <color rgb="FFBFC1C3"/>
      </right>
      <top style="dashed">
        <color rgb="FFB0BEC5"/>
      </top>
      <bottom style="thick">
        <color rgb="FFBFC1C3"/>
      </bottom>
      <diagonal/>
    </border>
    <border>
      <left style="thin">
        <color auto="1"/>
      </left>
      <right/>
      <top style="dashed">
        <color rgb="FFB0BEC5"/>
      </top>
      <bottom/>
      <diagonal/>
    </border>
    <border>
      <left style="thin">
        <color auto="1"/>
      </left>
      <right/>
      <top style="dashed">
        <color rgb="FFB0BEC5"/>
      </top>
      <bottom style="thick">
        <color rgb="FFBFC1C3"/>
      </bottom>
      <diagonal/>
    </border>
    <border>
      <left style="dashed">
        <color rgb="FF455A64"/>
      </left>
      <right/>
      <top style="dashed">
        <color rgb="FF455A64"/>
      </top>
      <bottom style="dashed">
        <color rgb="FFBFC1C3"/>
      </bottom>
      <diagonal/>
    </border>
    <border>
      <left/>
      <right/>
      <top style="dashed">
        <color rgb="FF455A64"/>
      </top>
      <bottom style="dashed">
        <color rgb="FFBFC1C3"/>
      </bottom>
      <diagonal/>
    </border>
    <border>
      <left/>
      <right style="dashed">
        <color rgb="FF455A64"/>
      </right>
      <top style="dashed">
        <color rgb="FF455A64"/>
      </top>
      <bottom style="dashed">
        <color rgb="FFBFC1C3"/>
      </bottom>
      <diagonal/>
    </border>
    <border>
      <left style="thick">
        <color rgb="FFBFC1C3"/>
      </left>
      <right style="thin">
        <color auto="1"/>
      </right>
      <top style="thick">
        <color rgb="FFBFC1C3"/>
      </top>
      <bottom/>
      <diagonal/>
    </border>
    <border>
      <left style="thin">
        <color auto="1"/>
      </left>
      <right style="thick">
        <color rgb="FFBFC1C3"/>
      </right>
      <top style="thick">
        <color rgb="FFBFC1C3"/>
      </top>
      <bottom/>
      <diagonal/>
    </border>
    <border>
      <left style="thick">
        <color rgb="FFBFC1C3"/>
      </left>
      <right style="thin">
        <color auto="1"/>
      </right>
      <top/>
      <bottom/>
      <diagonal/>
    </border>
    <border>
      <left style="thin">
        <color auto="1"/>
      </left>
      <right style="thick">
        <color rgb="FFBFC1C3"/>
      </right>
      <top/>
      <bottom/>
      <diagonal/>
    </border>
    <border>
      <left style="thick">
        <color rgb="FFBFC1C3"/>
      </left>
      <right style="thin">
        <color auto="1"/>
      </right>
      <top style="dashed">
        <color rgb="FFBFC1C3"/>
      </top>
      <bottom style="dashed">
        <color rgb="FFB0BEC5"/>
      </bottom>
      <diagonal/>
    </border>
    <border>
      <left style="thin">
        <color auto="1"/>
      </left>
      <right style="thick">
        <color rgb="FFBFC1C3"/>
      </right>
      <top/>
      <bottom style="dashed">
        <color rgb="FFB0BEC5"/>
      </bottom>
      <diagonal/>
    </border>
    <border>
      <left style="thin">
        <color auto="1"/>
      </left>
      <right style="thick">
        <color rgb="FFBFC1C3"/>
      </right>
      <top style="dashed">
        <color rgb="FFB0BEC5"/>
      </top>
      <bottom/>
      <diagonal/>
    </border>
    <border>
      <left style="thick">
        <color rgb="FFBFC1C3"/>
      </left>
      <right style="thin">
        <color auto="1"/>
      </right>
      <top style="dashed">
        <color rgb="FFB0BEC5"/>
      </top>
      <bottom style="thick">
        <color rgb="FFBFC1C3"/>
      </bottom>
      <diagonal/>
    </border>
    <border>
      <left style="thin">
        <color auto="1"/>
      </left>
      <right style="thick">
        <color rgb="FFBFC1C3"/>
      </right>
      <top/>
      <bottom style="thick">
        <color rgb="FFBFC1C3"/>
      </bottom>
      <diagonal/>
    </border>
    <border>
      <left style="thin">
        <color indexed="64"/>
      </left>
      <right/>
      <top style="dashed">
        <color rgb="FFBFC1C3"/>
      </top>
      <bottom style="dashed">
        <color rgb="FFBFC1C3"/>
      </bottom>
      <diagonal/>
    </border>
    <border>
      <left style="dashed">
        <color rgb="FFBFC1C3"/>
      </left>
      <right style="thin">
        <color auto="1"/>
      </right>
      <top style="dashed">
        <color rgb="FFBFC1C3"/>
      </top>
      <bottom style="dashed">
        <color rgb="FFB0BEC5"/>
      </bottom>
      <diagonal/>
    </border>
    <border>
      <left style="dashed">
        <color rgb="FFBFC1C3"/>
      </left>
      <right style="dashed">
        <color rgb="FFBFC1C3"/>
      </right>
      <top style="thick">
        <color rgb="FFBFC1C3"/>
      </top>
      <bottom/>
      <diagonal/>
    </border>
    <border>
      <left style="dashed">
        <color rgb="FFBFC1C3"/>
      </left>
      <right style="dashed">
        <color rgb="FFBFC1C3"/>
      </right>
      <top style="dashed">
        <color rgb="FFBFC1C3"/>
      </top>
      <bottom style="dashed">
        <color rgb="FFB0BEC5"/>
      </bottom>
      <diagonal/>
    </border>
    <border>
      <left/>
      <right style="dashed">
        <color rgb="FFB0BEC5"/>
      </right>
      <top style="dashed">
        <color rgb="FFB0BEC5"/>
      </top>
      <bottom style="thick">
        <color rgb="FFBFC1C3"/>
      </bottom>
      <diagonal/>
    </border>
    <border>
      <left style="thick">
        <color rgb="FFBFC1C3"/>
      </left>
      <right/>
      <top style="thick">
        <color rgb="FFBFC1C3"/>
      </top>
      <bottom style="dashed">
        <color rgb="FFB0BEC5"/>
      </bottom>
      <diagonal/>
    </border>
    <border>
      <left/>
      <right/>
      <top style="thick">
        <color rgb="FFBFC1C3"/>
      </top>
      <bottom style="dashed">
        <color rgb="FFB0BEC5"/>
      </bottom>
      <diagonal/>
    </border>
    <border>
      <left style="thin">
        <color indexed="64"/>
      </left>
      <right/>
      <top style="dashed">
        <color rgb="FFB0BEC5"/>
      </top>
      <bottom style="dashed">
        <color rgb="FFB0BEC5"/>
      </bottom>
      <diagonal/>
    </border>
    <border>
      <left/>
      <right/>
      <top/>
      <bottom style="thick">
        <color rgb="FFB0BEC5"/>
      </bottom>
      <diagonal/>
    </border>
    <border>
      <left style="thick">
        <color rgb="FFBFC1C3"/>
      </left>
      <right style="dashed">
        <color rgb="FF455A64"/>
      </right>
      <top/>
      <bottom/>
      <diagonal/>
    </border>
    <border>
      <left style="thin">
        <color indexed="64"/>
      </left>
      <right/>
      <top style="dashed">
        <color rgb="FFBFC1C3"/>
      </top>
      <bottom style="thick">
        <color rgb="FFBFC1C3"/>
      </bottom>
      <diagonal/>
    </border>
    <border>
      <left/>
      <right style="thick">
        <color rgb="FFBFC1C3"/>
      </right>
      <top style="thick">
        <color rgb="FFDEE0E2"/>
      </top>
      <bottom/>
      <diagonal/>
    </border>
    <border>
      <left/>
      <right style="thick">
        <color rgb="FFBFC1C3"/>
      </right>
      <top/>
      <bottom style="thick">
        <color rgb="FFDEE0E2"/>
      </bottom>
      <diagonal/>
    </border>
    <border>
      <left/>
      <right style="thick">
        <color rgb="FFBFC1C3"/>
      </right>
      <top style="thick">
        <color rgb="FFBFC1C3"/>
      </top>
      <bottom style="dashed">
        <color rgb="FFB0BEC5"/>
      </bottom>
      <diagonal/>
    </border>
    <border>
      <left/>
      <right style="dashed">
        <color rgb="FFB0BEC5"/>
      </right>
      <top style="dashed">
        <color rgb="FFBFC1C3"/>
      </top>
      <bottom style="dashed">
        <color rgb="FFBFC1C3"/>
      </bottom>
      <diagonal/>
    </border>
    <border>
      <left/>
      <right/>
      <top style="thin">
        <color indexed="64"/>
      </top>
      <bottom/>
      <diagonal/>
    </border>
    <border>
      <left/>
      <right style="thin">
        <color theme="0"/>
      </right>
      <top style="thick">
        <color rgb="FFDEE0E2"/>
      </top>
      <bottom/>
      <diagonal/>
    </border>
    <border>
      <left/>
      <right style="thin">
        <color theme="0"/>
      </right>
      <top/>
      <bottom/>
      <diagonal/>
    </border>
    <border>
      <left style="thin">
        <color theme="0"/>
      </left>
      <right/>
      <top style="thick">
        <color rgb="FFDEE0E2"/>
      </top>
      <bottom style="thin">
        <color theme="0"/>
      </bottom>
      <diagonal/>
    </border>
    <border>
      <left/>
      <right style="thin">
        <color theme="0"/>
      </right>
      <top style="thin">
        <color theme="0"/>
      </top>
      <bottom/>
      <diagonal/>
    </border>
    <border>
      <left/>
      <right style="thin">
        <color theme="0"/>
      </right>
      <top/>
      <bottom style="thick">
        <color rgb="FFBFC1C3"/>
      </bottom>
      <diagonal/>
    </border>
    <border>
      <left style="thin">
        <color theme="0"/>
      </left>
      <right style="thick">
        <color rgb="FFDEE0E2"/>
      </right>
      <top/>
      <bottom/>
      <diagonal/>
    </border>
    <border>
      <left style="thin">
        <color theme="0"/>
      </left>
      <right style="thick">
        <color rgb="FFBFC1C3"/>
      </right>
      <top/>
      <bottom style="thin">
        <color theme="0"/>
      </bottom>
      <diagonal/>
    </border>
    <border>
      <left style="thin">
        <color theme="0"/>
      </left>
      <right style="thick">
        <color rgb="FFBFC1C3"/>
      </right>
      <top/>
      <bottom/>
      <diagonal/>
    </border>
    <border>
      <left style="thin">
        <color theme="0"/>
      </left>
      <right style="thick">
        <color rgb="FFBFC1C3"/>
      </right>
      <top style="thin">
        <color theme="0"/>
      </top>
      <bottom/>
      <diagonal/>
    </border>
    <border>
      <left style="thin">
        <color theme="0"/>
      </left>
      <right style="thin">
        <color theme="0"/>
      </right>
      <top style="thin">
        <color theme="0"/>
      </top>
      <bottom/>
      <diagonal/>
    </border>
    <border>
      <left style="thick">
        <color rgb="FFBFC1C3"/>
      </left>
      <right style="thick">
        <color rgb="FFBFC1C3"/>
      </right>
      <top/>
      <bottom style="dashed">
        <color rgb="FFBFC1C3"/>
      </bottom>
      <diagonal/>
    </border>
    <border>
      <left style="thick">
        <color rgb="FFBFC1C3"/>
      </left>
      <right style="thick">
        <color rgb="FFBFC1C3"/>
      </right>
      <top style="dashed">
        <color rgb="FFBFC1C3"/>
      </top>
      <bottom style="dashed">
        <color rgb="FFBFC1C3"/>
      </bottom>
      <diagonal/>
    </border>
    <border>
      <left style="thick">
        <color rgb="FFBFC1C3"/>
      </left>
      <right style="dotted">
        <color rgb="FF90A4AE"/>
      </right>
      <top/>
      <bottom/>
      <diagonal/>
    </border>
    <border>
      <left style="dotted">
        <color rgb="FF90A4AE"/>
      </left>
      <right style="thick">
        <color rgb="FFBFC1C3"/>
      </right>
      <top/>
      <bottom/>
      <diagonal/>
    </border>
    <border>
      <left style="thin">
        <color theme="1"/>
      </left>
      <right style="thick">
        <color rgb="FFBFC1C3"/>
      </right>
      <top/>
      <bottom style="thick">
        <color rgb="FFBFC1C3"/>
      </bottom>
      <diagonal/>
    </border>
  </borders>
  <cellStyleXfs count="68">
    <xf numFmtId="0" fontId="0" fillId="34" borderId="0" applyNumberFormat="0" applyFont="0" applyBorder="0" applyAlignment="0"/>
    <xf numFmtId="167"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2" fontId="23" fillId="38" borderId="0"/>
    <xf numFmtId="0" fontId="22" fillId="33" borderId="11"/>
    <xf numFmtId="2" fontId="24" fillId="38" borderId="10">
      <alignment vertical="center"/>
    </xf>
    <xf numFmtId="2" fontId="38" fillId="42" borderId="16">
      <alignment horizontal="left" vertical="center" indent="1"/>
    </xf>
    <xf numFmtId="2" fontId="25" fillId="35" borderId="0">
      <alignment wrapText="1"/>
    </xf>
    <xf numFmtId="2" fontId="35" fillId="34" borderId="0" applyNumberFormat="0" applyBorder="0" applyAlignment="0"/>
    <xf numFmtId="0" fontId="31" fillId="36" borderId="0" applyNumberFormat="0" applyFill="0" applyBorder="0" applyAlignment="0" applyProtection="0"/>
    <xf numFmtId="0" fontId="36" fillId="0" borderId="0"/>
    <xf numFmtId="0" fontId="34" fillId="0" borderId="0"/>
    <xf numFmtId="0" fontId="4" fillId="0" borderId="0"/>
    <xf numFmtId="0" fontId="3" fillId="0" borderId="0"/>
    <xf numFmtId="0" fontId="2" fillId="0" borderId="0"/>
    <xf numFmtId="0" fontId="34" fillId="0" borderId="0"/>
    <xf numFmtId="0" fontId="1" fillId="0" borderId="0"/>
    <xf numFmtId="0" fontId="22" fillId="34" borderId="0" applyNumberFormat="0" applyFont="0" applyBorder="0" applyAlignment="0"/>
    <xf numFmtId="0" fontId="22" fillId="33" borderId="11"/>
    <xf numFmtId="0" fontId="31" fillId="36" borderId="0" applyNumberFormat="0" applyFill="0" applyBorder="0" applyAlignment="0" applyProtection="0"/>
    <xf numFmtId="0" fontId="1" fillId="0" borderId="0"/>
    <xf numFmtId="0" fontId="1" fillId="0" borderId="0"/>
    <xf numFmtId="0" fontId="1" fillId="0" borderId="0"/>
    <xf numFmtId="2" fontId="24" fillId="38" borderId="0">
      <alignment vertical="center"/>
    </xf>
  </cellStyleXfs>
  <cellXfs count="1130">
    <xf numFmtId="0" fontId="0" fillId="34" borderId="0" xfId="0"/>
    <xf numFmtId="0" fontId="0" fillId="34" borderId="0" xfId="0" applyAlignment="1">
      <alignment wrapText="1"/>
    </xf>
    <xf numFmtId="0" fontId="0" fillId="34" borderId="0" xfId="0" applyProtection="1"/>
    <xf numFmtId="0" fontId="0" fillId="34" borderId="0" xfId="0" applyAlignment="1" applyProtection="1">
      <alignment wrapText="1"/>
    </xf>
    <xf numFmtId="2" fontId="27" fillId="34" borderId="0" xfId="0" applyNumberFormat="1" applyFont="1" applyProtection="1"/>
    <xf numFmtId="2" fontId="26" fillId="34" borderId="0" xfId="0" applyNumberFormat="1" applyFont="1" applyAlignment="1" applyProtection="1">
      <alignment vertical="center"/>
    </xf>
    <xf numFmtId="0" fontId="0" fillId="34" borderId="0" xfId="0" applyBorder="1" applyAlignment="1" applyProtection="1">
      <alignment wrapText="1"/>
    </xf>
    <xf numFmtId="0" fontId="0" fillId="34" borderId="0" xfId="0" applyBorder="1" applyProtection="1"/>
    <xf numFmtId="0" fontId="0" fillId="34" borderId="0" xfId="0" applyBorder="1"/>
    <xf numFmtId="0" fontId="28" fillId="34" borderId="0" xfId="0" applyFont="1" applyAlignment="1" applyProtection="1"/>
    <xf numFmtId="0" fontId="28" fillId="34" borderId="0" xfId="0" applyFont="1" applyProtection="1"/>
    <xf numFmtId="0" fontId="28" fillId="34" borderId="0" xfId="0" applyFont="1" applyAlignment="1" applyProtection="1">
      <alignment wrapText="1"/>
    </xf>
    <xf numFmtId="2" fontId="28" fillId="34" borderId="0" xfId="0" applyNumberFormat="1" applyFont="1" applyProtection="1"/>
    <xf numFmtId="0" fontId="0" fillId="33" borderId="0" xfId="0" applyFill="1" applyProtection="1"/>
    <xf numFmtId="2" fontId="26" fillId="33" borderId="0" xfId="0" applyNumberFormat="1" applyFont="1" applyFill="1" applyAlignment="1">
      <alignment vertical="center" wrapText="1"/>
    </xf>
    <xf numFmtId="0" fontId="29" fillId="33" borderId="0" xfId="0" applyFont="1" applyFill="1" applyAlignment="1" applyProtection="1">
      <alignment horizontal="left" vertical="center"/>
    </xf>
    <xf numFmtId="0" fontId="29" fillId="33" borderId="0" xfId="0" applyFont="1" applyFill="1" applyProtection="1"/>
    <xf numFmtId="0" fontId="0" fillId="33" borderId="0" xfId="0" applyFont="1" applyFill="1" applyProtection="1"/>
    <xf numFmtId="0" fontId="32" fillId="33" borderId="0" xfId="53" applyFont="1" applyFill="1" applyAlignment="1" applyProtection="1">
      <alignment vertical="top"/>
    </xf>
    <xf numFmtId="0" fontId="25" fillId="33" borderId="0" xfId="0" applyFont="1" applyFill="1" applyAlignment="1" applyProtection="1">
      <alignment vertical="top"/>
    </xf>
    <xf numFmtId="0" fontId="0" fillId="33" borderId="0" xfId="0" applyFont="1" applyFill="1" applyAlignment="1" applyProtection="1">
      <alignment vertical="top"/>
    </xf>
    <xf numFmtId="0" fontId="0" fillId="33" borderId="0" xfId="0" applyFill="1"/>
    <xf numFmtId="0" fontId="0" fillId="33" borderId="0" xfId="0" applyFill="1" applyAlignment="1" applyProtection="1">
      <alignment vertical="top"/>
    </xf>
    <xf numFmtId="0" fontId="0" fillId="33" borderId="0" xfId="0" applyFill="1" applyBorder="1"/>
    <xf numFmtId="0" fontId="0" fillId="33" borderId="0" xfId="0" applyFill="1" applyBorder="1" applyProtection="1"/>
    <xf numFmtId="0" fontId="22" fillId="33" borderId="0" xfId="48" applyNumberFormat="1" applyFont="1" applyFill="1" applyBorder="1" applyAlignment="1">
      <alignment horizontal="center" vertical="center"/>
    </xf>
    <xf numFmtId="0" fontId="28" fillId="33" borderId="0" xfId="0" applyFont="1" applyFill="1" applyAlignment="1" applyProtection="1">
      <alignment vertical="top" wrapText="1"/>
    </xf>
    <xf numFmtId="0" fontId="0" fillId="33" borderId="0" xfId="0" applyFill="1" applyBorder="1" applyAlignment="1" applyProtection="1">
      <alignment horizontal="center" vertical="top" wrapText="1"/>
    </xf>
    <xf numFmtId="0" fontId="0" fillId="33" borderId="0" xfId="0" applyFill="1" applyAlignment="1" applyProtection="1">
      <alignment horizontal="center" vertical="top" wrapText="1"/>
    </xf>
    <xf numFmtId="0" fontId="0" fillId="33" borderId="0" xfId="0" applyFill="1" applyAlignment="1" applyProtection="1">
      <alignment horizontal="center" vertical="top" wrapText="1"/>
    </xf>
    <xf numFmtId="0" fontId="0" fillId="34" borderId="0" xfId="0" applyAlignment="1" applyProtection="1"/>
    <xf numFmtId="0" fontId="0" fillId="34" borderId="0" xfId="0" applyBorder="1" applyAlignment="1">
      <alignment wrapText="1"/>
    </xf>
    <xf numFmtId="0" fontId="28" fillId="34" borderId="0" xfId="0" applyFont="1" applyBorder="1" applyAlignment="1">
      <alignment vertical="top"/>
    </xf>
    <xf numFmtId="2" fontId="33" fillId="34" borderId="0" xfId="0" applyNumberFormat="1" applyFont="1" applyBorder="1" applyAlignment="1"/>
    <xf numFmtId="2" fontId="24" fillId="38" borderId="0" xfId="49" applyBorder="1">
      <alignment vertical="center"/>
    </xf>
    <xf numFmtId="0" fontId="0" fillId="34" borderId="0" xfId="0"/>
    <xf numFmtId="0" fontId="0" fillId="34" borderId="0" xfId="0" applyProtection="1"/>
    <xf numFmtId="0" fontId="25" fillId="33" borderId="0" xfId="0" applyFont="1" applyFill="1" applyProtection="1"/>
    <xf numFmtId="0" fontId="25" fillId="40" borderId="34" xfId="0" applyFont="1" applyFill="1" applyBorder="1" applyAlignment="1">
      <alignment horizontal="left" wrapText="1"/>
    </xf>
    <xf numFmtId="0" fontId="25" fillId="40" borderId="34" xfId="0" applyFont="1" applyFill="1" applyBorder="1" applyAlignment="1">
      <alignment horizontal="left"/>
    </xf>
    <xf numFmtId="0" fontId="25" fillId="40" borderId="19" xfId="0" applyFont="1" applyFill="1" applyBorder="1" applyAlignment="1">
      <alignment horizontal="left"/>
    </xf>
    <xf numFmtId="0" fontId="25" fillId="40" borderId="36" xfId="0" applyFont="1" applyFill="1" applyBorder="1" applyAlignment="1">
      <alignment horizontal="left"/>
    </xf>
    <xf numFmtId="0" fontId="25" fillId="40" borderId="32" xfId="0" applyFont="1" applyFill="1" applyBorder="1" applyAlignment="1">
      <alignment horizontal="left" wrapText="1"/>
    </xf>
    <xf numFmtId="0" fontId="25" fillId="40" borderId="19" xfId="0" applyFont="1" applyFill="1" applyBorder="1"/>
    <xf numFmtId="0" fontId="0" fillId="37" borderId="33" xfId="0" applyFont="1" applyFill="1" applyBorder="1" applyAlignment="1">
      <alignment horizontal="left"/>
    </xf>
    <xf numFmtId="0" fontId="25" fillId="40" borderId="34" xfId="0" applyFont="1" applyFill="1" applyBorder="1"/>
    <xf numFmtId="14" fontId="0" fillId="37" borderId="35" xfId="0" applyNumberFormat="1" applyFont="1" applyFill="1" applyBorder="1" applyAlignment="1">
      <alignment horizontal="left"/>
    </xf>
    <xf numFmtId="0" fontId="25" fillId="40" borderId="36" xfId="0" applyFont="1" applyFill="1" applyBorder="1"/>
    <xf numFmtId="0" fontId="0" fillId="37" borderId="31" xfId="0" applyFont="1" applyFill="1" applyBorder="1" applyAlignment="1">
      <alignment horizontal="left"/>
    </xf>
    <xf numFmtId="0" fontId="25" fillId="40" borderId="19" xfId="48" applyNumberFormat="1" applyFont="1" applyFill="1" applyBorder="1" applyAlignment="1">
      <alignment vertical="center"/>
    </xf>
    <xf numFmtId="0" fontId="25" fillId="40" borderId="34" xfId="48" applyNumberFormat="1" applyFont="1" applyFill="1" applyBorder="1" applyAlignment="1">
      <alignment vertical="center"/>
    </xf>
    <xf numFmtId="0" fontId="37" fillId="40" borderId="19" xfId="0" applyFont="1" applyFill="1" applyBorder="1" applyAlignment="1">
      <alignment horizontal="center" vertical="center" wrapText="1"/>
    </xf>
    <xf numFmtId="0" fontId="0" fillId="41" borderId="33" xfId="0" applyFont="1" applyFill="1" applyBorder="1" applyAlignment="1" applyProtection="1">
      <alignment horizontal="left" wrapText="1"/>
      <protection locked="0"/>
    </xf>
    <xf numFmtId="0" fontId="0" fillId="41" borderId="35" xfId="0" applyFont="1" applyFill="1" applyBorder="1" applyAlignment="1" applyProtection="1">
      <alignment horizontal="left"/>
      <protection locked="0"/>
    </xf>
    <xf numFmtId="0" fontId="0" fillId="41" borderId="31" xfId="0" applyFont="1" applyFill="1" applyBorder="1" applyAlignment="1" applyProtection="1">
      <alignment horizontal="left"/>
      <protection locked="0"/>
    </xf>
    <xf numFmtId="0" fontId="0" fillId="41" borderId="33" xfId="0" applyFont="1" applyFill="1" applyBorder="1" applyAlignment="1" applyProtection="1">
      <alignment horizontal="left"/>
      <protection locked="0"/>
    </xf>
    <xf numFmtId="49" fontId="0" fillId="41" borderId="35" xfId="0" applyNumberFormat="1" applyFont="1" applyFill="1" applyBorder="1" applyAlignment="1" applyProtection="1">
      <alignment horizontal="left"/>
      <protection locked="0"/>
    </xf>
    <xf numFmtId="22" fontId="0" fillId="41" borderId="35" xfId="0" applyNumberFormat="1" applyFont="1" applyFill="1" applyBorder="1" applyAlignment="1" applyProtection="1">
      <alignment horizontal="left"/>
      <protection locked="0"/>
    </xf>
    <xf numFmtId="49" fontId="0" fillId="41" borderId="31" xfId="0" applyNumberFormat="1" applyFont="1" applyFill="1" applyBorder="1" applyAlignment="1" applyProtection="1">
      <alignment horizontal="left"/>
      <protection locked="0"/>
    </xf>
    <xf numFmtId="49" fontId="0" fillId="41" borderId="33" xfId="0" applyNumberFormat="1" applyFont="1" applyFill="1" applyBorder="1" applyAlignment="1" applyProtection="1">
      <alignment horizontal="left"/>
      <protection locked="0"/>
    </xf>
    <xf numFmtId="0" fontId="0" fillId="41" borderId="33" xfId="48" applyNumberFormat="1" applyFont="1" applyFill="1" applyBorder="1" applyAlignment="1" applyProtection="1">
      <alignment horizontal="center" vertical="center"/>
      <protection locked="0"/>
    </xf>
    <xf numFmtId="0" fontId="0" fillId="41" borderId="35" xfId="48" applyNumberFormat="1" applyFont="1" applyFill="1" applyBorder="1" applyAlignment="1" applyProtection="1">
      <alignment horizontal="center" vertical="center"/>
      <protection locked="0"/>
    </xf>
    <xf numFmtId="0" fontId="25" fillId="40" borderId="46" xfId="0" applyFont="1" applyFill="1" applyBorder="1" applyAlignment="1">
      <alignment horizontal="left" vertical="top" wrapText="1"/>
    </xf>
    <xf numFmtId="22" fontId="0" fillId="41" borderId="35" xfId="0" applyNumberFormat="1" applyFont="1" applyFill="1" applyBorder="1" applyAlignment="1" applyProtection="1">
      <alignment horizontal="left"/>
    </xf>
    <xf numFmtId="0" fontId="0" fillId="41" borderId="48" xfId="0" applyFont="1" applyFill="1" applyBorder="1" applyAlignment="1" applyProtection="1">
      <alignment horizontal="left" wrapText="1"/>
    </xf>
    <xf numFmtId="0" fontId="0" fillId="41" borderId="35" xfId="0" applyFont="1" applyFill="1" applyBorder="1" applyAlignment="1" applyProtection="1">
      <alignment horizontal="left" wrapText="1"/>
    </xf>
    <xf numFmtId="0" fontId="35" fillId="34" borderId="0" xfId="0" applyNumberFormat="1" applyFont="1" applyAlignment="1" applyProtection="1">
      <alignment horizontal="left" vertical="top"/>
    </xf>
    <xf numFmtId="0" fontId="0" fillId="41" borderId="35" xfId="0" applyFont="1" applyFill="1" applyBorder="1" applyAlignment="1" applyProtection="1">
      <alignment horizontal="left"/>
    </xf>
    <xf numFmtId="0" fontId="0" fillId="40" borderId="49" xfId="0" applyFont="1" applyFill="1" applyBorder="1" applyAlignment="1" applyProtection="1">
      <alignment horizontal="left" wrapText="1"/>
    </xf>
    <xf numFmtId="0" fontId="32" fillId="33" borderId="0" xfId="53" applyFont="1" applyFill="1" applyAlignment="1" applyProtection="1">
      <alignment vertical="top"/>
      <protection locked="0"/>
    </xf>
    <xf numFmtId="0" fontId="25" fillId="43" borderId="57" xfId="0" applyFont="1" applyFill="1" applyBorder="1" applyAlignment="1" applyProtection="1">
      <alignment horizontal="left" wrapText="1"/>
      <protection locked="0"/>
    </xf>
    <xf numFmtId="0" fontId="0" fillId="41" borderId="58" xfId="0" applyFill="1" applyBorder="1" applyProtection="1">
      <protection locked="0"/>
    </xf>
    <xf numFmtId="0" fontId="0" fillId="41" borderId="58" xfId="0" applyFont="1" applyFill="1" applyBorder="1" applyAlignment="1" applyProtection="1">
      <alignment horizontal="left" wrapText="1"/>
      <protection locked="0"/>
    </xf>
    <xf numFmtId="0" fontId="25" fillId="43" borderId="60" xfId="0" applyFont="1" applyFill="1" applyBorder="1" applyAlignment="1" applyProtection="1">
      <alignment horizontal="left" wrapText="1"/>
      <protection locked="0"/>
    </xf>
    <xf numFmtId="0" fontId="0" fillId="41" borderId="61" xfId="0" applyFont="1" applyFill="1" applyBorder="1" applyAlignment="1" applyProtection="1">
      <alignment horizontal="left" wrapText="1"/>
      <protection locked="0"/>
    </xf>
    <xf numFmtId="2" fontId="24" fillId="38" borderId="0" xfId="49" applyFill="1" applyBorder="1" applyProtection="1">
      <alignment vertical="center"/>
    </xf>
    <xf numFmtId="2" fontId="24" fillId="38" borderId="0" xfId="49" applyFill="1" applyBorder="1" applyAlignment="1" applyProtection="1">
      <alignment vertical="center"/>
    </xf>
    <xf numFmtId="2" fontId="24" fillId="38" borderId="0" xfId="49" applyFill="1" applyBorder="1" applyAlignment="1" applyProtection="1">
      <alignment vertical="center" wrapText="1"/>
    </xf>
    <xf numFmtId="0" fontId="0" fillId="38" borderId="0" xfId="0" applyFill="1" applyBorder="1" applyProtection="1"/>
    <xf numFmtId="0" fontId="0" fillId="34" borderId="0" xfId="0" applyAlignment="1">
      <alignment horizontal="center"/>
    </xf>
    <xf numFmtId="0" fontId="0" fillId="34" borderId="0" xfId="0" applyAlignment="1" applyProtection="1">
      <alignment horizontal="center" wrapText="1"/>
    </xf>
    <xf numFmtId="0" fontId="25" fillId="40" borderId="70" xfId="0" applyFont="1" applyFill="1" applyBorder="1" applyAlignment="1">
      <alignment horizontal="left"/>
    </xf>
    <xf numFmtId="0" fontId="0" fillId="34" borderId="71" xfId="0" applyBorder="1" applyAlignment="1">
      <alignment horizontal="center"/>
    </xf>
    <xf numFmtId="0" fontId="0" fillId="40" borderId="35" xfId="0" applyFont="1" applyFill="1" applyBorder="1" applyAlignment="1" applyProtection="1">
      <alignment horizontal="left"/>
    </xf>
    <xf numFmtId="0" fontId="0" fillId="40" borderId="35" xfId="0" applyFont="1" applyFill="1" applyBorder="1" applyAlignment="1" applyProtection="1">
      <alignment horizontal="left" wrapText="1"/>
    </xf>
    <xf numFmtId="14" fontId="0" fillId="40" borderId="35" xfId="0" applyNumberFormat="1" applyFont="1" applyFill="1" applyBorder="1" applyAlignment="1" applyProtection="1">
      <alignment horizontal="left" wrapText="1"/>
    </xf>
    <xf numFmtId="49" fontId="0" fillId="41" borderId="58" xfId="0" applyNumberFormat="1" applyFont="1" applyFill="1" applyBorder="1" applyAlignment="1" applyProtection="1">
      <alignment horizontal="left" wrapText="1"/>
      <protection locked="0"/>
    </xf>
    <xf numFmtId="49" fontId="0" fillId="41" borderId="61" xfId="0" applyNumberFormat="1" applyFont="1" applyFill="1" applyBorder="1" applyAlignment="1" applyProtection="1">
      <alignment horizontal="left" wrapText="1"/>
      <protection locked="0"/>
    </xf>
    <xf numFmtId="0" fontId="0" fillId="34" borderId="0" xfId="0" applyAlignment="1" applyProtection="1">
      <alignment wrapText="1"/>
    </xf>
    <xf numFmtId="0" fontId="25" fillId="40" borderId="0" xfId="0" applyFont="1" applyFill="1" applyBorder="1" applyAlignment="1">
      <alignment horizontal="left"/>
    </xf>
    <xf numFmtId="0" fontId="0" fillId="33" borderId="0" xfId="0" applyFill="1" applyAlignment="1" applyProtection="1">
      <alignment vertical="top" wrapText="1"/>
    </xf>
    <xf numFmtId="14" fontId="0" fillId="34" borderId="0" xfId="0" applyNumberFormat="1" applyAlignment="1" applyProtection="1">
      <alignment horizontal="left"/>
    </xf>
    <xf numFmtId="0" fontId="0" fillId="34" borderId="0" xfId="0" applyNumberFormat="1" applyAlignment="1" applyProtection="1">
      <alignment horizontal="left"/>
    </xf>
    <xf numFmtId="14" fontId="0" fillId="34" borderId="0" xfId="0" applyNumberFormat="1" applyAlignment="1" applyProtection="1">
      <alignment horizontal="left" vertical="top"/>
    </xf>
    <xf numFmtId="0" fontId="0" fillId="37" borderId="58" xfId="0" applyNumberFormat="1" applyFont="1" applyFill="1" applyBorder="1" applyAlignment="1" applyProtection="1">
      <alignment horizontal="center" vertical="top" wrapText="1"/>
      <protection locked="0"/>
    </xf>
    <xf numFmtId="0" fontId="0" fillId="37" borderId="61" xfId="0" applyNumberFormat="1" applyFont="1" applyFill="1" applyBorder="1" applyAlignment="1" applyProtection="1">
      <alignment horizontal="center" vertical="top" wrapText="1"/>
      <protection locked="0"/>
    </xf>
    <xf numFmtId="2" fontId="38" fillId="42" borderId="18" xfId="50" applyBorder="1">
      <alignment horizontal="left" vertical="center" indent="1"/>
    </xf>
    <xf numFmtId="0" fontId="35" fillId="34" borderId="0" xfId="0" applyNumberFormat="1" applyFont="1" applyBorder="1" applyAlignment="1">
      <alignment vertical="top" wrapText="1"/>
    </xf>
    <xf numFmtId="0" fontId="0" fillId="34" borderId="0" xfId="0" applyAlignment="1" applyProtection="1">
      <alignment horizontal="center" wrapText="1"/>
    </xf>
    <xf numFmtId="2" fontId="38" fillId="42" borderId="18" xfId="50" applyBorder="1">
      <alignment horizontal="left" vertical="center" indent="1"/>
    </xf>
    <xf numFmtId="0" fontId="35" fillId="34" borderId="0" xfId="0" applyNumberFormat="1" applyFont="1" applyAlignment="1">
      <alignment wrapText="1"/>
    </xf>
    <xf numFmtId="0" fontId="35" fillId="34" borderId="0" xfId="0" applyNumberFormat="1" applyFont="1" applyAlignment="1">
      <alignment horizontal="left" vertical="top" wrapText="1"/>
    </xf>
    <xf numFmtId="0" fontId="35" fillId="34" borderId="0" xfId="0" applyNumberFormat="1" applyFont="1" applyAlignment="1">
      <alignment vertical="top" wrapText="1"/>
    </xf>
    <xf numFmtId="0" fontId="25" fillId="34" borderId="0" xfId="0" applyFont="1" applyBorder="1" applyAlignment="1">
      <alignment horizontal="left"/>
    </xf>
    <xf numFmtId="0" fontId="39" fillId="34" borderId="0" xfId="0" applyFont="1" applyBorder="1" applyAlignment="1">
      <alignment horizontal="left" vertical="center" indent="1"/>
    </xf>
    <xf numFmtId="0" fontId="35" fillId="34" borderId="0" xfId="0" applyNumberFormat="1" applyFont="1" applyAlignment="1">
      <alignment horizontal="left" vertical="top" wrapText="1" indent="1"/>
    </xf>
    <xf numFmtId="0" fontId="35" fillId="34" borderId="0" xfId="0" applyNumberFormat="1" applyFont="1" applyBorder="1" applyAlignment="1">
      <alignment horizontal="left" vertical="top" wrapText="1"/>
    </xf>
    <xf numFmtId="0" fontId="35" fillId="34" borderId="0" xfId="0" applyNumberFormat="1" applyFont="1"/>
    <xf numFmtId="0" fontId="35" fillId="34" borderId="0" xfId="52" applyNumberFormat="1"/>
    <xf numFmtId="1" fontId="0" fillId="41" borderId="33" xfId="0" applyNumberFormat="1" applyFont="1" applyFill="1" applyBorder="1" applyAlignment="1" applyProtection="1">
      <alignment horizontal="left"/>
      <protection locked="0"/>
    </xf>
    <xf numFmtId="1" fontId="0" fillId="0" borderId="37" xfId="0" applyNumberFormat="1" applyFont="1" applyFill="1" applyBorder="1" applyAlignment="1" applyProtection="1">
      <alignment horizontal="left"/>
      <protection locked="0"/>
    </xf>
    <xf numFmtId="1" fontId="0" fillId="0" borderId="31" xfId="0" applyNumberFormat="1" applyFont="1" applyFill="1" applyBorder="1" applyAlignment="1" applyProtection="1">
      <alignment horizontal="left"/>
      <protection locked="0"/>
    </xf>
    <xf numFmtId="2" fontId="38" fillId="34" borderId="0" xfId="0" applyNumberFormat="1" applyFont="1" applyBorder="1" applyAlignment="1">
      <alignment vertical="center"/>
    </xf>
    <xf numFmtId="0" fontId="0" fillId="34" borderId="0" xfId="0" applyNumberFormat="1" applyAlignment="1">
      <alignment horizontal="left"/>
    </xf>
    <xf numFmtId="0" fontId="0" fillId="34" borderId="0" xfId="0" applyNumberFormat="1" applyAlignment="1">
      <alignment wrapText="1"/>
    </xf>
    <xf numFmtId="49" fontId="0" fillId="34" borderId="0" xfId="0" applyNumberFormat="1" applyAlignment="1">
      <alignment horizontal="left"/>
    </xf>
    <xf numFmtId="0" fontId="35" fillId="34" borderId="0" xfId="52" applyNumberFormat="1" applyAlignment="1">
      <alignment horizontal="left" vertical="top" wrapText="1"/>
    </xf>
    <xf numFmtId="0" fontId="25" fillId="40" borderId="75" xfId="0" applyFont="1" applyFill="1" applyBorder="1" applyAlignment="1">
      <alignment horizontal="left"/>
    </xf>
    <xf numFmtId="0" fontId="25" fillId="40" borderId="76" xfId="0" applyFont="1" applyFill="1" applyBorder="1" applyAlignment="1">
      <alignment horizontal="left"/>
    </xf>
    <xf numFmtId="0" fontId="25" fillId="40" borderId="77" xfId="0" applyFont="1" applyFill="1" applyBorder="1" applyAlignment="1">
      <alignment horizontal="left"/>
    </xf>
    <xf numFmtId="0" fontId="25" fillId="40" borderId="78" xfId="0" applyFont="1" applyFill="1" applyBorder="1" applyAlignment="1">
      <alignment horizontal="left"/>
    </xf>
    <xf numFmtId="2" fontId="38" fillId="42" borderId="52" xfId="50" applyBorder="1">
      <alignment horizontal="left" vertical="center" indent="1"/>
    </xf>
    <xf numFmtId="0" fontId="25" fillId="40" borderId="34" xfId="0" applyFont="1" applyFill="1" applyBorder="1" applyAlignment="1">
      <alignment horizontal="left"/>
    </xf>
    <xf numFmtId="0" fontId="25" fillId="40" borderId="50" xfId="0" applyFont="1" applyFill="1" applyBorder="1" applyAlignment="1">
      <alignment horizontal="left"/>
    </xf>
    <xf numFmtId="0" fontId="25" fillId="40" borderId="74" xfId="0" applyFont="1" applyFill="1" applyBorder="1" applyAlignment="1">
      <alignment horizontal="left"/>
    </xf>
    <xf numFmtId="0" fontId="35" fillId="34" borderId="0" xfId="52" applyNumberFormat="1" applyBorder="1" applyAlignment="1">
      <alignment horizontal="left" vertical="top" wrapText="1"/>
    </xf>
    <xf numFmtId="0" fontId="35" fillId="34" borderId="0" xfId="0" applyNumberFormat="1" applyFont="1" applyBorder="1" applyAlignment="1">
      <alignment horizontal="left" vertical="top" wrapText="1" indent="1"/>
    </xf>
    <xf numFmtId="0" fontId="35" fillId="34" borderId="0" xfId="0" applyNumberFormat="1" applyFont="1" applyAlignment="1">
      <alignment horizontal="left" vertical="top" wrapText="1" indent="1"/>
    </xf>
    <xf numFmtId="0" fontId="25" fillId="40" borderId="75" xfId="0" applyFont="1" applyFill="1" applyBorder="1" applyAlignment="1"/>
    <xf numFmtId="0" fontId="25" fillId="40" borderId="76" xfId="0" applyFont="1" applyFill="1" applyBorder="1" applyAlignment="1"/>
    <xf numFmtId="0" fontId="25" fillId="40" borderId="19" xfId="0" applyFont="1" applyFill="1" applyBorder="1" applyAlignment="1"/>
    <xf numFmtId="0" fontId="25" fillId="40" borderId="0" xfId="0" applyFont="1" applyFill="1" applyBorder="1" applyAlignment="1"/>
    <xf numFmtId="0" fontId="25" fillId="40" borderId="20" xfId="0" applyFont="1" applyFill="1" applyBorder="1" applyAlignment="1"/>
    <xf numFmtId="0" fontId="25" fillId="40" borderId="104" xfId="0" applyFont="1" applyFill="1" applyBorder="1" applyAlignment="1">
      <alignment horizontal="left"/>
    </xf>
    <xf numFmtId="1" fontId="0" fillId="33" borderId="73" xfId="0" applyNumberFormat="1" applyFont="1" applyFill="1" applyBorder="1" applyAlignment="1" applyProtection="1">
      <alignment horizontal="left"/>
      <protection locked="0"/>
    </xf>
    <xf numFmtId="1" fontId="0" fillId="33" borderId="39" xfId="0" applyNumberFormat="1" applyFont="1" applyFill="1" applyBorder="1" applyAlignment="1" applyProtection="1">
      <alignment horizontal="left"/>
      <protection locked="0"/>
    </xf>
    <xf numFmtId="0" fontId="35" fillId="34" borderId="0" xfId="52" applyNumberFormat="1" applyBorder="1" applyAlignment="1">
      <alignment vertical="top" wrapText="1"/>
    </xf>
    <xf numFmtId="0" fontId="0" fillId="34" borderId="0" xfId="0" applyNumberFormat="1" applyBorder="1" applyAlignment="1">
      <alignment wrapText="1"/>
    </xf>
    <xf numFmtId="2" fontId="38" fillId="34" borderId="0" xfId="0" applyNumberFormat="1" applyFont="1" applyBorder="1" applyAlignment="1">
      <alignment horizontal="left" vertical="center" indent="1"/>
    </xf>
    <xf numFmtId="0" fontId="0" fillId="34" borderId="0" xfId="0" applyFont="1" applyBorder="1" applyAlignment="1">
      <alignment horizontal="left"/>
    </xf>
    <xf numFmtId="0" fontId="0" fillId="34" borderId="0" xfId="0" applyNumberFormat="1" applyFont="1" applyBorder="1" applyAlignment="1">
      <alignment horizontal="left"/>
    </xf>
    <xf numFmtId="14" fontId="0" fillId="34" borderId="0" xfId="0" applyNumberFormat="1" applyFont="1" applyBorder="1" applyAlignment="1">
      <alignment horizontal="left"/>
    </xf>
    <xf numFmtId="0" fontId="0" fillId="34" borderId="0" xfId="0" applyFont="1" applyBorder="1" applyAlignment="1">
      <alignment horizontal="center" vertical="top"/>
    </xf>
    <xf numFmtId="0" fontId="25" fillId="40" borderId="74" xfId="0" applyFont="1" applyFill="1" applyBorder="1" applyAlignment="1"/>
    <xf numFmtId="2" fontId="26" fillId="34" borderId="0" xfId="0" applyNumberFormat="1" applyFont="1" applyBorder="1" applyAlignment="1" applyProtection="1">
      <alignment vertical="center"/>
    </xf>
    <xf numFmtId="49" fontId="0" fillId="34" borderId="0" xfId="0" applyNumberFormat="1" applyBorder="1" applyAlignment="1">
      <alignment horizontal="left"/>
    </xf>
    <xf numFmtId="0" fontId="0" fillId="34" borderId="0" xfId="0" applyNumberFormat="1" applyBorder="1" applyAlignment="1">
      <alignment horizontal="left"/>
    </xf>
    <xf numFmtId="0" fontId="0" fillId="41" borderId="108" xfId="0" applyFont="1" applyFill="1" applyBorder="1" applyAlignment="1" applyProtection="1">
      <protection locked="0"/>
    </xf>
    <xf numFmtId="22" fontId="0" fillId="41" borderId="108" xfId="0" applyNumberFormat="1" applyFont="1" applyFill="1" applyBorder="1" applyAlignment="1" applyProtection="1">
      <alignment horizontal="left" vertical="center"/>
      <protection locked="0"/>
    </xf>
    <xf numFmtId="14" fontId="0" fillId="40" borderId="109" xfId="0" applyNumberFormat="1" applyFont="1" applyFill="1" applyBorder="1" applyAlignment="1" applyProtection="1">
      <alignment horizontal="left"/>
    </xf>
    <xf numFmtId="0" fontId="0" fillId="34" borderId="105" xfId="0" applyBorder="1" applyProtection="1"/>
    <xf numFmtId="1" fontId="0" fillId="33" borderId="113" xfId="0" applyNumberFormat="1" applyFont="1" applyFill="1" applyBorder="1" applyAlignment="1" applyProtection="1">
      <alignment horizontal="left"/>
      <protection locked="0"/>
    </xf>
    <xf numFmtId="0" fontId="0" fillId="34" borderId="0" xfId="0" applyAlignment="1" applyProtection="1">
      <alignment wrapText="1"/>
    </xf>
    <xf numFmtId="0" fontId="28" fillId="37" borderId="0" xfId="0" applyFont="1" applyFill="1" applyBorder="1" applyAlignment="1" applyProtection="1">
      <alignment horizontal="left" vertical="top"/>
    </xf>
    <xf numFmtId="0" fontId="28" fillId="37" borderId="20" xfId="0" applyFont="1" applyFill="1" applyBorder="1" applyAlignment="1" applyProtection="1">
      <alignment horizontal="left" vertical="top"/>
    </xf>
    <xf numFmtId="0" fontId="0" fillId="34" borderId="0" xfId="0" applyAlignment="1" applyProtection="1">
      <alignment horizontal="center" wrapText="1"/>
    </xf>
    <xf numFmtId="0" fontId="0" fillId="34" borderId="0" xfId="0" applyAlignment="1" applyProtection="1">
      <alignment wrapText="1"/>
    </xf>
    <xf numFmtId="0" fontId="0" fillId="34" borderId="0" xfId="0" applyProtection="1"/>
    <xf numFmtId="0" fontId="28" fillId="34" borderId="0" xfId="0" applyFont="1" applyBorder="1" applyAlignment="1" applyProtection="1">
      <alignment vertical="top" wrapText="1"/>
    </xf>
    <xf numFmtId="0" fontId="0" fillId="34" borderId="0" xfId="0" applyBorder="1" applyAlignment="1" applyProtection="1"/>
    <xf numFmtId="0" fontId="0" fillId="34" borderId="0" xfId="0" applyProtection="1"/>
    <xf numFmtId="0" fontId="0" fillId="34" borderId="0" xfId="0" applyAlignment="1" applyProtection="1">
      <alignment wrapText="1"/>
    </xf>
    <xf numFmtId="0" fontId="0" fillId="34" borderId="0" xfId="0" applyProtection="1"/>
    <xf numFmtId="0" fontId="0" fillId="34" borderId="0" xfId="0" applyAlignment="1" applyProtection="1">
      <alignment wrapText="1"/>
    </xf>
    <xf numFmtId="0" fontId="0" fillId="34" borderId="0" xfId="0" applyProtection="1"/>
    <xf numFmtId="0" fontId="28" fillId="34" borderId="52" xfId="0" applyFont="1" applyBorder="1" applyAlignment="1" applyProtection="1">
      <alignment vertical="top"/>
    </xf>
    <xf numFmtId="22" fontId="0" fillId="34" borderId="0" xfId="0" applyNumberFormat="1" applyFont="1" applyBorder="1" applyAlignment="1"/>
    <xf numFmtId="0" fontId="0" fillId="34" borderId="52" xfId="0" applyBorder="1" applyAlignment="1" applyProtection="1"/>
    <xf numFmtId="2" fontId="35" fillId="34" borderId="0" xfId="52" applyNumberFormat="1" applyBorder="1" applyAlignment="1">
      <alignment horizontal="center" vertical="top" wrapText="1"/>
    </xf>
    <xf numFmtId="0" fontId="0" fillId="41" borderId="125" xfId="0" applyFill="1" applyBorder="1" applyAlignment="1" applyProtection="1">
      <alignment horizontal="center"/>
      <protection locked="0"/>
    </xf>
    <xf numFmtId="0" fontId="28" fillId="37" borderId="0" xfId="0" applyFont="1" applyFill="1" applyBorder="1" applyAlignment="1" applyProtection="1">
      <alignment vertical="center"/>
    </xf>
    <xf numFmtId="0" fontId="0" fillId="34" borderId="0" xfId="0" applyAlignment="1" applyProtection="1">
      <alignment wrapText="1"/>
    </xf>
    <xf numFmtId="0" fontId="0" fillId="34" borderId="0" xfId="0" applyProtection="1"/>
    <xf numFmtId="0" fontId="25" fillId="40" borderId="36" xfId="0" applyFont="1" applyFill="1" applyBorder="1" applyAlignment="1">
      <alignment horizontal="left"/>
    </xf>
    <xf numFmtId="0" fontId="25" fillId="40" borderId="19" xfId="0" applyFont="1" applyFill="1" applyBorder="1" applyAlignment="1">
      <alignment horizontal="left"/>
    </xf>
    <xf numFmtId="0" fontId="39" fillId="34" borderId="0" xfId="0" applyFont="1" applyBorder="1" applyAlignment="1">
      <alignment vertical="center"/>
    </xf>
    <xf numFmtId="0" fontId="0" fillId="34" borderId="0" xfId="0" applyBorder="1" applyAlignment="1">
      <alignment vertical="center"/>
    </xf>
    <xf numFmtId="0" fontId="35" fillId="34" borderId="52" xfId="52" applyNumberFormat="1" applyBorder="1" applyAlignment="1">
      <alignment vertical="top"/>
    </xf>
    <xf numFmtId="0" fontId="0" fillId="40" borderId="67" xfId="0" applyFill="1" applyBorder="1" applyAlignment="1" applyProtection="1">
      <alignment horizontal="center"/>
      <protection locked="0"/>
    </xf>
    <xf numFmtId="2" fontId="38" fillId="34" borderId="19" xfId="0" applyNumberFormat="1" applyFont="1" applyBorder="1" applyAlignment="1">
      <alignment vertical="center"/>
    </xf>
    <xf numFmtId="0" fontId="25" fillId="34" borderId="105" xfId="0" applyFont="1" applyBorder="1" applyAlignment="1">
      <alignment horizontal="left"/>
    </xf>
    <xf numFmtId="0" fontId="25" fillId="34" borderId="0" xfId="0" applyFont="1" applyBorder="1" applyAlignment="1">
      <alignment wrapText="1"/>
    </xf>
    <xf numFmtId="0" fontId="28" fillId="34" borderId="0" xfId="0" applyFont="1" applyBorder="1" applyAlignment="1">
      <alignment vertical="top" wrapText="1"/>
    </xf>
    <xf numFmtId="0" fontId="0" fillId="34" borderId="54" xfId="0" applyBorder="1" applyProtection="1"/>
    <xf numFmtId="0" fontId="0" fillId="34" borderId="0" xfId="0" applyFont="1" applyBorder="1" applyAlignment="1"/>
    <xf numFmtId="0" fontId="0" fillId="41" borderId="136" xfId="0" applyFont="1" applyFill="1" applyBorder="1" applyAlignment="1" applyProtection="1">
      <alignment horizontal="center" wrapText="1"/>
      <protection locked="0"/>
    </xf>
    <xf numFmtId="0" fontId="0" fillId="41" borderId="137" xfId="0" applyFont="1" applyFill="1" applyBorder="1" applyAlignment="1" applyProtection="1">
      <alignment horizontal="center" wrapText="1"/>
      <protection locked="0"/>
    </xf>
    <xf numFmtId="0" fontId="0" fillId="40" borderId="138" xfId="0" applyFont="1" applyFill="1" applyBorder="1" applyAlignment="1">
      <alignment horizontal="center" wrapText="1"/>
    </xf>
    <xf numFmtId="2" fontId="38" fillId="42" borderId="16" xfId="50" applyAlignment="1">
      <alignment horizontal="left" vertical="center"/>
    </xf>
    <xf numFmtId="0" fontId="0" fillId="40" borderId="139" xfId="0" applyFill="1" applyBorder="1" applyAlignment="1" applyProtection="1">
      <alignment horizontal="center"/>
      <protection locked="0"/>
    </xf>
    <xf numFmtId="0" fontId="37" fillId="40" borderId="63" xfId="0" applyFont="1" applyFill="1" applyBorder="1" applyAlignment="1">
      <alignment horizontal="center" vertical="center" wrapText="1"/>
    </xf>
    <xf numFmtId="0" fontId="37" fillId="40" borderId="64" xfId="0" applyFont="1" applyFill="1" applyBorder="1" applyAlignment="1">
      <alignment horizontal="center" vertical="center" wrapText="1"/>
    </xf>
    <xf numFmtId="0" fontId="37" fillId="40" borderId="65" xfId="0" applyFont="1" applyFill="1" applyBorder="1" applyAlignment="1">
      <alignment horizontal="center" vertical="center" wrapText="1"/>
    </xf>
    <xf numFmtId="0" fontId="37" fillId="40" borderId="64" xfId="0" applyFont="1" applyFill="1" applyBorder="1" applyAlignment="1">
      <alignment horizontal="center" vertical="center"/>
    </xf>
    <xf numFmtId="0" fontId="37" fillId="40" borderId="127" xfId="0" applyFont="1" applyFill="1" applyBorder="1" applyAlignment="1" applyProtection="1">
      <alignment horizontal="center" vertical="center" wrapText="1"/>
    </xf>
    <xf numFmtId="0" fontId="37" fillId="40" borderId="63" xfId="0" applyFont="1" applyFill="1" applyBorder="1" applyAlignment="1" applyProtection="1">
      <alignment horizontal="center" vertical="center" wrapText="1"/>
    </xf>
    <xf numFmtId="0" fontId="37" fillId="40" borderId="66" xfId="0" applyFont="1" applyFill="1" applyBorder="1" applyAlignment="1" applyProtection="1">
      <alignment horizontal="center" vertical="center" wrapText="1"/>
    </xf>
    <xf numFmtId="0" fontId="37" fillId="40" borderId="64" xfId="0" applyFont="1" applyFill="1" applyBorder="1" applyAlignment="1" applyProtection="1">
      <alignment horizontal="center" vertical="center" wrapText="1"/>
    </xf>
    <xf numFmtId="0" fontId="37" fillId="40" borderId="81" xfId="0" applyFont="1" applyFill="1" applyBorder="1" applyAlignment="1" applyProtection="1">
      <alignment horizontal="center" vertical="center" wrapText="1"/>
    </xf>
    <xf numFmtId="0" fontId="37" fillId="40" borderId="65" xfId="0" applyFont="1" applyFill="1" applyBorder="1" applyAlignment="1" applyProtection="1">
      <alignment horizontal="center" vertical="center" wrapText="1"/>
    </xf>
    <xf numFmtId="0" fontId="37" fillId="40" borderId="64" xfId="0" applyFont="1" applyFill="1" applyBorder="1" applyAlignment="1" applyProtection="1">
      <alignment horizontal="center" vertical="center"/>
    </xf>
    <xf numFmtId="2" fontId="38" fillId="42" borderId="133" xfId="50" applyFill="1" applyBorder="1" applyAlignment="1">
      <alignment vertical="center"/>
    </xf>
    <xf numFmtId="2" fontId="38" fillId="42" borderId="134" xfId="50" applyFill="1" applyBorder="1" applyAlignment="1">
      <alignment vertical="center"/>
    </xf>
    <xf numFmtId="0" fontId="0" fillId="43" borderId="82" xfId="0" applyNumberFormat="1" applyFont="1" applyFill="1" applyBorder="1" applyAlignment="1" applyProtection="1">
      <alignment horizontal="left" vertical="top"/>
      <protection locked="0"/>
    </xf>
    <xf numFmtId="0" fontId="37" fillId="40" borderId="81" xfId="0" applyFont="1" applyFill="1" applyBorder="1" applyAlignment="1">
      <alignment horizontal="center" vertical="center" wrapText="1"/>
    </xf>
    <xf numFmtId="0" fontId="37" fillId="40" borderId="66" xfId="0" applyFont="1" applyFill="1" applyBorder="1" applyAlignment="1">
      <alignment horizontal="center" vertical="center" wrapText="1"/>
    </xf>
    <xf numFmtId="0" fontId="0" fillId="43" borderId="83" xfId="0" applyNumberFormat="1" applyFont="1" applyFill="1" applyBorder="1" applyAlignment="1" applyProtection="1">
      <alignment horizontal="left" vertical="top"/>
      <protection locked="0"/>
    </xf>
    <xf numFmtId="0" fontId="28" fillId="37" borderId="124" xfId="0" applyFont="1" applyFill="1" applyBorder="1" applyAlignment="1" applyProtection="1">
      <alignment vertical="center"/>
    </xf>
    <xf numFmtId="0" fontId="28" fillId="34" borderId="19" xfId="0" applyFont="1" applyBorder="1" applyAlignment="1">
      <alignment vertical="center"/>
    </xf>
    <xf numFmtId="0" fontId="0" fillId="34" borderId="19" xfId="0" applyBorder="1" applyAlignment="1">
      <alignment vertical="center" wrapText="1"/>
    </xf>
    <xf numFmtId="0" fontId="0" fillId="34" borderId="19" xfId="0" applyBorder="1" applyAlignment="1">
      <alignment vertical="center"/>
    </xf>
    <xf numFmtId="0" fontId="0" fillId="34" borderId="0" xfId="0" applyAlignment="1" applyProtection="1">
      <alignment horizontal="center" vertical="center"/>
    </xf>
    <xf numFmtId="0" fontId="25" fillId="40" borderId="19" xfId="0" applyFont="1" applyFill="1" applyBorder="1" applyAlignment="1">
      <alignment horizontal="left"/>
    </xf>
    <xf numFmtId="0" fontId="25" fillId="40" borderId="85" xfId="0" applyFont="1" applyFill="1" applyBorder="1" applyAlignment="1">
      <alignment horizontal="left"/>
    </xf>
    <xf numFmtId="0" fontId="25" fillId="40" borderId="32" xfId="0" applyFont="1" applyFill="1" applyBorder="1" applyAlignment="1">
      <alignment horizontal="left"/>
    </xf>
    <xf numFmtId="0" fontId="25" fillId="40" borderId="86" xfId="0" applyFont="1" applyFill="1" applyBorder="1" applyAlignment="1">
      <alignment horizontal="left"/>
    </xf>
    <xf numFmtId="0" fontId="0" fillId="34" borderId="0" xfId="0" applyProtection="1"/>
    <xf numFmtId="2" fontId="35" fillId="34" borderId="0" xfId="52" applyNumberFormat="1" applyBorder="1" applyAlignment="1">
      <alignment vertical="top" wrapText="1"/>
    </xf>
    <xf numFmtId="0" fontId="0" fillId="40" borderId="58" xfId="0" applyFill="1" applyBorder="1" applyAlignment="1" applyProtection="1">
      <alignment horizontal="center"/>
      <protection locked="0"/>
    </xf>
    <xf numFmtId="0" fontId="28" fillId="34" borderId="0" xfId="0" applyFont="1" applyBorder="1" applyAlignment="1"/>
    <xf numFmtId="2" fontId="38" fillId="42" borderId="16" xfId="50" applyBorder="1" applyAlignment="1">
      <alignment horizontal="left" vertical="center"/>
    </xf>
    <xf numFmtId="0" fontId="0" fillId="40" borderId="61" xfId="0" applyFill="1" applyBorder="1" applyAlignment="1" applyProtection="1">
      <alignment horizontal="center"/>
      <protection locked="0"/>
    </xf>
    <xf numFmtId="0" fontId="0" fillId="34" borderId="0" xfId="0" applyProtection="1"/>
    <xf numFmtId="0" fontId="25" fillId="40" borderId="77" xfId="0" applyFont="1" applyFill="1" applyBorder="1" applyAlignment="1"/>
    <xf numFmtId="0" fontId="25" fillId="40" borderId="104" xfId="0" applyFont="1" applyFill="1" applyBorder="1" applyAlignment="1"/>
    <xf numFmtId="0" fontId="25" fillId="40" borderId="78" xfId="0" applyFont="1" applyFill="1" applyBorder="1" applyAlignment="1"/>
    <xf numFmtId="0" fontId="25" fillId="40" borderId="75" xfId="0" applyFont="1" applyFill="1" applyBorder="1" applyAlignment="1"/>
    <xf numFmtId="0" fontId="25" fillId="40" borderId="74" xfId="0" applyFont="1" applyFill="1" applyBorder="1" applyAlignment="1"/>
    <xf numFmtId="0" fontId="25" fillId="40" borderId="76" xfId="0" applyFont="1" applyFill="1" applyBorder="1" applyAlignment="1"/>
    <xf numFmtId="0" fontId="0" fillId="34" borderId="0" xfId="0" applyAlignment="1" applyProtection="1">
      <alignment horizontal="left" vertical="top"/>
    </xf>
    <xf numFmtId="0" fontId="0" fillId="34" borderId="0" xfId="0" applyFont="1" applyBorder="1" applyAlignment="1">
      <alignment horizontal="left" vertical="top"/>
    </xf>
    <xf numFmtId="0" fontId="0" fillId="34" borderId="0" xfId="0" applyAlignment="1" applyProtection="1">
      <alignment horizontal="left" vertical="top" wrapText="1"/>
    </xf>
    <xf numFmtId="0" fontId="0" fillId="34" borderId="0" xfId="0" applyAlignment="1">
      <alignment horizontal="left" vertical="top"/>
    </xf>
    <xf numFmtId="0" fontId="0" fillId="34" borderId="0" xfId="0" applyProtection="1"/>
    <xf numFmtId="0" fontId="0" fillId="34" borderId="0" xfId="0" applyBorder="1" applyAlignment="1">
      <alignment horizontal="left" vertical="top"/>
    </xf>
    <xf numFmtId="0" fontId="0" fillId="34" borderId="0" xfId="0" applyBorder="1" applyAlignment="1">
      <alignment vertical="top"/>
    </xf>
    <xf numFmtId="0" fontId="25" fillId="40" borderId="152" xfId="0" applyFont="1" applyFill="1" applyBorder="1" applyAlignment="1">
      <alignment horizontal="left"/>
    </xf>
    <xf numFmtId="0" fontId="25" fillId="40" borderId="122" xfId="0" applyFont="1" applyFill="1" applyBorder="1" applyAlignment="1">
      <alignment horizontal="left"/>
    </xf>
    <xf numFmtId="22" fontId="0" fillId="41" borderId="31" xfId="0" applyNumberFormat="1" applyFont="1" applyFill="1" applyBorder="1" applyAlignment="1" applyProtection="1">
      <alignment horizontal="center" wrapText="1"/>
      <protection locked="0"/>
    </xf>
    <xf numFmtId="0" fontId="0" fillId="41" borderId="58" xfId="0" applyFill="1" applyBorder="1" applyAlignment="1" applyProtection="1">
      <alignment horizontal="center" wrapText="1"/>
      <protection locked="0"/>
    </xf>
    <xf numFmtId="0" fontId="0" fillId="41" borderId="61" xfId="0" applyFill="1" applyBorder="1" applyAlignment="1" applyProtection="1">
      <alignment horizontal="center" wrapText="1"/>
      <protection locked="0"/>
    </xf>
    <xf numFmtId="0" fontId="25" fillId="43" borderId="57" xfId="0" applyFont="1" applyFill="1" applyBorder="1" applyAlignment="1" applyProtection="1">
      <alignment horizontal="center" wrapText="1"/>
      <protection locked="0"/>
    </xf>
    <xf numFmtId="0" fontId="25" fillId="43" borderId="60" xfId="0" applyFont="1" applyFill="1" applyBorder="1" applyAlignment="1" applyProtection="1">
      <alignment horizontal="center" wrapText="1"/>
      <protection locked="0"/>
    </xf>
    <xf numFmtId="0" fontId="0" fillId="41" borderId="59" xfId="0" applyFont="1" applyFill="1" applyBorder="1" applyAlignment="1" applyProtection="1">
      <alignment horizontal="center" wrapText="1"/>
      <protection locked="0"/>
    </xf>
    <xf numFmtId="0" fontId="0" fillId="41" borderId="62" xfId="0" applyFont="1" applyFill="1" applyBorder="1" applyAlignment="1" applyProtection="1">
      <alignment horizontal="center" wrapText="1"/>
      <protection locked="0"/>
    </xf>
    <xf numFmtId="0" fontId="0" fillId="37" borderId="19" xfId="0" applyFill="1" applyBorder="1" applyAlignment="1" applyProtection="1">
      <alignment horizontal="center" vertical="center" wrapText="1"/>
    </xf>
    <xf numFmtId="0" fontId="0" fillId="37" borderId="32" xfId="0" applyFill="1" applyBorder="1" applyAlignment="1" applyProtection="1">
      <alignment horizontal="center" vertical="center"/>
    </xf>
    <xf numFmtId="0" fontId="39" fillId="37" borderId="0" xfId="0" applyFont="1" applyFill="1" applyBorder="1" applyAlignment="1" applyProtection="1">
      <alignment vertical="center"/>
    </xf>
    <xf numFmtId="0" fontId="28" fillId="37" borderId="123" xfId="0" applyFont="1" applyFill="1" applyBorder="1" applyAlignment="1" applyProtection="1">
      <alignment horizontal="left" vertical="top"/>
    </xf>
    <xf numFmtId="1" fontId="0" fillId="33" borderId="113" xfId="0" applyNumberFormat="1" applyFont="1" applyFill="1" applyBorder="1" applyAlignment="1" applyProtection="1">
      <alignment horizontal="left"/>
      <protection locked="0"/>
    </xf>
    <xf numFmtId="2" fontId="38" fillId="42" borderId="132" xfId="50" applyFill="1" applyBorder="1" applyAlignment="1">
      <alignment horizontal="left" vertical="center" indent="1"/>
    </xf>
    <xf numFmtId="1" fontId="0" fillId="33" borderId="120" xfId="0" applyNumberFormat="1" applyFont="1" applyFill="1" applyBorder="1" applyAlignment="1" applyProtection="1">
      <alignment horizontal="left"/>
      <protection locked="0"/>
    </xf>
    <xf numFmtId="0" fontId="0" fillId="41" borderId="50" xfId="0" applyNumberFormat="1" applyFont="1" applyFill="1" applyBorder="1" applyAlignment="1" applyProtection="1">
      <alignment horizontal="left"/>
      <protection locked="0"/>
    </xf>
    <xf numFmtId="0" fontId="0" fillId="41" borderId="50" xfId="0" applyFont="1" applyFill="1" applyBorder="1" applyAlignment="1" applyProtection="1">
      <alignment horizontal="left" wrapText="1"/>
      <protection locked="0"/>
    </xf>
    <xf numFmtId="49" fontId="0" fillId="41" borderId="31" xfId="0" applyNumberFormat="1" applyFont="1" applyFill="1" applyBorder="1" applyAlignment="1" applyProtection="1">
      <alignment horizontal="center"/>
      <protection locked="0"/>
    </xf>
    <xf numFmtId="0" fontId="37" fillId="40" borderId="66" xfId="0" applyFont="1" applyFill="1" applyBorder="1" applyAlignment="1" applyProtection="1">
      <alignment horizontal="center" vertical="center" wrapText="1"/>
    </xf>
    <xf numFmtId="0" fontId="25" fillId="40" borderId="87" xfId="0" applyFont="1" applyFill="1" applyBorder="1" applyAlignment="1"/>
    <xf numFmtId="0" fontId="25" fillId="40" borderId="88" xfId="0" applyFont="1" applyFill="1" applyBorder="1" applyAlignment="1"/>
    <xf numFmtId="0" fontId="37" fillId="40" borderId="84" xfId="0" applyFont="1" applyFill="1" applyBorder="1" applyAlignment="1">
      <alignment horizontal="center" vertical="center" wrapText="1"/>
    </xf>
    <xf numFmtId="0" fontId="39" fillId="37" borderId="20" xfId="0" applyFont="1" applyFill="1" applyBorder="1" applyAlignment="1" applyProtection="1">
      <alignment vertical="center"/>
    </xf>
    <xf numFmtId="0" fontId="39" fillId="34" borderId="0" xfId="0" applyFont="1" applyBorder="1" applyAlignment="1">
      <alignment vertical="center"/>
    </xf>
    <xf numFmtId="0" fontId="0" fillId="34" borderId="0" xfId="0" applyProtection="1"/>
    <xf numFmtId="0" fontId="0" fillId="34" borderId="0" xfId="0" applyProtection="1"/>
    <xf numFmtId="0" fontId="25" fillId="40" borderId="0" xfId="0" applyFont="1" applyFill="1" applyBorder="1" applyAlignment="1">
      <alignment horizontal="left"/>
    </xf>
    <xf numFmtId="0" fontId="25" fillId="40" borderId="104" xfId="0" applyFont="1" applyFill="1" applyBorder="1" applyAlignment="1"/>
    <xf numFmtId="0" fontId="25" fillId="40" borderId="78" xfId="0" applyFont="1" applyFill="1" applyBorder="1" applyAlignment="1"/>
    <xf numFmtId="0" fontId="25" fillId="40" borderId="36" xfId="0" applyFont="1" applyFill="1" applyBorder="1" applyAlignment="1"/>
    <xf numFmtId="0" fontId="25" fillId="40" borderId="69" xfId="0" applyFont="1" applyFill="1" applyBorder="1" applyAlignment="1"/>
    <xf numFmtId="0" fontId="25" fillId="40" borderId="79" xfId="0" applyFont="1" applyFill="1" applyBorder="1" applyAlignment="1"/>
    <xf numFmtId="0" fontId="25" fillId="40" borderId="69" xfId="0" applyFont="1" applyFill="1" applyBorder="1" applyAlignment="1">
      <alignment horizontal="left"/>
    </xf>
    <xf numFmtId="0" fontId="0" fillId="34" borderId="0" xfId="0" applyProtection="1"/>
    <xf numFmtId="0" fontId="25" fillId="40" borderId="74" xfId="0" applyFont="1" applyFill="1" applyBorder="1" applyAlignment="1"/>
    <xf numFmtId="0" fontId="25" fillId="40" borderId="76" xfId="0" applyFont="1" applyFill="1" applyBorder="1" applyAlignment="1"/>
    <xf numFmtId="0" fontId="0" fillId="38" borderId="0" xfId="0" applyFill="1" applyBorder="1" applyAlignment="1" applyProtection="1">
      <alignment wrapText="1"/>
    </xf>
    <xf numFmtId="0" fontId="28" fillId="38" borderId="0" xfId="0" applyFont="1" applyFill="1" applyBorder="1" applyAlignment="1" applyProtection="1">
      <alignment wrapText="1"/>
    </xf>
    <xf numFmtId="2" fontId="41" fillId="38" borderId="0" xfId="49" applyFont="1" applyFill="1" applyBorder="1" applyAlignment="1" applyProtection="1">
      <alignment horizontal="right" vertical="center"/>
    </xf>
    <xf numFmtId="2" fontId="42" fillId="38" borderId="0" xfId="49" applyFont="1" applyFill="1" applyBorder="1" applyAlignment="1" applyProtection="1">
      <alignment horizontal="center" vertical="center"/>
    </xf>
    <xf numFmtId="2" fontId="41" fillId="38" borderId="0" xfId="49" applyFont="1" applyFill="1" applyBorder="1" applyAlignment="1" applyProtection="1">
      <alignment vertical="center"/>
    </xf>
    <xf numFmtId="0" fontId="0" fillId="38" borderId="0" xfId="0" applyFill="1" applyBorder="1" applyAlignment="1">
      <alignment wrapText="1"/>
    </xf>
    <xf numFmtId="0" fontId="0" fillId="38" borderId="0" xfId="0" applyFill="1" applyBorder="1"/>
    <xf numFmtId="2" fontId="43" fillId="38" borderId="0" xfId="49" applyFont="1" applyFill="1" applyBorder="1" applyAlignment="1" applyProtection="1">
      <alignment vertical="center"/>
    </xf>
    <xf numFmtId="0" fontId="42" fillId="44" borderId="0" xfId="48" applyNumberFormat="1" applyFont="1" applyFill="1" applyBorder="1" applyAlignment="1" applyProtection="1">
      <alignment horizontal="center" vertical="center"/>
    </xf>
    <xf numFmtId="2" fontId="24" fillId="38" borderId="0" xfId="49" applyFill="1" applyBorder="1">
      <alignment vertical="center"/>
    </xf>
    <xf numFmtId="2" fontId="24" fillId="38" borderId="0" xfId="49" applyFill="1" applyBorder="1" applyAlignment="1">
      <alignment vertical="center" wrapText="1"/>
    </xf>
    <xf numFmtId="2" fontId="27" fillId="38" borderId="0" xfId="0" applyNumberFormat="1" applyFont="1" applyFill="1" applyBorder="1" applyProtection="1"/>
    <xf numFmtId="0" fontId="28" fillId="38" borderId="0" xfId="0" applyFont="1" applyFill="1" applyBorder="1" applyProtection="1"/>
    <xf numFmtId="2" fontId="28" fillId="38" borderId="0" xfId="0" applyNumberFormat="1" applyFont="1" applyFill="1" applyBorder="1" applyProtection="1"/>
    <xf numFmtId="2" fontId="24" fillId="34" borderId="0" xfId="49" applyFill="1" applyBorder="1" applyProtection="1">
      <alignment vertical="center"/>
    </xf>
    <xf numFmtId="2" fontId="24" fillId="34" borderId="0" xfId="49" applyFill="1" applyBorder="1" applyAlignment="1" applyProtection="1">
      <alignment vertical="center" wrapText="1"/>
    </xf>
    <xf numFmtId="2" fontId="24" fillId="34" borderId="0" xfId="49" applyFill="1" applyBorder="1" applyAlignment="1" applyProtection="1">
      <alignment vertical="center"/>
    </xf>
    <xf numFmtId="0" fontId="0" fillId="34" borderId="0" xfId="0" applyFill="1" applyBorder="1" applyProtection="1"/>
    <xf numFmtId="0" fontId="25" fillId="46" borderId="46" xfId="0" applyFont="1" applyFill="1" applyBorder="1" applyAlignment="1">
      <alignment horizontal="left" vertical="top" wrapText="1"/>
    </xf>
    <xf numFmtId="0" fontId="25" fillId="46" borderId="47" xfId="0" applyFont="1" applyFill="1" applyBorder="1" applyAlignment="1">
      <alignment horizontal="left" wrapText="1"/>
    </xf>
    <xf numFmtId="0" fontId="25" fillId="46" borderId="34" xfId="0" applyFont="1" applyFill="1" applyBorder="1" applyAlignment="1">
      <alignment horizontal="left"/>
    </xf>
    <xf numFmtId="0" fontId="25" fillId="40" borderId="121" xfId="0" applyFont="1" applyFill="1" applyBorder="1" applyAlignment="1">
      <alignment horizontal="left"/>
    </xf>
    <xf numFmtId="0" fontId="25" fillId="40" borderId="177" xfId="0" applyFont="1" applyFill="1" applyBorder="1" applyAlignment="1">
      <alignment horizontal="left"/>
    </xf>
    <xf numFmtId="49" fontId="0" fillId="0" borderId="33" xfId="0" applyNumberFormat="1" applyFont="1" applyFill="1" applyBorder="1" applyAlignment="1" applyProtection="1">
      <alignment horizontal="left"/>
      <protection locked="0"/>
    </xf>
    <xf numFmtId="49" fontId="0" fillId="0" borderId="35" xfId="0" applyNumberFormat="1" applyFont="1" applyFill="1" applyBorder="1" applyAlignment="1" applyProtection="1">
      <alignment horizontal="left"/>
      <protection locked="0"/>
    </xf>
    <xf numFmtId="1" fontId="0" fillId="0" borderId="35" xfId="0" applyNumberFormat="1" applyFont="1" applyFill="1" applyBorder="1" applyAlignment="1" applyProtection="1">
      <alignment horizontal="left"/>
      <protection locked="0"/>
    </xf>
    <xf numFmtId="0" fontId="25" fillId="47" borderId="34" xfId="0" applyFont="1" applyFill="1" applyBorder="1" applyAlignment="1">
      <alignment horizontal="left"/>
    </xf>
    <xf numFmtId="0" fontId="25" fillId="47" borderId="34" xfId="0" applyFont="1" applyFill="1" applyBorder="1" applyAlignment="1">
      <alignment horizontal="left" wrapText="1"/>
    </xf>
    <xf numFmtId="0" fontId="0" fillId="38" borderId="0" xfId="0" applyFill="1" applyBorder="1" applyAlignment="1" applyProtection="1">
      <alignment horizontal="left" wrapText="1"/>
    </xf>
    <xf numFmtId="2" fontId="24" fillId="38" borderId="0" xfId="49" applyFill="1" applyBorder="1" applyAlignment="1" applyProtection="1">
      <alignment horizontal="left" vertical="center" wrapText="1"/>
    </xf>
    <xf numFmtId="0" fontId="0" fillId="34" borderId="0" xfId="0" applyAlignment="1" applyProtection="1">
      <alignment horizontal="left" wrapText="1"/>
    </xf>
    <xf numFmtId="22" fontId="0" fillId="41" borderId="33" xfId="0" applyNumberFormat="1" applyFont="1" applyFill="1" applyBorder="1" applyAlignment="1" applyProtection="1">
      <alignment horizontal="left"/>
      <protection locked="0"/>
    </xf>
    <xf numFmtId="0" fontId="0" fillId="0" borderId="31" xfId="0" applyFont="1" applyFill="1" applyBorder="1" applyAlignment="1" applyProtection="1">
      <alignment horizontal="left"/>
      <protection locked="0"/>
    </xf>
    <xf numFmtId="0" fontId="0" fillId="34" borderId="0" xfId="0" applyAlignment="1" applyProtection="1">
      <alignment horizontal="left"/>
    </xf>
    <xf numFmtId="2" fontId="41" fillId="34" borderId="0" xfId="49" applyFont="1" applyFill="1" applyBorder="1" applyAlignment="1" applyProtection="1">
      <alignment horizontal="right" vertical="center"/>
    </xf>
    <xf numFmtId="2" fontId="42" fillId="34" borderId="0" xfId="49" applyFont="1" applyFill="1" applyBorder="1" applyAlignment="1" applyProtection="1">
      <alignment horizontal="center" vertical="center"/>
    </xf>
    <xf numFmtId="2" fontId="41" fillId="34" borderId="10" xfId="49" applyFont="1" applyFill="1" applyAlignment="1" applyProtection="1">
      <alignment vertical="center"/>
    </xf>
    <xf numFmtId="2" fontId="24" fillId="34" borderId="0" xfId="49" applyFill="1" applyBorder="1">
      <alignment vertical="center"/>
    </xf>
    <xf numFmtId="2" fontId="24" fillId="34" borderId="0" xfId="49" applyFill="1" applyBorder="1" applyAlignment="1">
      <alignment vertical="center" wrapText="1"/>
    </xf>
    <xf numFmtId="0" fontId="35" fillId="34" borderId="19" xfId="0" applyNumberFormat="1" applyFont="1" applyBorder="1" applyAlignment="1">
      <alignment vertical="top" wrapText="1"/>
    </xf>
    <xf numFmtId="0" fontId="25" fillId="40" borderId="179" xfId="0" applyFont="1" applyFill="1" applyBorder="1" applyAlignment="1">
      <alignment wrapText="1"/>
    </xf>
    <xf numFmtId="0" fontId="25" fillId="40" borderId="180" xfId="0" applyFont="1" applyFill="1" applyBorder="1" applyAlignment="1">
      <alignment horizontal="left"/>
    </xf>
    <xf numFmtId="0" fontId="25" fillId="40" borderId="181" xfId="0" applyFont="1" applyFill="1" applyBorder="1" applyAlignment="1">
      <alignment horizontal="left"/>
    </xf>
    <xf numFmtId="0" fontId="25" fillId="40" borderId="182" xfId="0" applyFont="1" applyFill="1" applyBorder="1" applyAlignment="1">
      <alignment horizontal="left"/>
    </xf>
    <xf numFmtId="0" fontId="25" fillId="40" borderId="178" xfId="0" applyFont="1" applyFill="1" applyBorder="1" applyAlignment="1">
      <alignment horizontal="left"/>
    </xf>
    <xf numFmtId="0" fontId="25" fillId="46" borderId="46" xfId="0" applyFont="1" applyFill="1" applyBorder="1" applyAlignment="1"/>
    <xf numFmtId="0" fontId="25" fillId="46" borderId="98" xfId="0" applyFont="1" applyFill="1" applyBorder="1" applyAlignment="1"/>
    <xf numFmtId="0" fontId="0" fillId="40" borderId="58" xfId="0" applyNumberFormat="1" applyFont="1" applyFill="1" applyBorder="1" applyAlignment="1" applyProtection="1">
      <alignment horizontal="left" wrapText="1"/>
      <protection locked="0"/>
    </xf>
    <xf numFmtId="0" fontId="0" fillId="40" borderId="61" xfId="0" applyNumberFormat="1" applyFont="1" applyFill="1" applyBorder="1" applyAlignment="1" applyProtection="1">
      <alignment horizontal="left" wrapText="1"/>
      <protection locked="0"/>
    </xf>
    <xf numFmtId="49" fontId="0" fillId="40" borderId="58" xfId="0" applyNumberFormat="1" applyFont="1" applyFill="1" applyBorder="1" applyAlignment="1" applyProtection="1">
      <alignment horizontal="left"/>
      <protection locked="0"/>
    </xf>
    <xf numFmtId="49" fontId="0" fillId="40" borderId="61" xfId="0" applyNumberFormat="1" applyFont="1" applyFill="1" applyBorder="1" applyAlignment="1" applyProtection="1">
      <alignment horizontal="left"/>
      <protection locked="0"/>
    </xf>
    <xf numFmtId="49" fontId="0" fillId="40" borderId="58" xfId="0" applyNumberFormat="1" applyFont="1" applyFill="1" applyBorder="1" applyAlignment="1" applyProtection="1">
      <alignment horizontal="left" wrapText="1"/>
      <protection locked="0"/>
    </xf>
    <xf numFmtId="0" fontId="0" fillId="40" borderId="59" xfId="0" applyNumberFormat="1" applyFont="1" applyFill="1" applyBorder="1" applyAlignment="1" applyProtection="1">
      <alignment horizontal="left" wrapText="1"/>
      <protection locked="0"/>
    </xf>
    <xf numFmtId="49" fontId="0" fillId="40" borderId="61" xfId="0" applyNumberFormat="1" applyFont="1" applyFill="1" applyBorder="1" applyAlignment="1" applyProtection="1">
      <alignment horizontal="left" wrapText="1"/>
      <protection locked="0"/>
    </xf>
    <xf numFmtId="0" fontId="0" fillId="40" borderId="145" xfId="0" applyNumberFormat="1" applyFont="1" applyFill="1" applyBorder="1" applyAlignment="1" applyProtection="1">
      <alignment horizontal="left" wrapText="1"/>
      <protection locked="0"/>
    </xf>
    <xf numFmtId="0" fontId="0" fillId="33" borderId="0" xfId="0" quotePrefix="1" applyFont="1" applyFill="1" applyAlignment="1" applyProtection="1">
      <alignment vertical="top"/>
    </xf>
    <xf numFmtId="0" fontId="0" fillId="40" borderId="67" xfId="0" applyNumberFormat="1" applyFont="1" applyFill="1" applyBorder="1" applyAlignment="1" applyProtection="1">
      <alignment horizontal="left" wrapText="1"/>
      <protection locked="0"/>
    </xf>
    <xf numFmtId="0" fontId="0" fillId="40" borderId="68" xfId="0" applyNumberFormat="1" applyFont="1" applyFill="1" applyBorder="1" applyAlignment="1" applyProtection="1">
      <alignment horizontal="left" wrapText="1"/>
      <protection locked="0"/>
    </xf>
    <xf numFmtId="0" fontId="0" fillId="41" borderId="58" xfId="0" applyFill="1" applyBorder="1" applyAlignment="1" applyProtection="1">
      <alignment horizontal="left"/>
      <protection locked="0"/>
    </xf>
    <xf numFmtId="0" fontId="0" fillId="34" borderId="0" xfId="0" applyBorder="1" applyAlignment="1">
      <alignment horizontal="left"/>
    </xf>
    <xf numFmtId="0" fontId="25" fillId="43" borderId="82" xfId="0" applyNumberFormat="1" applyFont="1" applyFill="1" applyBorder="1" applyAlignment="1" applyProtection="1">
      <alignment horizontal="left"/>
      <protection locked="0"/>
    </xf>
    <xf numFmtId="0" fontId="0" fillId="34" borderId="0" xfId="0" applyBorder="1" applyAlignment="1" applyProtection="1">
      <alignment horizontal="left"/>
    </xf>
    <xf numFmtId="0" fontId="25" fillId="43" borderId="83" xfId="0" applyNumberFormat="1" applyFont="1" applyFill="1" applyBorder="1" applyAlignment="1" applyProtection="1">
      <alignment horizontal="left"/>
      <protection locked="0"/>
    </xf>
    <xf numFmtId="0" fontId="0" fillId="37" borderId="58" xfId="0" applyNumberFormat="1" applyFont="1" applyFill="1" applyBorder="1" applyAlignment="1" applyProtection="1">
      <alignment horizontal="center" wrapText="1"/>
      <protection locked="0"/>
    </xf>
    <xf numFmtId="0" fontId="0" fillId="37" borderId="61" xfId="0" applyNumberFormat="1" applyFont="1" applyFill="1" applyBorder="1" applyAlignment="1" applyProtection="1">
      <alignment horizontal="center" wrapText="1"/>
      <protection locked="0"/>
    </xf>
    <xf numFmtId="0" fontId="0" fillId="37" borderId="142" xfId="0" applyFont="1" applyFill="1" applyBorder="1" applyAlignment="1">
      <alignment horizontal="center" wrapText="1"/>
    </xf>
    <xf numFmtId="0" fontId="0" fillId="41" borderId="186" xfId="0" applyFill="1" applyBorder="1" applyAlignment="1" applyProtection="1">
      <alignment horizontal="center"/>
      <protection locked="0"/>
    </xf>
    <xf numFmtId="0" fontId="25" fillId="40" borderId="191" xfId="0" applyFont="1" applyFill="1" applyBorder="1" applyAlignment="1">
      <alignment horizontal="left"/>
    </xf>
    <xf numFmtId="0" fontId="25" fillId="40" borderId="192" xfId="0" applyFont="1" applyFill="1" applyBorder="1" applyAlignment="1">
      <alignment horizontal="left"/>
    </xf>
    <xf numFmtId="0" fontId="25" fillId="40" borderId="183" xfId="0" applyFont="1" applyFill="1" applyBorder="1" applyAlignment="1">
      <alignment vertical="center"/>
    </xf>
    <xf numFmtId="0" fontId="25" fillId="46" borderId="50" xfId="0" applyFont="1" applyFill="1" applyBorder="1" applyAlignment="1">
      <alignment horizontal="left"/>
    </xf>
    <xf numFmtId="0" fontId="25" fillId="46" borderId="36" xfId="0" applyFont="1" applyFill="1" applyBorder="1" applyAlignment="1">
      <alignment horizontal="left"/>
    </xf>
    <xf numFmtId="0" fontId="25" fillId="46" borderId="69" xfId="0" applyFont="1" applyFill="1" applyBorder="1" applyAlignment="1">
      <alignment horizontal="left"/>
    </xf>
    <xf numFmtId="0" fontId="25" fillId="46" borderId="79" xfId="0" applyFont="1" applyFill="1" applyBorder="1" applyAlignment="1">
      <alignment horizontal="left"/>
    </xf>
    <xf numFmtId="0" fontId="25" fillId="46" borderId="77" xfId="0" applyFont="1" applyFill="1" applyBorder="1" applyAlignment="1">
      <alignment horizontal="left"/>
    </xf>
    <xf numFmtId="0" fontId="25" fillId="46" borderId="104" xfId="0" applyFont="1" applyFill="1" applyBorder="1" applyAlignment="1">
      <alignment horizontal="left"/>
    </xf>
    <xf numFmtId="0" fontId="25" fillId="46" borderId="78" xfId="0" applyFont="1" applyFill="1" applyBorder="1" applyAlignment="1">
      <alignment horizontal="left"/>
    </xf>
    <xf numFmtId="49" fontId="0" fillId="41" borderId="109" xfId="0" applyNumberFormat="1" applyFont="1" applyFill="1" applyBorder="1" applyAlignment="1" applyProtection="1">
      <protection locked="0"/>
    </xf>
    <xf numFmtId="49" fontId="0" fillId="41" borderId="109" xfId="0" applyNumberFormat="1" applyFont="1" applyFill="1" applyBorder="1" applyAlignment="1" applyProtection="1">
      <alignment horizontal="left"/>
      <protection locked="0"/>
    </xf>
    <xf numFmtId="0" fontId="25" fillId="40" borderId="58" xfId="0" applyFont="1" applyFill="1" applyBorder="1" applyAlignment="1" applyProtection="1">
      <alignment horizontal="left" wrapText="1"/>
      <protection locked="0"/>
    </xf>
    <xf numFmtId="0" fontId="25" fillId="40" borderId="61" xfId="0" applyFont="1" applyFill="1" applyBorder="1" applyAlignment="1" applyProtection="1">
      <alignment horizontal="left" wrapText="1"/>
      <protection locked="0"/>
    </xf>
    <xf numFmtId="0" fontId="0" fillId="34" borderId="0" xfId="0" applyProtection="1"/>
    <xf numFmtId="0" fontId="25" fillId="40" borderId="201" xfId="0" applyFont="1" applyFill="1" applyBorder="1" applyAlignment="1">
      <alignment horizontal="left" vertical="center"/>
    </xf>
    <xf numFmtId="0" fontId="0" fillId="37" borderId="142" xfId="0" applyFill="1" applyBorder="1" applyAlignment="1">
      <alignment horizontal="center" wrapText="1"/>
    </xf>
    <xf numFmtId="0" fontId="0" fillId="37" borderId="143" xfId="0" applyFill="1" applyBorder="1" applyAlignment="1">
      <alignment horizontal="center" wrapText="1"/>
    </xf>
    <xf numFmtId="0" fontId="0" fillId="40" borderId="67" xfId="0" applyNumberFormat="1" applyFont="1" applyFill="1" applyBorder="1" applyAlignment="1" applyProtection="1">
      <alignment wrapText="1"/>
      <protection locked="0"/>
    </xf>
    <xf numFmtId="0" fontId="0" fillId="40" borderId="58" xfId="0" applyNumberFormat="1" applyFont="1" applyFill="1" applyBorder="1" applyAlignment="1" applyProtection="1">
      <alignment horizontal="center" wrapText="1"/>
      <protection locked="0"/>
    </xf>
    <xf numFmtId="0" fontId="0" fillId="40" borderId="68" xfId="0" applyNumberFormat="1" applyFont="1" applyFill="1" applyBorder="1" applyAlignment="1" applyProtection="1">
      <alignment wrapText="1"/>
      <protection locked="0"/>
    </xf>
    <xf numFmtId="0" fontId="0" fillId="40" borderId="61" xfId="0" applyNumberFormat="1" applyFont="1" applyFill="1" applyBorder="1" applyAlignment="1" applyProtection="1">
      <alignment horizontal="center" wrapText="1"/>
      <protection locked="0"/>
    </xf>
    <xf numFmtId="0" fontId="0" fillId="40" borderId="58" xfId="0" applyFont="1" applyFill="1" applyBorder="1" applyAlignment="1" applyProtection="1">
      <alignment horizontal="left" wrapText="1"/>
      <protection locked="0"/>
    </xf>
    <xf numFmtId="0" fontId="0" fillId="40" borderId="61" xfId="0" applyFont="1" applyFill="1" applyBorder="1" applyAlignment="1" applyProtection="1">
      <alignment horizontal="left" wrapText="1"/>
      <protection locked="0"/>
    </xf>
    <xf numFmtId="0" fontId="25" fillId="40" borderId="34" xfId="0" applyNumberFormat="1" applyFont="1" applyFill="1" applyBorder="1" applyAlignment="1">
      <alignment horizontal="center" vertical="top"/>
    </xf>
    <xf numFmtId="0" fontId="25" fillId="40" borderId="36" xfId="0" applyNumberFormat="1" applyFont="1" applyFill="1" applyBorder="1" applyAlignment="1">
      <alignment horizontal="center" vertical="top"/>
    </xf>
    <xf numFmtId="0" fontId="25" fillId="40" borderId="34" xfId="0" applyNumberFormat="1" applyFont="1" applyFill="1" applyBorder="1" applyAlignment="1">
      <alignment horizontal="center" wrapText="1"/>
    </xf>
    <xf numFmtId="0" fontId="25" fillId="40" borderId="36" xfId="0" applyNumberFormat="1" applyFont="1" applyFill="1" applyBorder="1" applyAlignment="1">
      <alignment horizontal="center" wrapText="1"/>
    </xf>
    <xf numFmtId="0" fontId="0" fillId="34" borderId="0" xfId="0" applyProtection="1"/>
    <xf numFmtId="1" fontId="0" fillId="33" borderId="106" xfId="0" applyNumberFormat="1" applyFont="1" applyFill="1" applyBorder="1" applyAlignment="1" applyProtection="1">
      <alignment horizontal="left"/>
      <protection locked="0"/>
    </xf>
    <xf numFmtId="0" fontId="37" fillId="40" borderId="161" xfId="0" applyFont="1" applyFill="1" applyBorder="1" applyAlignment="1">
      <alignment horizontal="center" vertical="center" wrapText="1"/>
    </xf>
    <xf numFmtId="0" fontId="37" fillId="40" borderId="211" xfId="0" applyFont="1" applyFill="1" applyBorder="1" applyAlignment="1">
      <alignment horizontal="center" vertical="center" wrapText="1"/>
    </xf>
    <xf numFmtId="0" fontId="0" fillId="33" borderId="95" xfId="48" applyFont="1" applyBorder="1" applyProtection="1">
      <protection locked="0"/>
    </xf>
    <xf numFmtId="0" fontId="0" fillId="34" borderId="0" xfId="0" applyAlignment="1">
      <alignment horizontal="center"/>
    </xf>
    <xf numFmtId="0" fontId="25" fillId="40" borderId="0" xfId="0" applyFont="1" applyFill="1" applyBorder="1" applyAlignment="1">
      <alignment horizontal="left"/>
    </xf>
    <xf numFmtId="0" fontId="0" fillId="33" borderId="0" xfId="0" applyFill="1" applyBorder="1" applyAlignment="1" applyProtection="1">
      <alignment vertical="top" wrapText="1"/>
    </xf>
    <xf numFmtId="0" fontId="0" fillId="34" borderId="0" xfId="0" applyBorder="1" applyAlignment="1">
      <alignment horizontal="center"/>
    </xf>
    <xf numFmtId="0" fontId="25" fillId="34" borderId="0" xfId="0" applyFont="1" applyBorder="1" applyAlignment="1">
      <alignment horizontal="center"/>
    </xf>
    <xf numFmtId="0" fontId="0" fillId="33" borderId="0" xfId="0" applyFill="1" applyAlignment="1" applyProtection="1">
      <alignment horizontal="right" vertical="top" wrapText="1"/>
    </xf>
    <xf numFmtId="11" fontId="28" fillId="34" borderId="0" xfId="0" applyNumberFormat="1" applyFont="1" applyAlignment="1" applyProtection="1">
      <alignment wrapText="1"/>
    </xf>
    <xf numFmtId="169" fontId="0" fillId="41" borderId="33" xfId="0" applyNumberFormat="1" applyFont="1" applyFill="1" applyBorder="1" applyAlignment="1" applyProtection="1">
      <alignment horizontal="left"/>
      <protection locked="0"/>
    </xf>
    <xf numFmtId="169" fontId="0" fillId="41" borderId="13" xfId="0" applyNumberFormat="1" applyFont="1" applyFill="1" applyBorder="1" applyAlignment="1" applyProtection="1">
      <alignment horizontal="left" vertical="top"/>
      <protection locked="0"/>
    </xf>
    <xf numFmtId="169" fontId="0" fillId="41" borderId="95" xfId="0" applyNumberFormat="1" applyFont="1" applyFill="1" applyBorder="1" applyAlignment="1" applyProtection="1">
      <alignment horizontal="left"/>
      <protection locked="0"/>
    </xf>
    <xf numFmtId="169" fontId="0" fillId="41" borderId="96" xfId="0" applyNumberFormat="1" applyFont="1" applyFill="1" applyBorder="1" applyAlignment="1" applyProtection="1">
      <alignment horizontal="left" vertical="top"/>
      <protection locked="0"/>
    </xf>
    <xf numFmtId="169" fontId="0" fillId="41" borderId="97" xfId="0" applyNumberFormat="1" applyFont="1" applyFill="1" applyBorder="1" applyAlignment="1" applyProtection="1">
      <alignment horizontal="left"/>
      <protection locked="0"/>
    </xf>
    <xf numFmtId="169" fontId="0" fillId="41" borderId="209" xfId="0" applyNumberFormat="1" applyFont="1" applyFill="1" applyBorder="1" applyAlignment="1" applyProtection="1">
      <alignment horizontal="left" vertical="top"/>
      <protection locked="0"/>
    </xf>
    <xf numFmtId="169" fontId="0" fillId="41" borderId="113" xfId="0" applyNumberFormat="1" applyFont="1" applyFill="1" applyBorder="1" applyAlignment="1" applyProtection="1">
      <protection locked="0"/>
    </xf>
    <xf numFmtId="169" fontId="0" fillId="41" borderId="95" xfId="0" applyNumberFormat="1" applyFont="1" applyFill="1" applyBorder="1" applyAlignment="1" applyProtection="1">
      <protection locked="0"/>
    </xf>
    <xf numFmtId="169" fontId="0" fillId="41" borderId="97" xfId="0" applyNumberFormat="1" applyFont="1" applyFill="1" applyBorder="1" applyAlignment="1" applyProtection="1">
      <protection locked="0"/>
    </xf>
    <xf numFmtId="0" fontId="0" fillId="0" borderId="48" xfId="0" applyFont="1" applyFill="1" applyBorder="1" applyAlignment="1" applyProtection="1">
      <alignment horizontal="left" wrapText="1"/>
      <protection locked="0"/>
    </xf>
    <xf numFmtId="0" fontId="0" fillId="0" borderId="35" xfId="0" applyFont="1" applyFill="1" applyBorder="1" applyAlignment="1" applyProtection="1">
      <alignment horizontal="left" wrapText="1"/>
      <protection locked="0"/>
    </xf>
    <xf numFmtId="0" fontId="0" fillId="41" borderId="153" xfId="0" applyFont="1" applyFill="1" applyBorder="1" applyAlignment="1" applyProtection="1">
      <alignment horizontal="left"/>
      <protection locked="0"/>
    </xf>
    <xf numFmtId="0" fontId="0" fillId="41" borderId="126" xfId="0" applyFont="1" applyFill="1" applyBorder="1" applyAlignment="1" applyProtection="1">
      <alignment horizontal="left"/>
      <protection locked="0"/>
    </xf>
    <xf numFmtId="0" fontId="0" fillId="41" borderId="0" xfId="48" applyNumberFormat="1" applyFont="1" applyFill="1" applyBorder="1" applyAlignment="1" applyProtection="1">
      <alignment horizontal="center" vertical="center"/>
    </xf>
    <xf numFmtId="0" fontId="0" fillId="34" borderId="0" xfId="0" applyProtection="1"/>
    <xf numFmtId="49" fontId="0" fillId="40" borderId="67" xfId="0" applyNumberFormat="1" applyFill="1" applyBorder="1" applyAlignment="1" applyProtection="1">
      <alignment horizontal="left"/>
      <protection locked="0"/>
    </xf>
    <xf numFmtId="0" fontId="0" fillId="40" borderId="67" xfId="0" applyFill="1" applyBorder="1" applyAlignment="1" applyProtection="1">
      <alignment horizontal="left"/>
      <protection locked="0"/>
    </xf>
    <xf numFmtId="49" fontId="0" fillId="40" borderId="68" xfId="0" applyNumberFormat="1" applyFill="1" applyBorder="1" applyAlignment="1" applyProtection="1">
      <alignment horizontal="left"/>
      <protection locked="0"/>
    </xf>
    <xf numFmtId="0" fontId="0" fillId="40" borderId="58" xfId="0" applyFill="1" applyBorder="1" applyAlignment="1" applyProtection="1">
      <alignment horizontal="left"/>
      <protection locked="0"/>
    </xf>
    <xf numFmtId="0" fontId="0" fillId="40" borderId="61" xfId="0" applyFill="1" applyBorder="1" applyAlignment="1" applyProtection="1">
      <alignment horizontal="left"/>
      <protection locked="0"/>
    </xf>
    <xf numFmtId="0" fontId="0" fillId="40" borderId="58" xfId="0" applyNumberFormat="1" applyFont="1" applyFill="1" applyBorder="1" applyAlignment="1" applyProtection="1">
      <alignment horizontal="left"/>
      <protection locked="0"/>
    </xf>
    <xf numFmtId="0" fontId="0" fillId="40" borderId="67" xfId="0" applyNumberFormat="1" applyFont="1" applyFill="1" applyBorder="1" applyAlignment="1" applyProtection="1">
      <alignment horizontal="left"/>
      <protection locked="0"/>
    </xf>
    <xf numFmtId="49" fontId="0" fillId="37" borderId="67" xfId="0" applyNumberFormat="1" applyFont="1" applyFill="1" applyBorder="1" applyAlignment="1" applyProtection="1">
      <alignment horizontal="left"/>
      <protection locked="0"/>
    </xf>
    <xf numFmtId="0" fontId="0" fillId="40" borderId="58" xfId="0" applyFill="1" applyBorder="1" applyAlignment="1" applyProtection="1">
      <alignment horizontal="center" wrapText="1"/>
      <protection locked="0"/>
    </xf>
    <xf numFmtId="0" fontId="0" fillId="40" borderId="67" xfId="0" applyFont="1" applyFill="1" applyBorder="1" applyAlignment="1" applyProtection="1">
      <alignment horizontal="center" wrapText="1"/>
      <protection locked="0"/>
    </xf>
    <xf numFmtId="0" fontId="0" fillId="40" borderId="175" xfId="0" applyNumberFormat="1" applyFont="1" applyFill="1" applyBorder="1" applyAlignment="1" applyProtection="1">
      <alignment horizontal="left"/>
      <protection locked="0"/>
    </xf>
    <xf numFmtId="0" fontId="0" fillId="40" borderId="68" xfId="0" applyNumberFormat="1" applyFont="1" applyFill="1" applyBorder="1" applyAlignment="1" applyProtection="1">
      <alignment horizontal="left"/>
      <protection locked="0"/>
    </xf>
    <xf numFmtId="49" fontId="0" fillId="37" borderId="68" xfId="0" applyNumberFormat="1" applyFont="1" applyFill="1" applyBorder="1" applyAlignment="1" applyProtection="1">
      <alignment horizontal="left"/>
      <protection locked="0"/>
    </xf>
    <xf numFmtId="0" fontId="0" fillId="40" borderId="61" xfId="0" applyFill="1" applyBorder="1" applyAlignment="1" applyProtection="1">
      <alignment horizontal="center" wrapText="1"/>
      <protection locked="0"/>
    </xf>
    <xf numFmtId="0" fontId="0" fillId="40" borderId="68" xfId="0" applyFont="1" applyFill="1" applyBorder="1" applyAlignment="1" applyProtection="1">
      <alignment horizontal="center" wrapText="1"/>
      <protection locked="0"/>
    </xf>
    <xf numFmtId="49" fontId="0" fillId="40" borderId="67" xfId="0" applyNumberFormat="1" applyFill="1" applyBorder="1" applyProtection="1">
      <protection locked="0"/>
    </xf>
    <xf numFmtId="0" fontId="0" fillId="40" borderId="58" xfId="0" applyFill="1" applyBorder="1" applyProtection="1">
      <protection locked="0"/>
    </xf>
    <xf numFmtId="49" fontId="0" fillId="40" borderId="68" xfId="0" applyNumberFormat="1" applyFill="1" applyBorder="1" applyProtection="1">
      <protection locked="0"/>
    </xf>
    <xf numFmtId="0" fontId="0" fillId="40" borderId="61" xfId="0" applyFill="1" applyBorder="1" applyProtection="1">
      <protection locked="0"/>
    </xf>
    <xf numFmtId="0" fontId="0" fillId="40" borderId="58" xfId="0" applyNumberFormat="1" applyFont="1" applyFill="1" applyBorder="1" applyAlignment="1" applyProtection="1">
      <alignment horizontal="left" vertical="top"/>
      <protection locked="0"/>
    </xf>
    <xf numFmtId="49" fontId="0" fillId="40" borderId="67" xfId="0" applyNumberFormat="1" applyFont="1" applyFill="1" applyBorder="1" applyAlignment="1" applyProtection="1">
      <alignment horizontal="left"/>
      <protection locked="0"/>
    </xf>
    <xf numFmtId="0" fontId="0" fillId="40" borderId="67" xfId="0" applyNumberFormat="1" applyFont="1" applyFill="1" applyBorder="1" applyAlignment="1" applyProtection="1">
      <alignment vertical="top"/>
      <protection locked="0"/>
    </xf>
    <xf numFmtId="0" fontId="0" fillId="40" borderId="68" xfId="0" applyNumberFormat="1" applyFont="1" applyFill="1" applyBorder="1" applyAlignment="1" applyProtection="1">
      <alignment vertical="top"/>
      <protection locked="0"/>
    </xf>
    <xf numFmtId="0" fontId="0" fillId="40" borderId="61" xfId="0" applyNumberFormat="1" applyFont="1" applyFill="1" applyBorder="1" applyAlignment="1" applyProtection="1">
      <alignment horizontal="left"/>
      <protection locked="0"/>
    </xf>
    <xf numFmtId="49" fontId="0" fillId="40" borderId="68" xfId="0" applyNumberFormat="1" applyFont="1" applyFill="1" applyBorder="1" applyAlignment="1" applyProtection="1">
      <alignment horizontal="left"/>
      <protection locked="0"/>
    </xf>
    <xf numFmtId="0" fontId="0" fillId="34" borderId="0" xfId="0" applyAlignment="1" applyProtection="1">
      <alignment vertical="top" wrapText="1"/>
    </xf>
    <xf numFmtId="0" fontId="0" fillId="33" borderId="97" xfId="48" applyFont="1" applyBorder="1" applyProtection="1">
      <protection locked="0"/>
    </xf>
    <xf numFmtId="0" fontId="0" fillId="34" borderId="0" xfId="0" applyAlignment="1" applyProtection="1">
      <alignment horizontal="left" vertical="top" wrapText="1"/>
    </xf>
    <xf numFmtId="0" fontId="45" fillId="34" borderId="0" xfId="0" applyFont="1"/>
    <xf numFmtId="0" fontId="31" fillId="34" borderId="0" xfId="0" applyFont="1" applyBorder="1"/>
    <xf numFmtId="0" fontId="29" fillId="34" borderId="0" xfId="0" applyFont="1"/>
    <xf numFmtId="0" fontId="29" fillId="34" borderId="85" xfId="0" applyFont="1" applyBorder="1"/>
    <xf numFmtId="0" fontId="0" fillId="41" borderId="95" xfId="0" applyNumberFormat="1" applyFont="1" applyFill="1" applyBorder="1" applyAlignment="1" applyProtection="1">
      <alignment horizontal="center"/>
      <protection locked="0"/>
    </xf>
    <xf numFmtId="0" fontId="37" fillId="40" borderId="210" xfId="0" applyFont="1" applyFill="1" applyBorder="1" applyAlignment="1">
      <alignment horizontal="center" vertical="center" wrapText="1"/>
    </xf>
    <xf numFmtId="49" fontId="0" fillId="41" borderId="97" xfId="0" applyNumberFormat="1" applyFont="1" applyFill="1" applyBorder="1" applyAlignment="1" applyProtection="1">
      <alignment vertical="top"/>
      <protection locked="0"/>
    </xf>
    <xf numFmtId="49" fontId="0" fillId="41" borderId="39" xfId="0" applyNumberFormat="1" applyFont="1" applyFill="1" applyBorder="1" applyAlignment="1" applyProtection="1">
      <alignment vertical="top"/>
      <protection locked="0"/>
    </xf>
    <xf numFmtId="49" fontId="0" fillId="41" borderId="95" xfId="0" applyNumberFormat="1" applyFont="1" applyFill="1" applyBorder="1" applyAlignment="1" applyProtection="1">
      <alignment wrapText="1"/>
      <protection locked="0"/>
    </xf>
    <xf numFmtId="0" fontId="0" fillId="41" borderId="113" xfId="0" applyNumberFormat="1" applyFont="1" applyFill="1" applyBorder="1" applyAlignment="1" applyProtection="1">
      <alignment horizontal="center"/>
      <protection locked="0"/>
    </xf>
    <xf numFmtId="0" fontId="0" fillId="41" borderId="97" xfId="0" applyNumberFormat="1" applyFont="1" applyFill="1" applyBorder="1" applyAlignment="1" applyProtection="1">
      <alignment horizontal="center"/>
      <protection locked="0"/>
    </xf>
    <xf numFmtId="49" fontId="22" fillId="33" borderId="73" xfId="48" applyNumberFormat="1" applyBorder="1" applyAlignment="1" applyProtection="1">
      <protection locked="0"/>
    </xf>
    <xf numFmtId="49" fontId="0" fillId="33" borderId="73" xfId="48" applyNumberFormat="1" applyFont="1" applyBorder="1" applyAlignment="1" applyProtection="1">
      <protection locked="0"/>
    </xf>
    <xf numFmtId="0" fontId="37" fillId="40" borderId="72" xfId="0" applyFont="1" applyFill="1" applyBorder="1" applyAlignment="1">
      <alignment horizontal="center" vertical="center" wrapText="1"/>
    </xf>
    <xf numFmtId="49" fontId="0" fillId="41" borderId="73" xfId="0" applyNumberFormat="1" applyFont="1" applyFill="1" applyBorder="1" applyAlignment="1" applyProtection="1">
      <alignment wrapText="1"/>
      <protection locked="0"/>
    </xf>
    <xf numFmtId="49" fontId="0" fillId="41" borderId="39" xfId="0" applyNumberFormat="1" applyFont="1" applyFill="1" applyBorder="1" applyAlignment="1" applyProtection="1">
      <alignment horizontal="center" vertical="top"/>
      <protection locked="0"/>
    </xf>
    <xf numFmtId="0" fontId="0" fillId="34" borderId="0" xfId="0" applyProtection="1"/>
    <xf numFmtId="0" fontId="0" fillId="34" borderId="0" xfId="0" applyAlignment="1" applyProtection="1">
      <alignment horizontal="center" wrapText="1"/>
    </xf>
    <xf numFmtId="0" fontId="0" fillId="34" borderId="0" xfId="0" applyAlignment="1" applyProtection="1">
      <alignment wrapText="1"/>
    </xf>
    <xf numFmtId="2" fontId="41" fillId="38" borderId="0" xfId="49" applyFont="1" applyFill="1" applyBorder="1" applyAlignment="1" applyProtection="1">
      <alignment horizontal="left" vertical="center"/>
    </xf>
    <xf numFmtId="0" fontId="0" fillId="41" borderId="230" xfId="0" applyFont="1" applyFill="1" applyBorder="1" applyAlignment="1" applyProtection="1">
      <alignment horizontal="left" wrapText="1"/>
      <protection locked="0"/>
    </xf>
    <xf numFmtId="0" fontId="0" fillId="41" borderId="233" xfId="0" applyFont="1" applyFill="1" applyBorder="1" applyAlignment="1" applyProtection="1">
      <alignment horizontal="left" wrapText="1"/>
      <protection locked="0"/>
    </xf>
    <xf numFmtId="0" fontId="0" fillId="55" borderId="50" xfId="0" applyFont="1" applyFill="1" applyBorder="1" applyAlignment="1" applyProtection="1">
      <alignment horizontal="left" wrapText="1"/>
      <protection locked="0"/>
    </xf>
    <xf numFmtId="0" fontId="0" fillId="55" borderId="229" xfId="0" applyFont="1" applyFill="1" applyBorder="1" applyAlignment="1" applyProtection="1">
      <alignment horizontal="left" wrapText="1"/>
      <protection locked="0"/>
    </xf>
    <xf numFmtId="0" fontId="0" fillId="55" borderId="230" xfId="0" applyFont="1" applyFill="1" applyBorder="1" applyAlignment="1" applyProtection="1">
      <alignment horizontal="left" wrapText="1"/>
      <protection locked="0"/>
    </xf>
    <xf numFmtId="0" fontId="0" fillId="37" borderId="36" xfId="0" applyNumberFormat="1" applyFont="1" applyFill="1" applyBorder="1" applyAlignment="1" applyProtection="1">
      <alignment horizontal="center" vertical="center"/>
    </xf>
    <xf numFmtId="0" fontId="0" fillId="37" borderId="157" xfId="0" applyNumberFormat="1" applyFont="1" applyFill="1" applyBorder="1" applyAlignment="1" applyProtection="1">
      <alignment horizontal="center" vertical="center"/>
    </xf>
    <xf numFmtId="0" fontId="0" fillId="37" borderId="34" xfId="0" applyNumberFormat="1" applyFont="1" applyFill="1" applyBorder="1" applyAlignment="1" applyProtection="1">
      <alignment horizontal="center" vertical="center"/>
    </xf>
    <xf numFmtId="0" fontId="0" fillId="37" borderId="159" xfId="0" applyNumberFormat="1" applyFont="1" applyFill="1" applyBorder="1" applyAlignment="1" applyProtection="1">
      <alignment horizontal="center" vertical="center"/>
    </xf>
    <xf numFmtId="0" fontId="0" fillId="55" borderId="231" xfId="0" applyFont="1" applyFill="1" applyBorder="1" applyAlignment="1" applyProtection="1">
      <alignment horizontal="left" wrapText="1"/>
      <protection locked="0"/>
    </xf>
    <xf numFmtId="168" fontId="0" fillId="0" borderId="241" xfId="0" applyNumberFormat="1" applyFont="1" applyFill="1" applyBorder="1" applyAlignment="1" applyProtection="1">
      <alignment horizontal="left"/>
      <protection locked="0"/>
    </xf>
    <xf numFmtId="168" fontId="0" fillId="34" borderId="241" xfId="0" applyNumberFormat="1" applyFont="1" applyFill="1" applyBorder="1" applyAlignment="1" applyProtection="1">
      <alignment horizontal="left"/>
      <protection locked="0"/>
    </xf>
    <xf numFmtId="168" fontId="0" fillId="34" borderId="242" xfId="0" applyNumberFormat="1" applyFont="1" applyFill="1" applyBorder="1" applyAlignment="1" applyProtection="1">
      <alignment horizontal="left"/>
      <protection locked="0"/>
    </xf>
    <xf numFmtId="0" fontId="25" fillId="46" borderId="250" xfId="0" applyNumberFormat="1" applyFont="1" applyFill="1" applyBorder="1" applyAlignment="1">
      <alignment vertical="center"/>
    </xf>
    <xf numFmtId="0" fontId="25" fillId="40" borderId="253" xfId="0" applyNumberFormat="1" applyFont="1" applyFill="1" applyBorder="1" applyAlignment="1">
      <alignment vertical="center"/>
    </xf>
    <xf numFmtId="0" fontId="0" fillId="37" borderId="19" xfId="0" applyNumberFormat="1" applyFont="1" applyFill="1" applyBorder="1" applyAlignment="1" applyProtection="1">
      <alignment horizontal="center" vertical="center"/>
    </xf>
    <xf numFmtId="0" fontId="0" fillId="37" borderId="32" xfId="0" applyNumberFormat="1" applyFont="1" applyFill="1" applyBorder="1" applyAlignment="1" applyProtection="1">
      <alignment horizontal="center" vertical="center"/>
    </xf>
    <xf numFmtId="0" fontId="46" fillId="34" borderId="0" xfId="0" applyFont="1" applyAlignment="1">
      <alignment horizontal="left" vertical="top" wrapText="1"/>
    </xf>
    <xf numFmtId="0" fontId="45" fillId="34" borderId="0" xfId="0" applyFont="1" applyBorder="1"/>
    <xf numFmtId="0" fontId="46" fillId="34" borderId="133" xfId="0" applyFont="1" applyBorder="1" applyAlignment="1">
      <alignment horizontal="left" vertical="top" wrapText="1"/>
    </xf>
    <xf numFmtId="0" fontId="45" fillId="34" borderId="133" xfId="0" applyFont="1" applyBorder="1"/>
    <xf numFmtId="0" fontId="0" fillId="34" borderId="133" xfId="0" applyFill="1" applyBorder="1" applyProtection="1"/>
    <xf numFmtId="0" fontId="45" fillId="34" borderId="263" xfId="0" applyFont="1" applyBorder="1"/>
    <xf numFmtId="0" fontId="0" fillId="34" borderId="263" xfId="0" applyFill="1" applyBorder="1" applyProtection="1"/>
    <xf numFmtId="0" fontId="0" fillId="33" borderId="35" xfId="0" applyFont="1" applyFill="1" applyBorder="1" applyAlignment="1" applyProtection="1">
      <alignment horizontal="left"/>
    </xf>
    <xf numFmtId="0" fontId="37" fillId="40" borderId="52" xfId="0" applyFont="1" applyFill="1" applyBorder="1" applyAlignment="1" applyProtection="1">
      <alignment vertical="center" wrapText="1"/>
    </xf>
    <xf numFmtId="0" fontId="37" fillId="40" borderId="236" xfId="0" applyFont="1" applyFill="1" applyBorder="1" applyAlignment="1" applyProtection="1">
      <alignment vertical="center" wrapText="1"/>
    </xf>
    <xf numFmtId="168" fontId="0" fillId="0" borderId="230" xfId="0" applyNumberFormat="1" applyFont="1" applyFill="1" applyBorder="1" applyAlignment="1" applyProtection="1">
      <alignment horizontal="left"/>
      <protection locked="0"/>
    </xf>
    <xf numFmtId="168" fontId="0" fillId="34" borderId="229" xfId="0" applyNumberFormat="1" applyFont="1" applyFill="1" applyBorder="1" applyAlignment="1" applyProtection="1">
      <alignment horizontal="left"/>
      <protection locked="0"/>
    </xf>
    <xf numFmtId="168" fontId="0" fillId="34" borderId="230" xfId="0" applyNumberFormat="1" applyFont="1" applyFill="1" applyBorder="1" applyAlignment="1" applyProtection="1">
      <alignment horizontal="left"/>
      <protection locked="0"/>
    </xf>
    <xf numFmtId="168" fontId="0" fillId="34" borderId="231" xfId="0" applyNumberFormat="1" applyFont="1" applyFill="1" applyBorder="1" applyAlignment="1" applyProtection="1">
      <alignment horizontal="left"/>
      <protection locked="0"/>
    </xf>
    <xf numFmtId="168" fontId="0" fillId="0" borderId="233" xfId="0" applyNumberFormat="1" applyFont="1" applyFill="1" applyBorder="1" applyAlignment="1" applyProtection="1">
      <alignment horizontal="left"/>
      <protection locked="0"/>
    </xf>
    <xf numFmtId="0" fontId="0" fillId="55" borderId="162" xfId="0" applyNumberFormat="1" applyFont="1" applyFill="1" applyBorder="1" applyAlignment="1" applyProtection="1">
      <alignment horizontal="left" wrapText="1"/>
      <protection locked="0"/>
    </xf>
    <xf numFmtId="0" fontId="0" fillId="41" borderId="162" xfId="0" applyNumberFormat="1" applyFont="1" applyFill="1" applyBorder="1" applyAlignment="1" applyProtection="1">
      <alignment horizontal="left" wrapText="1"/>
      <protection locked="0"/>
    </xf>
    <xf numFmtId="0" fontId="37" fillId="40" borderId="0" xfId="0" applyFont="1" applyFill="1" applyBorder="1" applyAlignment="1">
      <alignment horizontal="center" vertical="center" wrapText="1"/>
    </xf>
    <xf numFmtId="0" fontId="37" fillId="40" borderId="264" xfId="0" applyFont="1" applyFill="1" applyBorder="1" applyAlignment="1">
      <alignment horizontal="center" vertical="center" wrapText="1"/>
    </xf>
    <xf numFmtId="0" fontId="0" fillId="34" borderId="0" xfId="0" applyProtection="1"/>
    <xf numFmtId="0" fontId="0" fillId="41" borderId="241" xfId="0" applyFont="1" applyFill="1" applyBorder="1" applyAlignment="1" applyProtection="1">
      <alignment horizontal="left" wrapText="1"/>
      <protection locked="0"/>
    </xf>
    <xf numFmtId="0" fontId="0" fillId="55" borderId="241" xfId="0" applyFont="1" applyFill="1" applyBorder="1" applyAlignment="1" applyProtection="1">
      <alignment horizontal="left" wrapText="1"/>
      <protection locked="0"/>
    </xf>
    <xf numFmtId="0" fontId="0" fillId="55" borderId="242" xfId="0" applyFont="1" applyFill="1" applyBorder="1" applyAlignment="1" applyProtection="1">
      <alignment horizontal="left" wrapText="1"/>
      <protection locked="0"/>
    </xf>
    <xf numFmtId="0" fontId="28" fillId="34" borderId="0" xfId="0" applyFont="1" applyAlignment="1" applyProtection="1">
      <alignment vertical="top" wrapText="1"/>
    </xf>
    <xf numFmtId="0" fontId="0" fillId="34" borderId="0" xfId="0" quotePrefix="1"/>
    <xf numFmtId="0" fontId="35" fillId="34" borderId="19" xfId="52" applyNumberFormat="1" applyBorder="1" applyAlignment="1">
      <alignment vertical="top" wrapText="1"/>
    </xf>
    <xf numFmtId="0" fontId="37" fillId="40" borderId="17" xfId="0" applyFont="1" applyFill="1" applyBorder="1" applyAlignment="1" applyProtection="1">
      <alignment vertical="center" wrapText="1"/>
    </xf>
    <xf numFmtId="14" fontId="0" fillId="37" borderId="254" xfId="0" applyNumberFormat="1" applyFont="1" applyFill="1" applyBorder="1" applyAlignment="1" applyProtection="1">
      <alignment horizontal="left"/>
      <protection locked="0"/>
    </xf>
    <xf numFmtId="168" fontId="0" fillId="34" borderId="242" xfId="0" applyNumberFormat="1" applyFont="1" applyFill="1" applyBorder="1" applyAlignment="1" applyProtection="1">
      <alignment horizontal="left"/>
      <protection locked="0"/>
    </xf>
    <xf numFmtId="0" fontId="35" fillId="34" borderId="0" xfId="52" applyNumberFormat="1" applyBorder="1" applyAlignment="1">
      <alignment horizontal="left" vertical="top" wrapText="1"/>
    </xf>
    <xf numFmtId="0" fontId="0" fillId="41" borderId="162" xfId="0" applyNumberFormat="1" applyFont="1" applyFill="1" applyBorder="1" applyAlignment="1" applyProtection="1">
      <alignment horizontal="left" wrapText="1"/>
      <protection locked="0"/>
    </xf>
    <xf numFmtId="0" fontId="0" fillId="55" borderId="163" xfId="0" applyNumberFormat="1" applyFont="1" applyFill="1" applyBorder="1" applyAlignment="1" applyProtection="1">
      <alignment horizontal="left" wrapText="1"/>
      <protection locked="0"/>
    </xf>
    <xf numFmtId="0" fontId="0" fillId="34" borderId="0" xfId="0" applyProtection="1"/>
    <xf numFmtId="0" fontId="37" fillId="40" borderId="261" xfId="0" applyFont="1" applyFill="1" applyBorder="1" applyAlignment="1" applyProtection="1">
      <alignment vertical="center" wrapText="1"/>
    </xf>
    <xf numFmtId="0" fontId="37" fillId="40" borderId="17" xfId="0" applyFont="1" applyFill="1" applyBorder="1" applyAlignment="1" applyProtection="1">
      <alignment vertical="center"/>
    </xf>
    <xf numFmtId="0" fontId="0" fillId="37" borderId="0" xfId="0" applyFill="1" applyBorder="1" applyProtection="1"/>
    <xf numFmtId="49" fontId="31" fillId="33" borderId="251" xfId="53" applyNumberFormat="1" applyFill="1" applyBorder="1" applyProtection="1">
      <protection locked="0"/>
    </xf>
    <xf numFmtId="0" fontId="35" fillId="34" borderId="19" xfId="52" applyNumberFormat="1" applyBorder="1" applyAlignment="1">
      <alignment horizontal="left" vertical="top" wrapText="1"/>
    </xf>
    <xf numFmtId="169" fontId="0" fillId="41" borderId="35" xfId="0" applyNumberFormat="1" applyFont="1" applyFill="1" applyBorder="1" applyAlignment="1" applyProtection="1">
      <alignment horizontal="left" wrapText="1"/>
      <protection locked="0"/>
    </xf>
    <xf numFmtId="0" fontId="31" fillId="34" borderId="0" xfId="53" applyFill="1"/>
    <xf numFmtId="0" fontId="51" fillId="34" borderId="0" xfId="0" applyFont="1" applyAlignment="1">
      <alignment vertical="center"/>
    </xf>
    <xf numFmtId="0" fontId="31" fillId="34" borderId="0" xfId="53" applyFill="1" applyAlignment="1">
      <alignment vertical="center"/>
    </xf>
    <xf numFmtId="0" fontId="29" fillId="34" borderId="0" xfId="0" applyFont="1" applyBorder="1"/>
    <xf numFmtId="2" fontId="42" fillId="38" borderId="270" xfId="49" applyFont="1" applyFill="1" applyBorder="1" applyAlignment="1" applyProtection="1">
      <alignment horizontal="center" vertical="center"/>
    </xf>
    <xf numFmtId="0" fontId="47" fillId="34" borderId="0" xfId="0" applyFont="1" applyAlignment="1" applyProtection="1"/>
    <xf numFmtId="49" fontId="0" fillId="41" borderId="252" xfId="0" applyNumberFormat="1" applyFont="1" applyFill="1" applyBorder="1" applyAlignment="1" applyProtection="1">
      <alignment horizontal="center" vertical="center"/>
      <protection locked="0"/>
    </xf>
    <xf numFmtId="0" fontId="0" fillId="0" borderId="31" xfId="0" applyNumberFormat="1" applyFont="1" applyFill="1" applyBorder="1" applyAlignment="1" applyProtection="1">
      <alignment horizontal="left"/>
      <protection locked="0"/>
    </xf>
    <xf numFmtId="49" fontId="0" fillId="37" borderId="35" xfId="0" applyNumberFormat="1" applyFont="1" applyFill="1" applyBorder="1" applyAlignment="1">
      <alignment horizontal="left"/>
    </xf>
    <xf numFmtId="0" fontId="0" fillId="34" borderId="0" xfId="0" applyProtection="1"/>
    <xf numFmtId="0" fontId="0" fillId="34" borderId="0" xfId="0" applyProtection="1"/>
    <xf numFmtId="168" fontId="0" fillId="34" borderId="229" xfId="0" applyNumberFormat="1" applyFont="1" applyFill="1" applyBorder="1" applyAlignment="1" applyProtection="1">
      <alignment horizontal="left"/>
      <protection locked="0"/>
    </xf>
    <xf numFmtId="0" fontId="0" fillId="0" borderId="273" xfId="0" applyFill="1" applyBorder="1" applyAlignment="1" applyProtection="1">
      <alignment horizontal="center" vertical="center" wrapText="1"/>
    </xf>
    <xf numFmtId="0" fontId="0" fillId="0" borderId="271" xfId="0" applyFill="1" applyBorder="1" applyAlignment="1" applyProtection="1">
      <alignment horizontal="center" vertical="center" wrapText="1"/>
    </xf>
    <xf numFmtId="0" fontId="0" fillId="0" borderId="274" xfId="0" applyFill="1" applyBorder="1" applyAlignment="1" applyProtection="1">
      <alignment horizontal="center" vertical="center" wrapText="1"/>
    </xf>
    <xf numFmtId="0" fontId="0" fillId="33" borderId="272" xfId="0" applyFill="1" applyBorder="1" applyAlignment="1" applyProtection="1">
      <alignment horizontal="center" vertical="top" wrapText="1"/>
    </xf>
    <xf numFmtId="0" fontId="0" fillId="33" borderId="275" xfId="0" applyFill="1" applyBorder="1" applyProtection="1"/>
    <xf numFmtId="0" fontId="0" fillId="41" borderId="276" xfId="48" applyNumberFormat="1" applyFont="1" applyFill="1" applyBorder="1" applyAlignment="1" applyProtection="1">
      <alignment horizontal="center" vertical="center"/>
    </xf>
    <xf numFmtId="0" fontId="0" fillId="41" borderId="277" xfId="48" applyNumberFormat="1" applyFont="1" applyFill="1" applyBorder="1" applyAlignment="1" applyProtection="1">
      <alignment horizontal="center" vertical="center"/>
    </xf>
    <xf numFmtId="0" fontId="0" fillId="41" borderId="279" xfId="48" applyNumberFormat="1" applyFont="1" applyFill="1" applyBorder="1" applyAlignment="1" applyProtection="1">
      <alignment horizontal="center" vertical="center"/>
    </xf>
    <xf numFmtId="0" fontId="0" fillId="0" borderId="280" xfId="0" applyFill="1" applyBorder="1" applyAlignment="1" applyProtection="1">
      <alignment horizontal="center" vertical="center" wrapText="1"/>
    </xf>
    <xf numFmtId="0" fontId="0" fillId="41" borderId="281" xfId="48" applyNumberFormat="1" applyFont="1" applyFill="1" applyBorder="1" applyAlignment="1" applyProtection="1">
      <alignment horizontal="center" vertical="center"/>
    </xf>
    <xf numFmtId="0" fontId="0" fillId="41" borderId="282" xfId="48" applyNumberFormat="1" applyFont="1" applyFill="1" applyBorder="1" applyAlignment="1" applyProtection="1">
      <alignment horizontal="center" vertical="center"/>
    </xf>
    <xf numFmtId="0" fontId="37" fillId="40" borderId="283" xfId="0" applyFont="1" applyFill="1" applyBorder="1" applyAlignment="1" applyProtection="1">
      <alignment horizontal="center" vertical="center" wrapText="1"/>
    </xf>
    <xf numFmtId="0" fontId="37" fillId="40" borderId="84" xfId="0" applyFont="1" applyFill="1" applyBorder="1" applyAlignment="1" applyProtection="1">
      <alignment horizontal="center" vertical="center" wrapText="1"/>
    </xf>
    <xf numFmtId="0" fontId="37" fillId="40" borderId="284" xfId="0" applyFont="1" applyFill="1" applyBorder="1" applyAlignment="1" applyProtection="1">
      <alignment horizontal="center" vertical="center" wrapText="1"/>
    </xf>
    <xf numFmtId="0" fontId="0" fillId="34" borderId="0" xfId="0" applyAlignment="1"/>
    <xf numFmtId="2" fontId="34" fillId="0" borderId="14" xfId="0" applyNumberFormat="1" applyFont="1" applyFill="1" applyBorder="1" applyAlignment="1" applyProtection="1">
      <alignment horizontal="center"/>
    </xf>
    <xf numFmtId="2" fontId="34" fillId="34" borderId="14" xfId="0" applyNumberFormat="1" applyFont="1" applyFill="1" applyBorder="1" applyAlignment="1" applyProtection="1">
      <alignment horizontal="center"/>
    </xf>
    <xf numFmtId="2" fontId="34" fillId="0" borderId="234" xfId="0" applyNumberFormat="1" applyFont="1" applyFill="1" applyBorder="1" applyAlignment="1" applyProtection="1">
      <alignment horizontal="center"/>
    </xf>
    <xf numFmtId="2" fontId="34" fillId="34" borderId="226" xfId="0" applyNumberFormat="1" applyFont="1" applyFill="1" applyBorder="1" applyAlignment="1" applyProtection="1">
      <alignment horizontal="center"/>
    </xf>
    <xf numFmtId="2" fontId="34" fillId="0" borderId="227" xfId="0" applyNumberFormat="1" applyFont="1" applyFill="1" applyBorder="1" applyAlignment="1" applyProtection="1">
      <alignment horizontal="center"/>
    </xf>
    <xf numFmtId="2" fontId="34" fillId="34" borderId="227" xfId="0" applyNumberFormat="1" applyFont="1" applyFill="1" applyBorder="1" applyAlignment="1" applyProtection="1">
      <alignment horizontal="center"/>
    </xf>
    <xf numFmtId="2" fontId="34" fillId="0" borderId="29" xfId="0" applyNumberFormat="1" applyFont="1" applyFill="1" applyBorder="1" applyAlignment="1" applyProtection="1">
      <alignment horizontal="center"/>
    </xf>
    <xf numFmtId="2" fontId="34" fillId="34" borderId="29" xfId="0" applyNumberFormat="1" applyFont="1" applyFill="1" applyBorder="1" applyAlignment="1" applyProtection="1">
      <alignment horizontal="center"/>
    </xf>
    <xf numFmtId="2" fontId="34" fillId="34" borderId="228" xfId="0" applyNumberFormat="1" applyFont="1" applyFill="1" applyBorder="1" applyAlignment="1" applyProtection="1">
      <alignment horizontal="center"/>
    </xf>
    <xf numFmtId="2" fontId="34" fillId="34" borderId="39" xfId="0" applyNumberFormat="1" applyFont="1" applyFill="1" applyBorder="1" applyAlignment="1" applyProtection="1">
      <alignment horizontal="center"/>
    </xf>
    <xf numFmtId="2" fontId="0" fillId="0" borderId="29" xfId="0" applyNumberFormat="1" applyFont="1" applyFill="1" applyBorder="1" applyAlignment="1" applyProtection="1">
      <alignment horizontal="center"/>
    </xf>
    <xf numFmtId="2" fontId="0" fillId="34" borderId="29" xfId="0" applyNumberFormat="1" applyFont="1" applyFill="1" applyBorder="1" applyAlignment="1" applyProtection="1">
      <alignment horizontal="center"/>
    </xf>
    <xf numFmtId="2" fontId="0" fillId="0" borderId="234" xfId="0" applyNumberFormat="1" applyFont="1" applyFill="1" applyBorder="1" applyAlignment="1" applyProtection="1">
      <alignment horizontal="center"/>
    </xf>
    <xf numFmtId="2" fontId="0" fillId="34" borderId="226" xfId="0" applyNumberFormat="1" applyFont="1" applyFill="1" applyBorder="1" applyAlignment="1" applyProtection="1">
      <alignment horizontal="center"/>
    </xf>
    <xf numFmtId="2" fontId="0" fillId="0" borderId="227" xfId="0" applyNumberFormat="1" applyFont="1" applyFill="1" applyBorder="1" applyAlignment="1" applyProtection="1">
      <alignment horizontal="center"/>
    </xf>
    <xf numFmtId="2" fontId="0" fillId="34" borderId="227" xfId="0" applyNumberFormat="1" applyFont="1" applyFill="1" applyBorder="1" applyAlignment="1" applyProtection="1">
      <alignment horizontal="center"/>
    </xf>
    <xf numFmtId="2" fontId="0" fillId="34" borderId="228" xfId="0" applyNumberFormat="1" applyFont="1" applyFill="1" applyBorder="1" applyAlignment="1" applyProtection="1">
      <alignment horizontal="center"/>
    </xf>
    <xf numFmtId="2" fontId="0" fillId="34" borderId="39" xfId="0" applyNumberFormat="1" applyFont="1" applyFill="1" applyBorder="1" applyAlignment="1" applyProtection="1">
      <alignment horizontal="center"/>
    </xf>
    <xf numFmtId="2" fontId="34" fillId="0" borderId="185" xfId="0" applyNumberFormat="1" applyFont="1" applyFill="1" applyBorder="1" applyAlignment="1" applyProtection="1">
      <alignment horizontal="center"/>
    </xf>
    <xf numFmtId="2" fontId="34" fillId="34" borderId="12" xfId="0" applyNumberFormat="1" applyFont="1" applyFill="1" applyBorder="1" applyAlignment="1" applyProtection="1">
      <alignment horizontal="center"/>
    </xf>
    <xf numFmtId="2" fontId="34" fillId="0" borderId="12" xfId="0" applyNumberFormat="1" applyFont="1" applyFill="1" applyBorder="1" applyAlignment="1" applyProtection="1">
      <alignment horizontal="center"/>
    </xf>
    <xf numFmtId="2" fontId="34" fillId="0" borderId="73" xfId="0" applyNumberFormat="1" applyFont="1" applyFill="1" applyBorder="1" applyAlignment="1" applyProtection="1">
      <alignment horizontal="center"/>
    </xf>
    <xf numFmtId="2" fontId="34" fillId="34" borderId="73" xfId="0" applyNumberFormat="1" applyFont="1" applyFill="1" applyBorder="1" applyAlignment="1" applyProtection="1">
      <alignment horizontal="center"/>
    </xf>
    <xf numFmtId="2" fontId="0" fillId="0" borderId="73" xfId="0" applyNumberFormat="1" applyFont="1" applyFill="1" applyBorder="1" applyAlignment="1" applyProtection="1">
      <alignment horizontal="center"/>
    </xf>
    <xf numFmtId="2" fontId="0" fillId="34" borderId="73" xfId="0" applyNumberFormat="1" applyFont="1" applyFill="1" applyBorder="1" applyAlignment="1" applyProtection="1">
      <alignment horizontal="center"/>
    </xf>
    <xf numFmtId="2" fontId="0" fillId="0" borderId="235" xfId="0" applyNumberFormat="1" applyFont="1" applyFill="1" applyBorder="1" applyAlignment="1" applyProtection="1">
      <alignment horizontal="center"/>
    </xf>
    <xf numFmtId="2" fontId="0" fillId="34" borderId="223" xfId="0" applyNumberFormat="1" applyFont="1" applyFill="1" applyBorder="1" applyAlignment="1" applyProtection="1">
      <alignment horizontal="center"/>
    </xf>
    <xf numFmtId="2" fontId="0" fillId="0" borderId="223" xfId="0" applyNumberFormat="1" applyFont="1" applyFill="1" applyBorder="1" applyAlignment="1" applyProtection="1">
      <alignment horizontal="center"/>
    </xf>
    <xf numFmtId="2" fontId="0" fillId="34" borderId="225" xfId="0" applyNumberFormat="1" applyFont="1" applyFill="1" applyBorder="1" applyAlignment="1" applyProtection="1">
      <alignment horizontal="center"/>
    </xf>
    <xf numFmtId="168" fontId="0" fillId="0" borderId="15" xfId="0" applyNumberFormat="1" applyFont="1" applyFill="1" applyBorder="1" applyAlignment="1" applyProtection="1">
      <alignment horizontal="right"/>
      <protection locked="0"/>
    </xf>
    <xf numFmtId="168" fontId="0" fillId="34" borderId="15" xfId="0" applyNumberFormat="1" applyFont="1" applyFill="1" applyBorder="1" applyAlignment="1" applyProtection="1">
      <alignment horizontal="right"/>
      <protection locked="0"/>
    </xf>
    <xf numFmtId="0" fontId="37" fillId="40" borderId="52" xfId="0" applyFont="1" applyFill="1" applyBorder="1" applyAlignment="1" applyProtection="1">
      <alignment horizontal="right" vertical="center" wrapText="1"/>
    </xf>
    <xf numFmtId="168" fontId="0" fillId="0" borderId="233" xfId="0" applyNumberFormat="1" applyFont="1" applyFill="1" applyBorder="1" applyAlignment="1" applyProtection="1">
      <alignment horizontal="right"/>
      <protection locked="0"/>
    </xf>
    <xf numFmtId="168" fontId="0" fillId="34" borderId="229" xfId="0" applyNumberFormat="1" applyFont="1" applyFill="1" applyBorder="1" applyAlignment="1" applyProtection="1">
      <alignment horizontal="right"/>
      <protection locked="0"/>
    </xf>
    <xf numFmtId="168" fontId="0" fillId="0" borderId="230" xfId="0" applyNumberFormat="1" applyFont="1" applyFill="1" applyBorder="1" applyAlignment="1" applyProtection="1">
      <alignment horizontal="right"/>
      <protection locked="0"/>
    </xf>
    <xf numFmtId="168" fontId="0" fillId="34" borderId="230" xfId="0" applyNumberFormat="1" applyFont="1" applyFill="1" applyBorder="1" applyAlignment="1" applyProtection="1">
      <alignment horizontal="right"/>
      <protection locked="0"/>
    </xf>
    <xf numFmtId="168" fontId="0" fillId="34" borderId="241" xfId="0" applyNumberFormat="1" applyFont="1" applyFill="1" applyBorder="1" applyAlignment="1" applyProtection="1">
      <alignment horizontal="right"/>
      <protection locked="0"/>
    </xf>
    <xf numFmtId="168" fontId="0" fillId="0" borderId="241" xfId="0" applyNumberFormat="1" applyFont="1" applyFill="1" applyBorder="1" applyAlignment="1" applyProtection="1">
      <alignment horizontal="right"/>
      <protection locked="0"/>
    </xf>
    <xf numFmtId="168" fontId="0" fillId="34" borderId="231" xfId="0" applyNumberFormat="1" applyFont="1" applyFill="1" applyBorder="1" applyAlignment="1" applyProtection="1">
      <alignment horizontal="right"/>
      <protection locked="0"/>
    </xf>
    <xf numFmtId="168" fontId="0" fillId="34" borderId="242" xfId="0" applyNumberFormat="1" applyFont="1" applyFill="1" applyBorder="1" applyAlignment="1" applyProtection="1">
      <alignment horizontal="right"/>
      <protection locked="0"/>
    </xf>
    <xf numFmtId="0" fontId="0" fillId="55" borderId="0" xfId="0" applyNumberFormat="1" applyFill="1" applyBorder="1" applyAlignment="1" applyProtection="1">
      <alignment horizontal="left" wrapText="1"/>
    </xf>
    <xf numFmtId="0" fontId="0" fillId="34" borderId="0" xfId="0" applyProtection="1"/>
    <xf numFmtId="0" fontId="25" fillId="46" borderId="32" xfId="0" applyFont="1" applyFill="1" applyBorder="1" applyAlignment="1"/>
    <xf numFmtId="0" fontId="0" fillId="41" borderId="285" xfId="0" applyFill="1" applyBorder="1" applyAlignment="1" applyProtection="1">
      <alignment horizontal="center"/>
      <protection locked="0"/>
    </xf>
    <xf numFmtId="168" fontId="0" fillId="34" borderId="230" xfId="0" applyNumberFormat="1" applyFont="1" applyFill="1" applyBorder="1" applyAlignment="1" applyProtection="1">
      <alignment horizontal="right"/>
      <protection locked="0"/>
    </xf>
    <xf numFmtId="168" fontId="0" fillId="0" borderId="230" xfId="0" applyNumberFormat="1" applyFont="1" applyFill="1" applyBorder="1" applyAlignment="1" applyProtection="1">
      <alignment horizontal="right"/>
      <protection locked="0"/>
    </xf>
    <xf numFmtId="0" fontId="0" fillId="34" borderId="0" xfId="0" applyProtection="1"/>
    <xf numFmtId="49" fontId="0" fillId="34" borderId="0" xfId="0" applyNumberFormat="1"/>
    <xf numFmtId="0" fontId="0" fillId="0" borderId="63" xfId="0" applyNumberFormat="1" applyFill="1" applyBorder="1" applyProtection="1">
      <protection locked="0"/>
    </xf>
    <xf numFmtId="0" fontId="0" fillId="0" borderId="64" xfId="0" applyNumberFormat="1" applyFill="1" applyBorder="1" applyProtection="1">
      <protection locked="0"/>
    </xf>
    <xf numFmtId="0" fontId="0" fillId="0" borderId="65" xfId="0" applyNumberFormat="1" applyFill="1" applyBorder="1" applyProtection="1">
      <protection locked="0"/>
    </xf>
    <xf numFmtId="0" fontId="0" fillId="0" borderId="57" xfId="0" applyNumberFormat="1" applyFill="1" applyBorder="1" applyProtection="1">
      <protection locked="0"/>
    </xf>
    <xf numFmtId="0" fontId="0" fillId="0" borderId="58" xfId="0" applyNumberFormat="1" applyFill="1" applyBorder="1" applyProtection="1">
      <protection locked="0"/>
    </xf>
    <xf numFmtId="0" fontId="0" fillId="0" borderId="59" xfId="0" applyNumberFormat="1" applyFill="1" applyBorder="1" applyProtection="1">
      <protection locked="0"/>
    </xf>
    <xf numFmtId="0" fontId="0" fillId="0" borderId="60" xfId="0" applyNumberFormat="1" applyFill="1" applyBorder="1" applyProtection="1">
      <protection locked="0"/>
    </xf>
    <xf numFmtId="0" fontId="0" fillId="0" borderId="61" xfId="0" applyNumberFormat="1" applyFill="1" applyBorder="1" applyProtection="1">
      <protection locked="0"/>
    </xf>
    <xf numFmtId="0" fontId="0" fillId="0" borderId="62" xfId="0" applyNumberFormat="1" applyFill="1" applyBorder="1" applyProtection="1">
      <protection locked="0"/>
    </xf>
    <xf numFmtId="168" fontId="0" fillId="40" borderId="67" xfId="0" applyNumberFormat="1" applyFont="1" applyFill="1" applyBorder="1" applyAlignment="1" applyProtection="1">
      <alignment horizontal="left" wrapText="1"/>
      <protection locked="0"/>
    </xf>
    <xf numFmtId="168" fontId="0" fillId="37" borderId="67" xfId="0" applyNumberFormat="1" applyFont="1" applyFill="1" applyBorder="1" applyAlignment="1" applyProtection="1">
      <alignment horizontal="left"/>
      <protection locked="0"/>
    </xf>
    <xf numFmtId="168" fontId="0" fillId="37" borderId="68" xfId="0" applyNumberFormat="1" applyFont="1" applyFill="1" applyBorder="1" applyAlignment="1" applyProtection="1">
      <alignment horizontal="left"/>
      <protection locked="0"/>
    </xf>
    <xf numFmtId="168" fontId="0" fillId="40" borderId="67" xfId="0" applyNumberFormat="1" applyFont="1" applyFill="1" applyBorder="1" applyAlignment="1" applyProtection="1">
      <alignment wrapText="1"/>
      <protection locked="0"/>
    </xf>
    <xf numFmtId="168" fontId="0" fillId="37" borderId="67" xfId="0" applyNumberFormat="1" applyFont="1" applyFill="1" applyBorder="1" applyAlignment="1" applyProtection="1">
      <protection locked="0"/>
    </xf>
    <xf numFmtId="168" fontId="0" fillId="37" borderId="68" xfId="0" applyNumberFormat="1" applyFont="1" applyFill="1" applyBorder="1" applyAlignment="1" applyProtection="1">
      <protection locked="0"/>
    </xf>
    <xf numFmtId="0" fontId="0" fillId="56" borderId="0" xfId="0" applyFill="1"/>
    <xf numFmtId="0" fontId="0" fillId="40" borderId="62" xfId="0" applyFill="1" applyBorder="1" applyAlignment="1" applyProtection="1">
      <alignment horizontal="center"/>
      <protection locked="0"/>
    </xf>
    <xf numFmtId="0" fontId="0" fillId="37" borderId="143" xfId="0" applyFont="1" applyFill="1" applyBorder="1" applyAlignment="1">
      <alignment horizontal="center" wrapText="1"/>
    </xf>
    <xf numFmtId="0" fontId="28" fillId="34" borderId="105" xfId="0" applyFont="1" applyBorder="1" applyAlignment="1" applyProtection="1"/>
    <xf numFmtId="0" fontId="0" fillId="33" borderId="0" xfId="0" applyFill="1" applyAlignment="1" applyProtection="1">
      <alignment horizontal="left" vertical="top" wrapText="1"/>
    </xf>
    <xf numFmtId="2" fontId="38" fillId="38" borderId="0" xfId="47" applyFont="1" applyAlignment="1">
      <alignment horizontal="left" vertical="center"/>
    </xf>
    <xf numFmtId="0" fontId="35" fillId="33" borderId="0" xfId="52" applyNumberFormat="1" applyFill="1" applyBorder="1" applyAlignment="1">
      <alignment horizontal="left" vertical="top" wrapText="1"/>
    </xf>
    <xf numFmtId="2" fontId="38" fillId="42" borderId="16" xfId="50" applyBorder="1" applyAlignment="1">
      <alignment horizontal="center" vertical="center"/>
    </xf>
    <xf numFmtId="0" fontId="25" fillId="37" borderId="0" xfId="48" applyNumberFormat="1" applyFont="1" applyFill="1" applyBorder="1" applyAlignment="1">
      <alignment horizontal="left" vertical="center"/>
    </xf>
    <xf numFmtId="0" fontId="25" fillId="37" borderId="20" xfId="48" applyNumberFormat="1" applyFont="1" applyFill="1" applyBorder="1" applyAlignment="1">
      <alignment horizontal="left" vertical="center"/>
    </xf>
    <xf numFmtId="0" fontId="25" fillId="33" borderId="0" xfId="0" applyFont="1" applyFill="1" applyBorder="1" applyAlignment="1" applyProtection="1">
      <alignment horizontal="left"/>
      <protection locked="0"/>
    </xf>
    <xf numFmtId="0" fontId="0" fillId="33" borderId="19" xfId="0" applyFont="1" applyFill="1" applyBorder="1" applyAlignment="1" applyProtection="1">
      <alignment horizontal="left" vertical="top" wrapText="1"/>
    </xf>
    <xf numFmtId="0" fontId="0" fillId="33" borderId="0" xfId="0" applyFont="1" applyFill="1" applyBorder="1" applyAlignment="1" applyProtection="1">
      <alignment horizontal="left" vertical="top" wrapText="1"/>
    </xf>
    <xf numFmtId="0" fontId="0" fillId="33" borderId="32" xfId="0" applyFont="1" applyFill="1" applyBorder="1" applyAlignment="1" applyProtection="1">
      <alignment horizontal="left" vertical="top" wrapText="1"/>
    </xf>
    <xf numFmtId="0" fontId="0" fillId="33" borderId="54" xfId="0" applyFont="1" applyFill="1" applyBorder="1" applyAlignment="1" applyProtection="1">
      <alignment horizontal="left" vertical="top" wrapText="1"/>
    </xf>
    <xf numFmtId="0" fontId="0" fillId="33" borderId="216" xfId="0" applyFont="1" applyFill="1" applyBorder="1" applyAlignment="1" applyProtection="1">
      <alignment horizontal="left" vertical="top" wrapText="1"/>
    </xf>
    <xf numFmtId="0" fontId="0" fillId="33" borderId="20" xfId="0" applyFont="1" applyFill="1" applyBorder="1" applyAlignment="1" applyProtection="1">
      <alignment horizontal="left" vertical="top" wrapText="1"/>
    </xf>
    <xf numFmtId="0" fontId="0" fillId="33" borderId="217" xfId="0" applyFont="1" applyFill="1" applyBorder="1" applyAlignment="1" applyProtection="1">
      <alignment horizontal="left" vertical="top" wrapText="1"/>
    </xf>
    <xf numFmtId="0" fontId="0" fillId="33" borderId="51" xfId="0" applyFont="1" applyFill="1" applyBorder="1" applyAlignment="1" applyProtection="1">
      <alignment horizontal="left" vertical="top" wrapText="1"/>
    </xf>
    <xf numFmtId="0" fontId="0" fillId="33" borderId="19" xfId="0" applyFill="1" applyBorder="1" applyAlignment="1" applyProtection="1">
      <alignment horizontal="left" vertical="top" wrapText="1"/>
      <protection locked="0"/>
    </xf>
    <xf numFmtId="0" fontId="0" fillId="33" borderId="0" xfId="0" applyFill="1" applyBorder="1" applyAlignment="1" applyProtection="1">
      <alignment horizontal="left" vertical="top" wrapText="1"/>
      <protection locked="0"/>
    </xf>
    <xf numFmtId="0" fontId="0" fillId="33" borderId="20" xfId="0" applyFill="1" applyBorder="1" applyAlignment="1" applyProtection="1">
      <alignment horizontal="left" vertical="top" wrapText="1"/>
      <protection locked="0"/>
    </xf>
    <xf numFmtId="0" fontId="0" fillId="33" borderId="32" xfId="0" applyFill="1" applyBorder="1" applyAlignment="1" applyProtection="1">
      <alignment horizontal="left" vertical="top" wrapText="1"/>
      <protection locked="0"/>
    </xf>
    <xf numFmtId="0" fontId="0" fillId="33" borderId="54" xfId="0" applyFill="1" applyBorder="1" applyAlignment="1" applyProtection="1">
      <alignment horizontal="left" vertical="top" wrapText="1"/>
      <protection locked="0"/>
    </xf>
    <xf numFmtId="0" fontId="0" fillId="33" borderId="51" xfId="0" applyFill="1" applyBorder="1" applyAlignment="1" applyProtection="1">
      <alignment horizontal="left" vertical="top" wrapText="1"/>
      <protection locked="0"/>
    </xf>
    <xf numFmtId="0" fontId="25" fillId="40" borderId="19" xfId="48" applyNumberFormat="1" applyFont="1" applyFill="1" applyBorder="1" applyAlignment="1">
      <alignment horizontal="left" vertical="center"/>
    </xf>
    <xf numFmtId="0" fontId="25" fillId="40" borderId="0" xfId="48" applyNumberFormat="1" applyFont="1" applyFill="1" applyBorder="1" applyAlignment="1">
      <alignment horizontal="left" vertical="center"/>
    </xf>
    <xf numFmtId="0" fontId="25" fillId="40" borderId="20" xfId="48" applyNumberFormat="1" applyFont="1" applyFill="1" applyBorder="1" applyAlignment="1">
      <alignment horizontal="left" vertical="center"/>
    </xf>
    <xf numFmtId="2" fontId="38" fillId="42" borderId="17" xfId="50" applyBorder="1" applyAlignment="1">
      <alignment horizontal="center" vertical="center"/>
    </xf>
    <xf numFmtId="2" fontId="38" fillId="42" borderId="52" xfId="50" applyBorder="1" applyAlignment="1">
      <alignment horizontal="center" vertical="center"/>
    </xf>
    <xf numFmtId="2" fontId="38" fillId="42" borderId="18" xfId="50" applyBorder="1" applyAlignment="1">
      <alignment horizontal="center" vertical="center"/>
    </xf>
    <xf numFmtId="2" fontId="38" fillId="42" borderId="19" xfId="50" applyBorder="1" applyAlignment="1">
      <alignment horizontal="center" vertical="center"/>
    </xf>
    <xf numFmtId="2" fontId="38" fillId="42" borderId="0" xfId="50" applyBorder="1" applyAlignment="1">
      <alignment horizontal="center" vertical="center"/>
    </xf>
    <xf numFmtId="2" fontId="38" fillId="42" borderId="20" xfId="50" applyBorder="1" applyAlignment="1">
      <alignment horizontal="center" vertical="center"/>
    </xf>
    <xf numFmtId="2" fontId="38" fillId="39" borderId="16" xfId="50" applyFill="1">
      <alignment horizontal="left" vertical="center" indent="1"/>
    </xf>
    <xf numFmtId="2" fontId="30" fillId="33" borderId="278" xfId="49" applyNumberFormat="1" applyFont="1" applyFill="1" applyBorder="1" applyAlignment="1">
      <alignment horizontal="center"/>
    </xf>
    <xf numFmtId="2" fontId="38" fillId="42" borderId="246" xfId="50" applyBorder="1" applyAlignment="1">
      <alignment horizontal="center" vertical="center"/>
    </xf>
    <xf numFmtId="2" fontId="38" fillId="42" borderId="247" xfId="50" applyBorder="1" applyAlignment="1">
      <alignment horizontal="center" vertical="center"/>
    </xf>
    <xf numFmtId="2" fontId="38" fillId="42" borderId="248" xfId="50" applyBorder="1" applyAlignment="1">
      <alignment horizontal="center" vertical="center"/>
    </xf>
    <xf numFmtId="2" fontId="38" fillId="42" borderId="249" xfId="50" applyBorder="1" applyAlignment="1">
      <alignment horizontal="center" vertical="center"/>
    </xf>
    <xf numFmtId="0" fontId="0" fillId="48" borderId="198" xfId="0" applyFill="1" applyBorder="1" applyAlignment="1" applyProtection="1">
      <alignment horizontal="center" vertical="center" wrapText="1"/>
    </xf>
    <xf numFmtId="0" fontId="0" fillId="48" borderId="266" xfId="0" applyFill="1" applyBorder="1" applyAlignment="1" applyProtection="1">
      <alignment horizontal="center" vertical="center" wrapText="1"/>
    </xf>
    <xf numFmtId="0" fontId="0" fillId="48" borderId="199" xfId="0" applyFill="1" applyBorder="1" applyAlignment="1" applyProtection="1">
      <alignment horizontal="center" vertical="center" wrapText="1"/>
    </xf>
    <xf numFmtId="0" fontId="0" fillId="48" borderId="20" xfId="0" applyFill="1" applyBorder="1" applyAlignment="1" applyProtection="1">
      <alignment horizontal="center" vertical="center" wrapText="1"/>
    </xf>
    <xf numFmtId="0" fontId="0" fillId="48" borderId="200" xfId="0" applyFill="1" applyBorder="1" applyAlignment="1" applyProtection="1">
      <alignment horizontal="center" vertical="center" wrapText="1"/>
    </xf>
    <xf numFmtId="0" fontId="0" fillId="48" borderId="267" xfId="0" applyFill="1" applyBorder="1" applyAlignment="1" applyProtection="1">
      <alignment horizontal="center" vertical="center" wrapText="1"/>
    </xf>
    <xf numFmtId="2" fontId="38" fillId="42" borderId="17" xfId="50" applyBorder="1" applyAlignment="1">
      <alignment horizontal="left" vertical="center" indent="1"/>
    </xf>
    <xf numFmtId="2" fontId="38" fillId="42" borderId="52" xfId="50" applyBorder="1" applyAlignment="1">
      <alignment horizontal="left" vertical="center" indent="1"/>
    </xf>
    <xf numFmtId="2" fontId="38" fillId="42" borderId="18" xfId="50" applyBorder="1" applyAlignment="1">
      <alignment horizontal="left" vertical="center" indent="1"/>
    </xf>
    <xf numFmtId="0" fontId="35" fillId="34" borderId="52" xfId="52" applyNumberFormat="1" applyBorder="1" applyAlignment="1">
      <alignment horizontal="left" vertical="center" wrapText="1"/>
    </xf>
    <xf numFmtId="0" fontId="35" fillId="34" borderId="0" xfId="52" applyNumberFormat="1" applyAlignment="1">
      <alignment horizontal="left" vertical="center" wrapText="1"/>
    </xf>
    <xf numFmtId="0" fontId="35" fillId="34" borderId="0" xfId="0" applyNumberFormat="1" applyFont="1" applyAlignment="1">
      <alignment horizontal="left" wrapText="1"/>
    </xf>
    <xf numFmtId="0" fontId="25" fillId="46" borderId="19" xfId="0" applyFont="1" applyFill="1" applyBorder="1" applyAlignment="1">
      <alignment horizontal="left" vertical="center" wrapText="1"/>
    </xf>
    <xf numFmtId="0" fontId="25" fillId="46" borderId="46" xfId="0" applyFont="1" applyFill="1" applyBorder="1" applyAlignment="1">
      <alignment horizontal="left" vertical="center" wrapText="1"/>
    </xf>
    <xf numFmtId="2" fontId="38" fillId="39" borderId="17" xfId="50" applyFont="1" applyFill="1" applyBorder="1" applyAlignment="1" applyProtection="1">
      <alignment horizontal="left" vertical="center" indent="1"/>
    </xf>
    <xf numFmtId="2" fontId="38" fillId="39" borderId="52" xfId="50" applyFont="1" applyFill="1" applyBorder="1" applyAlignment="1" applyProtection="1">
      <alignment horizontal="left" vertical="center" indent="1"/>
    </xf>
    <xf numFmtId="2" fontId="38" fillId="39" borderId="18" xfId="50" applyFont="1" applyFill="1" applyBorder="1" applyAlignment="1" applyProtection="1">
      <alignment horizontal="left" vertical="center" indent="1"/>
    </xf>
    <xf numFmtId="0" fontId="50" fillId="37" borderId="19" xfId="0" applyFont="1" applyFill="1" applyBorder="1" applyAlignment="1" applyProtection="1">
      <alignment horizontal="center" vertical="center"/>
    </xf>
    <xf numFmtId="0" fontId="50" fillId="37" borderId="0" xfId="0" applyFont="1" applyFill="1" applyBorder="1" applyAlignment="1" applyProtection="1">
      <alignment horizontal="center" vertical="center"/>
    </xf>
    <xf numFmtId="0" fontId="50" fillId="37" borderId="20" xfId="0" applyFont="1" applyFill="1" applyBorder="1" applyAlignment="1" applyProtection="1">
      <alignment horizontal="center" vertical="center"/>
    </xf>
    <xf numFmtId="0" fontId="50" fillId="37" borderId="32" xfId="0" applyFont="1" applyFill="1" applyBorder="1" applyAlignment="1" applyProtection="1">
      <alignment horizontal="center" vertical="center"/>
    </xf>
    <xf numFmtId="0" fontId="50" fillId="37" borderId="54" xfId="0" applyFont="1" applyFill="1" applyBorder="1" applyAlignment="1" applyProtection="1">
      <alignment horizontal="center" vertical="center"/>
    </xf>
    <xf numFmtId="0" fontId="50" fillId="37" borderId="51" xfId="0" applyFont="1" applyFill="1" applyBorder="1" applyAlignment="1" applyProtection="1">
      <alignment horizontal="center" vertical="center"/>
    </xf>
    <xf numFmtId="0" fontId="35" fillId="34" borderId="52" xfId="52" applyNumberFormat="1" applyBorder="1" applyAlignment="1">
      <alignment horizontal="center" vertical="top" wrapText="1"/>
    </xf>
    <xf numFmtId="0" fontId="35" fillId="34" borderId="0" xfId="52" applyNumberFormat="1" applyBorder="1" applyAlignment="1">
      <alignment horizontal="center" vertical="top" wrapText="1"/>
    </xf>
    <xf numFmtId="0" fontId="25" fillId="40" borderId="135" xfId="0" applyFont="1" applyFill="1" applyBorder="1" applyAlignment="1">
      <alignment vertical="top" wrapText="1"/>
    </xf>
    <xf numFmtId="0" fontId="25" fillId="40" borderId="121" xfId="0" applyFont="1" applyFill="1" applyBorder="1" applyAlignment="1">
      <alignment vertical="top" wrapText="1"/>
    </xf>
    <xf numFmtId="2" fontId="38" fillId="42" borderId="16" xfId="50" applyBorder="1">
      <alignment horizontal="left" vertical="center" indent="1"/>
    </xf>
    <xf numFmtId="0" fontId="25" fillId="40" borderId="75" xfId="0" applyFont="1" applyFill="1" applyBorder="1" applyAlignment="1">
      <alignment horizontal="left"/>
    </xf>
    <xf numFmtId="0" fontId="25" fillId="40" borderId="76" xfId="0" applyFont="1" applyFill="1" applyBorder="1" applyAlignment="1">
      <alignment horizontal="left"/>
    </xf>
    <xf numFmtId="0" fontId="25" fillId="40" borderId="36" xfId="0" applyFont="1" applyFill="1" applyBorder="1" applyAlignment="1">
      <alignment horizontal="left"/>
    </xf>
    <xf numFmtId="0" fontId="25" fillId="40" borderId="79" xfId="0" applyFont="1" applyFill="1" applyBorder="1" applyAlignment="1">
      <alignment horizontal="left"/>
    </xf>
    <xf numFmtId="2" fontId="38" fillId="42" borderId="19" xfId="50" applyBorder="1" applyAlignment="1">
      <alignment horizontal="left" vertical="center" indent="1"/>
    </xf>
    <xf numFmtId="2" fontId="38" fillId="42" borderId="20" xfId="50" applyBorder="1" applyAlignment="1">
      <alignment horizontal="left" vertical="center" indent="1"/>
    </xf>
    <xf numFmtId="2" fontId="38" fillId="42" borderId="16" xfId="50">
      <alignment horizontal="left" vertical="center" indent="1"/>
    </xf>
    <xf numFmtId="49" fontId="34" fillId="41" borderId="40" xfId="53" applyNumberFormat="1" applyFont="1" applyFill="1" applyBorder="1" applyAlignment="1" applyProtection="1">
      <alignment horizontal="left" vertical="top" wrapText="1"/>
      <protection locked="0"/>
    </xf>
    <xf numFmtId="49" fontId="34" fillId="41" borderId="41" xfId="0" applyNumberFormat="1" applyFont="1" applyFill="1" applyBorder="1" applyAlignment="1" applyProtection="1">
      <alignment horizontal="left" vertical="top" wrapText="1"/>
      <protection locked="0"/>
    </xf>
    <xf numFmtId="49" fontId="34" fillId="41" borderId="42" xfId="0" applyNumberFormat="1" applyFont="1" applyFill="1" applyBorder="1" applyAlignment="1" applyProtection="1">
      <alignment horizontal="left" vertical="top" wrapText="1"/>
      <protection locked="0"/>
    </xf>
    <xf numFmtId="0" fontId="25" fillId="40" borderId="43" xfId="0" applyFont="1" applyFill="1" applyBorder="1" applyAlignment="1">
      <alignment horizontal="left" vertical="top" wrapText="1"/>
    </xf>
    <xf numFmtId="0" fontId="25" fillId="40" borderId="44" xfId="0" applyFont="1" applyFill="1" applyBorder="1" applyAlignment="1">
      <alignment horizontal="left" vertical="top" wrapText="1"/>
    </xf>
    <xf numFmtId="0" fontId="25" fillId="40" borderId="45" xfId="0" applyFont="1" applyFill="1" applyBorder="1" applyAlignment="1">
      <alignment horizontal="left" vertical="top" wrapText="1"/>
    </xf>
    <xf numFmtId="0" fontId="35" fillId="34" borderId="19" xfId="52" applyNumberFormat="1" applyBorder="1" applyAlignment="1">
      <alignment horizontal="left" vertical="top" wrapText="1"/>
    </xf>
    <xf numFmtId="0" fontId="35" fillId="34" borderId="0" xfId="52" applyNumberFormat="1" applyBorder="1" applyAlignment="1">
      <alignment horizontal="left" vertical="top" wrapText="1"/>
    </xf>
    <xf numFmtId="0" fontId="0" fillId="37" borderId="77" xfId="0" applyFont="1" applyFill="1" applyBorder="1" applyAlignment="1"/>
    <xf numFmtId="0" fontId="0" fillId="37" borderId="93" xfId="0" applyFont="1" applyFill="1" applyBorder="1" applyAlignment="1"/>
    <xf numFmtId="0" fontId="0" fillId="37" borderId="223" xfId="0" applyFont="1" applyFill="1" applyBorder="1" applyAlignment="1">
      <alignment horizontal="center"/>
    </xf>
    <xf numFmtId="0" fontId="0" fillId="37" borderId="227" xfId="0" applyFont="1" applyFill="1" applyBorder="1" applyAlignment="1">
      <alignment horizontal="center"/>
    </xf>
    <xf numFmtId="0" fontId="0" fillId="37" borderId="73" xfId="0" applyFont="1" applyFill="1" applyBorder="1" applyAlignment="1">
      <alignment horizontal="center"/>
    </xf>
    <xf numFmtId="0" fontId="0" fillId="37" borderId="104" xfId="0" applyFont="1" applyFill="1" applyBorder="1" applyAlignment="1">
      <alignment horizontal="center"/>
    </xf>
    <xf numFmtId="0" fontId="0" fillId="37" borderId="225" xfId="0" applyFont="1" applyFill="1" applyBorder="1" applyAlignment="1">
      <alignment horizontal="center"/>
    </xf>
    <xf numFmtId="0" fontId="0" fillId="37" borderId="228" xfId="0" applyFont="1" applyFill="1" applyBorder="1" applyAlignment="1">
      <alignment horizontal="center"/>
    </xf>
    <xf numFmtId="0" fontId="0" fillId="37" borderId="235" xfId="0" applyFont="1" applyFill="1" applyBorder="1" applyAlignment="1">
      <alignment horizontal="center"/>
    </xf>
    <xf numFmtId="0" fontId="0" fillId="37" borderId="234" xfId="0" applyFont="1" applyFill="1" applyBorder="1" applyAlignment="1">
      <alignment horizontal="center"/>
    </xf>
    <xf numFmtId="0" fontId="0" fillId="37" borderId="222" xfId="0" applyFont="1" applyFill="1" applyBorder="1" applyAlignment="1">
      <alignment horizontal="center"/>
    </xf>
    <xf numFmtId="0" fontId="0" fillId="37" borderId="226" xfId="0" applyFont="1" applyFill="1" applyBorder="1" applyAlignment="1">
      <alignment horizontal="center"/>
    </xf>
    <xf numFmtId="0" fontId="37" fillId="40" borderId="38" xfId="0" applyFont="1" applyFill="1" applyBorder="1" applyAlignment="1">
      <alignment horizontal="center" vertical="center" wrapText="1"/>
    </xf>
    <xf numFmtId="0" fontId="37" fillId="40" borderId="0" xfId="0" applyFont="1" applyFill="1" applyBorder="1" applyAlignment="1">
      <alignment horizontal="center" vertical="center" wrapText="1"/>
    </xf>
    <xf numFmtId="0" fontId="28" fillId="34" borderId="19" xfId="0" applyFont="1" applyBorder="1" applyAlignment="1" applyProtection="1">
      <alignment horizontal="left" vertical="top" wrapText="1"/>
    </xf>
    <xf numFmtId="0" fontId="28" fillId="34" borderId="0" xfId="0" applyFont="1" applyBorder="1" applyAlignment="1" applyProtection="1">
      <alignment horizontal="left" vertical="top" wrapText="1"/>
    </xf>
    <xf numFmtId="0" fontId="0" fillId="41" borderId="255" xfId="0" applyNumberFormat="1" applyFont="1" applyFill="1" applyBorder="1" applyAlignment="1" applyProtection="1">
      <alignment horizontal="left" wrapText="1"/>
      <protection locked="0"/>
    </xf>
    <xf numFmtId="0" fontId="0" fillId="41" borderId="162" xfId="0" applyNumberFormat="1" applyFont="1" applyFill="1" applyBorder="1" applyAlignment="1" applyProtection="1">
      <alignment horizontal="left" wrapText="1"/>
      <protection locked="0"/>
    </xf>
    <xf numFmtId="0" fontId="0" fillId="41" borderId="237" xfId="0" applyNumberFormat="1" applyFont="1" applyFill="1" applyBorder="1" applyAlignment="1" applyProtection="1">
      <alignment wrapText="1"/>
      <protection locked="0"/>
    </xf>
    <xf numFmtId="0" fontId="0" fillId="41" borderId="104" xfId="0" applyNumberFormat="1" applyFont="1" applyFill="1" applyBorder="1" applyAlignment="1" applyProtection="1">
      <alignment wrapText="1"/>
      <protection locked="0"/>
    </xf>
    <xf numFmtId="0" fontId="0" fillId="41" borderId="238" xfId="0" applyNumberFormat="1" applyFont="1" applyFill="1" applyBorder="1" applyAlignment="1" applyProtection="1">
      <alignment wrapText="1"/>
      <protection locked="0"/>
    </xf>
    <xf numFmtId="0" fontId="0" fillId="34" borderId="73" xfId="0" applyNumberFormat="1" applyFont="1" applyFill="1" applyBorder="1" applyAlignment="1" applyProtection="1">
      <alignment wrapText="1"/>
      <protection locked="0"/>
    </xf>
    <xf numFmtId="0" fontId="0" fillId="34" borderId="104" xfId="0" applyNumberFormat="1" applyFont="1" applyFill="1" applyBorder="1" applyAlignment="1" applyProtection="1">
      <alignment wrapText="1"/>
      <protection locked="0"/>
    </xf>
    <xf numFmtId="0" fontId="0" fillId="34" borderId="238" xfId="0" applyNumberFormat="1" applyFont="1" applyFill="1" applyBorder="1" applyAlignment="1" applyProtection="1">
      <alignment wrapText="1"/>
      <protection locked="0"/>
    </xf>
    <xf numFmtId="0" fontId="0" fillId="41" borderId="104" xfId="0" applyNumberFormat="1" applyFont="1" applyFill="1" applyBorder="1" applyAlignment="1" applyProtection="1">
      <alignment wrapText="1"/>
    </xf>
    <xf numFmtId="0" fontId="0" fillId="41" borderId="239" xfId="0" applyNumberFormat="1" applyFont="1" applyFill="1" applyBorder="1" applyAlignment="1" applyProtection="1">
      <alignment wrapText="1"/>
    </xf>
    <xf numFmtId="0" fontId="0" fillId="55" borderId="104" xfId="0" applyNumberFormat="1" applyFont="1" applyFill="1" applyBorder="1" applyAlignment="1" applyProtection="1">
      <alignment wrapText="1"/>
    </xf>
    <xf numFmtId="0" fontId="0" fillId="55" borderId="239" xfId="0" applyNumberFormat="1" applyFont="1" applyFill="1" applyBorder="1" applyAlignment="1" applyProtection="1">
      <alignment wrapText="1"/>
    </xf>
    <xf numFmtId="0" fontId="0" fillId="41" borderId="269" xfId="0" applyNumberFormat="1" applyFont="1" applyFill="1" applyBorder="1" applyAlignment="1" applyProtection="1">
      <alignment horizontal="left" wrapText="1"/>
      <protection locked="0"/>
    </xf>
    <xf numFmtId="0" fontId="0" fillId="55" borderId="255" xfId="0" applyNumberFormat="1" applyFont="1" applyFill="1" applyBorder="1" applyAlignment="1" applyProtection="1">
      <alignment horizontal="left" wrapText="1"/>
      <protection locked="0"/>
    </xf>
    <xf numFmtId="0" fontId="0" fillId="55" borderId="162" xfId="0" applyNumberFormat="1" applyFont="1" applyFill="1" applyBorder="1" applyAlignment="1" applyProtection="1">
      <alignment horizontal="left" wrapText="1"/>
      <protection locked="0"/>
    </xf>
    <xf numFmtId="0" fontId="0" fillId="37" borderId="258" xfId="0" applyFont="1" applyFill="1" applyBorder="1" applyAlignment="1">
      <alignment horizontal="center"/>
    </xf>
    <xf numFmtId="0" fontId="0" fillId="37" borderId="256" xfId="0" applyFont="1" applyFill="1" applyBorder="1" applyAlignment="1">
      <alignment horizontal="center"/>
    </xf>
    <xf numFmtId="0" fontId="0" fillId="55" borderId="69" xfId="0" applyNumberFormat="1" applyFont="1" applyFill="1" applyBorder="1" applyAlignment="1" applyProtection="1">
      <alignment horizontal="left" wrapText="1"/>
    </xf>
    <xf numFmtId="168" fontId="0" fillId="0" borderId="262" xfId="0" applyNumberFormat="1" applyFont="1" applyFill="1" applyBorder="1" applyAlignment="1" applyProtection="1">
      <alignment horizontal="right"/>
      <protection locked="0"/>
    </xf>
    <xf numFmtId="168" fontId="0" fillId="0" borderId="90" xfId="0" applyNumberFormat="1" applyFont="1" applyFill="1" applyBorder="1" applyAlignment="1" applyProtection="1">
      <alignment horizontal="right"/>
      <protection locked="0"/>
    </xf>
    <xf numFmtId="168" fontId="0" fillId="0" borderId="230" xfId="0" applyNumberFormat="1" applyFont="1" applyFill="1" applyBorder="1" applyAlignment="1" applyProtection="1">
      <alignment horizontal="right"/>
      <protection locked="0"/>
    </xf>
    <xf numFmtId="168" fontId="0" fillId="0" borderId="223" xfId="0" applyNumberFormat="1" applyFont="1" applyFill="1" applyBorder="1" applyAlignment="1" applyProtection="1">
      <alignment horizontal="right"/>
      <protection locked="0"/>
    </xf>
    <xf numFmtId="0" fontId="0" fillId="55" borderId="237" xfId="0" applyNumberFormat="1" applyFont="1" applyFill="1" applyBorder="1" applyAlignment="1" applyProtection="1">
      <alignment wrapText="1"/>
      <protection locked="0"/>
    </xf>
    <xf numFmtId="0" fontId="0" fillId="55" borderId="104" xfId="0" applyNumberFormat="1" applyFont="1" applyFill="1" applyBorder="1" applyAlignment="1" applyProtection="1">
      <alignment wrapText="1"/>
      <protection locked="0"/>
    </xf>
    <xf numFmtId="0" fontId="0" fillId="55" borderId="238" xfId="0" applyNumberFormat="1" applyFont="1" applyFill="1" applyBorder="1" applyAlignment="1" applyProtection="1">
      <alignment wrapText="1"/>
      <protection locked="0"/>
    </xf>
    <xf numFmtId="168" fontId="0" fillId="34" borderId="262" xfId="0" applyNumberFormat="1" applyFont="1" applyFill="1" applyBorder="1" applyAlignment="1" applyProtection="1">
      <alignment horizontal="right"/>
      <protection locked="0"/>
    </xf>
    <xf numFmtId="168" fontId="0" fillId="34" borderId="90" xfId="0" applyNumberFormat="1" applyFont="1" applyFill="1" applyBorder="1" applyAlignment="1" applyProtection="1">
      <alignment horizontal="right"/>
      <protection locked="0"/>
    </xf>
    <xf numFmtId="168" fontId="0" fillId="34" borderId="230" xfId="0" applyNumberFormat="1" applyFont="1" applyFill="1" applyBorder="1" applyAlignment="1" applyProtection="1">
      <alignment horizontal="right"/>
      <protection locked="0"/>
    </xf>
    <xf numFmtId="168" fontId="0" fillId="34" borderId="223" xfId="0" applyNumberFormat="1" applyFont="1" applyFill="1" applyBorder="1" applyAlignment="1" applyProtection="1">
      <alignment horizontal="right"/>
      <protection locked="0"/>
    </xf>
    <xf numFmtId="0" fontId="48" fillId="55" borderId="237" xfId="0" applyNumberFormat="1" applyFont="1" applyFill="1" applyBorder="1" applyAlignment="1" applyProtection="1">
      <alignment horizontal="center" vertical="center" wrapText="1"/>
    </xf>
    <xf numFmtId="0" fontId="48" fillId="55" borderId="104" xfId="0" applyNumberFormat="1" applyFont="1" applyFill="1" applyBorder="1" applyAlignment="1" applyProtection="1">
      <alignment horizontal="center" vertical="center" wrapText="1"/>
    </xf>
    <xf numFmtId="0" fontId="48" fillId="55" borderId="238" xfId="0" applyNumberFormat="1" applyFont="1" applyFill="1" applyBorder="1" applyAlignment="1" applyProtection="1">
      <alignment horizontal="center" vertical="center" wrapText="1"/>
    </xf>
    <xf numFmtId="0" fontId="34" fillId="55" borderId="237" xfId="0" applyNumberFormat="1" applyFont="1" applyFill="1" applyBorder="1" applyAlignment="1" applyProtection="1">
      <alignment wrapText="1"/>
      <protection locked="0"/>
    </xf>
    <xf numFmtId="0" fontId="34" fillId="55" borderId="104" xfId="0" applyNumberFormat="1" applyFont="1" applyFill="1" applyBorder="1" applyAlignment="1" applyProtection="1">
      <alignment wrapText="1"/>
      <protection locked="0"/>
    </xf>
    <xf numFmtId="0" fontId="34" fillId="55" borderId="238" xfId="0" applyNumberFormat="1" applyFont="1" applyFill="1" applyBorder="1" applyAlignment="1" applyProtection="1">
      <alignment wrapText="1"/>
      <protection locked="0"/>
    </xf>
    <xf numFmtId="0" fontId="48" fillId="41" borderId="237" xfId="0" applyNumberFormat="1" applyFont="1" applyFill="1" applyBorder="1" applyAlignment="1" applyProtection="1">
      <alignment horizontal="center" vertical="center" wrapText="1"/>
    </xf>
    <xf numFmtId="0" fontId="48" fillId="41" borderId="104" xfId="0" applyNumberFormat="1" applyFont="1" applyFill="1" applyBorder="1" applyAlignment="1" applyProtection="1">
      <alignment horizontal="center" vertical="center" wrapText="1"/>
    </xf>
    <xf numFmtId="0" fontId="48" fillId="41" borderId="238" xfId="0" applyNumberFormat="1" applyFont="1" applyFill="1" applyBorder="1" applyAlignment="1" applyProtection="1">
      <alignment horizontal="center" vertical="center" wrapText="1"/>
    </xf>
    <xf numFmtId="2" fontId="38" fillId="39" borderId="17" xfId="50" applyFont="1" applyFill="1" applyBorder="1" applyAlignment="1">
      <alignment horizontal="center" vertical="center"/>
    </xf>
    <xf numFmtId="2" fontId="38" fillId="39" borderId="52" xfId="50" applyFont="1" applyFill="1" applyBorder="1" applyAlignment="1">
      <alignment horizontal="center" vertical="center"/>
    </xf>
    <xf numFmtId="2" fontId="38" fillId="39" borderId="18" xfId="50" applyFont="1" applyFill="1" applyBorder="1" applyAlignment="1">
      <alignment horizontal="center" vertical="center"/>
    </xf>
    <xf numFmtId="2" fontId="38" fillId="39" borderId="19" xfId="50" applyFont="1" applyFill="1" applyBorder="1" applyAlignment="1">
      <alignment horizontal="center" vertical="center"/>
    </xf>
    <xf numFmtId="2" fontId="38" fillId="39" borderId="0" xfId="50" applyFont="1" applyFill="1" applyBorder="1" applyAlignment="1">
      <alignment horizontal="center" vertical="center"/>
    </xf>
    <xf numFmtId="2" fontId="38" fillId="39" borderId="20" xfId="50" applyFont="1" applyFill="1" applyBorder="1" applyAlignment="1">
      <alignment horizontal="center" vertical="center"/>
    </xf>
    <xf numFmtId="0" fontId="0" fillId="37" borderId="19" xfId="0" applyFill="1" applyBorder="1" applyAlignment="1" applyProtection="1">
      <alignment horizontal="center" vertical="center" wrapText="1"/>
    </xf>
    <xf numFmtId="0" fontId="0" fillId="37" borderId="0" xfId="0" applyFill="1" applyBorder="1" applyAlignment="1" applyProtection="1">
      <alignment horizontal="center" vertical="center" wrapText="1"/>
    </xf>
    <xf numFmtId="0" fontId="0" fillId="37" borderId="32" xfId="0" applyFill="1" applyBorder="1" applyAlignment="1" applyProtection="1">
      <alignment horizontal="center" vertical="center"/>
    </xf>
    <xf numFmtId="0" fontId="0" fillId="37" borderId="54" xfId="0" applyFill="1" applyBorder="1" applyAlignment="1" applyProtection="1">
      <alignment horizontal="center" vertical="center"/>
    </xf>
    <xf numFmtId="0" fontId="40" fillId="37" borderId="124" xfId="0" applyFont="1" applyFill="1" applyBorder="1" applyAlignment="1" applyProtection="1">
      <alignment horizontal="center" vertical="center"/>
    </xf>
    <xf numFmtId="0" fontId="40" fillId="37" borderId="0" xfId="0" applyFont="1" applyFill="1" applyBorder="1" applyAlignment="1" applyProtection="1">
      <alignment horizontal="center" vertical="center"/>
    </xf>
    <xf numFmtId="0" fontId="40" fillId="37" borderId="20" xfId="0" applyFont="1" applyFill="1" applyBorder="1" applyAlignment="1" applyProtection="1">
      <alignment horizontal="center" vertical="center"/>
    </xf>
    <xf numFmtId="0" fontId="39" fillId="37" borderId="124" xfId="0" applyFont="1" applyFill="1" applyBorder="1" applyAlignment="1" applyProtection="1">
      <alignment horizontal="center" vertical="center"/>
      <protection locked="0"/>
    </xf>
    <xf numFmtId="0" fontId="39" fillId="37" borderId="0" xfId="0" applyFont="1" applyFill="1" applyBorder="1" applyAlignment="1" applyProtection="1">
      <alignment horizontal="center" vertical="center"/>
      <protection locked="0"/>
    </xf>
    <xf numFmtId="0" fontId="39" fillId="37" borderId="20" xfId="0" applyFont="1" applyFill="1" applyBorder="1" applyAlignment="1" applyProtection="1">
      <alignment horizontal="center" vertical="center"/>
      <protection locked="0"/>
    </xf>
    <xf numFmtId="0" fontId="39" fillId="37" borderId="128" xfId="0" applyFont="1" applyFill="1" applyBorder="1" applyAlignment="1" applyProtection="1">
      <alignment horizontal="center" vertical="center"/>
      <protection locked="0"/>
    </xf>
    <xf numFmtId="0" fontId="39" fillId="37" borderId="54" xfId="0" applyFont="1" applyFill="1" applyBorder="1" applyAlignment="1" applyProtection="1">
      <alignment horizontal="center" vertical="center"/>
      <protection locked="0"/>
    </xf>
    <xf numFmtId="0" fontId="39" fillId="37" borderId="51" xfId="0" applyFont="1" applyFill="1" applyBorder="1" applyAlignment="1" applyProtection="1">
      <alignment horizontal="center" vertical="center"/>
      <protection locked="0"/>
    </xf>
    <xf numFmtId="0" fontId="28" fillId="37" borderId="19" xfId="0" applyFont="1" applyFill="1" applyBorder="1" applyAlignment="1" applyProtection="1">
      <alignment horizontal="center" vertical="center"/>
    </xf>
    <xf numFmtId="0" fontId="28" fillId="37" borderId="0" xfId="0" applyFont="1" applyFill="1" applyBorder="1" applyAlignment="1" applyProtection="1">
      <alignment horizontal="center" vertical="center"/>
    </xf>
    <xf numFmtId="0" fontId="28" fillId="37" borderId="164" xfId="0" applyFont="1" applyFill="1" applyBorder="1" applyAlignment="1" applyProtection="1">
      <alignment horizontal="center" vertical="center"/>
    </xf>
    <xf numFmtId="2" fontId="38" fillId="42" borderId="0" xfId="50" applyBorder="1" applyAlignment="1">
      <alignment horizontal="left" vertical="center" indent="1"/>
    </xf>
    <xf numFmtId="2" fontId="38" fillId="39" borderId="19" xfId="50" applyFont="1" applyFill="1" applyBorder="1" applyAlignment="1" applyProtection="1">
      <alignment horizontal="left" vertical="center" indent="1"/>
    </xf>
    <xf numFmtId="2" fontId="38" fillId="39" borderId="0" xfId="50" applyFont="1" applyFill="1" applyBorder="1" applyAlignment="1" applyProtection="1">
      <alignment horizontal="left" vertical="center" indent="1"/>
    </xf>
    <xf numFmtId="2" fontId="38" fillId="39" borderId="20" xfId="50" applyFont="1" applyFill="1" applyBorder="1" applyAlignment="1" applyProtection="1">
      <alignment horizontal="left" vertical="center" indent="1"/>
    </xf>
    <xf numFmtId="0" fontId="0" fillId="40" borderId="104" xfId="0" applyFill="1" applyBorder="1" applyAlignment="1" applyProtection="1">
      <alignment vertical="top" wrapText="1"/>
    </xf>
    <xf numFmtId="0" fontId="0" fillId="40" borderId="93" xfId="0" applyFill="1" applyBorder="1" applyAlignment="1" applyProtection="1">
      <alignment vertical="top" wrapText="1"/>
    </xf>
    <xf numFmtId="0" fontId="0" fillId="0" borderId="69" xfId="0" applyFill="1" applyBorder="1" applyAlignment="1" applyProtection="1">
      <alignment wrapText="1"/>
      <protection locked="0"/>
    </xf>
    <xf numFmtId="0" fontId="0" fillId="0" borderId="94" xfId="0" applyFill="1" applyBorder="1" applyAlignment="1" applyProtection="1">
      <alignment wrapText="1"/>
      <protection locked="0"/>
    </xf>
    <xf numFmtId="0" fontId="25" fillId="40" borderId="184" xfId="0" applyFont="1" applyFill="1" applyBorder="1" applyAlignment="1">
      <alignment horizontal="left" vertical="center" wrapText="1"/>
    </xf>
    <xf numFmtId="0" fontId="25" fillId="40" borderId="11" xfId="0" applyFont="1" applyFill="1" applyBorder="1" applyAlignment="1">
      <alignment horizontal="left" vertical="center" wrapText="1"/>
    </xf>
    <xf numFmtId="0" fontId="0" fillId="41" borderId="74" xfId="0" applyFont="1" applyFill="1" applyBorder="1" applyAlignment="1" applyProtection="1">
      <alignment wrapText="1"/>
      <protection locked="0"/>
    </xf>
    <xf numFmtId="0" fontId="0" fillId="41" borderId="92" xfId="0" applyFont="1" applyFill="1" applyBorder="1" applyAlignment="1" applyProtection="1">
      <alignment wrapText="1"/>
      <protection locked="0"/>
    </xf>
    <xf numFmtId="0" fontId="25" fillId="40" borderId="19" xfId="0" applyFont="1" applyFill="1" applyBorder="1" applyAlignment="1">
      <alignment horizontal="center" vertical="center" wrapText="1"/>
    </xf>
    <xf numFmtId="0" fontId="25" fillId="40" borderId="121" xfId="0" applyFont="1" applyFill="1" applyBorder="1" applyAlignment="1">
      <alignment horizontal="center" vertical="center" wrapText="1"/>
    </xf>
    <xf numFmtId="0" fontId="25" fillId="40" borderId="32" xfId="0" applyFont="1" applyFill="1" applyBorder="1" applyAlignment="1">
      <alignment horizontal="center" vertical="center" wrapText="1"/>
    </xf>
    <xf numFmtId="0" fontId="25" fillId="40" borderId="178" xfId="0" applyFont="1" applyFill="1" applyBorder="1" applyAlignment="1">
      <alignment horizontal="center" vertical="center" wrapText="1"/>
    </xf>
    <xf numFmtId="0" fontId="25" fillId="40" borderId="157" xfId="0" applyFont="1" applyFill="1" applyBorder="1" applyAlignment="1">
      <alignment horizontal="left"/>
    </xf>
    <xf numFmtId="0" fontId="25" fillId="40" borderId="162" xfId="0" applyFont="1" applyFill="1" applyBorder="1" applyAlignment="1">
      <alignment horizontal="left"/>
    </xf>
    <xf numFmtId="0" fontId="25" fillId="40" borderId="158" xfId="0" applyFont="1" applyFill="1" applyBorder="1" applyAlignment="1">
      <alignment horizontal="left"/>
    </xf>
    <xf numFmtId="0" fontId="37" fillId="40" borderId="140" xfId="0" applyFont="1" applyFill="1" applyBorder="1" applyAlignment="1">
      <alignment horizontal="center" vertical="center" wrapText="1"/>
    </xf>
    <xf numFmtId="0" fontId="37" fillId="40" borderId="178" xfId="0" applyFont="1" applyFill="1" applyBorder="1" applyAlignment="1">
      <alignment horizontal="center" vertical="center" wrapText="1"/>
    </xf>
    <xf numFmtId="0" fontId="25" fillId="40" borderId="155" xfId="0" applyFont="1" applyFill="1" applyBorder="1" applyAlignment="1">
      <alignment horizontal="left"/>
    </xf>
    <xf numFmtId="0" fontId="25" fillId="40" borderId="161" xfId="0" applyFont="1" applyFill="1" applyBorder="1" applyAlignment="1">
      <alignment horizontal="left"/>
    </xf>
    <xf numFmtId="0" fontId="25" fillId="40" borderId="156" xfId="0" applyFont="1" applyFill="1" applyBorder="1" applyAlignment="1">
      <alignment horizontal="left"/>
    </xf>
    <xf numFmtId="168" fontId="0" fillId="34" borderId="15" xfId="0" applyNumberFormat="1" applyFont="1" applyFill="1" applyBorder="1" applyAlignment="1" applyProtection="1">
      <alignment horizontal="right"/>
      <protection locked="0"/>
    </xf>
    <xf numFmtId="168" fontId="0" fillId="34" borderId="221" xfId="0" applyNumberFormat="1" applyFont="1" applyFill="1" applyBorder="1" applyAlignment="1" applyProtection="1">
      <alignment horizontal="right"/>
      <protection locked="0"/>
    </xf>
    <xf numFmtId="22" fontId="0" fillId="41" borderId="53" xfId="0" applyNumberFormat="1" applyFont="1" applyFill="1" applyBorder="1" applyAlignment="1" applyProtection="1">
      <alignment horizontal="left"/>
      <protection locked="0"/>
    </xf>
    <xf numFmtId="22" fontId="0" fillId="41" borderId="69" xfId="0" applyNumberFormat="1" applyFont="1" applyFill="1" applyBorder="1" applyAlignment="1" applyProtection="1">
      <alignment horizontal="left"/>
      <protection locked="0"/>
    </xf>
    <xf numFmtId="22" fontId="0" fillId="41" borderId="94" xfId="0" applyNumberFormat="1" applyFont="1" applyFill="1" applyBorder="1" applyAlignment="1" applyProtection="1">
      <alignment horizontal="left"/>
      <protection locked="0"/>
    </xf>
    <xf numFmtId="0" fontId="25" fillId="40" borderId="155" xfId="0" applyFont="1" applyFill="1" applyBorder="1" applyAlignment="1">
      <alignment horizontal="left" wrapText="1"/>
    </xf>
    <xf numFmtId="0" fontId="25" fillId="40" borderId="161" xfId="0" applyFont="1" applyFill="1" applyBorder="1" applyAlignment="1">
      <alignment horizontal="left" wrapText="1"/>
    </xf>
    <xf numFmtId="0" fontId="25" fillId="40" borderId="156" xfId="0" applyFont="1" applyFill="1" applyBorder="1" applyAlignment="1">
      <alignment horizontal="left" wrapText="1"/>
    </xf>
    <xf numFmtId="0" fontId="25" fillId="40" borderId="157" xfId="0" applyFont="1" applyFill="1" applyBorder="1" applyAlignment="1">
      <alignment horizontal="left" wrapText="1"/>
    </xf>
    <xf numFmtId="0" fontId="25" fillId="40" borderId="162" xfId="0" applyFont="1" applyFill="1" applyBorder="1" applyAlignment="1">
      <alignment horizontal="left" wrapText="1"/>
    </xf>
    <xf numFmtId="0" fontId="25" fillId="40" borderId="158" xfId="0" applyFont="1" applyFill="1" applyBorder="1" applyAlignment="1">
      <alignment horizontal="left" wrapText="1"/>
    </xf>
    <xf numFmtId="0" fontId="25" fillId="40" borderId="159" xfId="0" applyFont="1" applyFill="1" applyBorder="1" applyAlignment="1">
      <alignment horizontal="left" wrapText="1"/>
    </xf>
    <xf numFmtId="0" fontId="25" fillId="40" borderId="163" xfId="0" applyFont="1" applyFill="1" applyBorder="1" applyAlignment="1">
      <alignment horizontal="left" wrapText="1"/>
    </xf>
    <xf numFmtId="0" fontId="25" fillId="40" borderId="160" xfId="0" applyFont="1" applyFill="1" applyBorder="1" applyAlignment="1">
      <alignment horizontal="left" wrapText="1"/>
    </xf>
    <xf numFmtId="0" fontId="0" fillId="41" borderId="104" xfId="0" applyNumberFormat="1" applyFill="1" applyBorder="1" applyAlignment="1" applyProtection="1">
      <alignment horizontal="left" wrapText="1"/>
    </xf>
    <xf numFmtId="0" fontId="0" fillId="41" borderId="239" xfId="0" applyNumberFormat="1" applyFill="1" applyBorder="1" applyAlignment="1" applyProtection="1">
      <alignment horizontal="left" wrapText="1"/>
    </xf>
    <xf numFmtId="0" fontId="25" fillId="40" borderId="159" xfId="0" applyFont="1" applyFill="1" applyBorder="1" applyAlignment="1">
      <alignment horizontal="left"/>
    </xf>
    <xf numFmtId="0" fontId="25" fillId="40" borderId="163" xfId="0" applyFont="1" applyFill="1" applyBorder="1" applyAlignment="1">
      <alignment horizontal="left"/>
    </xf>
    <xf numFmtId="0" fontId="25" fillId="40" borderId="160" xfId="0" applyFont="1" applyFill="1" applyBorder="1" applyAlignment="1">
      <alignment horizontal="left"/>
    </xf>
    <xf numFmtId="0" fontId="0" fillId="55" borderId="104" xfId="0" applyNumberFormat="1" applyFill="1" applyBorder="1" applyAlignment="1" applyProtection="1">
      <alignment horizontal="left" wrapText="1"/>
    </xf>
    <xf numFmtId="0" fontId="0" fillId="55" borderId="239" xfId="0" applyNumberFormat="1" applyFill="1" applyBorder="1" applyAlignment="1" applyProtection="1">
      <alignment horizontal="left" wrapText="1"/>
    </xf>
    <xf numFmtId="0" fontId="37" fillId="40" borderId="20" xfId="0" applyFont="1" applyFill="1" applyBorder="1" applyAlignment="1">
      <alignment horizontal="center" vertical="center" wrapText="1"/>
    </xf>
    <xf numFmtId="0" fontId="25" fillId="40" borderId="77" xfId="0" applyFont="1" applyFill="1" applyBorder="1" applyAlignment="1">
      <alignment horizontal="left" wrapText="1"/>
    </xf>
    <xf numFmtId="0" fontId="25" fillId="40" borderId="78" xfId="0" applyFont="1" applyFill="1" applyBorder="1" applyAlignment="1">
      <alignment horizontal="left" wrapText="1"/>
    </xf>
    <xf numFmtId="0" fontId="25" fillId="46" borderId="36" xfId="0" applyFont="1" applyFill="1" applyBorder="1" applyAlignment="1">
      <alignment horizontal="left" wrapText="1"/>
    </xf>
    <xf numFmtId="0" fontId="25" fillId="46" borderId="79" xfId="0" applyFont="1" applyFill="1" applyBorder="1" applyAlignment="1">
      <alignment horizontal="left" wrapText="1"/>
    </xf>
    <xf numFmtId="0" fontId="0" fillId="37" borderId="260" xfId="0" applyFont="1" applyFill="1" applyBorder="1" applyAlignment="1"/>
    <xf numFmtId="0" fontId="0" fillId="37" borderId="268" xfId="0" applyFont="1" applyFill="1" applyBorder="1" applyAlignment="1"/>
    <xf numFmtId="168" fontId="0" fillId="0" borderId="80" xfId="0" applyNumberFormat="1" applyFont="1" applyFill="1" applyBorder="1" applyAlignment="1" applyProtection="1">
      <alignment horizontal="right"/>
      <protection locked="0"/>
    </xf>
    <xf numFmtId="168" fontId="0" fillId="0" borderId="91" xfId="0" applyNumberFormat="1" applyFont="1" applyFill="1" applyBorder="1" applyAlignment="1" applyProtection="1">
      <alignment horizontal="right"/>
      <protection locked="0"/>
    </xf>
    <xf numFmtId="168" fontId="0" fillId="0" borderId="107" xfId="0" applyNumberFormat="1" applyFont="1" applyFill="1" applyBorder="1" applyAlignment="1" applyProtection="1">
      <alignment horizontal="right"/>
      <protection locked="0"/>
    </xf>
    <xf numFmtId="168" fontId="0" fillId="34" borderId="80" xfId="0" applyNumberFormat="1" applyFont="1" applyFill="1" applyBorder="1" applyAlignment="1" applyProtection="1">
      <alignment horizontal="right"/>
      <protection locked="0"/>
    </xf>
    <xf numFmtId="22" fontId="0" fillId="41" borderId="118" xfId="0" applyNumberFormat="1" applyFont="1" applyFill="1" applyBorder="1" applyAlignment="1" applyProtection="1">
      <alignment horizontal="left"/>
    </xf>
    <xf numFmtId="22" fontId="0" fillId="41" borderId="0" xfId="0" applyNumberFormat="1" applyFont="1" applyFill="1" applyBorder="1" applyAlignment="1" applyProtection="1">
      <alignment horizontal="left"/>
    </xf>
    <xf numFmtId="0" fontId="0" fillId="40" borderId="166" xfId="0" applyFont="1" applyFill="1" applyBorder="1" applyAlignment="1" applyProtection="1">
      <alignment horizontal="left" wrapText="1"/>
    </xf>
    <xf numFmtId="0" fontId="0" fillId="40" borderId="146" xfId="0" applyFont="1" applyFill="1" applyBorder="1" applyAlignment="1" applyProtection="1">
      <alignment horizontal="left" wrapText="1"/>
    </xf>
    <xf numFmtId="0" fontId="0" fillId="0" borderId="80" xfId="0" applyFont="1" applyFill="1" applyBorder="1" applyAlignment="1" applyProtection="1">
      <alignment horizontal="left" wrapText="1"/>
      <protection locked="0"/>
    </xf>
    <xf numFmtId="0" fontId="0" fillId="0" borderId="104" xfId="0" applyFont="1" applyFill="1" applyBorder="1" applyAlignment="1" applyProtection="1">
      <alignment horizontal="left" wrapText="1"/>
      <protection locked="0"/>
    </xf>
    <xf numFmtId="0" fontId="37" fillId="40" borderId="99" xfId="0" applyFont="1" applyFill="1" applyBorder="1" applyAlignment="1">
      <alignment horizontal="center" vertical="center" wrapText="1"/>
    </xf>
    <xf numFmtId="0" fontId="48" fillId="41" borderId="78" xfId="0" applyNumberFormat="1" applyFont="1" applyFill="1" applyBorder="1" applyAlignment="1" applyProtection="1">
      <alignment horizontal="center" vertical="center" wrapText="1"/>
    </xf>
    <xf numFmtId="0" fontId="48" fillId="55" borderId="78" xfId="0" applyNumberFormat="1" applyFont="1" applyFill="1" applyBorder="1" applyAlignment="1" applyProtection="1">
      <alignment horizontal="center" vertical="center" wrapText="1"/>
    </xf>
    <xf numFmtId="0" fontId="37" fillId="40" borderId="165" xfId="0" applyFont="1" applyFill="1" applyBorder="1" applyAlignment="1">
      <alignment horizontal="center" vertical="center" wrapText="1"/>
    </xf>
    <xf numFmtId="0" fontId="37" fillId="40" borderId="54" xfId="0" applyFont="1" applyFill="1" applyBorder="1" applyAlignment="1">
      <alignment horizontal="center" vertical="center" wrapText="1"/>
    </xf>
    <xf numFmtId="0" fontId="37" fillId="40" borderId="86" xfId="0" applyFont="1" applyFill="1" applyBorder="1" applyAlignment="1">
      <alignment horizontal="center" vertical="center" wrapText="1"/>
    </xf>
    <xf numFmtId="22" fontId="0" fillId="41" borderId="165" xfId="0" applyNumberFormat="1" applyFont="1" applyFill="1" applyBorder="1" applyAlignment="1" applyProtection="1">
      <alignment horizontal="left"/>
      <protection locked="0"/>
    </xf>
    <xf numFmtId="22" fontId="0" fillId="41" borderId="54" xfId="0" applyNumberFormat="1" applyFont="1" applyFill="1" applyBorder="1" applyAlignment="1" applyProtection="1">
      <alignment horizontal="left"/>
      <protection locked="0"/>
    </xf>
    <xf numFmtId="0" fontId="37" fillId="40" borderId="121" xfId="0" applyFont="1" applyFill="1" applyBorder="1" applyAlignment="1">
      <alignment horizontal="center" vertical="center" wrapText="1"/>
    </xf>
    <xf numFmtId="0" fontId="0" fillId="41" borderId="91" xfId="0" applyFont="1" applyFill="1" applyBorder="1" applyAlignment="1" applyProtection="1">
      <alignment horizontal="left" wrapText="1"/>
    </xf>
    <xf numFmtId="0" fontId="0" fillId="41" borderId="74" xfId="0" applyFont="1" applyFill="1" applyBorder="1" applyAlignment="1" applyProtection="1">
      <alignment horizontal="left" wrapText="1"/>
    </xf>
    <xf numFmtId="0" fontId="0" fillId="41" borderId="92" xfId="0" applyFont="1" applyFill="1" applyBorder="1" applyAlignment="1" applyProtection="1">
      <alignment horizontal="left" wrapText="1"/>
    </xf>
    <xf numFmtId="0" fontId="0" fillId="40" borderId="80" xfId="0" applyFont="1" applyFill="1" applyBorder="1" applyAlignment="1" applyProtection="1">
      <alignment horizontal="left" wrapText="1"/>
    </xf>
    <xf numFmtId="0" fontId="0" fillId="40" borderId="104" xfId="0" applyFont="1" applyFill="1" applyBorder="1" applyAlignment="1" applyProtection="1">
      <alignment horizontal="left" wrapText="1"/>
    </xf>
    <xf numFmtId="0" fontId="0" fillId="40" borderId="93" xfId="0" applyFont="1" applyFill="1" applyBorder="1" applyAlignment="1" applyProtection="1">
      <alignment horizontal="left" wrapText="1"/>
    </xf>
    <xf numFmtId="0" fontId="0" fillId="0" borderId="93" xfId="0" applyFont="1" applyFill="1" applyBorder="1" applyAlignment="1" applyProtection="1">
      <alignment horizontal="left" wrapText="1"/>
      <protection locked="0"/>
    </xf>
    <xf numFmtId="0" fontId="0" fillId="41" borderId="163" xfId="0" applyNumberFormat="1" applyFill="1" applyBorder="1" applyAlignment="1" applyProtection="1">
      <alignment wrapText="1"/>
    </xf>
    <xf numFmtId="0" fontId="0" fillId="41" borderId="224" xfId="0" applyNumberFormat="1" applyFill="1" applyBorder="1" applyAlignment="1" applyProtection="1">
      <alignment wrapText="1"/>
    </xf>
    <xf numFmtId="0" fontId="0" fillId="41" borderId="0" xfId="0" applyNumberFormat="1" applyFill="1" applyBorder="1" applyAlignment="1" applyProtection="1">
      <alignment horizontal="left" wrapText="1"/>
    </xf>
    <xf numFmtId="0" fontId="0" fillId="41" borderId="0" xfId="0" applyNumberFormat="1" applyFont="1" applyFill="1" applyBorder="1" applyAlignment="1" applyProtection="1">
      <alignment horizontal="left" wrapText="1"/>
    </xf>
    <xf numFmtId="0" fontId="0" fillId="55" borderId="69" xfId="0" applyNumberFormat="1" applyFill="1" applyBorder="1" applyAlignment="1" applyProtection="1">
      <alignment horizontal="left" wrapText="1"/>
    </xf>
    <xf numFmtId="0" fontId="0" fillId="55" borderId="240" xfId="0" applyNumberFormat="1" applyFill="1" applyBorder="1" applyAlignment="1" applyProtection="1">
      <alignment horizontal="left" wrapText="1"/>
    </xf>
    <xf numFmtId="0" fontId="0" fillId="55" borderId="104" xfId="0" applyNumberFormat="1" applyFont="1" applyFill="1" applyBorder="1" applyAlignment="1" applyProtection="1">
      <alignment horizontal="left" wrapText="1"/>
    </xf>
    <xf numFmtId="0" fontId="48" fillId="55" borderId="237" xfId="0" applyNumberFormat="1" applyFont="1" applyFill="1" applyBorder="1" applyAlignment="1" applyProtection="1">
      <alignment horizontal="center" vertical="center" wrapText="1"/>
      <protection locked="0"/>
    </xf>
    <xf numFmtId="0" fontId="48" fillId="55" borderId="104" xfId="0" applyNumberFormat="1" applyFont="1" applyFill="1" applyBorder="1" applyAlignment="1" applyProtection="1">
      <alignment horizontal="center" vertical="center" wrapText="1"/>
      <protection locked="0"/>
    </xf>
    <xf numFmtId="0" fontId="48" fillId="55" borderId="238" xfId="0" applyNumberFormat="1" applyFont="1" applyFill="1" applyBorder="1" applyAlignment="1" applyProtection="1">
      <alignment horizontal="center" vertical="center" wrapText="1"/>
      <protection locked="0"/>
    </xf>
    <xf numFmtId="168" fontId="0" fillId="0" borderId="233" xfId="0" applyNumberFormat="1" applyFont="1" applyFill="1" applyBorder="1" applyAlignment="1" applyProtection="1">
      <alignment horizontal="right"/>
      <protection locked="0"/>
    </xf>
    <xf numFmtId="168" fontId="0" fillId="0" borderId="235" xfId="0" applyNumberFormat="1" applyFont="1" applyFill="1" applyBorder="1" applyAlignment="1" applyProtection="1">
      <alignment horizontal="right"/>
      <protection locked="0"/>
    </xf>
    <xf numFmtId="168" fontId="0" fillId="34" borderId="229" xfId="0" applyNumberFormat="1" applyFont="1" applyFill="1" applyBorder="1" applyAlignment="1" applyProtection="1">
      <alignment horizontal="right"/>
      <protection locked="0"/>
    </xf>
    <xf numFmtId="168" fontId="0" fillId="34" borderId="222" xfId="0" applyNumberFormat="1" applyFont="1" applyFill="1" applyBorder="1" applyAlignment="1" applyProtection="1">
      <alignment horizontal="right"/>
      <protection locked="0"/>
    </xf>
    <xf numFmtId="0" fontId="0" fillId="34" borderId="0" xfId="0" applyProtection="1"/>
    <xf numFmtId="0" fontId="0" fillId="55" borderId="39" xfId="0" applyNumberFormat="1" applyFont="1" applyFill="1" applyBorder="1" applyAlignment="1" applyProtection="1">
      <alignment wrapText="1"/>
      <protection locked="0"/>
    </xf>
    <xf numFmtId="0" fontId="0" fillId="55" borderId="69" xfId="0" applyNumberFormat="1" applyFont="1" applyFill="1" applyBorder="1" applyAlignment="1" applyProtection="1">
      <alignment wrapText="1"/>
      <protection locked="0"/>
    </xf>
    <xf numFmtId="0" fontId="0" fillId="55" borderId="232" xfId="0" applyNumberFormat="1" applyFont="1" applyFill="1" applyBorder="1" applyAlignment="1" applyProtection="1">
      <alignment wrapText="1"/>
      <protection locked="0"/>
    </xf>
    <xf numFmtId="168" fontId="0" fillId="34" borderId="231" xfId="0" applyNumberFormat="1" applyFont="1" applyFill="1" applyBorder="1" applyAlignment="1" applyProtection="1">
      <alignment horizontal="right"/>
      <protection locked="0"/>
    </xf>
    <xf numFmtId="168" fontId="0" fillId="34" borderId="225" xfId="0" applyNumberFormat="1" applyFont="1" applyFill="1" applyBorder="1" applyAlignment="1" applyProtection="1">
      <alignment horizontal="right"/>
      <protection locked="0"/>
    </xf>
    <xf numFmtId="0" fontId="0" fillId="34" borderId="0" xfId="0" applyBorder="1" applyAlignment="1" applyProtection="1"/>
    <xf numFmtId="0" fontId="0" fillId="37" borderId="257" xfId="0" applyFont="1" applyFill="1" applyBorder="1" applyAlignment="1" applyProtection="1">
      <alignment horizontal="center"/>
    </xf>
    <xf numFmtId="0" fontId="0" fillId="37" borderId="236" xfId="0" applyFont="1" applyFill="1" applyBorder="1" applyAlignment="1" applyProtection="1">
      <alignment horizontal="center"/>
    </xf>
    <xf numFmtId="0" fontId="0" fillId="55" borderId="265" xfId="0" applyNumberFormat="1" applyFont="1" applyFill="1" applyBorder="1" applyAlignment="1" applyProtection="1">
      <alignment horizontal="left" wrapText="1"/>
      <protection locked="0"/>
    </xf>
    <xf numFmtId="0" fontId="0" fillId="55" borderId="163" xfId="0" applyNumberFormat="1" applyFont="1" applyFill="1" applyBorder="1" applyAlignment="1" applyProtection="1">
      <alignment horizontal="left" wrapText="1"/>
      <protection locked="0"/>
    </xf>
    <xf numFmtId="0" fontId="0" fillId="37" borderId="36" xfId="0" applyFont="1" applyFill="1" applyBorder="1" applyAlignment="1"/>
    <xf numFmtId="0" fontId="0" fillId="37" borderId="94" xfId="0" applyFont="1" applyFill="1" applyBorder="1" applyAlignment="1"/>
    <xf numFmtId="0" fontId="0" fillId="41" borderId="73" xfId="0" applyNumberFormat="1" applyFont="1" applyFill="1" applyBorder="1" applyAlignment="1" applyProtection="1">
      <alignment wrapText="1"/>
      <protection locked="0"/>
    </xf>
    <xf numFmtId="0" fontId="0" fillId="55" borderId="73" xfId="0" applyNumberFormat="1" applyFont="1" applyFill="1" applyBorder="1" applyAlignment="1" applyProtection="1">
      <alignment wrapText="1"/>
      <protection locked="0"/>
    </xf>
    <xf numFmtId="0" fontId="0" fillId="37" borderId="39" xfId="0" applyFont="1" applyFill="1" applyBorder="1" applyAlignment="1">
      <alignment horizontal="center"/>
    </xf>
    <xf numFmtId="0" fontId="0" fillId="37" borderId="69" xfId="0" applyFont="1" applyFill="1" applyBorder="1" applyAlignment="1">
      <alignment horizontal="center"/>
    </xf>
    <xf numFmtId="168" fontId="0" fillId="34" borderId="242" xfId="0" applyNumberFormat="1" applyFont="1" applyFill="1" applyBorder="1" applyAlignment="1" applyProtection="1">
      <alignment horizontal="right"/>
      <protection locked="0"/>
    </xf>
    <xf numFmtId="168" fontId="0" fillId="34" borderId="259" xfId="0" applyNumberFormat="1" applyFont="1" applyFill="1" applyBorder="1" applyAlignment="1" applyProtection="1">
      <alignment horizontal="right"/>
      <protection locked="0"/>
    </xf>
    <xf numFmtId="2" fontId="38" fillId="42" borderId="17" xfId="50" applyBorder="1" applyAlignment="1">
      <alignment horizontal="left" vertical="center"/>
    </xf>
    <xf numFmtId="2" fontId="38" fillId="42" borderId="18" xfId="50" applyBorder="1" applyAlignment="1">
      <alignment horizontal="left" vertical="center"/>
    </xf>
    <xf numFmtId="0" fontId="28" fillId="34" borderId="0" xfId="0" applyFont="1" applyAlignment="1" applyProtection="1">
      <alignment horizontal="left" vertical="top" wrapText="1"/>
    </xf>
    <xf numFmtId="2" fontId="44" fillId="45" borderId="194" xfId="50" applyFont="1" applyFill="1" applyBorder="1" applyAlignment="1">
      <alignment horizontal="center" vertical="center"/>
    </xf>
    <xf numFmtId="2" fontId="44" fillId="45" borderId="184" xfId="50" applyFont="1" applyFill="1" applyBorder="1" applyAlignment="1">
      <alignment horizontal="center" vertical="center"/>
    </xf>
    <xf numFmtId="0" fontId="0" fillId="41" borderId="187" xfId="0" applyFill="1" applyBorder="1" applyAlignment="1" applyProtection="1">
      <protection locked="0"/>
    </xf>
    <xf numFmtId="0" fontId="0" fillId="41" borderId="188" xfId="0" applyFill="1" applyBorder="1" applyAlignment="1" applyProtection="1">
      <protection locked="0"/>
    </xf>
    <xf numFmtId="0" fontId="0" fillId="41" borderId="189" xfId="0" applyFill="1" applyBorder="1" applyAlignment="1" applyProtection="1">
      <protection locked="0"/>
    </xf>
    <xf numFmtId="0" fontId="0" fillId="41" borderId="89" xfId="0" applyFill="1" applyBorder="1" applyAlignment="1" applyProtection="1">
      <protection locked="0"/>
    </xf>
    <xf numFmtId="49" fontId="0" fillId="41" borderId="146" xfId="0" applyNumberFormat="1" applyFill="1" applyBorder="1" applyAlignment="1" applyProtection="1">
      <protection locked="0"/>
    </xf>
    <xf numFmtId="49" fontId="0" fillId="33" borderId="190" xfId="0" applyNumberFormat="1" applyFont="1" applyFill="1" applyBorder="1" applyAlignment="1" applyProtection="1">
      <alignment horizontal="left"/>
      <protection locked="0"/>
    </xf>
    <xf numFmtId="0" fontId="25" fillId="46" borderId="46" xfId="0" applyFont="1" applyFill="1" applyBorder="1" applyAlignment="1"/>
    <xf numFmtId="0" fontId="25" fillId="46" borderId="129" xfId="0" applyFont="1" applyFill="1" applyBorder="1" applyAlignment="1"/>
    <xf numFmtId="0" fontId="25" fillId="40" borderId="87" xfId="0" applyFont="1" applyFill="1" applyBorder="1" applyAlignment="1"/>
    <xf numFmtId="0" fontId="25" fillId="40" borderId="131" xfId="0" applyFont="1" applyFill="1" applyBorder="1" applyAlignment="1"/>
    <xf numFmtId="2" fontId="44" fillId="45" borderId="195" xfId="50" applyFont="1" applyFill="1" applyBorder="1" applyAlignment="1">
      <alignment horizontal="center" vertical="center"/>
    </xf>
    <xf numFmtId="49" fontId="31" fillId="33" borderId="98" xfId="53" quotePrefix="1" applyNumberFormat="1" applyFill="1" applyBorder="1" applyAlignment="1" applyProtection="1">
      <protection locked="0"/>
    </xf>
    <xf numFmtId="49" fontId="31" fillId="33" borderId="186" xfId="53" quotePrefix="1" applyNumberFormat="1" applyFill="1" applyBorder="1" applyAlignment="1" applyProtection="1">
      <protection locked="0"/>
    </xf>
    <xf numFmtId="49" fontId="0" fillId="41" borderId="88" xfId="0" applyNumberFormat="1" applyFill="1" applyBorder="1" applyAlignment="1" applyProtection="1">
      <protection locked="0"/>
    </xf>
    <xf numFmtId="49" fontId="0" fillId="41" borderId="153" xfId="0" applyNumberFormat="1" applyFill="1" applyBorder="1" applyAlignment="1" applyProtection="1">
      <protection locked="0"/>
    </xf>
    <xf numFmtId="0" fontId="25" fillId="40" borderId="196" xfId="0" applyFont="1" applyFill="1" applyBorder="1" applyAlignment="1">
      <alignment horizontal="left"/>
    </xf>
    <xf numFmtId="0" fontId="25" fillId="40" borderId="197" xfId="0" applyFont="1" applyFill="1" applyBorder="1" applyAlignment="1">
      <alignment horizontal="left"/>
    </xf>
    <xf numFmtId="2" fontId="35" fillId="34" borderId="0" xfId="52" applyNumberFormat="1" applyBorder="1" applyAlignment="1">
      <alignment horizontal="left" vertical="top" wrapText="1"/>
    </xf>
    <xf numFmtId="0" fontId="0" fillId="40" borderId="165" xfId="0" applyFont="1" applyFill="1" applyBorder="1" applyAlignment="1" applyProtection="1">
      <alignment wrapText="1"/>
    </xf>
    <xf numFmtId="0" fontId="0" fillId="40" borderId="51" xfId="0" applyFont="1" applyFill="1" applyBorder="1" applyAlignment="1" applyProtection="1">
      <alignment wrapText="1"/>
    </xf>
    <xf numFmtId="0" fontId="25" fillId="40" borderId="46" xfId="0" applyFont="1" applyFill="1" applyBorder="1" applyAlignment="1">
      <alignment horizontal="left"/>
    </xf>
    <xf numFmtId="0" fontId="25" fillId="40" borderId="98" xfId="0" applyFont="1" applyFill="1" applyBorder="1" applyAlignment="1">
      <alignment horizontal="left"/>
    </xf>
    <xf numFmtId="0" fontId="25" fillId="40" borderId="47" xfId="0" applyFont="1" applyFill="1" applyBorder="1" applyAlignment="1">
      <alignment horizontal="left"/>
    </xf>
    <xf numFmtId="0" fontId="25" fillId="40" borderId="89" xfId="0" applyFont="1" applyFill="1" applyBorder="1" applyAlignment="1">
      <alignment horizontal="left"/>
    </xf>
    <xf numFmtId="0" fontId="25" fillId="40" borderId="87" xfId="0" applyFont="1" applyFill="1" applyBorder="1" applyAlignment="1">
      <alignment horizontal="left"/>
    </xf>
    <xf numFmtId="0" fontId="25" fillId="40" borderId="88" xfId="0" applyFont="1" applyFill="1" applyBorder="1" applyAlignment="1">
      <alignment horizontal="left"/>
    </xf>
    <xf numFmtId="0" fontId="27" fillId="34" borderId="0" xfId="0" applyFont="1" applyAlignment="1" applyProtection="1">
      <alignment horizontal="left"/>
    </xf>
    <xf numFmtId="0" fontId="27" fillId="34" borderId="54" xfId="0" applyFont="1" applyBorder="1" applyAlignment="1" applyProtection="1">
      <alignment horizontal="left"/>
    </xf>
    <xf numFmtId="0" fontId="0" fillId="41" borderId="118" xfId="0" applyFont="1" applyFill="1" applyBorder="1" applyAlignment="1" applyProtection="1">
      <alignment wrapText="1"/>
      <protection locked="0"/>
    </xf>
    <xf numFmtId="0" fontId="0" fillId="41" borderId="0" xfId="0" applyFont="1" applyFill="1" applyBorder="1" applyAlignment="1" applyProtection="1">
      <alignment wrapText="1"/>
      <protection locked="0"/>
    </xf>
    <xf numFmtId="0" fontId="31" fillId="41" borderId="150" xfId="53" applyFill="1" applyBorder="1" applyAlignment="1" applyProtection="1">
      <protection locked="0"/>
    </xf>
    <xf numFmtId="0" fontId="0" fillId="41" borderId="151" xfId="0" applyFill="1" applyBorder="1" applyAlignment="1" applyProtection="1">
      <protection locked="0"/>
    </xf>
    <xf numFmtId="0" fontId="25" fillId="40" borderId="193" xfId="0" applyFont="1" applyFill="1" applyBorder="1" applyAlignment="1">
      <alignment horizontal="left"/>
    </xf>
    <xf numFmtId="0" fontId="25" fillId="40" borderId="131" xfId="0" applyFont="1" applyFill="1" applyBorder="1" applyAlignment="1">
      <alignment horizontal="left"/>
    </xf>
    <xf numFmtId="0" fontId="25" fillId="40" borderId="56" xfId="0" applyFont="1" applyFill="1" applyBorder="1" applyAlignment="1"/>
    <xf numFmtId="0" fontId="25" fillId="40" borderId="174" xfId="0" applyFont="1" applyFill="1" applyBorder="1" applyAlignment="1"/>
    <xf numFmtId="0" fontId="0" fillId="37" borderId="176" xfId="0" applyFill="1" applyBorder="1" applyAlignment="1" applyProtection="1">
      <alignment horizontal="center" vertical="center"/>
    </xf>
    <xf numFmtId="2" fontId="44" fillId="45" borderId="205" xfId="50" applyFont="1" applyFill="1" applyBorder="1" applyAlignment="1">
      <alignment horizontal="center" vertical="center"/>
    </xf>
    <xf numFmtId="2" fontId="44" fillId="45" borderId="203" xfId="50" applyFont="1" applyFill="1" applyBorder="1" applyAlignment="1">
      <alignment horizontal="center" vertical="center"/>
    </xf>
    <xf numFmtId="2" fontId="44" fillId="45" borderId="206" xfId="50" applyFont="1" applyFill="1" applyBorder="1" applyAlignment="1">
      <alignment horizontal="center" vertical="center"/>
    </xf>
    <xf numFmtId="2" fontId="44" fillId="45" borderId="202" xfId="50" applyFont="1" applyFill="1" applyBorder="1" applyAlignment="1">
      <alignment horizontal="center" vertical="center"/>
    </xf>
    <xf numFmtId="2" fontId="44" fillId="45" borderId="204" xfId="50" applyFont="1" applyFill="1" applyBorder="1" applyAlignment="1">
      <alignment horizontal="center" vertical="center"/>
    </xf>
    <xf numFmtId="0" fontId="25" fillId="40" borderId="141" xfId="0" applyFont="1" applyFill="1" applyBorder="1" applyAlignment="1"/>
    <xf numFmtId="0" fontId="25" fillId="40" borderId="169" xfId="0" applyFont="1" applyFill="1" applyBorder="1" applyAlignment="1"/>
    <xf numFmtId="0" fontId="0" fillId="41" borderId="141" xfId="0" applyFill="1" applyBorder="1" applyAlignment="1" applyProtection="1">
      <alignment horizontal="left"/>
      <protection locked="0"/>
    </xf>
    <xf numFmtId="0" fontId="0" fillId="41" borderId="170" xfId="0" applyFill="1" applyBorder="1" applyAlignment="1" applyProtection="1">
      <alignment horizontal="left"/>
      <protection locked="0"/>
    </xf>
    <xf numFmtId="0" fontId="0" fillId="41" borderId="55" xfId="0" applyFill="1" applyBorder="1" applyAlignment="1" applyProtection="1">
      <alignment horizontal="left"/>
      <protection locked="0"/>
    </xf>
    <xf numFmtId="0" fontId="0" fillId="41" borderId="130" xfId="0" applyFill="1" applyBorder="1" applyAlignment="1" applyProtection="1">
      <alignment horizontal="left"/>
      <protection locked="0"/>
    </xf>
    <xf numFmtId="0" fontId="0" fillId="41" borderId="55" xfId="0" applyFont="1" applyFill="1" applyBorder="1" applyAlignment="1" applyProtection="1">
      <alignment horizontal="left" wrapText="1"/>
      <protection locked="0"/>
    </xf>
    <xf numFmtId="0" fontId="0" fillId="41" borderId="130" xfId="0" applyFont="1" applyFill="1" applyBorder="1" applyAlignment="1" applyProtection="1">
      <alignment horizontal="left" wrapText="1"/>
      <protection locked="0"/>
    </xf>
    <xf numFmtId="0" fontId="0" fillId="40" borderId="56" xfId="0" applyFont="1" applyFill="1" applyBorder="1" applyAlignment="1" applyProtection="1">
      <alignment horizontal="left" wrapText="1"/>
    </xf>
    <xf numFmtId="0" fontId="0" fillId="40" borderId="153" xfId="0" applyFont="1" applyFill="1" applyBorder="1" applyAlignment="1" applyProtection="1">
      <alignment horizontal="left" wrapText="1"/>
    </xf>
    <xf numFmtId="0" fontId="28" fillId="37" borderId="144" xfId="0" applyFont="1" applyFill="1" applyBorder="1" applyAlignment="1" applyProtection="1">
      <alignment horizontal="center" vertical="center"/>
    </xf>
    <xf numFmtId="0" fontId="0" fillId="37" borderId="164" xfId="0" applyFill="1" applyBorder="1" applyAlignment="1" applyProtection="1">
      <alignment horizontal="center" vertical="center" wrapText="1"/>
    </xf>
    <xf numFmtId="49" fontId="0" fillId="41" borderId="167" xfId="0" applyNumberFormat="1" applyFill="1" applyBorder="1" applyAlignment="1" applyProtection="1">
      <protection locked="0"/>
    </xf>
    <xf numFmtId="49" fontId="0" fillId="41" borderId="168" xfId="0" applyNumberFormat="1" applyFill="1" applyBorder="1" applyAlignment="1" applyProtection="1">
      <protection locked="0"/>
    </xf>
    <xf numFmtId="49" fontId="0" fillId="41" borderId="147" xfId="0" applyNumberFormat="1" applyFill="1" applyBorder="1" applyAlignment="1" applyProtection="1">
      <protection locked="0"/>
    </xf>
    <xf numFmtId="49" fontId="0" fillId="41" borderId="148" xfId="0" applyNumberFormat="1" applyFill="1" applyBorder="1" applyAlignment="1" applyProtection="1">
      <protection locked="0"/>
    </xf>
    <xf numFmtId="0" fontId="0" fillId="41" borderId="149" xfId="0" applyFill="1" applyBorder="1" applyAlignment="1" applyProtection="1">
      <protection locked="0"/>
    </xf>
    <xf numFmtId="49" fontId="31" fillId="41" borderId="172" xfId="53" applyNumberFormat="1" applyFill="1" applyBorder="1" applyAlignment="1" applyProtection="1">
      <protection locked="0"/>
    </xf>
    <xf numFmtId="49" fontId="31" fillId="41" borderId="171" xfId="53" applyNumberFormat="1" applyFill="1" applyBorder="1" applyAlignment="1" applyProtection="1">
      <protection locked="0"/>
    </xf>
    <xf numFmtId="49" fontId="31" fillId="41" borderId="173" xfId="53" applyNumberFormat="1" applyFill="1" applyBorder="1" applyAlignment="1" applyProtection="1">
      <protection locked="0"/>
    </xf>
    <xf numFmtId="49" fontId="0" fillId="41" borderId="154" xfId="0" applyNumberFormat="1" applyFill="1" applyBorder="1" applyAlignment="1" applyProtection="1">
      <protection locked="0"/>
    </xf>
    <xf numFmtId="49" fontId="0" fillId="41" borderId="150" xfId="0" applyNumberFormat="1" applyFill="1" applyBorder="1" applyAlignment="1" applyProtection="1">
      <protection locked="0"/>
    </xf>
    <xf numFmtId="49" fontId="0" fillId="41" borderId="151" xfId="0" applyNumberFormat="1" applyFill="1" applyBorder="1" applyAlignment="1" applyProtection="1">
      <protection locked="0"/>
    </xf>
    <xf numFmtId="0" fontId="25" fillId="40" borderId="77" xfId="0" applyFont="1" applyFill="1" applyBorder="1" applyAlignment="1">
      <alignment horizontal="left"/>
    </xf>
    <xf numFmtId="0" fontId="25" fillId="40" borderId="104" xfId="0" applyFont="1" applyFill="1" applyBorder="1" applyAlignment="1">
      <alignment horizontal="left"/>
    </xf>
    <xf numFmtId="0" fontId="25" fillId="40" borderId="78" xfId="0" applyFont="1" applyFill="1" applyBorder="1" applyAlignment="1">
      <alignment horizontal="left"/>
    </xf>
    <xf numFmtId="0" fontId="25" fillId="40" borderId="74" xfId="0" applyFont="1" applyFill="1" applyBorder="1" applyAlignment="1">
      <alignment horizontal="left"/>
    </xf>
    <xf numFmtId="0" fontId="25" fillId="40" borderId="100" xfId="0" applyFont="1" applyFill="1" applyBorder="1" applyAlignment="1">
      <alignment horizontal="left"/>
    </xf>
    <xf numFmtId="0" fontId="25" fillId="40" borderId="102" xfId="0" applyFont="1" applyFill="1" applyBorder="1" applyAlignment="1">
      <alignment horizontal="left"/>
    </xf>
    <xf numFmtId="0" fontId="25" fillId="40" borderId="101" xfId="0" applyFont="1" applyFill="1" applyBorder="1" applyAlignment="1">
      <alignment horizontal="left"/>
    </xf>
    <xf numFmtId="0" fontId="37" fillId="40" borderId="210" xfId="0" applyFont="1" applyFill="1" applyBorder="1" applyAlignment="1">
      <alignment horizontal="center" vertical="center" wrapText="1"/>
    </xf>
    <xf numFmtId="0" fontId="0" fillId="41" borderId="116" xfId="0" applyNumberFormat="1" applyFont="1" applyFill="1" applyBorder="1" applyAlignment="1" applyProtection="1">
      <alignment horizontal="center"/>
      <protection locked="0"/>
    </xf>
    <xf numFmtId="49" fontId="0" fillId="41" borderId="80" xfId="0" applyNumberFormat="1" applyFont="1" applyFill="1" applyBorder="1" applyAlignment="1" applyProtection="1">
      <alignment horizontal="left"/>
      <protection locked="0"/>
    </xf>
    <xf numFmtId="49" fontId="0" fillId="41" borderId="104" xfId="0" applyNumberFormat="1" applyFont="1" applyFill="1" applyBorder="1" applyAlignment="1" applyProtection="1">
      <alignment horizontal="left"/>
      <protection locked="0"/>
    </xf>
    <xf numFmtId="49" fontId="0" fillId="41" borderId="93" xfId="0" applyNumberFormat="1" applyFont="1" applyFill="1" applyBorder="1" applyAlignment="1" applyProtection="1">
      <alignment horizontal="left"/>
      <protection locked="0"/>
    </xf>
    <xf numFmtId="49" fontId="0" fillId="41" borderId="91" xfId="0" applyNumberFormat="1" applyFont="1" applyFill="1" applyBorder="1" applyAlignment="1" applyProtection="1">
      <alignment horizontal="left"/>
      <protection locked="0"/>
    </xf>
    <xf numFmtId="49" fontId="0" fillId="41" borderId="74" xfId="0" applyNumberFormat="1" applyFont="1" applyFill="1" applyBorder="1" applyAlignment="1" applyProtection="1">
      <alignment horizontal="left"/>
      <protection locked="0"/>
    </xf>
    <xf numFmtId="49" fontId="0" fillId="41" borderId="92" xfId="0" applyNumberFormat="1" applyFont="1" applyFill="1" applyBorder="1" applyAlignment="1" applyProtection="1">
      <alignment horizontal="left"/>
      <protection locked="0"/>
    </xf>
    <xf numFmtId="49" fontId="0" fillId="41" borderId="53" xfId="0" applyNumberFormat="1" applyFont="1" applyFill="1" applyBorder="1" applyAlignment="1" applyProtection="1">
      <alignment horizontal="left"/>
      <protection locked="0"/>
    </xf>
    <xf numFmtId="49" fontId="0" fillId="41" borderId="69" xfId="0" applyNumberFormat="1" applyFont="1" applyFill="1" applyBorder="1" applyAlignment="1" applyProtection="1">
      <alignment horizontal="left"/>
      <protection locked="0"/>
    </xf>
    <xf numFmtId="49" fontId="0" fillId="41" borderId="94" xfId="0" applyNumberFormat="1" applyFont="1" applyFill="1" applyBorder="1" applyAlignment="1" applyProtection="1">
      <alignment horizontal="left"/>
      <protection locked="0"/>
    </xf>
    <xf numFmtId="0" fontId="0" fillId="41" borderId="110" xfId="0" applyFont="1" applyFill="1" applyBorder="1" applyAlignment="1" applyProtection="1">
      <alignment horizontal="left" vertical="top" wrapText="1"/>
      <protection locked="0"/>
    </xf>
    <xf numFmtId="0" fontId="0" fillId="41" borderId="111" xfId="0" applyFont="1" applyFill="1" applyBorder="1" applyAlignment="1" applyProtection="1">
      <alignment horizontal="left" vertical="top" wrapText="1"/>
      <protection locked="0"/>
    </xf>
    <xf numFmtId="0" fontId="0" fillId="41" borderId="112" xfId="0" applyFont="1" applyFill="1" applyBorder="1" applyAlignment="1" applyProtection="1">
      <alignment horizontal="left" vertical="top" wrapText="1"/>
      <protection locked="0"/>
    </xf>
    <xf numFmtId="0" fontId="0" fillId="41" borderId="19" xfId="0" applyFont="1" applyFill="1" applyBorder="1" applyAlignment="1" applyProtection="1">
      <alignment horizontal="left" vertical="top" wrapText="1"/>
      <protection locked="0"/>
    </xf>
    <xf numFmtId="0" fontId="0" fillId="41" borderId="0" xfId="0" applyFont="1" applyFill="1" applyBorder="1" applyAlignment="1" applyProtection="1">
      <alignment horizontal="left" vertical="top" wrapText="1"/>
      <protection locked="0"/>
    </xf>
    <xf numFmtId="0" fontId="0" fillId="41" borderId="20" xfId="0" applyFont="1" applyFill="1" applyBorder="1" applyAlignment="1" applyProtection="1">
      <alignment horizontal="left" vertical="top" wrapText="1"/>
      <protection locked="0"/>
    </xf>
    <xf numFmtId="0" fontId="0" fillId="41" borderId="32" xfId="0" applyFont="1" applyFill="1" applyBorder="1" applyAlignment="1" applyProtection="1">
      <alignment horizontal="left" vertical="top" wrapText="1"/>
      <protection locked="0"/>
    </xf>
    <xf numFmtId="0" fontId="0" fillId="41" borderId="54" xfId="0" applyFont="1" applyFill="1" applyBorder="1" applyAlignment="1" applyProtection="1">
      <alignment horizontal="left" vertical="top" wrapText="1"/>
      <protection locked="0"/>
    </xf>
    <xf numFmtId="0" fontId="0" fillId="41" borderId="51" xfId="0" applyFont="1" applyFill="1" applyBorder="1" applyAlignment="1" applyProtection="1">
      <alignment horizontal="left" vertical="top" wrapText="1"/>
      <protection locked="0"/>
    </xf>
    <xf numFmtId="0" fontId="25" fillId="40" borderId="34" xfId="0" applyFont="1" applyFill="1" applyBorder="1" applyAlignment="1">
      <alignment horizontal="left" vertical="center"/>
    </xf>
    <xf numFmtId="0" fontId="25" fillId="40" borderId="50" xfId="0" applyFont="1" applyFill="1" applyBorder="1" applyAlignment="1">
      <alignment horizontal="left" vertical="center"/>
    </xf>
    <xf numFmtId="0" fontId="25" fillId="40" borderId="177" xfId="0" applyFont="1" applyFill="1" applyBorder="1" applyAlignment="1">
      <alignment horizontal="left" vertical="center"/>
    </xf>
    <xf numFmtId="0" fontId="25" fillId="40" borderId="75" xfId="0" applyFont="1" applyFill="1" applyBorder="1" applyAlignment="1">
      <alignment horizontal="left" vertical="center"/>
    </xf>
    <xf numFmtId="0" fontId="25" fillId="40" borderId="74" xfId="0" applyFont="1" applyFill="1" applyBorder="1" applyAlignment="1">
      <alignment horizontal="left" vertical="center"/>
    </xf>
    <xf numFmtId="0" fontId="25" fillId="40" borderId="76" xfId="0" applyFont="1" applyFill="1" applyBorder="1" applyAlignment="1">
      <alignment horizontal="left" vertical="center"/>
    </xf>
    <xf numFmtId="2" fontId="38" fillId="39" borderId="16" xfId="50" applyFont="1" applyFill="1" applyBorder="1" applyAlignment="1">
      <alignment horizontal="left" vertical="center" indent="1"/>
    </xf>
    <xf numFmtId="0" fontId="28" fillId="37" borderId="19" xfId="0" applyFont="1" applyFill="1" applyBorder="1" applyAlignment="1" applyProtection="1">
      <alignment horizontal="left" vertical="center" indent="1"/>
    </xf>
    <xf numFmtId="0" fontId="39" fillId="37" borderId="123" xfId="0" applyFont="1" applyFill="1" applyBorder="1" applyAlignment="1" applyProtection="1">
      <alignment horizontal="center" vertical="center"/>
      <protection locked="0"/>
    </xf>
    <xf numFmtId="0" fontId="39" fillId="37" borderId="140" xfId="0" applyFont="1" applyFill="1" applyBorder="1" applyAlignment="1" applyProtection="1">
      <alignment horizontal="center" vertical="center"/>
      <protection locked="0"/>
    </xf>
    <xf numFmtId="0" fontId="0" fillId="41" borderId="53" xfId="0" applyFont="1" applyFill="1" applyBorder="1" applyAlignment="1" applyProtection="1">
      <alignment horizontal="left"/>
      <protection locked="0"/>
    </xf>
    <xf numFmtId="0" fontId="0" fillId="41" borderId="69" xfId="0" applyFont="1" applyFill="1" applyBorder="1" applyAlignment="1" applyProtection="1">
      <alignment horizontal="left"/>
      <protection locked="0"/>
    </xf>
    <xf numFmtId="0" fontId="0" fillId="41" borderId="94" xfId="0" applyFont="1" applyFill="1" applyBorder="1" applyAlignment="1" applyProtection="1">
      <alignment horizontal="left"/>
      <protection locked="0"/>
    </xf>
    <xf numFmtId="0" fontId="25" fillId="40" borderId="34" xfId="0" applyFont="1" applyFill="1" applyBorder="1" applyAlignment="1">
      <alignment horizontal="left" vertical="top"/>
    </xf>
    <xf numFmtId="0" fontId="25" fillId="40" borderId="50" xfId="0" applyFont="1" applyFill="1" applyBorder="1" applyAlignment="1">
      <alignment horizontal="left" vertical="top"/>
    </xf>
    <xf numFmtId="0" fontId="25" fillId="40" borderId="103" xfId="0" applyFont="1" applyFill="1" applyBorder="1" applyAlignment="1">
      <alignment horizontal="left" vertical="top"/>
    </xf>
    <xf numFmtId="2" fontId="38" fillId="42" borderId="17" xfId="50" applyBorder="1">
      <alignment horizontal="left" vertical="center" indent="1"/>
    </xf>
    <xf numFmtId="2" fontId="38" fillId="42" borderId="52" xfId="50" applyBorder="1">
      <alignment horizontal="left" vertical="center" indent="1"/>
    </xf>
    <xf numFmtId="0" fontId="0" fillId="41" borderId="19" xfId="0" applyNumberFormat="1" applyFont="1" applyFill="1" applyBorder="1" applyAlignment="1" applyProtection="1">
      <alignment horizontal="left" vertical="top" wrapText="1"/>
      <protection locked="0"/>
    </xf>
    <xf numFmtId="0" fontId="0" fillId="41" borderId="0" xfId="0" applyNumberFormat="1" applyFont="1" applyFill="1" applyBorder="1" applyAlignment="1" applyProtection="1">
      <alignment horizontal="left" vertical="top" wrapText="1"/>
      <protection locked="0"/>
    </xf>
    <xf numFmtId="0" fontId="0" fillId="41" borderId="20" xfId="0" applyNumberFormat="1" applyFont="1" applyFill="1" applyBorder="1" applyAlignment="1" applyProtection="1">
      <alignment horizontal="left" vertical="top" wrapText="1"/>
      <protection locked="0"/>
    </xf>
    <xf numFmtId="0" fontId="0" fillId="41" borderId="32" xfId="0" applyNumberFormat="1" applyFont="1" applyFill="1" applyBorder="1" applyAlignment="1" applyProtection="1">
      <alignment horizontal="left" vertical="top" wrapText="1"/>
      <protection locked="0"/>
    </xf>
    <xf numFmtId="0" fontId="0" fillId="41" borderId="54" xfId="0" applyNumberFormat="1" applyFont="1" applyFill="1" applyBorder="1" applyAlignment="1" applyProtection="1">
      <alignment horizontal="left" vertical="top" wrapText="1"/>
      <protection locked="0"/>
    </xf>
    <xf numFmtId="0" fontId="0" fillId="41" borderId="51" xfId="0" applyNumberFormat="1" applyFont="1" applyFill="1" applyBorder="1" applyAlignment="1" applyProtection="1">
      <alignment horizontal="left" vertical="top" wrapText="1"/>
      <protection locked="0"/>
    </xf>
    <xf numFmtId="0" fontId="0" fillId="41" borderId="80" xfId="0" applyFont="1" applyFill="1" applyBorder="1" applyAlignment="1" applyProtection="1">
      <alignment horizontal="left"/>
      <protection locked="0"/>
    </xf>
    <xf numFmtId="0" fontId="0" fillId="41" borderId="104" xfId="0" applyFont="1" applyFill="1" applyBorder="1" applyAlignment="1" applyProtection="1">
      <alignment horizontal="left"/>
      <protection locked="0"/>
    </xf>
    <xf numFmtId="0" fontId="0" fillId="41" borderId="93" xfId="0" applyFont="1" applyFill="1" applyBorder="1" applyAlignment="1" applyProtection="1">
      <alignment horizontal="left"/>
      <protection locked="0"/>
    </xf>
    <xf numFmtId="0" fontId="31" fillId="41" borderId="53" xfId="53" applyFill="1" applyBorder="1" applyAlignment="1" applyProtection="1">
      <alignment horizontal="left"/>
      <protection locked="0"/>
    </xf>
    <xf numFmtId="0" fontId="0" fillId="0" borderId="53" xfId="0" applyNumberFormat="1" applyFont="1" applyFill="1" applyBorder="1" applyAlignment="1" applyProtection="1">
      <alignment horizontal="left"/>
      <protection locked="0"/>
    </xf>
    <xf numFmtId="0" fontId="0" fillId="0" borderId="69" xfId="0" applyNumberFormat="1" applyFont="1" applyFill="1" applyBorder="1" applyAlignment="1" applyProtection="1">
      <alignment horizontal="left"/>
      <protection locked="0"/>
    </xf>
    <xf numFmtId="0" fontId="0" fillId="0" borderId="94" xfId="0" applyNumberFormat="1" applyFont="1" applyFill="1" applyBorder="1" applyAlignment="1" applyProtection="1">
      <alignment horizontal="left"/>
      <protection locked="0"/>
    </xf>
    <xf numFmtId="0" fontId="0" fillId="37" borderId="219" xfId="0" applyNumberFormat="1" applyFill="1" applyBorder="1" applyAlignment="1">
      <alignment horizontal="center" wrapText="1"/>
    </xf>
    <xf numFmtId="0" fontId="0" fillId="37" borderId="162" xfId="0" applyNumberFormat="1" applyFill="1" applyBorder="1" applyAlignment="1">
      <alignment horizontal="center" wrapText="1"/>
    </xf>
    <xf numFmtId="0" fontId="0" fillId="37" borderId="220" xfId="0" applyNumberFormat="1" applyFill="1" applyBorder="1" applyAlignment="1">
      <alignment horizontal="center" wrapText="1"/>
    </xf>
    <xf numFmtId="0" fontId="0" fillId="37" borderId="163" xfId="0" applyNumberFormat="1" applyFill="1" applyBorder="1" applyAlignment="1">
      <alignment horizontal="center" wrapText="1"/>
    </xf>
    <xf numFmtId="0" fontId="37" fillId="40" borderId="211" xfId="0" applyFont="1" applyFill="1" applyBorder="1" applyAlignment="1">
      <alignment horizontal="center" vertical="center" wrapText="1"/>
    </xf>
    <xf numFmtId="0" fontId="37" fillId="40" borderId="161" xfId="0" applyFont="1" applyFill="1" applyBorder="1" applyAlignment="1">
      <alignment horizontal="center" vertical="center" wrapText="1"/>
    </xf>
    <xf numFmtId="0" fontId="37" fillId="40" borderId="213" xfId="0" applyFont="1" applyFill="1" applyBorder="1" applyAlignment="1">
      <alignment horizontal="center" vertical="center" wrapText="1"/>
    </xf>
    <xf numFmtId="1" fontId="0" fillId="33" borderId="95" xfId="0" applyNumberFormat="1" applyFont="1" applyFill="1" applyBorder="1" applyAlignment="1" applyProtection="1">
      <alignment horizontal="left"/>
      <protection locked="0"/>
    </xf>
    <xf numFmtId="0" fontId="0" fillId="40" borderId="95" xfId="0" applyNumberFormat="1" applyFont="1" applyFill="1" applyBorder="1" applyAlignment="1" applyProtection="1">
      <alignment horizontal="left"/>
      <protection locked="0"/>
    </xf>
    <xf numFmtId="0" fontId="0" fillId="40" borderId="114" xfId="0" applyNumberFormat="1" applyFont="1" applyFill="1" applyBorder="1" applyAlignment="1" applyProtection="1">
      <alignment horizontal="left"/>
      <protection locked="0"/>
    </xf>
    <xf numFmtId="1" fontId="0" fillId="33" borderId="113" xfId="0" applyNumberFormat="1" applyFont="1" applyFill="1" applyBorder="1" applyAlignment="1" applyProtection="1">
      <alignment horizontal="left"/>
      <protection locked="0"/>
    </xf>
    <xf numFmtId="0" fontId="0" fillId="40" borderId="73" xfId="0" applyNumberFormat="1" applyFill="1" applyBorder="1" applyAlignment="1" applyProtection="1">
      <alignment horizontal="left" wrapText="1"/>
      <protection locked="0"/>
    </xf>
    <xf numFmtId="0" fontId="0" fillId="40" borderId="104" xfId="0" applyNumberFormat="1" applyFill="1" applyBorder="1" applyAlignment="1" applyProtection="1">
      <alignment horizontal="left" wrapText="1"/>
      <protection locked="0"/>
    </xf>
    <xf numFmtId="0" fontId="0" fillId="40" borderId="93" xfId="0" applyNumberFormat="1" applyFill="1" applyBorder="1" applyAlignment="1" applyProtection="1">
      <alignment horizontal="left" wrapText="1"/>
      <protection locked="0"/>
    </xf>
    <xf numFmtId="0" fontId="0" fillId="41" borderId="91" xfId="0" applyFont="1" applyFill="1" applyBorder="1" applyAlignment="1" applyProtection="1">
      <alignment horizontal="left"/>
      <protection locked="0"/>
    </xf>
    <xf numFmtId="0" fontId="0" fillId="41" borderId="74" xfId="0" applyFont="1" applyFill="1" applyBorder="1" applyAlignment="1" applyProtection="1">
      <alignment horizontal="left"/>
      <protection locked="0"/>
    </xf>
    <xf numFmtId="0" fontId="0" fillId="41" borderId="92" xfId="0" applyFont="1" applyFill="1" applyBorder="1" applyAlignment="1" applyProtection="1">
      <alignment horizontal="left"/>
      <protection locked="0"/>
    </xf>
    <xf numFmtId="0" fontId="0" fillId="37" borderId="80" xfId="0" applyFont="1" applyFill="1" applyBorder="1" applyAlignment="1">
      <alignment horizontal="left" vertical="top"/>
    </xf>
    <xf numFmtId="0" fontId="0" fillId="37" borderId="104" xfId="0" applyFont="1" applyFill="1" applyBorder="1" applyAlignment="1">
      <alignment horizontal="left" vertical="top"/>
    </xf>
    <xf numFmtId="0" fontId="0" fillId="37" borderId="93" xfId="0" applyFont="1" applyFill="1" applyBorder="1" applyAlignment="1">
      <alignment horizontal="left" vertical="top"/>
    </xf>
    <xf numFmtId="0" fontId="0" fillId="41" borderId="80" xfId="0" applyFont="1" applyFill="1" applyBorder="1" applyAlignment="1" applyProtection="1">
      <alignment horizontal="left"/>
    </xf>
    <xf numFmtId="0" fontId="0" fillId="41" borderId="104" xfId="0" applyFont="1" applyFill="1" applyBorder="1" applyAlignment="1" applyProtection="1">
      <alignment horizontal="left"/>
    </xf>
    <xf numFmtId="0" fontId="0" fillId="41" borderId="93" xfId="0" applyFont="1" applyFill="1" applyBorder="1" applyAlignment="1" applyProtection="1">
      <alignment horizontal="left"/>
    </xf>
    <xf numFmtId="0" fontId="25" fillId="40" borderId="75" xfId="0" applyFont="1" applyFill="1" applyBorder="1" applyAlignment="1"/>
    <xf numFmtId="0" fontId="25" fillId="40" borderId="74" xfId="0" applyFont="1" applyFill="1" applyBorder="1" applyAlignment="1"/>
    <xf numFmtId="0" fontId="25" fillId="40" borderId="76" xfId="0" applyFont="1" applyFill="1" applyBorder="1" applyAlignment="1"/>
    <xf numFmtId="0" fontId="25" fillId="40" borderId="77" xfId="0" applyFont="1" applyFill="1" applyBorder="1" applyAlignment="1"/>
    <xf numFmtId="0" fontId="25" fillId="40" borderId="104" xfId="0" applyFont="1" applyFill="1" applyBorder="1" applyAlignment="1"/>
    <xf numFmtId="0" fontId="25" fillId="40" borderId="78" xfId="0" applyFont="1" applyFill="1" applyBorder="1" applyAlignment="1"/>
    <xf numFmtId="0" fontId="25" fillId="40" borderId="77" xfId="0" applyFont="1" applyFill="1" applyBorder="1" applyAlignment="1">
      <alignment horizontal="left" vertical="top"/>
    </xf>
    <xf numFmtId="0" fontId="25" fillId="40" borderId="104" xfId="0" applyFont="1" applyFill="1" applyBorder="1" applyAlignment="1">
      <alignment horizontal="left" vertical="top"/>
    </xf>
    <xf numFmtId="0" fontId="25" fillId="40" borderId="78" xfId="0" applyFont="1" applyFill="1" applyBorder="1" applyAlignment="1">
      <alignment horizontal="left" vertical="top"/>
    </xf>
    <xf numFmtId="0" fontId="0" fillId="40" borderId="80" xfId="0" applyFont="1" applyFill="1" applyBorder="1" applyAlignment="1" applyProtection="1">
      <alignment horizontal="left"/>
    </xf>
    <xf numFmtId="0" fontId="0" fillId="40" borderId="104" xfId="0" applyFont="1" applyFill="1" applyBorder="1" applyAlignment="1" applyProtection="1">
      <alignment horizontal="left"/>
    </xf>
    <xf numFmtId="0" fontId="0" fillId="40" borderId="93" xfId="0" applyFont="1" applyFill="1" applyBorder="1" applyAlignment="1" applyProtection="1">
      <alignment horizontal="left"/>
    </xf>
    <xf numFmtId="169" fontId="0" fillId="41" borderId="91" xfId="0" applyNumberFormat="1" applyFont="1" applyFill="1" applyBorder="1" applyAlignment="1" applyProtection="1">
      <alignment horizontal="left"/>
      <protection locked="0"/>
    </xf>
    <xf numFmtId="169" fontId="0" fillId="41" borderId="74" xfId="0" applyNumberFormat="1" applyFont="1" applyFill="1" applyBorder="1" applyAlignment="1" applyProtection="1">
      <alignment horizontal="left"/>
      <protection locked="0"/>
    </xf>
    <xf numFmtId="169" fontId="0" fillId="41" borderId="92" xfId="0" applyNumberFormat="1" applyFont="1" applyFill="1" applyBorder="1" applyAlignment="1" applyProtection="1">
      <alignment horizontal="left"/>
      <protection locked="0"/>
    </xf>
    <xf numFmtId="0" fontId="25" fillId="40" borderId="36" xfId="0" applyFont="1" applyFill="1" applyBorder="1" applyAlignment="1"/>
    <xf numFmtId="0" fontId="25" fillId="40" borderId="69" xfId="0" applyFont="1" applyFill="1" applyBorder="1" applyAlignment="1"/>
    <xf numFmtId="0" fontId="25" fillId="40" borderId="79" xfId="0" applyFont="1" applyFill="1" applyBorder="1" applyAlignment="1"/>
    <xf numFmtId="0" fontId="37" fillId="40" borderId="74" xfId="0" applyFont="1" applyFill="1" applyBorder="1" applyAlignment="1">
      <alignment horizontal="center" vertical="center" wrapText="1"/>
    </xf>
    <xf numFmtId="0" fontId="37" fillId="40" borderId="92" xfId="0" applyFont="1" applyFill="1" applyBorder="1" applyAlignment="1">
      <alignment horizontal="center" vertical="center" wrapText="1"/>
    </xf>
    <xf numFmtId="0" fontId="0" fillId="40" borderId="97" xfId="0" applyNumberFormat="1" applyFont="1" applyFill="1" applyBorder="1" applyAlignment="1" applyProtection="1">
      <alignment horizontal="left"/>
      <protection locked="0"/>
    </xf>
    <xf numFmtId="0" fontId="0" fillId="40" borderId="30" xfId="0" applyNumberFormat="1" applyFont="1" applyFill="1" applyBorder="1" applyAlignment="1" applyProtection="1">
      <alignment horizontal="left"/>
      <protection locked="0"/>
    </xf>
    <xf numFmtId="0" fontId="37" fillId="40" borderId="208" xfId="0" applyFont="1" applyFill="1" applyBorder="1" applyAlignment="1">
      <alignment horizontal="center" vertical="center" wrapText="1"/>
    </xf>
    <xf numFmtId="0" fontId="37" fillId="40" borderId="212" xfId="0" applyFont="1" applyFill="1" applyBorder="1" applyAlignment="1">
      <alignment horizontal="center" vertical="center" wrapText="1"/>
    </xf>
    <xf numFmtId="0" fontId="0" fillId="41" borderId="117" xfId="0" applyNumberFormat="1" applyFont="1" applyFill="1" applyBorder="1" applyAlignment="1" applyProtection="1">
      <alignment horizontal="center"/>
      <protection locked="0"/>
    </xf>
    <xf numFmtId="2" fontId="42" fillId="38" borderId="0" xfId="49" applyFont="1" applyFill="1" applyBorder="1" applyAlignment="1" applyProtection="1">
      <alignment horizontal="center" vertical="center" wrapText="1"/>
    </xf>
    <xf numFmtId="169" fontId="0" fillId="41" borderId="80" xfId="0" applyNumberFormat="1" applyFont="1" applyFill="1" applyBorder="1" applyAlignment="1" applyProtection="1">
      <alignment horizontal="left"/>
      <protection locked="0"/>
    </xf>
    <xf numFmtId="169" fontId="0" fillId="41" borderId="104" xfId="0" applyNumberFormat="1" applyFont="1" applyFill="1" applyBorder="1" applyAlignment="1" applyProtection="1">
      <alignment horizontal="left"/>
      <protection locked="0"/>
    </xf>
    <xf numFmtId="169" fontId="0" fillId="41" borderId="119" xfId="0" applyNumberFormat="1" applyFont="1" applyFill="1" applyBorder="1" applyAlignment="1" applyProtection="1">
      <alignment horizontal="left"/>
      <protection locked="0"/>
    </xf>
    <xf numFmtId="49" fontId="0" fillId="41" borderId="118" xfId="0" applyNumberFormat="1" applyFont="1" applyFill="1" applyBorder="1" applyAlignment="1" applyProtection="1">
      <alignment horizontal="left"/>
      <protection locked="0"/>
    </xf>
    <xf numFmtId="49" fontId="0" fillId="41" borderId="0" xfId="0" applyNumberFormat="1" applyFont="1" applyFill="1" applyBorder="1" applyAlignment="1" applyProtection="1">
      <alignment horizontal="left"/>
      <protection locked="0"/>
    </xf>
    <xf numFmtId="49" fontId="0" fillId="41" borderId="20" xfId="0" applyNumberFormat="1" applyFont="1" applyFill="1" applyBorder="1" applyAlignment="1" applyProtection="1">
      <alignment horizontal="left"/>
      <protection locked="0"/>
    </xf>
    <xf numFmtId="0" fontId="25" fillId="40" borderId="0" xfId="0" applyFont="1" applyFill="1" applyBorder="1" applyAlignment="1">
      <alignment horizontal="left"/>
    </xf>
    <xf numFmtId="0" fontId="25" fillId="40" borderId="20" xfId="0" applyFont="1" applyFill="1" applyBorder="1" applyAlignment="1">
      <alignment horizontal="left"/>
    </xf>
    <xf numFmtId="0" fontId="0" fillId="37" borderId="110" xfId="48" applyFont="1" applyFill="1" applyBorder="1" applyAlignment="1" applyProtection="1">
      <alignment horizontal="left" vertical="top" wrapText="1"/>
      <protection locked="0"/>
    </xf>
    <xf numFmtId="0" fontId="0" fillId="37" borderId="111" xfId="48" applyFont="1" applyFill="1" applyBorder="1" applyAlignment="1" applyProtection="1">
      <alignment horizontal="left" vertical="top" wrapText="1"/>
      <protection locked="0"/>
    </xf>
    <xf numFmtId="0" fontId="0" fillId="37" borderId="112" xfId="48" applyFont="1" applyFill="1" applyBorder="1" applyAlignment="1" applyProtection="1">
      <alignment horizontal="left" vertical="top" wrapText="1"/>
      <protection locked="0"/>
    </xf>
    <xf numFmtId="0" fontId="0" fillId="37" borderId="19" xfId="48" applyFont="1" applyFill="1" applyBorder="1" applyAlignment="1" applyProtection="1">
      <alignment horizontal="left" vertical="top" wrapText="1"/>
      <protection locked="0"/>
    </xf>
    <xf numFmtId="0" fontId="0" fillId="37" borderId="0" xfId="48" applyFont="1" applyFill="1" applyBorder="1" applyAlignment="1" applyProtection="1">
      <alignment horizontal="left" vertical="top" wrapText="1"/>
      <protection locked="0"/>
    </xf>
    <xf numFmtId="0" fontId="0" fillId="37" borderId="20" xfId="48" applyFont="1" applyFill="1" applyBorder="1" applyAlignment="1" applyProtection="1">
      <alignment horizontal="left" vertical="top" wrapText="1"/>
      <protection locked="0"/>
    </xf>
    <xf numFmtId="0" fontId="0" fillId="37" borderId="32" xfId="48" applyFont="1" applyFill="1" applyBorder="1" applyAlignment="1" applyProtection="1">
      <alignment horizontal="left" vertical="top" wrapText="1"/>
      <protection locked="0"/>
    </xf>
    <xf numFmtId="0" fontId="0" fillId="37" borderId="54" xfId="48" applyFont="1" applyFill="1" applyBorder="1" applyAlignment="1" applyProtection="1">
      <alignment horizontal="left" vertical="top" wrapText="1"/>
      <protection locked="0"/>
    </xf>
    <xf numFmtId="0" fontId="0" fillId="37" borderId="51" xfId="48" applyFont="1" applyFill="1" applyBorder="1" applyAlignment="1" applyProtection="1">
      <alignment horizontal="left" vertical="top" wrapText="1"/>
      <protection locked="0"/>
    </xf>
    <xf numFmtId="0" fontId="0" fillId="34" borderId="52" xfId="0" applyBorder="1" applyAlignment="1" applyProtection="1">
      <alignment horizontal="center"/>
    </xf>
    <xf numFmtId="0" fontId="0" fillId="34" borderId="0" xfId="0" applyAlignment="1" applyProtection="1">
      <alignment horizontal="center"/>
    </xf>
    <xf numFmtId="49" fontId="0" fillId="41" borderId="80" xfId="0" applyNumberFormat="1" applyFont="1" applyFill="1" applyBorder="1" applyAlignment="1" applyProtection="1">
      <alignment horizontal="left" vertical="top" wrapText="1"/>
      <protection locked="0"/>
    </xf>
    <xf numFmtId="49" fontId="0" fillId="41" borderId="104" xfId="0" applyNumberFormat="1" applyFont="1" applyFill="1" applyBorder="1" applyAlignment="1" applyProtection="1">
      <alignment horizontal="left" vertical="top" wrapText="1"/>
      <protection locked="0"/>
    </xf>
    <xf numFmtId="49" fontId="0" fillId="41" borderId="93" xfId="0" applyNumberFormat="1" applyFont="1" applyFill="1" applyBorder="1" applyAlignment="1" applyProtection="1">
      <alignment horizontal="left" vertical="top" wrapText="1"/>
      <protection locked="0"/>
    </xf>
    <xf numFmtId="0" fontId="25" fillId="46" borderId="77" xfId="0" applyFont="1" applyFill="1" applyBorder="1" applyAlignment="1"/>
    <xf numFmtId="0" fontId="25" fillId="46" borderId="104" xfId="0" applyFont="1" applyFill="1" applyBorder="1" applyAlignment="1"/>
    <xf numFmtId="0" fontId="25" fillId="46" borderId="78" xfId="0" applyFont="1" applyFill="1" applyBorder="1" applyAlignment="1"/>
    <xf numFmtId="0" fontId="0" fillId="41" borderId="95" xfId="0" applyNumberFormat="1" applyFont="1" applyFill="1" applyBorder="1" applyAlignment="1" applyProtection="1">
      <alignment horizontal="center"/>
      <protection locked="0"/>
    </xf>
    <xf numFmtId="0" fontId="0" fillId="41" borderId="73" xfId="0" applyNumberFormat="1" applyFont="1" applyFill="1" applyBorder="1" applyAlignment="1" applyProtection="1">
      <alignment horizontal="center"/>
      <protection locked="0"/>
    </xf>
    <xf numFmtId="0" fontId="0" fillId="41" borderId="97" xfId="0" applyNumberFormat="1" applyFont="1" applyFill="1" applyBorder="1" applyAlignment="1" applyProtection="1">
      <alignment horizontal="center"/>
      <protection locked="0"/>
    </xf>
    <xf numFmtId="0" fontId="0" fillId="41" borderId="39" xfId="0" applyNumberFormat="1" applyFont="1" applyFill="1" applyBorder="1" applyAlignment="1" applyProtection="1">
      <alignment horizontal="center"/>
      <protection locked="0"/>
    </xf>
    <xf numFmtId="0" fontId="0" fillId="41" borderId="95" xfId="0" applyNumberFormat="1" applyFill="1" applyBorder="1" applyAlignment="1" applyProtection="1">
      <alignment horizontal="center" wrapText="1"/>
      <protection locked="0"/>
    </xf>
    <xf numFmtId="0" fontId="0" fillId="41" borderId="97" xfId="0" applyNumberFormat="1" applyFill="1" applyBorder="1" applyAlignment="1" applyProtection="1">
      <alignment horizontal="center" wrapText="1"/>
      <protection locked="0"/>
    </xf>
    <xf numFmtId="0" fontId="0" fillId="40" borderId="73" xfId="0" applyNumberFormat="1" applyFont="1" applyFill="1" applyBorder="1" applyAlignment="1" applyProtection="1">
      <alignment horizontal="left"/>
      <protection locked="0"/>
    </xf>
    <xf numFmtId="0" fontId="0" fillId="40" borderId="104" xfId="0" applyNumberFormat="1" applyFont="1" applyFill="1" applyBorder="1" applyAlignment="1" applyProtection="1">
      <alignment horizontal="left"/>
      <protection locked="0"/>
    </xf>
    <xf numFmtId="0" fontId="0" fillId="40" borderId="93" xfId="0" applyNumberFormat="1" applyFont="1" applyFill="1" applyBorder="1" applyAlignment="1" applyProtection="1">
      <alignment horizontal="left"/>
      <protection locked="0"/>
    </xf>
    <xf numFmtId="0" fontId="0" fillId="40" borderId="39" xfId="0" applyNumberFormat="1" applyFill="1" applyBorder="1" applyAlignment="1" applyProtection="1">
      <alignment horizontal="left" wrapText="1"/>
      <protection locked="0"/>
    </xf>
    <xf numFmtId="0" fontId="0" fillId="40" borderId="69" xfId="0" applyNumberFormat="1" applyFill="1" applyBorder="1" applyAlignment="1" applyProtection="1">
      <alignment horizontal="left" wrapText="1"/>
      <protection locked="0"/>
    </xf>
    <xf numFmtId="0" fontId="0" fillId="40" borderId="94" xfId="0" applyNumberFormat="1" applyFill="1" applyBorder="1" applyAlignment="1" applyProtection="1">
      <alignment horizontal="left" wrapText="1"/>
      <protection locked="0"/>
    </xf>
    <xf numFmtId="0" fontId="0" fillId="41" borderId="113" xfId="0" applyNumberFormat="1" applyFill="1" applyBorder="1" applyAlignment="1" applyProtection="1">
      <alignment horizontal="center" wrapText="1"/>
      <protection locked="0"/>
    </xf>
    <xf numFmtId="1" fontId="0" fillId="33" borderId="97" xfId="0" applyNumberFormat="1" applyFont="1" applyFill="1" applyBorder="1" applyAlignment="1" applyProtection="1">
      <alignment horizontal="left"/>
      <protection locked="0"/>
    </xf>
    <xf numFmtId="0" fontId="0" fillId="41" borderId="113" xfId="0" applyNumberFormat="1" applyFont="1" applyFill="1" applyBorder="1" applyAlignment="1" applyProtection="1">
      <alignment horizontal="center"/>
      <protection locked="0"/>
    </xf>
    <xf numFmtId="0" fontId="0" fillId="41" borderId="106" xfId="0" applyNumberFormat="1" applyFont="1" applyFill="1" applyBorder="1" applyAlignment="1" applyProtection="1">
      <alignment horizontal="center"/>
      <protection locked="0"/>
    </xf>
    <xf numFmtId="0" fontId="37" fillId="40" borderId="207" xfId="0" applyFont="1" applyFill="1" applyBorder="1" applyAlignment="1">
      <alignment horizontal="center" vertical="center" wrapText="1"/>
    </xf>
    <xf numFmtId="0" fontId="37" fillId="40" borderId="19" xfId="0" applyNumberFormat="1" applyFont="1" applyFill="1" applyBorder="1" applyAlignment="1">
      <alignment horizontal="center" vertical="center" wrapText="1"/>
    </xf>
    <xf numFmtId="0" fontId="37" fillId="40" borderId="75" xfId="0" applyNumberFormat="1" applyFont="1" applyFill="1" applyBorder="1" applyAlignment="1">
      <alignment horizontal="center" vertical="center" wrapText="1"/>
    </xf>
    <xf numFmtId="0" fontId="37" fillId="40" borderId="243" xfId="0" applyFont="1" applyFill="1" applyBorder="1" applyAlignment="1">
      <alignment horizontal="center" vertical="center" wrapText="1"/>
    </xf>
    <xf numFmtId="0" fontId="37" fillId="40" borderId="244" xfId="0" applyFont="1" applyFill="1" applyBorder="1" applyAlignment="1">
      <alignment horizontal="center" vertical="center" wrapText="1"/>
    </xf>
    <xf numFmtId="0" fontId="37" fillId="40" borderId="245" xfId="0" applyFont="1" applyFill="1" applyBorder="1" applyAlignment="1">
      <alignment horizontal="center" vertical="center" wrapText="1"/>
    </xf>
    <xf numFmtId="2" fontId="38" fillId="39" borderId="16" xfId="50" applyFont="1" applyFill="1" applyBorder="1" applyAlignment="1" applyProtection="1">
      <alignment horizontal="left" vertical="center" indent="1"/>
    </xf>
    <xf numFmtId="49" fontId="0" fillId="41" borderId="80" xfId="0" applyNumberFormat="1" applyFont="1" applyFill="1" applyBorder="1" applyAlignment="1" applyProtection="1">
      <alignment horizontal="left" vertical="top"/>
      <protection locked="0"/>
    </xf>
    <xf numFmtId="49" fontId="0" fillId="41" borderId="104" xfId="0" applyNumberFormat="1" applyFont="1" applyFill="1" applyBorder="1" applyAlignment="1" applyProtection="1">
      <alignment horizontal="left" vertical="top"/>
      <protection locked="0"/>
    </xf>
    <xf numFmtId="49" fontId="0" fillId="41" borderId="93" xfId="0" applyNumberFormat="1" applyFont="1" applyFill="1" applyBorder="1" applyAlignment="1" applyProtection="1">
      <alignment horizontal="left" vertical="top"/>
      <protection locked="0"/>
    </xf>
    <xf numFmtId="0" fontId="35" fillId="34" borderId="0" xfId="52" applyNumberFormat="1" applyAlignment="1">
      <alignment horizontal="left" vertical="top" wrapText="1"/>
    </xf>
    <xf numFmtId="0" fontId="0" fillId="33" borderId="19" xfId="48" applyFont="1" applyBorder="1" applyAlignment="1" applyProtection="1">
      <alignment horizontal="left" vertical="top" wrapText="1"/>
      <protection locked="0"/>
    </xf>
    <xf numFmtId="0" fontId="0" fillId="33" borderId="0" xfId="48" applyFont="1" applyBorder="1" applyAlignment="1" applyProtection="1">
      <alignment horizontal="left" vertical="top" wrapText="1"/>
      <protection locked="0"/>
    </xf>
    <xf numFmtId="0" fontId="0" fillId="33" borderId="20" xfId="48" applyFont="1" applyBorder="1" applyAlignment="1" applyProtection="1">
      <alignment horizontal="left" vertical="top" wrapText="1"/>
      <protection locked="0"/>
    </xf>
    <xf numFmtId="0" fontId="0" fillId="33" borderId="32" xfId="48" applyFont="1" applyBorder="1" applyAlignment="1" applyProtection="1">
      <alignment horizontal="left" vertical="top" wrapText="1"/>
      <protection locked="0"/>
    </xf>
    <xf numFmtId="0" fontId="0" fillId="33" borderId="54" xfId="48" applyFont="1" applyBorder="1" applyAlignment="1" applyProtection="1">
      <alignment horizontal="left" vertical="top" wrapText="1"/>
      <protection locked="0"/>
    </xf>
    <xf numFmtId="0" fontId="0" fillId="33" borderId="51" xfId="48" applyFont="1" applyBorder="1" applyAlignment="1" applyProtection="1">
      <alignment horizontal="left" vertical="top" wrapText="1"/>
      <protection locked="0"/>
    </xf>
    <xf numFmtId="0" fontId="25" fillId="40" borderId="69" xfId="0" applyFont="1" applyFill="1" applyBorder="1" applyAlignment="1">
      <alignment horizontal="left"/>
    </xf>
    <xf numFmtId="0" fontId="0" fillId="41" borderId="115" xfId="0" applyNumberFormat="1" applyFont="1" applyFill="1" applyBorder="1" applyAlignment="1" applyProtection="1">
      <alignment horizontal="center"/>
      <protection locked="0"/>
    </xf>
    <xf numFmtId="0" fontId="25" fillId="46" borderId="34" xfId="0" applyFont="1" applyFill="1" applyBorder="1" applyAlignment="1">
      <alignment horizontal="left" wrapText="1"/>
    </xf>
    <xf numFmtId="0" fontId="25" fillId="46" borderId="50" xfId="0" applyFont="1" applyFill="1" applyBorder="1" applyAlignment="1">
      <alignment horizontal="left" wrapText="1"/>
    </xf>
    <xf numFmtId="0" fontId="25" fillId="46" borderId="19" xfId="0" applyFont="1" applyFill="1" applyBorder="1" applyAlignment="1">
      <alignment horizontal="left" wrapText="1"/>
    </xf>
    <xf numFmtId="0" fontId="25" fillId="46" borderId="0" xfId="0" applyFont="1" applyFill="1" applyBorder="1" applyAlignment="1">
      <alignment horizontal="left" wrapText="1"/>
    </xf>
    <xf numFmtId="0" fontId="25" fillId="46" borderId="32" xfId="0" applyFont="1" applyFill="1" applyBorder="1" applyAlignment="1">
      <alignment horizontal="left" wrapText="1"/>
    </xf>
    <xf numFmtId="0" fontId="25" fillId="46" borderId="54" xfId="0" applyFont="1" applyFill="1" applyBorder="1" applyAlignment="1">
      <alignment horizontal="left" wrapText="1"/>
    </xf>
    <xf numFmtId="0" fontId="37" fillId="40" borderId="214" xfId="0" applyFont="1" applyFill="1" applyBorder="1" applyAlignment="1">
      <alignment horizontal="center" vertical="center" wrapText="1"/>
    </xf>
    <xf numFmtId="0" fontId="37" fillId="40" borderId="215" xfId="0" applyFont="1" applyFill="1" applyBorder="1" applyAlignment="1">
      <alignment horizontal="center" vertical="center" wrapText="1"/>
    </xf>
    <xf numFmtId="0" fontId="35" fillId="33" borderId="21" xfId="52" applyNumberFormat="1" applyFill="1" applyBorder="1" applyAlignment="1" applyProtection="1">
      <alignment horizontal="left" vertical="top" wrapText="1"/>
      <protection locked="0"/>
    </xf>
    <xf numFmtId="0" fontId="35" fillId="33" borderId="22" xfId="52" applyNumberFormat="1" applyFill="1" applyBorder="1" applyAlignment="1" applyProtection="1">
      <alignment horizontal="left" vertical="top"/>
      <protection locked="0"/>
    </xf>
    <xf numFmtId="0" fontId="35" fillId="33" borderId="23" xfId="52" applyNumberFormat="1" applyFill="1" applyBorder="1" applyAlignment="1" applyProtection="1">
      <alignment horizontal="left" vertical="top"/>
      <protection locked="0"/>
    </xf>
    <xf numFmtId="0" fontId="35" fillId="33" borderId="24" xfId="52" applyNumberFormat="1" applyFill="1" applyBorder="1" applyAlignment="1" applyProtection="1">
      <alignment horizontal="left" vertical="top"/>
      <protection locked="0"/>
    </xf>
    <xf numFmtId="0" fontId="35" fillId="33" borderId="0" xfId="52" applyNumberFormat="1" applyFill="1" applyBorder="1" applyAlignment="1" applyProtection="1">
      <alignment horizontal="left" vertical="top"/>
      <protection locked="0"/>
    </xf>
    <xf numFmtId="0" fontId="35" fillId="33" borderId="25" xfId="52" applyNumberFormat="1" applyFill="1" applyBorder="1" applyAlignment="1" applyProtection="1">
      <alignment horizontal="left" vertical="top"/>
      <protection locked="0"/>
    </xf>
    <xf numFmtId="0" fontId="35" fillId="33" borderId="26" xfId="52" applyNumberFormat="1" applyFill="1" applyBorder="1" applyAlignment="1" applyProtection="1">
      <alignment horizontal="left" vertical="top"/>
      <protection locked="0"/>
    </xf>
    <xf numFmtId="0" fontId="35" fillId="33" borderId="27" xfId="52" applyNumberFormat="1" applyFill="1" applyBorder="1" applyAlignment="1" applyProtection="1">
      <alignment horizontal="left" vertical="top"/>
      <protection locked="0"/>
    </xf>
    <xf numFmtId="0" fontId="35" fillId="33" borderId="28" xfId="52" applyNumberFormat="1" applyFill="1" applyBorder="1" applyAlignment="1" applyProtection="1">
      <alignment horizontal="left" vertical="top"/>
      <protection locked="0"/>
    </xf>
    <xf numFmtId="0" fontId="47" fillId="34" borderId="0" xfId="0" applyFont="1" applyAlignment="1" applyProtection="1">
      <alignment horizontal="left" wrapText="1"/>
    </xf>
    <xf numFmtId="0" fontId="47" fillId="34" borderId="0" xfId="0" applyFont="1" applyAlignment="1" applyProtection="1">
      <alignment horizontal="left" vertical="top" wrapText="1"/>
    </xf>
    <xf numFmtId="0" fontId="25" fillId="54" borderId="218" xfId="0" applyFont="1" applyFill="1" applyBorder="1" applyAlignment="1" applyProtection="1">
      <alignment horizontal="center" wrapText="1"/>
    </xf>
    <xf numFmtId="0" fontId="25" fillId="34" borderId="0" xfId="0" applyFont="1" applyAlignment="1" applyProtection="1">
      <alignment horizontal="left" wrapText="1"/>
    </xf>
    <xf numFmtId="0" fontId="47" fillId="34" borderId="0" xfId="0" applyFont="1" applyBorder="1" applyAlignment="1">
      <alignment horizontal="left" vertical="top" wrapText="1"/>
    </xf>
    <xf numFmtId="0" fontId="47" fillId="34" borderId="263" xfId="0" applyFont="1" applyBorder="1" applyAlignment="1">
      <alignment horizontal="left" vertical="top" wrapText="1"/>
    </xf>
    <xf numFmtId="0" fontId="47" fillId="34" borderId="0" xfId="0" applyFont="1" applyAlignment="1">
      <alignment horizontal="left" vertical="top" wrapText="1"/>
    </xf>
    <xf numFmtId="0" fontId="47" fillId="34" borderId="0" xfId="0" applyFont="1" applyAlignment="1">
      <alignment horizontal="left"/>
    </xf>
    <xf numFmtId="0" fontId="0" fillId="34" borderId="0" xfId="0" applyAlignment="1" applyProtection="1">
      <alignment horizontal="center" wrapText="1"/>
    </xf>
    <xf numFmtId="0" fontId="25" fillId="52" borderId="218" xfId="0" applyFont="1" applyFill="1" applyBorder="1" applyAlignment="1" applyProtection="1">
      <alignment horizontal="center" wrapText="1"/>
    </xf>
    <xf numFmtId="0" fontId="25" fillId="51" borderId="218" xfId="0" applyFont="1" applyFill="1" applyBorder="1" applyAlignment="1" applyProtection="1">
      <alignment horizontal="center" wrapText="1"/>
    </xf>
    <xf numFmtId="0" fontId="25" fillId="49" borderId="218" xfId="0" applyFont="1" applyFill="1" applyBorder="1" applyAlignment="1" applyProtection="1">
      <alignment horizontal="center" wrapText="1"/>
    </xf>
    <xf numFmtId="0" fontId="25" fillId="50" borderId="218" xfId="0" applyFont="1" applyFill="1" applyBorder="1" applyAlignment="1" applyProtection="1">
      <alignment horizontal="center" wrapText="1"/>
    </xf>
    <xf numFmtId="0" fontId="25" fillId="53" borderId="218" xfId="0" applyFont="1" applyFill="1" applyBorder="1" applyAlignment="1" applyProtection="1">
      <alignment horizontal="center" wrapText="1"/>
    </xf>
    <xf numFmtId="0" fontId="47" fillId="34" borderId="0" xfId="0" applyFont="1" applyAlignment="1" applyProtection="1">
      <alignment wrapText="1"/>
    </xf>
    <xf numFmtId="0" fontId="46" fillId="34" borderId="0" xfId="0" applyFont="1" applyAlignment="1">
      <alignment horizontal="left" vertical="top" wrapText="1"/>
    </xf>
    <xf numFmtId="0" fontId="25" fillId="34" borderId="218" xfId="0" applyFont="1" applyBorder="1" applyAlignment="1" applyProtection="1">
      <alignment horizontal="center" wrapText="1"/>
    </xf>
  </cellXfs>
  <cellStyles count="68">
    <cellStyle name="20% - Accent1" xfId="24" builtinId="30" hidden="1"/>
    <cellStyle name="20% - Accent2" xfId="28" builtinId="34" hidden="1"/>
    <cellStyle name="20% - Accent3" xfId="32" builtinId="38" hidden="1"/>
    <cellStyle name="20% - Accent4" xfId="36" builtinId="42" hidden="1"/>
    <cellStyle name="20% - Accent5" xfId="40" builtinId="46" hidden="1"/>
    <cellStyle name="20% - Accent6" xfId="44" builtinId="50" hidden="1"/>
    <cellStyle name="40% - Accent1" xfId="25" builtinId="31" hidden="1"/>
    <cellStyle name="40% - Accent2" xfId="29" builtinId="35" hidden="1"/>
    <cellStyle name="40% - Accent3" xfId="33" builtinId="39" hidden="1"/>
    <cellStyle name="40% - Accent4" xfId="37" builtinId="43" hidden="1"/>
    <cellStyle name="40% - Accent5" xfId="41" builtinId="47" hidden="1"/>
    <cellStyle name="40% - Accent6" xfId="45" builtinId="51" hidden="1"/>
    <cellStyle name="60% - Accent1" xfId="26" builtinId="32" hidden="1"/>
    <cellStyle name="60% - Accent2" xfId="30" builtinId="36" hidden="1"/>
    <cellStyle name="60% - Accent3" xfId="34" builtinId="40" hidden="1"/>
    <cellStyle name="60% - Accent4" xfId="38" builtinId="44" hidden="1"/>
    <cellStyle name="60% - Accent5" xfId="42" builtinId="48" hidden="1"/>
    <cellStyle name="60% - Accent6" xfId="46" builtinId="52" hidden="1"/>
    <cellStyle name="Accent1" xfId="23" builtinId="29" hidden="1"/>
    <cellStyle name="Accent2" xfId="27" builtinId="33" hidden="1"/>
    <cellStyle name="Accent3" xfId="31" builtinId="37" hidden="1"/>
    <cellStyle name="Accent4" xfId="35" builtinId="41" hidden="1"/>
    <cellStyle name="Accent5" xfId="39" builtinId="45" hidden="1"/>
    <cellStyle name="Accent6" xfId="43" builtinId="49" hidden="1"/>
    <cellStyle name="ALERT" xfId="67"/>
    <cellStyle name="Bad" xfId="12" builtinId="27" hidden="1"/>
    <cellStyle name="Blue Grey 900" xfId="47"/>
    <cellStyle name="Calculation" xfId="16" builtinId="22" hidden="1"/>
    <cellStyle name="Check Cell" xfId="18" builtinId="23" hidden="1"/>
    <cellStyle name="Comma" xfId="1" builtinId="3" hidden="1"/>
    <cellStyle name="Comma [0]" xfId="2" builtinId="6" hidden="1"/>
    <cellStyle name="Comment" xfId="52"/>
    <cellStyle name="Currency" xfId="3" builtinId="4" hidden="1"/>
    <cellStyle name="Currency [0]" xfId="4" builtinId="7" hidden="1"/>
    <cellStyle name="Explanatory Text" xfId="21" builtinId="53" hidden="1"/>
    <cellStyle name="Good" xfId="11" builtinId="26" hidden="1"/>
    <cellStyle name="Header" xfId="49"/>
    <cellStyle name="Heading 1" xfId="7" builtinId="16" hidden="1"/>
    <cellStyle name="Heading 2" xfId="8" builtinId="17" hidden="1"/>
    <cellStyle name="Heading 3" xfId="9" builtinId="18" hidden="1"/>
    <cellStyle name="Heading 4" xfId="10" builtinId="19" hidden="1"/>
    <cellStyle name="Hyperlink" xfId="53" builtinId="8"/>
    <cellStyle name="Hyperlink 2" xfId="63"/>
    <cellStyle name="Input" xfId="14" builtinId="20" hidden="1"/>
    <cellStyle name="Input" xfId="48" builtinId="20" customBuiltin="1"/>
    <cellStyle name="Input 2" xfId="62"/>
    <cellStyle name="Light grey" xfId="51"/>
    <cellStyle name="Linked Cell" xfId="17" builtinId="24" hidden="1"/>
    <cellStyle name="Neutral" xfId="13" builtinId="28" hidden="1"/>
    <cellStyle name="Normal" xfId="0" builtinId="0" customBuiltin="1"/>
    <cellStyle name="Normal 2" xfId="54"/>
    <cellStyle name="Normal 2 2" xfId="59"/>
    <cellStyle name="Normal 3" xfId="55"/>
    <cellStyle name="Normal 4" xfId="56"/>
    <cellStyle name="Normal 4 2" xfId="57"/>
    <cellStyle name="Normal 4 2 2" xfId="65"/>
    <cellStyle name="Normal 4 3" xfId="64"/>
    <cellStyle name="Normal 5" xfId="58"/>
    <cellStyle name="Normal 5 2" xfId="66"/>
    <cellStyle name="Normal 6" xfId="60"/>
    <cellStyle name="Normal 7" xfId="61"/>
    <cellStyle name="Note" xfId="20" builtinId="10" hidden="1"/>
    <cellStyle name="Output" xfId="15" builtinId="21" hidden="1"/>
    <cellStyle name="Percent" xfId="5" builtinId="5" hidden="1"/>
    <cellStyle name="Title" xfId="6" builtinId="15" hidden="1"/>
    <cellStyle name="Title level 2" xfId="50"/>
    <cellStyle name="Total" xfId="22" builtinId="25" hidden="1"/>
    <cellStyle name="Warning Text" xfId="19" builtinId="11" hidden="1"/>
  </cellStyles>
  <dxfs count="161">
    <dxf>
      <fill>
        <patternFill>
          <bgColor rgb="FFFF0000"/>
        </patternFill>
      </fill>
    </dxf>
    <dxf>
      <fill>
        <patternFill>
          <bgColor rgb="FFFF0000"/>
        </patternFill>
      </fill>
    </dxf>
    <dxf>
      <font>
        <color theme="0" tint="-0.34998626667073579"/>
      </font>
    </dxf>
    <dxf>
      <fill>
        <patternFill>
          <bgColor rgb="FFFFFF00"/>
        </patternFill>
      </fill>
    </dxf>
    <dxf>
      <fill>
        <patternFill>
          <bgColor theme="0"/>
        </patternFill>
      </fill>
    </dxf>
    <dxf>
      <fill>
        <patternFill>
          <bgColor rgb="FFFFFF00"/>
        </patternFill>
      </fill>
    </dxf>
    <dxf>
      <fill>
        <patternFill>
          <bgColor rgb="FF9BC2E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tint="-0.34998626667073579"/>
      </font>
    </dxf>
    <dxf>
      <font>
        <color theme="0" tint="-0.34998626667073579"/>
      </font>
    </dxf>
    <dxf>
      <fill>
        <patternFill>
          <bgColor theme="9"/>
        </patternFill>
      </fill>
    </dxf>
    <dxf>
      <fill>
        <patternFill>
          <bgColor rgb="FFFF0000"/>
        </patternFill>
      </fill>
    </dxf>
    <dxf>
      <font>
        <color theme="0" tint="-0.34998626667073579"/>
      </font>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ont>
        <color theme="0" tint="-0.34998626667073579"/>
      </font>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theme="0" tint="-0.34998626667073579"/>
      </font>
    </dxf>
    <dxf>
      <font>
        <color theme="0" tint="-0.34998626667073579"/>
      </font>
    </dxf>
    <dxf>
      <fill>
        <patternFill>
          <bgColor theme="7" tint="0.79998168889431442"/>
        </patternFill>
      </fill>
    </dxf>
    <dxf>
      <fill>
        <patternFill>
          <bgColor rgb="FFFF0000"/>
        </patternFill>
      </fill>
    </dxf>
    <dxf>
      <fill>
        <patternFill>
          <bgColor theme="9"/>
        </patternFill>
      </fill>
    </dxf>
    <dxf>
      <fill>
        <patternFill>
          <bgColor rgb="FF9BC2E6"/>
        </patternFill>
      </fill>
    </dxf>
    <dxf>
      <fill>
        <patternFill>
          <bgColor rgb="FFFF0000"/>
        </patternFill>
      </fill>
    </dxf>
    <dxf>
      <fill>
        <patternFill>
          <bgColor theme="4" tint="0.39994506668294322"/>
        </patternFill>
      </fill>
    </dxf>
    <dxf>
      <font>
        <color theme="0" tint="-0.34998626667073579"/>
      </font>
    </dxf>
    <dxf>
      <fill>
        <patternFill>
          <bgColor rgb="FFFFFF00"/>
        </patternFill>
      </fill>
    </dxf>
    <dxf>
      <fill>
        <patternFill>
          <bgColor rgb="FFFF0000"/>
        </patternFill>
      </fill>
    </dxf>
    <dxf>
      <fill>
        <patternFill>
          <bgColor theme="9"/>
        </patternFill>
      </fill>
    </dxf>
    <dxf>
      <fill>
        <patternFill>
          <bgColor rgb="FF9BC2E6"/>
        </patternFill>
      </fill>
    </dxf>
    <dxf>
      <font>
        <color theme="0" tint="-0.34998626667073579"/>
      </font>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ont>
        <color theme="0" tint="-0.34998626667073579"/>
      </font>
    </dxf>
    <dxf>
      <font>
        <color theme="0" tint="-0.34998626667073579"/>
      </font>
    </dxf>
    <dxf>
      <fill>
        <patternFill>
          <bgColor theme="0"/>
        </patternFill>
      </fill>
    </dxf>
    <dxf>
      <fill>
        <patternFill>
          <bgColor theme="0"/>
        </patternFill>
      </fill>
    </dxf>
    <dxf>
      <font>
        <color theme="0"/>
      </font>
      <fill>
        <patternFill>
          <bgColor rgb="FFFF0000"/>
        </patternFill>
      </fill>
    </dxf>
    <dxf>
      <fill>
        <patternFill>
          <bgColor theme="4" tint="0.3999450666829432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rgb="FFFF0000"/>
        </patternFill>
      </fill>
    </dxf>
    <dxf>
      <fill>
        <patternFill>
          <bgColor theme="9"/>
        </patternFill>
      </fill>
    </dxf>
    <dxf>
      <fill>
        <patternFill>
          <bgColor rgb="FF9BC2E6"/>
        </patternFill>
      </fill>
    </dxf>
    <dxf>
      <font>
        <color theme="0" tint="-0.34998626667073579"/>
      </font>
    </dxf>
    <dxf>
      <fill>
        <patternFill>
          <bgColor rgb="FFFFFF00"/>
        </patternFill>
      </fill>
    </dxf>
    <dxf>
      <fill>
        <patternFill>
          <bgColor rgb="FFFF0000"/>
        </patternFill>
      </fill>
    </dxf>
    <dxf>
      <fill>
        <patternFill>
          <bgColor theme="9"/>
        </patternFill>
      </fill>
    </dxf>
    <dxf>
      <fill>
        <patternFill>
          <bgColor rgb="FF9BC2E6"/>
        </patternFill>
      </fill>
    </dxf>
    <dxf>
      <fill>
        <patternFill>
          <bgColor rgb="FFFF0000"/>
        </patternFill>
      </fill>
    </dxf>
    <dxf>
      <fill>
        <patternFill>
          <bgColor rgb="FFFF0000"/>
        </patternFill>
      </fill>
    </dxf>
    <dxf>
      <fill>
        <patternFill>
          <bgColor rgb="FFDEE0E2"/>
        </patternFill>
      </fill>
    </dxf>
    <dxf>
      <fill>
        <patternFill>
          <bgColor rgb="FFDEE0E2"/>
        </patternFill>
      </fill>
    </dxf>
    <dxf>
      <fill>
        <patternFill>
          <bgColor rgb="FFDEE0E2"/>
        </patternFill>
      </fill>
    </dxf>
    <dxf>
      <fill>
        <patternFill>
          <bgColor rgb="FFFF0000"/>
        </patternFill>
      </fill>
    </dxf>
    <dxf>
      <fill>
        <patternFill>
          <bgColor rgb="FFFF0000"/>
        </patternFill>
      </fill>
    </dxf>
    <dxf>
      <fill>
        <patternFill>
          <bgColor rgb="FFFF0000"/>
        </patternFill>
      </fill>
    </dxf>
    <dxf>
      <fill>
        <patternFill>
          <bgColor theme="4" tint="0.39994506668294322"/>
        </patternFill>
      </fill>
    </dxf>
    <dxf>
      <fill>
        <patternFill>
          <bgColor theme="4" tint="0.3999450666829432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theme="9"/>
        </patternFill>
      </fill>
    </dxf>
    <dxf>
      <fill>
        <patternFill>
          <bgColor rgb="FFFF0000"/>
        </patternFill>
      </fill>
    </dxf>
    <dxf>
      <fill>
        <patternFill>
          <bgColor rgb="FF9BC2E6"/>
        </patternFill>
      </fill>
    </dxf>
    <dxf>
      <font>
        <color theme="0" tint="-0.34998626667073579"/>
      </font>
    </dxf>
    <dxf>
      <font>
        <color theme="0" tint="-0.34998626667073579"/>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theme="9"/>
        </patternFill>
      </fill>
    </dxf>
    <dxf>
      <fill>
        <patternFill>
          <bgColor rgb="FFFF0000"/>
        </patternFill>
      </fill>
    </dxf>
    <dxf>
      <fill>
        <patternFill>
          <bgColor rgb="FF9BC2E6"/>
        </patternFill>
      </fill>
    </dxf>
    <dxf>
      <font>
        <color theme="0"/>
      </font>
      <fill>
        <patternFill>
          <bgColor theme="9" tint="-0.24994659260841701"/>
        </patternFill>
      </fill>
    </dxf>
    <dxf>
      <fill>
        <patternFill>
          <bgColor rgb="FFFFFF00"/>
        </patternFill>
      </fill>
    </dxf>
    <dxf>
      <fill>
        <patternFill>
          <bgColor rgb="FFFFFF00"/>
        </patternFill>
      </fill>
    </dxf>
    <dxf>
      <font>
        <color theme="0"/>
      </font>
      <fill>
        <patternFill>
          <bgColor theme="9" tint="-0.24994659260841701"/>
        </patternFill>
      </fill>
    </dxf>
    <dxf>
      <fill>
        <patternFill>
          <bgColor theme="9"/>
        </patternFill>
      </fill>
    </dxf>
    <dxf>
      <fill>
        <patternFill>
          <bgColor rgb="FFFF0000"/>
        </patternFill>
      </fill>
    </dxf>
    <dxf>
      <fill>
        <patternFill>
          <bgColor rgb="FF9BC2E6"/>
        </patternFill>
      </fill>
    </dxf>
    <dxf>
      <font>
        <color auto="1"/>
      </font>
      <fill>
        <patternFill>
          <bgColor theme="2"/>
        </patternFill>
      </fill>
    </dxf>
    <dxf>
      <fill>
        <patternFill>
          <bgColor rgb="FFFF0000"/>
        </patternFill>
      </fill>
    </dxf>
    <dxf>
      <fill>
        <patternFill>
          <bgColor rgb="FF9BC2E6"/>
        </patternFill>
      </fill>
    </dxf>
    <dxf>
      <fill>
        <patternFill>
          <bgColor rgb="FF92D050"/>
        </patternFill>
      </fill>
    </dxf>
    <dxf>
      <fill>
        <patternFill>
          <bgColor rgb="FF9BC2E6"/>
        </patternFill>
      </fill>
    </dxf>
    <dxf>
      <fill>
        <patternFill>
          <bgColor rgb="FFFF0000"/>
        </patternFill>
      </fill>
    </dxf>
    <dxf>
      <fill>
        <patternFill>
          <bgColor theme="4" tint="0.39994506668294322"/>
        </patternFill>
      </fill>
    </dxf>
    <dxf>
      <fill>
        <patternFill>
          <bgColor rgb="FF9BC2E6"/>
        </patternFill>
      </fill>
    </dxf>
    <dxf>
      <fill>
        <patternFill>
          <bgColor rgb="FF92D050"/>
        </patternFill>
      </fill>
    </dxf>
    <dxf>
      <fill>
        <patternFill>
          <bgColor rgb="FFFF0000"/>
        </patternFill>
      </fill>
    </dxf>
    <dxf>
      <font>
        <color auto="1"/>
      </font>
      <fill>
        <patternFill>
          <bgColor theme="2"/>
        </patternFill>
      </fill>
    </dxf>
    <dxf>
      <fill>
        <patternFill>
          <bgColor rgb="FFFF0000"/>
        </patternFill>
      </fill>
    </dxf>
    <dxf>
      <fill>
        <patternFill>
          <bgColor rgb="FF9BC2E6"/>
        </patternFill>
      </fill>
    </dxf>
    <dxf>
      <fill>
        <patternFill>
          <bgColor rgb="FF92D050"/>
        </patternFill>
      </fill>
    </dxf>
    <dxf>
      <fill>
        <patternFill>
          <bgColor rgb="FF9BC2E6"/>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auto="1"/>
      </font>
      <fill>
        <patternFill>
          <bgColor theme="2"/>
        </patternFill>
      </fill>
    </dxf>
    <dxf>
      <fill>
        <patternFill>
          <bgColor rgb="FFFF0000"/>
        </patternFill>
      </fill>
    </dxf>
    <dxf>
      <fill>
        <patternFill>
          <bgColor theme="4" tint="0.39994506668294322"/>
        </patternFill>
      </fill>
    </dxf>
    <dxf>
      <fill>
        <patternFill>
          <bgColor rgb="FF9BC2E6"/>
        </patternFill>
      </fill>
    </dxf>
    <dxf>
      <fill>
        <patternFill>
          <bgColor rgb="FF92D050"/>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theme="9" tint="-0.499984740745262"/>
      </font>
      <fill>
        <patternFill>
          <bgColor theme="9" tint="0.79998168889431442"/>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theme="5" tint="-0.24994659260841701"/>
      </font>
      <fill>
        <patternFill>
          <bgColor theme="5" tint="0.79998168889431442"/>
        </patternFill>
      </fill>
    </dxf>
    <dxf>
      <font>
        <b/>
        <i val="0"/>
      </font>
      <fill>
        <patternFill>
          <bgColor rgb="FFDEE0E2"/>
        </patternFill>
      </fill>
      <border>
        <right style="thin">
          <color rgb="FF455A64"/>
        </right>
      </border>
    </dxf>
    <dxf>
      <fill>
        <patternFill>
          <bgColor rgb="FFDEE0E2"/>
        </patternFill>
      </fill>
      <border>
        <top style="medium">
          <color rgb="FF6F777B"/>
        </top>
      </border>
    </dxf>
    <dxf>
      <font>
        <b/>
        <i val="0"/>
        <color theme="1"/>
      </font>
      <fill>
        <patternFill>
          <bgColor rgb="FFDEE0E2"/>
        </patternFill>
      </fill>
      <border>
        <vertical style="dashed">
          <color rgb="FF455A64"/>
        </vertical>
      </border>
    </dxf>
    <dxf>
      <fill>
        <patternFill>
          <bgColor theme="0"/>
        </patternFill>
      </fill>
      <border diagonalUp="0" diagonalDown="0">
        <left style="thick">
          <color rgb="FFBFC1C3"/>
        </left>
        <right style="thick">
          <color rgb="FFBFC1C3"/>
        </right>
        <top/>
        <bottom style="thick">
          <color rgb="FFBFC1C3"/>
        </bottom>
        <vertical style="dashed">
          <color rgb="FFB0BEC5"/>
        </vertical>
        <horizontal style="dashed">
          <color rgb="FFB0BEC5"/>
        </horizontal>
      </border>
    </dxf>
  </dxfs>
  <tableStyles count="2" defaultTableStyle="Main table style 2 2" defaultPivotStyle="PivotStyleLight16">
    <tableStyle name="Main table style 2 2" pivot="0" count="4">
      <tableStyleElement type="wholeTable" dxfId="160"/>
      <tableStyleElement type="headerRow" dxfId="159"/>
      <tableStyleElement type="totalRow" dxfId="158"/>
      <tableStyleElement type="firstColumn" dxfId="157"/>
    </tableStyle>
    <tableStyle name="Table Style 1" pivot="0" count="0"/>
  </tableStyles>
  <colors>
    <mruColors>
      <color rgb="FFB0BEC5"/>
      <color rgb="FFDEE0E2"/>
      <color rgb="FFBFC1C3"/>
      <color rgb="FF9BC2E6"/>
      <color rgb="FF90A4AE"/>
      <color rgb="FF455A64"/>
      <color rgb="FF0B0C0C"/>
      <color rgb="FF6F777B"/>
      <color rgb="FFE7E1D9"/>
      <color rgb="FF5482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activeX/activeX10.xml><?xml version="1.0" encoding="utf-8"?>
<ax:ocx xmlns:ax="http://schemas.microsoft.com/office/2006/activeX" xmlns:r="http://schemas.openxmlformats.org/officeDocument/2006/relationships" ax:classid="{8BD21D30-EC42-11CE-9E0D-00AA006002F3}" ax:persistence="persistStreamInit" r:id="rId1"/>
</file>

<file path=xl/activeX/activeX11.xml><?xml version="1.0" encoding="utf-8"?>
<ax:ocx xmlns:ax="http://schemas.microsoft.com/office/2006/activeX" xmlns:r="http://schemas.openxmlformats.org/officeDocument/2006/relationships" ax:classid="{8BD21D30-EC42-11CE-9E0D-00AA006002F3}" ax:persistence="persistStreamInit" r:id="rId1"/>
</file>

<file path=xl/activeX/activeX12.xml><?xml version="1.0" encoding="utf-8"?>
<ax:ocx xmlns:ax="http://schemas.microsoft.com/office/2006/activeX" xmlns:r="http://schemas.openxmlformats.org/officeDocument/2006/relationships" ax:classid="{8BD21D30-EC42-11CE-9E0D-00AA006002F3}" ax:persistence="persistStreamInit" r:id="rId1"/>
</file>

<file path=xl/activeX/activeX13.xml><?xml version="1.0" encoding="utf-8"?>
<ax:ocx xmlns:ax="http://schemas.microsoft.com/office/2006/activeX" xmlns:r="http://schemas.openxmlformats.org/officeDocument/2006/relationships" ax:classid="{8BD21D30-EC42-11CE-9E0D-00AA006002F3}" ax:persistence="persistStreamInit" r:id="rId1"/>
</file>

<file path=xl/activeX/activeX14.xml><?xml version="1.0" encoding="utf-8"?>
<ax:ocx xmlns:ax="http://schemas.microsoft.com/office/2006/activeX" xmlns:r="http://schemas.openxmlformats.org/officeDocument/2006/relationships" ax:classid="{8BD21D30-EC42-11CE-9E0D-00AA006002F3}" ax:persistence="persistStreamInit" r:id="rId1"/>
</file>

<file path=xl/activeX/activeX15.xml><?xml version="1.0" encoding="utf-8"?>
<ax:ocx xmlns:ax="http://schemas.microsoft.com/office/2006/activeX" xmlns:r="http://schemas.openxmlformats.org/officeDocument/2006/relationships" ax:classid="{8BD21D30-EC42-11CE-9E0D-00AA006002F3}" ax:persistence="persistStreamInit" r:id="rId1"/>
</file>

<file path=xl/activeX/activeX2.xml><?xml version="1.0" encoding="utf-8"?>
<ax:ocx xmlns:ax="http://schemas.microsoft.com/office/2006/activeX" xmlns:r="http://schemas.openxmlformats.org/officeDocument/2006/relationships" ax:classid="{8BD21D30-EC42-11CE-9E0D-00AA006002F3}" ax:persistence="persistStreamInit" r:id="rId1"/>
</file>

<file path=xl/activeX/activeX3.xml><?xml version="1.0" encoding="utf-8"?>
<ax:ocx xmlns:ax="http://schemas.microsoft.com/office/2006/activeX" xmlns:r="http://schemas.openxmlformats.org/officeDocument/2006/relationships" ax:classid="{8BD21D30-EC42-11CE-9E0D-00AA006002F3}" ax:persistence="persistStreamInit" r:id="rId1"/>
</file>

<file path=xl/activeX/activeX4.xml><?xml version="1.0" encoding="utf-8"?>
<ax:ocx xmlns:ax="http://schemas.microsoft.com/office/2006/activeX" xmlns:r="http://schemas.openxmlformats.org/officeDocument/2006/relationships" ax:classid="{8BD21D30-EC42-11CE-9E0D-00AA006002F3}" ax:persistence="persistStreamInit" r:id="rId1"/>
</file>

<file path=xl/activeX/activeX5.xml><?xml version="1.0" encoding="utf-8"?>
<ax:ocx xmlns:ax="http://schemas.microsoft.com/office/2006/activeX" xmlns:r="http://schemas.openxmlformats.org/officeDocument/2006/relationships" ax:classid="{8BD21D30-EC42-11CE-9E0D-00AA006002F3}" ax:persistence="persistStreamInit" r:id="rId1"/>
</file>

<file path=xl/activeX/activeX6.xml><?xml version="1.0" encoding="utf-8"?>
<ax:ocx xmlns:ax="http://schemas.microsoft.com/office/2006/activeX" xmlns:r="http://schemas.openxmlformats.org/officeDocument/2006/relationships" ax:classid="{8BD21D30-EC42-11CE-9E0D-00AA006002F3}" ax:persistence="persistStreamInit" r:id="rId1"/>
</file>

<file path=xl/activeX/activeX7.xml><?xml version="1.0" encoding="utf-8"?>
<ax:ocx xmlns:ax="http://schemas.microsoft.com/office/2006/activeX" xmlns:r="http://schemas.openxmlformats.org/officeDocument/2006/relationships" ax:classid="{8BD21D30-EC42-11CE-9E0D-00AA006002F3}" ax:persistence="persistStreamInit" r:id="rId1"/>
</file>

<file path=xl/activeX/activeX8.xml><?xml version="1.0" encoding="utf-8"?>
<ax:ocx xmlns:ax="http://schemas.microsoft.com/office/2006/activeX" xmlns:r="http://schemas.openxmlformats.org/officeDocument/2006/relationships" ax:classid="{8BD21D30-EC42-11CE-9E0D-00AA006002F3}" ax:persistence="persistStreamInit" r:id="rId1"/>
</file>

<file path=xl/activeX/activeX9.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png"/><Relationship Id="rId5" Type="http://schemas.openxmlformats.org/officeDocument/2006/relationships/image" Target="../media/image20.png"/><Relationship Id="rId4" Type="http://schemas.openxmlformats.org/officeDocument/2006/relationships/image" Target="../media/image19.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4" Type="http://schemas.openxmlformats.org/officeDocument/2006/relationships/image" Target="../media/image8.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9.emf"/><Relationship Id="rId1" Type="http://schemas.openxmlformats.org/officeDocument/2006/relationships/image" Target="../media/image10.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14.emf"/><Relationship Id="rId1" Type="http://schemas.openxmlformats.org/officeDocument/2006/relationships/image" Target="../media/image15.emf"/></Relationships>
</file>

<file path=xl/drawings/drawing1.xml><?xml version="1.0" encoding="utf-8"?>
<xdr:wsDr xmlns:xdr="http://schemas.openxmlformats.org/drawingml/2006/spreadsheetDrawing" xmlns:a="http://schemas.openxmlformats.org/drawingml/2006/main">
  <xdr:twoCellAnchor editAs="oneCell">
    <xdr:from>
      <xdr:col>9</xdr:col>
      <xdr:colOff>9525</xdr:colOff>
      <xdr:row>4</xdr:row>
      <xdr:rowOff>0</xdr:rowOff>
    </xdr:from>
    <xdr:to>
      <xdr:col>10</xdr:col>
      <xdr:colOff>103697</xdr:colOff>
      <xdr:row>12</xdr:row>
      <xdr:rowOff>133253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15643" y="683559"/>
          <a:ext cx="1619125" cy="14035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11</xdr:row>
          <xdr:rowOff>0</xdr:rowOff>
        </xdr:to>
        <xdr:sp macro="" textlink="">
          <xdr:nvSpPr>
            <xdr:cNvPr id="38913" name="VOY_VOY_LASTPORT_DROPDOWN"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9525</xdr:rowOff>
        </xdr:from>
        <xdr:to>
          <xdr:col>1</xdr:col>
          <xdr:colOff>0</xdr:colOff>
          <xdr:row>14</xdr:row>
          <xdr:rowOff>0</xdr:rowOff>
        </xdr:to>
        <xdr:sp macro="" textlink="">
          <xdr:nvSpPr>
            <xdr:cNvPr id="38914" name="ComboBox1"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19050</xdr:rowOff>
        </xdr:from>
        <xdr:to>
          <xdr:col>1</xdr:col>
          <xdr:colOff>0</xdr:colOff>
          <xdr:row>6</xdr:row>
          <xdr:rowOff>19050</xdr:rowOff>
        </xdr:to>
        <xdr:sp macro="" textlink="">
          <xdr:nvSpPr>
            <xdr:cNvPr id="38916" name="VOY_VOY_POC_DROPDOWN" hidden="1">
              <a:extLst>
                <a:ext uri="{63B3BB69-23CF-44E3-9099-C40C66FF867C}">
                  <a14:compatExt spid="_x0000_s38916"/>
                </a:ext>
                <a:ext uri="{FF2B5EF4-FFF2-40B4-BE49-F238E27FC236}">
                  <a16:creationId xmlns:a16="http://schemas.microsoft.com/office/drawing/2014/main" id="{00000000-0008-0000-0100-000004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15</xdr:row>
          <xdr:rowOff>9525</xdr:rowOff>
        </xdr:from>
        <xdr:to>
          <xdr:col>3</xdr:col>
          <xdr:colOff>2990850</xdr:colOff>
          <xdr:row>15</xdr:row>
          <xdr:rowOff>190500</xdr:rowOff>
        </xdr:to>
        <xdr:sp macro="" textlink="">
          <xdr:nvSpPr>
            <xdr:cNvPr id="38920" name="ComboBox2" hidden="1">
              <a:extLst>
                <a:ext uri="{63B3BB69-23CF-44E3-9099-C40C66FF867C}">
                  <a14:compatExt spid="_x0000_s38920"/>
                </a:ext>
                <a:ext uri="{FF2B5EF4-FFF2-40B4-BE49-F238E27FC236}">
                  <a16:creationId xmlns:a16="http://schemas.microsoft.com/office/drawing/2014/main" id="{00000000-0008-0000-0100-000008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9525</xdr:colOff>
          <xdr:row>12</xdr:row>
          <xdr:rowOff>19050</xdr:rowOff>
        </xdr:from>
        <xdr:to>
          <xdr:col>3</xdr:col>
          <xdr:colOff>0</xdr:colOff>
          <xdr:row>13</xdr:row>
          <xdr:rowOff>0</xdr:rowOff>
        </xdr:to>
        <xdr:sp macro="" textlink="">
          <xdr:nvSpPr>
            <xdr:cNvPr id="13341" name="VOY_VOY_LASTPORT_DROPDOWN" hidden="1">
              <a:extLst>
                <a:ext uri="{63B3BB69-23CF-44E3-9099-C40C66FF867C}">
                  <a14:compatExt spid="_x0000_s13341"/>
                </a:ext>
                <a:ext uri="{FF2B5EF4-FFF2-40B4-BE49-F238E27FC236}">
                  <a16:creationId xmlns:a16="http://schemas.microsoft.com/office/drawing/2014/main" id="{00000000-0008-0000-0200-00001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xdr:colOff>
          <xdr:row>16</xdr:row>
          <xdr:rowOff>9525</xdr:rowOff>
        </xdr:from>
        <xdr:to>
          <xdr:col>2</xdr:col>
          <xdr:colOff>3105150</xdr:colOff>
          <xdr:row>16</xdr:row>
          <xdr:rowOff>209550</xdr:rowOff>
        </xdr:to>
        <xdr:sp macro="" textlink="">
          <xdr:nvSpPr>
            <xdr:cNvPr id="13342" name="ComboBox1" hidden="1">
              <a:extLst>
                <a:ext uri="{63B3BB69-23CF-44E3-9099-C40C66FF867C}">
                  <a14:compatExt spid="_x0000_s13342"/>
                </a:ext>
                <a:ext uri="{FF2B5EF4-FFF2-40B4-BE49-F238E27FC236}">
                  <a16:creationId xmlns:a16="http://schemas.microsoft.com/office/drawing/2014/main" id="{00000000-0008-0000-0200-00001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18</xdr:row>
          <xdr:rowOff>9525</xdr:rowOff>
        </xdr:from>
        <xdr:to>
          <xdr:col>4</xdr:col>
          <xdr:colOff>0</xdr:colOff>
          <xdr:row>18</xdr:row>
          <xdr:rowOff>38100</xdr:rowOff>
        </xdr:to>
        <xdr:sp macro="" textlink="">
          <xdr:nvSpPr>
            <xdr:cNvPr id="13345" name="ComboBox2" hidden="1">
              <a:extLst>
                <a:ext uri="{63B3BB69-23CF-44E3-9099-C40C66FF867C}">
                  <a14:compatExt spid="_x0000_s13345"/>
                </a:ext>
                <a:ext uri="{FF2B5EF4-FFF2-40B4-BE49-F238E27FC236}">
                  <a16:creationId xmlns:a16="http://schemas.microsoft.com/office/drawing/2014/main" id="{00000000-0008-0000-0200-00002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xdr:colOff>
          <xdr:row>5</xdr:row>
          <xdr:rowOff>0</xdr:rowOff>
        </xdr:from>
        <xdr:to>
          <xdr:col>2</xdr:col>
          <xdr:colOff>3324225</xdr:colOff>
          <xdr:row>5</xdr:row>
          <xdr:rowOff>180975</xdr:rowOff>
        </xdr:to>
        <xdr:sp macro="" textlink="">
          <xdr:nvSpPr>
            <xdr:cNvPr id="13346" name="VOY_VOY_POC_DROPDOWN" hidden="1">
              <a:extLst>
                <a:ext uri="{63B3BB69-23CF-44E3-9099-C40C66FF867C}">
                  <a14:compatExt spid="_x0000_s13346"/>
                </a:ext>
                <a:ext uri="{FF2B5EF4-FFF2-40B4-BE49-F238E27FC236}">
                  <a16:creationId xmlns:a16="http://schemas.microsoft.com/office/drawing/2014/main" id="{00000000-0008-0000-0200-00002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19050</xdr:colOff>
          <xdr:row>14</xdr:row>
          <xdr:rowOff>9525</xdr:rowOff>
        </xdr:from>
        <xdr:to>
          <xdr:col>11</xdr:col>
          <xdr:colOff>0</xdr:colOff>
          <xdr:row>15</xdr:row>
          <xdr:rowOff>28575</xdr:rowOff>
        </xdr:to>
        <xdr:sp macro="" textlink="">
          <xdr:nvSpPr>
            <xdr:cNvPr id="10307" name="ComboBox2" hidden="1">
              <a:extLst>
                <a:ext uri="{63B3BB69-23CF-44E3-9099-C40C66FF867C}">
                  <a14:compatExt spid="_x0000_s10307"/>
                </a:ext>
                <a:ext uri="{FF2B5EF4-FFF2-40B4-BE49-F238E27FC236}">
                  <a16:creationId xmlns:a16="http://schemas.microsoft.com/office/drawing/2014/main" id="{00000000-0008-0000-0300-000043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9525</xdr:colOff>
          <xdr:row>14</xdr:row>
          <xdr:rowOff>0</xdr:rowOff>
        </xdr:from>
        <xdr:to>
          <xdr:col>21</xdr:col>
          <xdr:colOff>752475</xdr:colOff>
          <xdr:row>15</xdr:row>
          <xdr:rowOff>19050</xdr:rowOff>
        </xdr:to>
        <xdr:sp macro="" textlink="">
          <xdr:nvSpPr>
            <xdr:cNvPr id="10308" name="ComboBox3" hidden="1">
              <a:extLst>
                <a:ext uri="{63B3BB69-23CF-44E3-9099-C40C66FF867C}">
                  <a14:compatExt spid="_x0000_s10308"/>
                </a:ext>
                <a:ext uri="{FF2B5EF4-FFF2-40B4-BE49-F238E27FC236}">
                  <a16:creationId xmlns:a16="http://schemas.microsoft.com/office/drawing/2014/main" id="{00000000-0008-0000-0300-000044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6</xdr:row>
          <xdr:rowOff>9525</xdr:rowOff>
        </xdr:from>
        <xdr:to>
          <xdr:col>26</xdr:col>
          <xdr:colOff>0</xdr:colOff>
          <xdr:row>7</xdr:row>
          <xdr:rowOff>142875</xdr:rowOff>
        </xdr:to>
        <xdr:sp macro="" textlink="">
          <xdr:nvSpPr>
            <xdr:cNvPr id="10311" name="ComboBox1" hidden="1">
              <a:extLst>
                <a:ext uri="{63B3BB69-23CF-44E3-9099-C40C66FF867C}">
                  <a14:compatExt spid="_x0000_s10311"/>
                </a:ext>
                <a:ext uri="{FF2B5EF4-FFF2-40B4-BE49-F238E27FC236}">
                  <a16:creationId xmlns:a16="http://schemas.microsoft.com/office/drawing/2014/main" id="{00000000-0008-0000-0300-000047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22</xdr:col>
          <xdr:colOff>28575</xdr:colOff>
          <xdr:row>5</xdr:row>
          <xdr:rowOff>0</xdr:rowOff>
        </xdr:from>
        <xdr:to>
          <xdr:col>26</xdr:col>
          <xdr:colOff>581025</xdr:colOff>
          <xdr:row>6</xdr:row>
          <xdr:rowOff>114300</xdr:rowOff>
        </xdr:to>
        <xdr:sp macro="" textlink="">
          <xdr:nvSpPr>
            <xdr:cNvPr id="24577" name="ComboBox1" hidden="1">
              <a:extLst>
                <a:ext uri="{63B3BB69-23CF-44E3-9099-C40C66FF867C}">
                  <a14:compatExt spid="_x0000_s24577"/>
                </a:ext>
                <a:ext uri="{FF2B5EF4-FFF2-40B4-BE49-F238E27FC236}">
                  <a16:creationId xmlns:a16="http://schemas.microsoft.com/office/drawing/2014/main" id="{00000000-0008-0000-0500-00000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22</xdr:col>
          <xdr:colOff>9525</xdr:colOff>
          <xdr:row>5</xdr:row>
          <xdr:rowOff>0</xdr:rowOff>
        </xdr:from>
        <xdr:to>
          <xdr:col>26</xdr:col>
          <xdr:colOff>561975</xdr:colOff>
          <xdr:row>6</xdr:row>
          <xdr:rowOff>133350</xdr:rowOff>
        </xdr:to>
        <xdr:sp macro="" textlink="">
          <xdr:nvSpPr>
            <xdr:cNvPr id="31745" name="ComboBox1" hidden="1">
              <a:extLst>
                <a:ext uri="{63B3BB69-23CF-44E3-9099-C40C66FF867C}">
                  <a14:compatExt spid="_x0000_s31745"/>
                </a:ext>
                <a:ext uri="{FF2B5EF4-FFF2-40B4-BE49-F238E27FC236}">
                  <a16:creationId xmlns:a16="http://schemas.microsoft.com/office/drawing/2014/main" id="{00000000-0008-0000-0700-000001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19050</xdr:colOff>
          <xdr:row>15</xdr:row>
          <xdr:rowOff>0</xdr:rowOff>
        </xdr:from>
        <xdr:to>
          <xdr:col>6</xdr:col>
          <xdr:colOff>581025</xdr:colOff>
          <xdr:row>15</xdr:row>
          <xdr:rowOff>180975</xdr:rowOff>
        </xdr:to>
        <xdr:sp macro="" textlink="">
          <xdr:nvSpPr>
            <xdr:cNvPr id="7233" name="ComboBox2" hidden="1">
              <a:extLst>
                <a:ext uri="{63B3BB69-23CF-44E3-9099-C40C66FF867C}">
                  <a14:compatExt spid="_x0000_s7233"/>
                </a:ext>
                <a:ext uri="{FF2B5EF4-FFF2-40B4-BE49-F238E27FC236}">
                  <a16:creationId xmlns:a16="http://schemas.microsoft.com/office/drawing/2014/main" id="{00000000-0008-0000-0800-00004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19050</xdr:colOff>
          <xdr:row>5</xdr:row>
          <xdr:rowOff>28575</xdr:rowOff>
        </xdr:from>
        <xdr:to>
          <xdr:col>23</xdr:col>
          <xdr:colOff>1200150</xdr:colOff>
          <xdr:row>6</xdr:row>
          <xdr:rowOff>133350</xdr:rowOff>
        </xdr:to>
        <xdr:sp macro="" textlink="">
          <xdr:nvSpPr>
            <xdr:cNvPr id="7237" name="ComboBox1" hidden="1">
              <a:extLst>
                <a:ext uri="{63B3BB69-23CF-44E3-9099-C40C66FF867C}">
                  <a14:compatExt spid="_x0000_s7237"/>
                </a:ext>
                <a:ext uri="{FF2B5EF4-FFF2-40B4-BE49-F238E27FC236}">
                  <a16:creationId xmlns:a16="http://schemas.microsoft.com/office/drawing/2014/main" id="{00000000-0008-0000-0800-00004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3</xdr:col>
      <xdr:colOff>82959</xdr:colOff>
      <xdr:row>112</xdr:row>
      <xdr:rowOff>86033</xdr:rowOff>
    </xdr:from>
    <xdr:to>
      <xdr:col>3</xdr:col>
      <xdr:colOff>682113</xdr:colOff>
      <xdr:row>112</xdr:row>
      <xdr:rowOff>89105</xdr:rowOff>
    </xdr:to>
    <xdr:cxnSp macro="">
      <xdr:nvCxnSpPr>
        <xdr:cNvPr id="2" name="Straight Arrow Connector 1">
          <a:extLst>
            <a:ext uri="{FF2B5EF4-FFF2-40B4-BE49-F238E27FC236}">
              <a16:creationId xmlns:a16="http://schemas.microsoft.com/office/drawing/2014/main" id="{00000000-0008-0000-0A00-000002000000}"/>
            </a:ext>
          </a:extLst>
        </xdr:cNvPr>
        <xdr:cNvCxnSpPr/>
      </xdr:nvCxnSpPr>
      <xdr:spPr>
        <a:xfrm flipV="1">
          <a:off x="1768884" y="45539333"/>
          <a:ext cx="599154" cy="307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95250</xdr:colOff>
      <xdr:row>112</xdr:row>
      <xdr:rowOff>70671</xdr:rowOff>
    </xdr:from>
    <xdr:to>
      <xdr:col>6</xdr:col>
      <xdr:colOff>709766</xdr:colOff>
      <xdr:row>112</xdr:row>
      <xdr:rowOff>79888</xdr:rowOff>
    </xdr:to>
    <xdr:cxnSp macro="">
      <xdr:nvCxnSpPr>
        <xdr:cNvPr id="3" name="Straight Arrow Connector 2">
          <a:extLst>
            <a:ext uri="{FF2B5EF4-FFF2-40B4-BE49-F238E27FC236}">
              <a16:creationId xmlns:a16="http://schemas.microsoft.com/office/drawing/2014/main" id="{00000000-0008-0000-0A00-000003000000}"/>
            </a:ext>
          </a:extLst>
        </xdr:cNvPr>
        <xdr:cNvCxnSpPr/>
      </xdr:nvCxnSpPr>
      <xdr:spPr>
        <a:xfrm flipV="1">
          <a:off x="3790950" y="45523971"/>
          <a:ext cx="614516" cy="921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100642</xdr:colOff>
      <xdr:row>112</xdr:row>
      <xdr:rowOff>79076</xdr:rowOff>
    </xdr:from>
    <xdr:to>
      <xdr:col>6</xdr:col>
      <xdr:colOff>687659</xdr:colOff>
      <xdr:row>113</xdr:row>
      <xdr:rowOff>65049</xdr:rowOff>
    </xdr:to>
    <xdr:cxnSp macro="">
      <xdr:nvCxnSpPr>
        <xdr:cNvPr id="4" name="Straight Arrow Connector 3">
          <a:extLst>
            <a:ext uri="{FF2B5EF4-FFF2-40B4-BE49-F238E27FC236}">
              <a16:creationId xmlns:a16="http://schemas.microsoft.com/office/drawing/2014/main" id="{00000000-0008-0000-0A00-000004000000}"/>
            </a:ext>
          </a:extLst>
        </xdr:cNvPr>
        <xdr:cNvCxnSpPr/>
      </xdr:nvCxnSpPr>
      <xdr:spPr>
        <a:xfrm>
          <a:off x="3796342" y="45532376"/>
          <a:ext cx="587017" cy="14789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54077</xdr:colOff>
      <xdr:row>115</xdr:row>
      <xdr:rowOff>81730</xdr:rowOff>
    </xdr:from>
    <xdr:to>
      <xdr:col>3</xdr:col>
      <xdr:colOff>653231</xdr:colOff>
      <xdr:row>115</xdr:row>
      <xdr:rowOff>84802</xdr:rowOff>
    </xdr:to>
    <xdr:cxnSp macro="">
      <xdr:nvCxnSpPr>
        <xdr:cNvPr id="5" name="Straight Arrow Connector 4">
          <a:extLst>
            <a:ext uri="{FF2B5EF4-FFF2-40B4-BE49-F238E27FC236}">
              <a16:creationId xmlns:a16="http://schemas.microsoft.com/office/drawing/2014/main" id="{00000000-0008-0000-0A00-000005000000}"/>
            </a:ext>
          </a:extLst>
        </xdr:cNvPr>
        <xdr:cNvCxnSpPr/>
      </xdr:nvCxnSpPr>
      <xdr:spPr>
        <a:xfrm flipV="1">
          <a:off x="1740002" y="46020805"/>
          <a:ext cx="599154" cy="307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62065</xdr:colOff>
      <xdr:row>115</xdr:row>
      <xdr:rowOff>86646</xdr:rowOff>
    </xdr:from>
    <xdr:to>
      <xdr:col>3</xdr:col>
      <xdr:colOff>666750</xdr:colOff>
      <xdr:row>116</xdr:row>
      <xdr:rowOff>64524</xdr:rowOff>
    </xdr:to>
    <xdr:cxnSp macro="">
      <xdr:nvCxnSpPr>
        <xdr:cNvPr id="6" name="Straight Arrow Connector 5">
          <a:extLst>
            <a:ext uri="{FF2B5EF4-FFF2-40B4-BE49-F238E27FC236}">
              <a16:creationId xmlns:a16="http://schemas.microsoft.com/office/drawing/2014/main" id="{00000000-0008-0000-0A00-000006000000}"/>
            </a:ext>
          </a:extLst>
        </xdr:cNvPr>
        <xdr:cNvCxnSpPr/>
      </xdr:nvCxnSpPr>
      <xdr:spPr>
        <a:xfrm>
          <a:off x="1747990" y="46025721"/>
          <a:ext cx="604685" cy="13980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67597</xdr:colOff>
      <xdr:row>115</xdr:row>
      <xdr:rowOff>86032</xdr:rowOff>
    </xdr:from>
    <xdr:to>
      <xdr:col>3</xdr:col>
      <xdr:colOff>679040</xdr:colOff>
      <xdr:row>117</xdr:row>
      <xdr:rowOff>52234</xdr:rowOff>
    </xdr:to>
    <xdr:cxnSp macro="">
      <xdr:nvCxnSpPr>
        <xdr:cNvPr id="7" name="Straight Arrow Connector 6">
          <a:extLst>
            <a:ext uri="{FF2B5EF4-FFF2-40B4-BE49-F238E27FC236}">
              <a16:creationId xmlns:a16="http://schemas.microsoft.com/office/drawing/2014/main" id="{00000000-0008-0000-0A00-000007000000}"/>
            </a:ext>
          </a:extLst>
        </xdr:cNvPr>
        <xdr:cNvCxnSpPr/>
      </xdr:nvCxnSpPr>
      <xdr:spPr>
        <a:xfrm>
          <a:off x="1753522" y="46025107"/>
          <a:ext cx="611443" cy="29005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76814</xdr:colOff>
      <xdr:row>115</xdr:row>
      <xdr:rowOff>64525</xdr:rowOff>
    </xdr:from>
    <xdr:to>
      <xdr:col>6</xdr:col>
      <xdr:colOff>675968</xdr:colOff>
      <xdr:row>115</xdr:row>
      <xdr:rowOff>67597</xdr:rowOff>
    </xdr:to>
    <xdr:cxnSp macro="">
      <xdr:nvCxnSpPr>
        <xdr:cNvPr id="8" name="Straight Arrow Connector 7">
          <a:extLst>
            <a:ext uri="{FF2B5EF4-FFF2-40B4-BE49-F238E27FC236}">
              <a16:creationId xmlns:a16="http://schemas.microsoft.com/office/drawing/2014/main" id="{00000000-0008-0000-0A00-000008000000}"/>
            </a:ext>
          </a:extLst>
        </xdr:cNvPr>
        <xdr:cNvCxnSpPr/>
      </xdr:nvCxnSpPr>
      <xdr:spPr>
        <a:xfrm flipV="1">
          <a:off x="3772514" y="46003600"/>
          <a:ext cx="599154" cy="307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78658</xdr:colOff>
      <xdr:row>117</xdr:row>
      <xdr:rowOff>87877</xdr:rowOff>
    </xdr:from>
    <xdr:to>
      <xdr:col>6</xdr:col>
      <xdr:colOff>677812</xdr:colOff>
      <xdr:row>117</xdr:row>
      <xdr:rowOff>90949</xdr:rowOff>
    </xdr:to>
    <xdr:cxnSp macro="">
      <xdr:nvCxnSpPr>
        <xdr:cNvPr id="9" name="Straight Arrow Connector 8">
          <a:extLst>
            <a:ext uri="{FF2B5EF4-FFF2-40B4-BE49-F238E27FC236}">
              <a16:creationId xmlns:a16="http://schemas.microsoft.com/office/drawing/2014/main" id="{00000000-0008-0000-0A00-000009000000}"/>
            </a:ext>
          </a:extLst>
        </xdr:cNvPr>
        <xdr:cNvCxnSpPr/>
      </xdr:nvCxnSpPr>
      <xdr:spPr>
        <a:xfrm flipV="1">
          <a:off x="3774358" y="46350802"/>
          <a:ext cx="599154" cy="307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0</xdr:colOff>
      <xdr:row>38</xdr:row>
      <xdr:rowOff>0</xdr:rowOff>
    </xdr:from>
    <xdr:to>
      <xdr:col>1</xdr:col>
      <xdr:colOff>304800</xdr:colOff>
      <xdr:row>39</xdr:row>
      <xdr:rowOff>131444</xdr:rowOff>
    </xdr:to>
    <xdr:sp macro="" textlink="">
      <xdr:nvSpPr>
        <xdr:cNvPr id="46084" name="AutoShape 4" descr="Reference">
          <a:extLst>
            <a:ext uri="{FF2B5EF4-FFF2-40B4-BE49-F238E27FC236}">
              <a16:creationId xmlns:a16="http://schemas.microsoft.com/office/drawing/2014/main" id="{00000000-0008-0000-0A00-000004B40000}"/>
            </a:ext>
          </a:extLst>
        </xdr:cNvPr>
        <xdr:cNvSpPr>
          <a:spLocks noChangeAspect="1" noChangeArrowheads="1"/>
        </xdr:cNvSpPr>
      </xdr:nvSpPr>
      <xdr:spPr bwMode="auto">
        <a:xfrm>
          <a:off x="609600" y="3448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114300</xdr:colOff>
      <xdr:row>44</xdr:row>
      <xdr:rowOff>93704</xdr:rowOff>
    </xdr:from>
    <xdr:to>
      <xdr:col>24</xdr:col>
      <xdr:colOff>245746</xdr:colOff>
      <xdr:row>67</xdr:row>
      <xdr:rowOff>57148</xdr:rowOff>
    </xdr:to>
    <xdr:pic>
      <xdr:nvPicPr>
        <xdr:cNvPr id="13" name="Picture 12">
          <a:extLst>
            <a:ext uri="{FF2B5EF4-FFF2-40B4-BE49-F238E27FC236}">
              <a16:creationId xmlns:a16="http://schemas.microsoft.com/office/drawing/2014/main" id="{00000000-0008-0000-0A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0" y="4513304"/>
          <a:ext cx="7467600" cy="38496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57</xdr:row>
      <xdr:rowOff>0</xdr:rowOff>
    </xdr:from>
    <xdr:ext cx="304800" cy="304800"/>
    <xdr:sp macro="" textlink="">
      <xdr:nvSpPr>
        <xdr:cNvPr id="14" name="AutoShape 4" descr="Reference">
          <a:extLst>
            <a:ext uri="{FF2B5EF4-FFF2-40B4-BE49-F238E27FC236}">
              <a16:creationId xmlns:a16="http://schemas.microsoft.com/office/drawing/2014/main" id="{00000000-0008-0000-0A00-00000E000000}"/>
            </a:ext>
          </a:extLst>
        </xdr:cNvPr>
        <xdr:cNvSpPr>
          <a:spLocks noChangeAspect="1" noChangeArrowheads="1"/>
        </xdr:cNvSpPr>
      </xdr:nvSpPr>
      <xdr:spPr bwMode="auto">
        <a:xfrm>
          <a:off x="609600" y="3448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26</xdr:row>
      <xdr:rowOff>0</xdr:rowOff>
    </xdr:from>
    <xdr:to>
      <xdr:col>16</xdr:col>
      <xdr:colOff>304800</xdr:colOff>
      <xdr:row>27</xdr:row>
      <xdr:rowOff>131444</xdr:rowOff>
    </xdr:to>
    <xdr:sp macro="" textlink="">
      <xdr:nvSpPr>
        <xdr:cNvPr id="46087" name="AutoShape 7" descr="https://mca-wordpress.ibboost.com/wp-content/uploads/2017/07/EXCEL_Search.png">
          <a:extLst>
            <a:ext uri="{FF2B5EF4-FFF2-40B4-BE49-F238E27FC236}">
              <a16:creationId xmlns:a16="http://schemas.microsoft.com/office/drawing/2014/main" id="{00000000-0008-0000-0A00-000007B40000}"/>
            </a:ext>
          </a:extLst>
        </xdr:cNvPr>
        <xdr:cNvSpPr>
          <a:spLocks noChangeAspect="1" noChangeArrowheads="1"/>
        </xdr:cNvSpPr>
      </xdr:nvSpPr>
      <xdr:spPr bwMode="auto">
        <a:xfrm>
          <a:off x="9753600" y="150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133350</xdr:colOff>
      <xdr:row>26</xdr:row>
      <xdr:rowOff>47625</xdr:rowOff>
    </xdr:from>
    <xdr:to>
      <xdr:col>20</xdr:col>
      <xdr:colOff>173355</xdr:colOff>
      <xdr:row>40</xdr:row>
      <xdr:rowOff>95250</xdr:rowOff>
    </xdr:to>
    <xdr:pic>
      <xdr:nvPicPr>
        <xdr:cNvPr id="16" name="Picture 15">
          <a:extLst>
            <a:ext uri="{FF2B5EF4-FFF2-40B4-BE49-F238E27FC236}">
              <a16:creationId xmlns:a16="http://schemas.microsoft.com/office/drawing/2014/main" id="{00000000-0008-0000-0A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58150" y="1552575"/>
          <a:ext cx="4305300" cy="2314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333375</xdr:colOff>
      <xdr:row>26</xdr:row>
      <xdr:rowOff>38100</xdr:rowOff>
    </xdr:from>
    <xdr:to>
      <xdr:col>35</xdr:col>
      <xdr:colOff>243839</xdr:colOff>
      <xdr:row>37</xdr:row>
      <xdr:rowOff>57149</xdr:rowOff>
    </xdr:to>
    <xdr:pic>
      <xdr:nvPicPr>
        <xdr:cNvPr id="17" name="Picture 16">
          <a:extLst>
            <a:ext uri="{FF2B5EF4-FFF2-40B4-BE49-F238E27FC236}">
              <a16:creationId xmlns:a16="http://schemas.microsoft.com/office/drawing/2014/main" id="{00000000-0008-0000-0A00-000011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525375" y="1543050"/>
          <a:ext cx="9048750" cy="1800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561975</xdr:colOff>
      <xdr:row>69</xdr:row>
      <xdr:rowOff>0</xdr:rowOff>
    </xdr:from>
    <xdr:to>
      <xdr:col>22</xdr:col>
      <xdr:colOff>17145</xdr:colOff>
      <xdr:row>88</xdr:row>
      <xdr:rowOff>53340</xdr:rowOff>
    </xdr:to>
    <xdr:pic>
      <xdr:nvPicPr>
        <xdr:cNvPr id="19" name="Picture 18">
          <a:extLst>
            <a:ext uri="{FF2B5EF4-FFF2-40B4-BE49-F238E27FC236}">
              <a16:creationId xmlns:a16="http://schemas.microsoft.com/office/drawing/2014/main" id="{00000000-0008-0000-0A00-00001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877175" y="15230475"/>
          <a:ext cx="5572125" cy="3286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581025</xdr:colOff>
      <xdr:row>128</xdr:row>
      <xdr:rowOff>123825</xdr:rowOff>
    </xdr:from>
    <xdr:to>
      <xdr:col>27</xdr:col>
      <xdr:colOff>476</xdr:colOff>
      <xdr:row>137</xdr:row>
      <xdr:rowOff>55246</xdr:rowOff>
    </xdr:to>
    <xdr:pic>
      <xdr:nvPicPr>
        <xdr:cNvPr id="20" name="Picture 19">
          <a:extLst>
            <a:ext uri="{FF2B5EF4-FFF2-40B4-BE49-F238E27FC236}">
              <a16:creationId xmlns:a16="http://schemas.microsoft.com/office/drawing/2014/main" id="{00000000-0008-0000-0A00-000014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81025" y="26603325"/>
          <a:ext cx="16716375" cy="1400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56" name="REF_WASTE_TYPE_CODE" displayName="REF_WASTE_TYPE_CODE" ref="AG1:AH37" totalsRowShown="0">
  <autoFilter ref="AG1:AH37"/>
  <tableColumns count="2">
    <tableColumn id="1" name="Waste type"/>
    <tableColumn id="2" name="Waste code"/>
  </tableColumns>
  <tableStyleInfo showFirstColumn="0" showLastColumn="0" showRowStripes="1" showColumnStripes="0"/>
</table>
</file>

<file path=xl/tables/table2.xml><?xml version="1.0" encoding="utf-8"?>
<table xmlns="http://schemas.openxmlformats.org/spreadsheetml/2006/main" id="1" name="REF_COUNTRIES_CODES" displayName="REF_COUNTRIES_CODES" ref="AP1:AQ297" totalsRowShown="0">
  <autoFilter ref="AP1:AQ297"/>
  <tableColumns count="2">
    <tableColumn id="1" name="Country code"/>
    <tableColumn id="2" name="Country name"/>
  </tableColumns>
  <tableStyleInfo showFirstColumn="0" showLastColumn="0" showRowStripes="1" showColumnStripes="0"/>
</table>
</file>

<file path=xl/tables/table3.xml><?xml version="1.0" encoding="utf-8"?>
<table xmlns="http://schemas.openxmlformats.org/spreadsheetml/2006/main" id="6" name="REF_SHIP_TYPE_TABLE" displayName="REF_SHIP_TYPE_TABLE" ref="N1:P90" totalsRowShown="0">
  <autoFilter ref="N1:P90"/>
  <tableColumns count="3">
    <tableColumn id="1" name="Name"/>
    <tableColumn id="2" name="Code"/>
    <tableColumn id="3" name="Descriptio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organisations/maritime-and-coastguard-agency" TargetMode="External"/><Relationship Id="rId7" Type="http://schemas.openxmlformats.org/officeDocument/2006/relationships/drawing" Target="../drawings/drawing1.xml"/><Relationship Id="rId2" Type="http://schemas.openxmlformats.org/officeDocument/2006/relationships/hyperlink" Target="mailto:cers@mcga.gov.uk" TargetMode="External"/><Relationship Id="rId1" Type="http://schemas.openxmlformats.org/officeDocument/2006/relationships/hyperlink" Target="http://mca-wordpress.ibboost.com/" TargetMode="External"/><Relationship Id="rId6" Type="http://schemas.openxmlformats.org/officeDocument/2006/relationships/printerSettings" Target="../printerSettings/printerSettings1.bin"/><Relationship Id="rId5" Type="http://schemas.openxmlformats.org/officeDocument/2006/relationships/hyperlink" Target="mailto:cers3@mcga.gov.uk" TargetMode="External"/><Relationship Id="rId4" Type="http://schemas.openxmlformats.org/officeDocument/2006/relationships/hyperlink" Target="https://www.ibboost.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hyperlink" Target="https://www.gov.uk/government/publications/mgn-438-cers-exemption-arrangements-under-the-vtm-reporting-regulations-2004" TargetMode="External"/><Relationship Id="rId7" Type="http://schemas.openxmlformats.org/officeDocument/2006/relationships/printerSettings" Target="../printerSettings/printerSettings11.bin"/><Relationship Id="rId2" Type="http://schemas.openxmlformats.org/officeDocument/2006/relationships/hyperlink" Target="mailto:cers3@mcga.gov.uk" TargetMode="External"/><Relationship Id="rId1" Type="http://schemas.openxmlformats.org/officeDocument/2006/relationships/hyperlink" Target="https://gisis.imo.org/Public/Default.aspx" TargetMode="External"/><Relationship Id="rId6" Type="http://schemas.openxmlformats.org/officeDocument/2006/relationships/hyperlink" Target="mailto:MARITIMESECURITY@dft.gov.uk" TargetMode="External"/><Relationship Id="rId5" Type="http://schemas.openxmlformats.org/officeDocument/2006/relationships/hyperlink" Target="https://assets.publishing.service.gov.uk/government/uploads/system/uploads/attachment_data/file/608427/MGN_563_rev_1.pdf" TargetMode="External"/><Relationship Id="rId4" Type="http://schemas.openxmlformats.org/officeDocument/2006/relationships/hyperlink" Target="mailto:environment@mcga.gov.uk"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3.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2.emf"/><Relationship Id="rId10" Type="http://schemas.openxmlformats.org/officeDocument/2006/relationships/image" Target="../media/image4.emf"/><Relationship Id="rId4" Type="http://schemas.openxmlformats.org/officeDocument/2006/relationships/control" Target="../activeX/activeX1.xml"/><Relationship Id="rId9" Type="http://schemas.openxmlformats.org/officeDocument/2006/relationships/control" Target="../activeX/activeX4.xml"/></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7.xml"/><Relationship Id="rId3" Type="http://schemas.openxmlformats.org/officeDocument/2006/relationships/vmlDrawing" Target="../drawings/vmlDrawing2.vml"/><Relationship Id="rId7" Type="http://schemas.openxmlformats.org/officeDocument/2006/relationships/image" Target="../media/image6.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ntrol" Target="../activeX/activeX6.xml"/><Relationship Id="rId11" Type="http://schemas.openxmlformats.org/officeDocument/2006/relationships/image" Target="../media/image8.emf"/><Relationship Id="rId5" Type="http://schemas.openxmlformats.org/officeDocument/2006/relationships/image" Target="../media/image5.emf"/><Relationship Id="rId10" Type="http://schemas.openxmlformats.org/officeDocument/2006/relationships/control" Target="../activeX/activeX8.xml"/><Relationship Id="rId4" Type="http://schemas.openxmlformats.org/officeDocument/2006/relationships/control" Target="../activeX/activeX5.xml"/><Relationship Id="rId9" Type="http://schemas.openxmlformats.org/officeDocument/2006/relationships/image" Target="../media/image7.emf"/></Relationships>
</file>

<file path=xl/worksheets/_rels/sheet4.xml.rels><?xml version="1.0" encoding="UTF-8" standalone="yes"?>
<Relationships xmlns="http://schemas.openxmlformats.org/package/2006/relationships"><Relationship Id="rId8" Type="http://schemas.openxmlformats.org/officeDocument/2006/relationships/control" Target="../activeX/activeX11.xml"/><Relationship Id="rId3" Type="http://schemas.openxmlformats.org/officeDocument/2006/relationships/vmlDrawing" Target="../drawings/vmlDrawing3.vml"/><Relationship Id="rId7" Type="http://schemas.openxmlformats.org/officeDocument/2006/relationships/image" Target="../media/image10.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ntrol" Target="../activeX/activeX10.xml"/><Relationship Id="rId5" Type="http://schemas.openxmlformats.org/officeDocument/2006/relationships/image" Target="../media/image9.emf"/><Relationship Id="rId4" Type="http://schemas.openxmlformats.org/officeDocument/2006/relationships/control" Target="../activeX/activeX9.xml"/><Relationship Id="rId9" Type="http://schemas.openxmlformats.org/officeDocument/2006/relationships/image" Target="../media/image11.emf"/></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openxmlformats.org/officeDocument/2006/relationships/image" Target="../media/image12.emf"/><Relationship Id="rId4" Type="http://schemas.openxmlformats.org/officeDocument/2006/relationships/control" Target="../activeX/activeX1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openxmlformats.org/officeDocument/2006/relationships/image" Target="../media/image13.emf"/><Relationship Id="rId4" Type="http://schemas.openxmlformats.org/officeDocument/2006/relationships/control" Target="../activeX/activeX1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image" Target="../media/image15.emf"/><Relationship Id="rId2" Type="http://schemas.openxmlformats.org/officeDocument/2006/relationships/drawing" Target="../drawings/drawing7.xml"/><Relationship Id="rId1" Type="http://schemas.openxmlformats.org/officeDocument/2006/relationships/printerSettings" Target="../printerSettings/printerSettings9.bin"/><Relationship Id="rId6" Type="http://schemas.openxmlformats.org/officeDocument/2006/relationships/control" Target="../activeX/activeX15.xml"/><Relationship Id="rId5" Type="http://schemas.openxmlformats.org/officeDocument/2006/relationships/image" Target="../media/image14.emf"/><Relationship Id="rId4" Type="http://schemas.openxmlformats.org/officeDocument/2006/relationships/control" Target="../activeX/activeX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70C0"/>
    <pageSetUpPr fitToPage="1"/>
  </sheetPr>
  <dimension ref="A1:U121"/>
  <sheetViews>
    <sheetView tabSelected="1" zoomScale="90" zoomScaleNormal="90" workbookViewId="0">
      <pane ySplit="3" topLeftCell="A4" activePane="bottomLeft" state="frozen"/>
      <selection pane="bottomLeft" activeCell="C18" sqref="C18"/>
    </sheetView>
  </sheetViews>
  <sheetFormatPr defaultColWidth="9.140625" defaultRowHeight="12.75" x14ac:dyDescent="0.2"/>
  <cols>
    <col min="1" max="1" width="2.28515625" style="13" customWidth="1"/>
    <col min="2" max="2" width="18.28515625" style="13" customWidth="1"/>
    <col min="3" max="3" width="16" style="13" customWidth="1"/>
    <col min="4" max="4" width="20.140625" style="13" customWidth="1"/>
    <col min="5" max="5" width="15.140625" style="13" customWidth="1"/>
    <col min="6" max="6" width="3.42578125" style="13" customWidth="1"/>
    <col min="7" max="7" width="25.28515625" style="13" customWidth="1"/>
    <col min="8" max="8" width="47.140625" style="13" customWidth="1"/>
    <col min="9" max="9" width="11.140625" style="13" customWidth="1"/>
    <col min="10" max="10" width="22.85546875" style="13" customWidth="1"/>
    <col min="11" max="11" width="25.140625" style="13" customWidth="1"/>
    <col min="12" max="13" width="16.85546875" style="13" customWidth="1"/>
    <col min="14" max="14" width="4.140625" style="13" customWidth="1"/>
    <col min="15" max="18" width="16.85546875" style="13" customWidth="1"/>
    <col min="19" max="16384" width="9.140625" style="13"/>
  </cols>
  <sheetData>
    <row r="1" spans="2:21" s="34" customFormat="1" ht="4.5" customHeight="1" x14ac:dyDescent="0.2"/>
    <row r="2" spans="2:21" s="34" customFormat="1" ht="20.25" x14ac:dyDescent="0.2">
      <c r="B2" s="34" t="s">
        <v>694</v>
      </c>
    </row>
    <row r="3" spans="2:21" s="34" customFormat="1" ht="4.5" customHeight="1" x14ac:dyDescent="0.2"/>
    <row r="4" spans="2:21" ht="12.75" customHeight="1" x14ac:dyDescent="0.2">
      <c r="B4" s="14"/>
      <c r="C4" s="14"/>
      <c r="D4" s="14"/>
      <c r="E4" s="14"/>
    </row>
    <row r="5" spans="2:21" ht="12.75" customHeight="1" x14ac:dyDescent="0.2">
      <c r="B5" s="593" t="s">
        <v>35232</v>
      </c>
      <c r="C5" s="593"/>
      <c r="D5" s="593"/>
      <c r="E5" s="593"/>
      <c r="F5" s="593"/>
      <c r="G5" s="593"/>
      <c r="H5" s="593"/>
    </row>
    <row r="6" spans="2:21" s="15" customFormat="1" ht="12.75" customHeight="1" x14ac:dyDescent="0.2">
      <c r="B6" s="593"/>
      <c r="C6" s="593"/>
      <c r="D6" s="593"/>
      <c r="E6" s="593"/>
      <c r="F6" s="593"/>
      <c r="G6" s="593"/>
      <c r="H6" s="593"/>
    </row>
    <row r="7" spans="2:21" s="15" customFormat="1" ht="12.75" customHeight="1" x14ac:dyDescent="0.2">
      <c r="B7" s="593"/>
      <c r="C7" s="593"/>
      <c r="D7" s="593"/>
      <c r="E7" s="593"/>
      <c r="F7" s="593"/>
      <c r="G7" s="593"/>
      <c r="H7" s="593"/>
    </row>
    <row r="8" spans="2:21" s="15" customFormat="1" ht="12.75" customHeight="1" x14ac:dyDescent="0.2">
      <c r="B8" s="593"/>
      <c r="C8" s="593"/>
      <c r="D8" s="593"/>
      <c r="E8" s="593"/>
      <c r="F8" s="593"/>
      <c r="G8" s="593"/>
      <c r="H8" s="593"/>
    </row>
    <row r="9" spans="2:21" s="15" customFormat="1" ht="12.75" customHeight="1" x14ac:dyDescent="0.2">
      <c r="B9" s="593"/>
      <c r="C9" s="593"/>
      <c r="D9" s="593"/>
      <c r="E9" s="593"/>
      <c r="F9" s="593"/>
      <c r="G9" s="593"/>
      <c r="H9" s="593"/>
      <c r="L9" s="13"/>
      <c r="M9" s="13"/>
      <c r="N9" s="13"/>
      <c r="O9" s="13"/>
      <c r="P9" s="13"/>
      <c r="Q9" s="13"/>
      <c r="R9" s="13"/>
      <c r="S9" s="13"/>
      <c r="T9" s="13"/>
      <c r="U9" s="13"/>
    </row>
    <row r="10" spans="2:21" s="15" customFormat="1" ht="12.75" customHeight="1" x14ac:dyDescent="0.2">
      <c r="B10" s="593"/>
      <c r="C10" s="593"/>
      <c r="D10" s="593"/>
      <c r="E10" s="593"/>
      <c r="F10" s="593"/>
      <c r="G10" s="593"/>
      <c r="H10" s="593"/>
      <c r="L10" s="13"/>
      <c r="M10" s="13"/>
      <c r="N10" s="13"/>
      <c r="O10" s="13"/>
      <c r="P10" s="13"/>
      <c r="Q10" s="13"/>
      <c r="R10" s="13"/>
      <c r="S10" s="13"/>
      <c r="T10" s="13"/>
      <c r="U10" s="13"/>
    </row>
    <row r="11" spans="2:21" s="15" customFormat="1" ht="12.75" customHeight="1" x14ac:dyDescent="0.2">
      <c r="B11" s="593"/>
      <c r="C11" s="593"/>
      <c r="D11" s="593"/>
      <c r="E11" s="593"/>
      <c r="F11" s="593"/>
      <c r="G11" s="593"/>
      <c r="H11" s="593"/>
      <c r="L11" s="13"/>
      <c r="M11" s="13"/>
      <c r="N11" s="13"/>
      <c r="O11" s="13"/>
      <c r="P11" s="13"/>
      <c r="Q11" s="13"/>
      <c r="R11" s="13"/>
      <c r="S11" s="13"/>
      <c r="T11" s="13"/>
      <c r="U11" s="13"/>
    </row>
    <row r="12" spans="2:21" s="16" customFormat="1" ht="12.75" customHeight="1" x14ac:dyDescent="0.2">
      <c r="B12" s="593"/>
      <c r="C12" s="593"/>
      <c r="D12" s="593"/>
      <c r="E12" s="593"/>
      <c r="F12" s="593"/>
      <c r="G12" s="593"/>
      <c r="H12" s="593"/>
      <c r="L12" s="13"/>
      <c r="M12" s="13"/>
      <c r="N12" s="13"/>
      <c r="O12" s="13"/>
      <c r="P12" s="13"/>
      <c r="Q12" s="13"/>
      <c r="R12" s="13"/>
      <c r="S12" s="13"/>
      <c r="T12" s="13"/>
      <c r="U12" s="13"/>
    </row>
    <row r="13" spans="2:21" x14ac:dyDescent="0.2">
      <c r="B13" s="593"/>
      <c r="C13" s="593"/>
      <c r="D13" s="593"/>
      <c r="E13" s="593"/>
      <c r="F13" s="593"/>
      <c r="G13" s="593"/>
      <c r="H13" s="593"/>
    </row>
    <row r="14" spans="2:21" ht="12.75" customHeight="1" x14ac:dyDescent="0.2">
      <c r="B14" s="593"/>
      <c r="C14" s="593"/>
      <c r="D14" s="593"/>
      <c r="E14" s="593"/>
      <c r="F14" s="593"/>
      <c r="G14" s="593"/>
      <c r="H14" s="593"/>
    </row>
    <row r="15" spans="2:21" ht="12.75" customHeight="1" thickBot="1" x14ac:dyDescent="0.25">
      <c r="B15" s="28"/>
      <c r="C15" s="28"/>
      <c r="D15" s="29"/>
      <c r="E15" s="29"/>
      <c r="F15" s="28"/>
      <c r="G15" s="29"/>
      <c r="H15" s="28"/>
    </row>
    <row r="16" spans="2:21" ht="12.75" customHeight="1" thickTop="1" thickBot="1" x14ac:dyDescent="0.25">
      <c r="B16" s="617" t="s">
        <v>684</v>
      </c>
      <c r="C16" s="618"/>
      <c r="D16" s="619"/>
      <c r="E16" s="27"/>
      <c r="F16" s="624"/>
      <c r="G16" s="625" t="s">
        <v>686</v>
      </c>
      <c r="H16" s="626"/>
      <c r="J16" s="623" t="s">
        <v>696</v>
      </c>
      <c r="K16" s="623"/>
    </row>
    <row r="17" spans="2:11" ht="12.75" customHeight="1" thickTop="1" x14ac:dyDescent="0.2">
      <c r="B17" s="620"/>
      <c r="C17" s="621"/>
      <c r="D17" s="622"/>
      <c r="E17" s="27"/>
      <c r="F17" s="624"/>
      <c r="G17" s="627"/>
      <c r="H17" s="628"/>
      <c r="J17" s="623"/>
      <c r="K17" s="623"/>
    </row>
    <row r="18" spans="2:11" x14ac:dyDescent="0.2">
      <c r="B18" s="49" t="s">
        <v>33332</v>
      </c>
      <c r="C18" s="60" t="s">
        <v>34846</v>
      </c>
      <c r="D18" s="520" t="str">
        <f>VES_STATUS</f>
        <v>Empty</v>
      </c>
      <c r="E18" s="514"/>
      <c r="F18" s="393"/>
      <c r="G18" s="456" t="s">
        <v>35132</v>
      </c>
      <c r="H18" s="496"/>
      <c r="J18" s="43" t="s">
        <v>630</v>
      </c>
      <c r="K18" s="44" t="s">
        <v>35231</v>
      </c>
    </row>
    <row r="19" spans="2:11" x14ac:dyDescent="0.2">
      <c r="B19" s="50" t="s">
        <v>7</v>
      </c>
      <c r="C19" s="61" t="s">
        <v>34846</v>
      </c>
      <c r="D19" s="521" t="str">
        <f>VOY_STATUS</f>
        <v>Empty</v>
      </c>
      <c r="E19" s="27"/>
      <c r="F19" s="518"/>
      <c r="G19" s="456" t="s">
        <v>34890</v>
      </c>
      <c r="H19" s="505"/>
      <c r="J19" s="45" t="s">
        <v>697</v>
      </c>
      <c r="K19" s="46">
        <v>44379</v>
      </c>
    </row>
    <row r="20" spans="2:11" ht="13.5" thickBot="1" x14ac:dyDescent="0.25">
      <c r="B20" s="50" t="s">
        <v>72</v>
      </c>
      <c r="C20" s="61" t="s">
        <v>34846</v>
      </c>
      <c r="D20" s="521" t="str">
        <f>WAS_STATUS</f>
        <v>Empty</v>
      </c>
      <c r="E20" s="27"/>
      <c r="F20" s="517"/>
      <c r="G20" s="457" t="s">
        <v>685</v>
      </c>
      <c r="H20" s="487">
        <f ca="1">NOW()</f>
        <v>44641.604535879633</v>
      </c>
      <c r="J20" s="45" t="s">
        <v>35144</v>
      </c>
      <c r="K20" s="507" t="s">
        <v>37208</v>
      </c>
    </row>
    <row r="21" spans="2:11" ht="13.5" customHeight="1" thickTop="1" thickBot="1" x14ac:dyDescent="0.25">
      <c r="B21" s="50" t="s">
        <v>35145</v>
      </c>
      <c r="C21" s="61" t="s">
        <v>34846</v>
      </c>
      <c r="D21" s="521" t="str">
        <f>IHZ_STATUS</f>
        <v>Empty</v>
      </c>
      <c r="E21" s="27"/>
      <c r="F21" s="516"/>
      <c r="G21" s="629" t="s">
        <v>35106</v>
      </c>
      <c r="H21" s="630"/>
      <c r="J21" s="47" t="s">
        <v>698</v>
      </c>
      <c r="K21" s="48" t="s">
        <v>699</v>
      </c>
    </row>
    <row r="22" spans="2:11" ht="13.5" thickTop="1" x14ac:dyDescent="0.2">
      <c r="B22" s="50" t="s">
        <v>35146</v>
      </c>
      <c r="C22" s="61" t="s">
        <v>34846</v>
      </c>
      <c r="D22" s="521" t="str">
        <f>OHZ_STATUS</f>
        <v>Empty</v>
      </c>
      <c r="E22" s="27"/>
      <c r="F22" s="516"/>
      <c r="G22" s="631"/>
      <c r="H22" s="632"/>
      <c r="K22" s="19"/>
    </row>
    <row r="23" spans="2:11" ht="13.5" thickBot="1" x14ac:dyDescent="0.25">
      <c r="B23" s="50" t="s">
        <v>35147</v>
      </c>
      <c r="C23" s="61" t="s">
        <v>34846</v>
      </c>
      <c r="D23" s="521" t="str">
        <f>IBK_STATUS</f>
        <v>Empty</v>
      </c>
      <c r="E23" s="514"/>
      <c r="F23" s="393"/>
      <c r="G23" s="633"/>
      <c r="H23" s="634"/>
      <c r="J23" s="17" t="s">
        <v>672</v>
      </c>
      <c r="K23" s="19"/>
    </row>
    <row r="24" spans="2:11" ht="13.5" thickTop="1" x14ac:dyDescent="0.2">
      <c r="B24" s="50" t="s">
        <v>35148</v>
      </c>
      <c r="C24" s="61" t="s">
        <v>34846</v>
      </c>
      <c r="D24" s="521" t="str">
        <f>OBK_STATUS</f>
        <v>Empty</v>
      </c>
      <c r="E24" s="27"/>
      <c r="F24" s="393"/>
      <c r="G24" s="512"/>
      <c r="H24" s="511"/>
      <c r="J24" s="69" t="s">
        <v>671</v>
      </c>
      <c r="K24" s="19"/>
    </row>
    <row r="25" spans="2:11" x14ac:dyDescent="0.2">
      <c r="B25" s="50" t="s">
        <v>73</v>
      </c>
      <c r="C25" s="61" t="s">
        <v>34846</v>
      </c>
      <c r="D25" s="521" t="str">
        <f>SEC_STATUS</f>
        <v>Empty</v>
      </c>
      <c r="E25" s="514"/>
      <c r="F25" s="393"/>
      <c r="G25" s="513"/>
      <c r="H25" s="519"/>
      <c r="K25" s="19"/>
    </row>
    <row r="26" spans="2:11" ht="13.5" thickBot="1" x14ac:dyDescent="0.25">
      <c r="E26" s="515"/>
      <c r="F26" s="25"/>
      <c r="G26" s="25"/>
      <c r="H26" s="26"/>
      <c r="J26" s="20" t="s">
        <v>34878</v>
      </c>
      <c r="K26" s="19"/>
    </row>
    <row r="27" spans="2:11" ht="14.25" thickTop="1" thickBot="1" x14ac:dyDescent="0.25">
      <c r="B27" s="596" t="s">
        <v>33814</v>
      </c>
      <c r="C27" s="596"/>
      <c r="D27" s="596"/>
      <c r="E27" s="596"/>
      <c r="F27" s="596"/>
      <c r="G27" s="596"/>
      <c r="H27" s="596"/>
      <c r="J27" s="69" t="s">
        <v>695</v>
      </c>
      <c r="K27" s="19"/>
    </row>
    <row r="28" spans="2:11" ht="13.5" thickTop="1" x14ac:dyDescent="0.2">
      <c r="B28" s="596"/>
      <c r="C28" s="596"/>
      <c r="D28" s="596"/>
      <c r="E28" s="596"/>
      <c r="F28" s="596"/>
      <c r="G28" s="596"/>
      <c r="H28" s="596"/>
      <c r="J28" s="18"/>
      <c r="K28" s="19"/>
    </row>
    <row r="29" spans="2:11" ht="13.5" customHeight="1" x14ac:dyDescent="0.2">
      <c r="B29" s="49" t="s">
        <v>34829</v>
      </c>
      <c r="C29" s="495"/>
      <c r="D29" s="599" t="s">
        <v>33819</v>
      </c>
      <c r="E29" s="599"/>
      <c r="F29" s="599"/>
      <c r="G29" s="597" t="s">
        <v>34842</v>
      </c>
      <c r="H29" s="598"/>
      <c r="J29" s="13" t="s">
        <v>34879</v>
      </c>
      <c r="K29" s="19"/>
    </row>
    <row r="30" spans="2:11" ht="12.75" customHeight="1" x14ac:dyDescent="0.2">
      <c r="B30" s="614" t="s">
        <v>34830</v>
      </c>
      <c r="C30" s="615"/>
      <c r="D30" s="615"/>
      <c r="E30" s="615"/>
      <c r="F30" s="615"/>
      <c r="G30" s="615"/>
      <c r="H30" s="616"/>
      <c r="J30" s="69" t="s">
        <v>34877</v>
      </c>
      <c r="K30" s="19"/>
    </row>
    <row r="31" spans="2:11" ht="12.75" customHeight="1" x14ac:dyDescent="0.2">
      <c r="B31" s="608"/>
      <c r="C31" s="609"/>
      <c r="D31" s="609"/>
      <c r="E31" s="609"/>
      <c r="F31" s="609"/>
      <c r="G31" s="609"/>
      <c r="H31" s="610"/>
      <c r="K31" s="19"/>
    </row>
    <row r="32" spans="2:11" ht="13.5" thickBot="1" x14ac:dyDescent="0.25">
      <c r="B32" s="611"/>
      <c r="C32" s="612"/>
      <c r="D32" s="612"/>
      <c r="E32" s="612"/>
      <c r="F32" s="612"/>
      <c r="G32" s="612"/>
      <c r="H32" s="613"/>
      <c r="J32" s="20" t="s">
        <v>673</v>
      </c>
      <c r="K32" s="19"/>
    </row>
    <row r="33" spans="2:14" ht="14.25" thickTop="1" thickBot="1" x14ac:dyDescent="0.25">
      <c r="B33" s="375"/>
      <c r="C33" s="375"/>
      <c r="D33" s="375"/>
      <c r="E33" s="375"/>
      <c r="F33" s="375"/>
      <c r="G33" s="375"/>
      <c r="H33" s="375"/>
      <c r="J33" s="69" t="s">
        <v>674</v>
      </c>
      <c r="K33" s="19"/>
    </row>
    <row r="34" spans="2:14" ht="13.5" customHeight="1" thickTop="1" x14ac:dyDescent="0.2">
      <c r="B34" s="617" t="s">
        <v>33815</v>
      </c>
      <c r="C34" s="618"/>
      <c r="D34" s="618"/>
      <c r="E34" s="618"/>
      <c r="F34" s="618"/>
      <c r="G34" s="618"/>
      <c r="H34" s="619"/>
      <c r="K34" s="19"/>
    </row>
    <row r="35" spans="2:14" ht="12.75" customHeight="1" x14ac:dyDescent="0.2">
      <c r="B35" s="620"/>
      <c r="C35" s="621"/>
      <c r="D35" s="621"/>
      <c r="E35" s="621"/>
      <c r="F35" s="621"/>
      <c r="G35" s="621"/>
      <c r="H35" s="622"/>
      <c r="J35" s="22" t="s">
        <v>675</v>
      </c>
      <c r="K35" s="19"/>
    </row>
    <row r="36" spans="2:14" ht="12" customHeight="1" x14ac:dyDescent="0.2">
      <c r="B36" s="600" t="s">
        <v>35107</v>
      </c>
      <c r="C36" s="601"/>
      <c r="D36" s="601"/>
      <c r="E36" s="601"/>
      <c r="F36" s="601"/>
      <c r="G36" s="604" t="s">
        <v>34913</v>
      </c>
      <c r="H36" s="605"/>
      <c r="J36" s="69" t="s">
        <v>679</v>
      </c>
      <c r="K36" s="19"/>
    </row>
    <row r="37" spans="2:14" x14ac:dyDescent="0.2">
      <c r="B37" s="600"/>
      <c r="C37" s="601"/>
      <c r="D37" s="601"/>
      <c r="E37" s="601"/>
      <c r="F37" s="601"/>
      <c r="G37" s="604"/>
      <c r="H37" s="605"/>
      <c r="K37" s="19"/>
    </row>
    <row r="38" spans="2:14" x14ac:dyDescent="0.2">
      <c r="B38" s="600"/>
      <c r="C38" s="601"/>
      <c r="D38" s="601"/>
      <c r="E38" s="601"/>
      <c r="F38" s="601"/>
      <c r="G38" s="604"/>
      <c r="H38" s="605"/>
      <c r="K38" s="19"/>
    </row>
    <row r="39" spans="2:14" x14ac:dyDescent="0.2">
      <c r="B39" s="600"/>
      <c r="C39" s="601"/>
      <c r="D39" s="601"/>
      <c r="E39" s="601"/>
      <c r="F39" s="601"/>
      <c r="G39" s="604"/>
      <c r="H39" s="605"/>
      <c r="K39" s="19"/>
    </row>
    <row r="40" spans="2:14" ht="13.5" thickBot="1" x14ac:dyDescent="0.25">
      <c r="B40" s="602"/>
      <c r="C40" s="603"/>
      <c r="D40" s="603"/>
      <c r="E40" s="603"/>
      <c r="F40" s="603"/>
      <c r="G40" s="606"/>
      <c r="H40" s="607"/>
      <c r="J40" s="21"/>
    </row>
    <row r="41" spans="2:14" ht="13.5" thickTop="1" x14ac:dyDescent="0.2">
      <c r="F41" s="25"/>
      <c r="G41" s="25"/>
      <c r="H41" s="26"/>
    </row>
    <row r="42" spans="2:14" ht="12.75" customHeight="1" x14ac:dyDescent="0.2">
      <c r="B42" s="595" t="s">
        <v>32872</v>
      </c>
      <c r="C42" s="595"/>
      <c r="D42" s="595"/>
      <c r="E42" s="595"/>
      <c r="F42" s="595"/>
      <c r="G42" s="595"/>
      <c r="H42" s="595"/>
    </row>
    <row r="43" spans="2:14" x14ac:dyDescent="0.2">
      <c r="B43" s="595"/>
      <c r="C43" s="595"/>
      <c r="D43" s="595"/>
      <c r="E43" s="595"/>
      <c r="F43" s="595"/>
      <c r="G43" s="595"/>
      <c r="H43" s="595"/>
      <c r="J43" s="328"/>
    </row>
    <row r="44" spans="2:14" x14ac:dyDescent="0.2">
      <c r="B44" s="595"/>
      <c r="C44" s="595"/>
      <c r="D44" s="595"/>
      <c r="E44" s="595"/>
      <c r="F44" s="595"/>
      <c r="G44" s="595"/>
      <c r="H44" s="595"/>
      <c r="J44" s="22"/>
    </row>
    <row r="45" spans="2:14" x14ac:dyDescent="0.2">
      <c r="B45" s="595"/>
      <c r="C45" s="595"/>
      <c r="D45" s="595"/>
      <c r="E45" s="595"/>
      <c r="F45" s="595"/>
      <c r="G45" s="595"/>
      <c r="H45" s="595"/>
    </row>
    <row r="46" spans="2:14" x14ac:dyDescent="0.2">
      <c r="B46" s="595"/>
      <c r="C46" s="595"/>
      <c r="D46" s="595"/>
      <c r="E46" s="595"/>
      <c r="F46" s="595"/>
      <c r="G46" s="595"/>
      <c r="H46" s="595"/>
    </row>
    <row r="47" spans="2:14" x14ac:dyDescent="0.2">
      <c r="B47" s="27"/>
      <c r="C47" s="27"/>
      <c r="D47" s="27"/>
      <c r="E47" s="27"/>
      <c r="F47" s="24"/>
      <c r="G47" s="24"/>
      <c r="H47" s="29"/>
    </row>
    <row r="48" spans="2:14" ht="12.75" customHeight="1" x14ac:dyDescent="0.2">
      <c r="B48" s="594" t="s">
        <v>680</v>
      </c>
      <c r="C48" s="594"/>
      <c r="D48" s="594"/>
      <c r="E48" s="594"/>
      <c r="F48" s="594"/>
      <c r="G48" s="594"/>
      <c r="H48" s="594"/>
      <c r="L48" s="21"/>
      <c r="M48" s="21"/>
      <c r="N48" s="21"/>
    </row>
    <row r="49" spans="1:14" ht="14.1" customHeight="1" x14ac:dyDescent="0.2">
      <c r="B49" s="594"/>
      <c r="C49" s="594"/>
      <c r="D49" s="594"/>
      <c r="E49" s="594"/>
      <c r="F49" s="594"/>
      <c r="G49" s="594"/>
      <c r="H49" s="594"/>
      <c r="L49" s="21"/>
      <c r="M49" s="21"/>
      <c r="N49" s="21"/>
    </row>
    <row r="50" spans="1:14" ht="14.1" customHeight="1" x14ac:dyDescent="0.2">
      <c r="B50" s="593" t="s">
        <v>37207</v>
      </c>
      <c r="C50" s="593"/>
      <c r="D50" s="593"/>
      <c r="E50" s="593"/>
      <c r="F50" s="593"/>
      <c r="G50" s="593"/>
      <c r="H50" s="593"/>
      <c r="L50" s="21"/>
      <c r="M50" s="21"/>
      <c r="N50" s="21"/>
    </row>
    <row r="51" spans="1:14" x14ac:dyDescent="0.2">
      <c r="B51" s="593"/>
      <c r="C51" s="593"/>
      <c r="D51" s="593"/>
      <c r="E51" s="593"/>
      <c r="F51" s="593"/>
      <c r="G51" s="593"/>
      <c r="H51" s="593"/>
      <c r="L51" s="21"/>
      <c r="M51" s="21"/>
      <c r="N51" s="21"/>
    </row>
    <row r="52" spans="1:14" x14ac:dyDescent="0.2">
      <c r="B52" s="593"/>
      <c r="C52" s="593"/>
      <c r="D52" s="593"/>
      <c r="E52" s="593"/>
      <c r="F52" s="593"/>
      <c r="G52" s="593"/>
      <c r="H52" s="593"/>
      <c r="I52" s="21"/>
      <c r="L52" s="21"/>
      <c r="M52" s="21"/>
      <c r="N52" s="21"/>
    </row>
    <row r="53" spans="1:14" x14ac:dyDescent="0.2">
      <c r="B53" s="593"/>
      <c r="C53" s="593"/>
      <c r="D53" s="593"/>
      <c r="E53" s="593"/>
      <c r="F53" s="593"/>
      <c r="G53" s="593"/>
      <c r="H53" s="593"/>
      <c r="L53" s="21"/>
      <c r="M53" s="21"/>
      <c r="N53" s="21"/>
    </row>
    <row r="54" spans="1:14" x14ac:dyDescent="0.2">
      <c r="B54" s="593"/>
      <c r="C54" s="593"/>
      <c r="D54" s="593"/>
      <c r="E54" s="593"/>
      <c r="F54" s="593"/>
      <c r="G54" s="593"/>
      <c r="H54" s="593"/>
      <c r="I54" s="21"/>
      <c r="K54" s="21"/>
      <c r="L54" s="21"/>
      <c r="M54" s="21"/>
      <c r="N54" s="21"/>
    </row>
    <row r="55" spans="1:14" x14ac:dyDescent="0.2">
      <c r="B55" s="593"/>
      <c r="C55" s="593"/>
      <c r="D55" s="593"/>
      <c r="E55" s="593"/>
      <c r="F55" s="593"/>
      <c r="G55" s="593"/>
      <c r="H55" s="593"/>
      <c r="I55" s="21"/>
      <c r="K55" s="22"/>
      <c r="L55" s="21"/>
      <c r="M55" s="21"/>
      <c r="N55" s="21"/>
    </row>
    <row r="56" spans="1:14" ht="12.75" customHeight="1" x14ac:dyDescent="0.2">
      <c r="B56" s="593"/>
      <c r="C56" s="593"/>
      <c r="D56" s="593"/>
      <c r="E56" s="593"/>
      <c r="F56" s="593"/>
      <c r="G56" s="593"/>
      <c r="H56" s="593"/>
      <c r="I56" s="21"/>
      <c r="K56" s="22"/>
      <c r="L56" s="21"/>
      <c r="M56" s="21"/>
      <c r="N56" s="21"/>
    </row>
    <row r="57" spans="1:14" ht="13.5" customHeight="1" x14ac:dyDescent="0.2">
      <c r="B57" s="593"/>
      <c r="C57" s="593"/>
      <c r="D57" s="593"/>
      <c r="E57" s="593"/>
      <c r="F57" s="593"/>
      <c r="G57" s="593"/>
      <c r="H57" s="593"/>
      <c r="I57" s="21"/>
      <c r="K57" s="22"/>
      <c r="L57" s="21"/>
      <c r="M57" s="21"/>
      <c r="N57" s="21"/>
    </row>
    <row r="58" spans="1:14" x14ac:dyDescent="0.2">
      <c r="B58" s="593"/>
      <c r="C58" s="593"/>
      <c r="D58" s="593"/>
      <c r="E58" s="593"/>
      <c r="F58" s="593"/>
      <c r="G58" s="593"/>
      <c r="H58" s="593"/>
      <c r="I58" s="21"/>
      <c r="L58" s="21"/>
      <c r="M58" s="21"/>
      <c r="N58" s="21"/>
    </row>
    <row r="59" spans="1:14" x14ac:dyDescent="0.2">
      <c r="B59" s="593"/>
      <c r="C59" s="593"/>
      <c r="D59" s="593"/>
      <c r="E59" s="593"/>
      <c r="F59" s="593"/>
      <c r="G59" s="593"/>
      <c r="H59" s="593"/>
      <c r="I59" s="21"/>
      <c r="K59" s="37"/>
      <c r="L59" s="21"/>
      <c r="M59" s="21"/>
      <c r="N59" s="21"/>
    </row>
    <row r="60" spans="1:14" x14ac:dyDescent="0.2">
      <c r="B60" s="593"/>
      <c r="C60" s="593"/>
      <c r="D60" s="593"/>
      <c r="E60" s="593"/>
      <c r="F60" s="593"/>
      <c r="G60" s="593"/>
      <c r="H60" s="593"/>
      <c r="I60" s="21"/>
      <c r="L60" s="21"/>
      <c r="M60" s="21"/>
      <c r="N60" s="21"/>
    </row>
    <row r="61" spans="1:14" x14ac:dyDescent="0.2">
      <c r="B61" s="593"/>
      <c r="C61" s="593"/>
      <c r="D61" s="593"/>
      <c r="E61" s="593"/>
      <c r="F61" s="593"/>
      <c r="G61" s="593"/>
      <c r="H61" s="593"/>
      <c r="I61" s="21"/>
      <c r="L61" s="21"/>
      <c r="M61" s="21"/>
      <c r="N61" s="21"/>
    </row>
    <row r="62" spans="1:14" x14ac:dyDescent="0.2">
      <c r="B62" s="593"/>
      <c r="C62" s="593"/>
      <c r="D62" s="593"/>
      <c r="E62" s="593"/>
      <c r="F62" s="593"/>
      <c r="G62" s="593"/>
      <c r="H62" s="593"/>
      <c r="I62" s="21"/>
      <c r="L62" s="21"/>
      <c r="M62" s="21"/>
      <c r="N62" s="21"/>
    </row>
    <row r="63" spans="1:14" x14ac:dyDescent="0.2">
      <c r="A63" s="23"/>
      <c r="B63" s="593"/>
      <c r="C63" s="593"/>
      <c r="D63" s="593"/>
      <c r="E63" s="593"/>
      <c r="F63" s="593"/>
      <c r="G63" s="593"/>
      <c r="H63" s="593"/>
      <c r="I63" s="21"/>
      <c r="L63" s="23"/>
      <c r="M63" s="23"/>
      <c r="N63" s="23"/>
    </row>
    <row r="64" spans="1:14" x14ac:dyDescent="0.2">
      <c r="A64" s="23"/>
      <c r="B64" s="593"/>
      <c r="C64" s="593"/>
      <c r="D64" s="593"/>
      <c r="E64" s="593"/>
      <c r="F64" s="593"/>
      <c r="G64" s="593"/>
      <c r="H64" s="593"/>
      <c r="I64" s="21"/>
      <c r="L64" s="23"/>
      <c r="M64" s="23"/>
      <c r="N64" s="23"/>
    </row>
    <row r="65" spans="2:14" x14ac:dyDescent="0.2">
      <c r="B65" s="593"/>
      <c r="C65" s="593"/>
      <c r="D65" s="593"/>
      <c r="E65" s="593"/>
      <c r="F65" s="593"/>
      <c r="G65" s="593"/>
      <c r="H65" s="593"/>
      <c r="I65" s="21"/>
      <c r="L65" s="21"/>
      <c r="M65" s="21"/>
      <c r="N65" s="21"/>
    </row>
    <row r="66" spans="2:14" x14ac:dyDescent="0.2">
      <c r="B66" s="593"/>
      <c r="C66" s="593"/>
      <c r="D66" s="593"/>
      <c r="E66" s="593"/>
      <c r="F66" s="593"/>
      <c r="G66" s="593"/>
      <c r="H66" s="593"/>
      <c r="I66" s="21"/>
      <c r="L66" s="21"/>
      <c r="M66" s="21"/>
      <c r="N66" s="21"/>
    </row>
    <row r="67" spans="2:14" x14ac:dyDescent="0.2">
      <c r="B67" s="593"/>
      <c r="C67" s="593"/>
      <c r="D67" s="593"/>
      <c r="E67" s="593"/>
      <c r="F67" s="593"/>
      <c r="G67" s="593"/>
      <c r="H67" s="593"/>
      <c r="I67" s="21"/>
      <c r="L67" s="21"/>
      <c r="M67" s="21"/>
      <c r="N67" s="21"/>
    </row>
    <row r="68" spans="2:14" x14ac:dyDescent="0.2">
      <c r="B68" s="593"/>
      <c r="C68" s="593"/>
      <c r="D68" s="593"/>
      <c r="E68" s="593"/>
      <c r="F68" s="593"/>
      <c r="G68" s="593"/>
      <c r="H68" s="593"/>
      <c r="I68" s="21"/>
      <c r="L68" s="21"/>
      <c r="M68" s="21"/>
      <c r="N68" s="21"/>
    </row>
    <row r="69" spans="2:14" x14ac:dyDescent="0.2">
      <c r="B69" s="593"/>
      <c r="C69" s="593"/>
      <c r="D69" s="593"/>
      <c r="E69" s="593"/>
      <c r="F69" s="593"/>
      <c r="G69" s="593"/>
      <c r="H69" s="593"/>
      <c r="I69" s="23"/>
      <c r="L69" s="21"/>
      <c r="M69" s="21"/>
      <c r="N69" s="21"/>
    </row>
    <row r="70" spans="2:14" x14ac:dyDescent="0.2">
      <c r="B70" s="593"/>
      <c r="C70" s="593"/>
      <c r="D70" s="593"/>
      <c r="E70" s="593"/>
      <c r="F70" s="593"/>
      <c r="G70" s="593"/>
      <c r="H70" s="593"/>
      <c r="I70" s="23"/>
      <c r="J70" s="21"/>
      <c r="K70" s="21"/>
      <c r="L70" s="21"/>
      <c r="M70" s="21"/>
      <c r="N70" s="21"/>
    </row>
    <row r="71" spans="2:14" x14ac:dyDescent="0.2">
      <c r="B71" s="593"/>
      <c r="C71" s="593"/>
      <c r="D71" s="593"/>
      <c r="E71" s="593"/>
      <c r="F71" s="593"/>
      <c r="G71" s="593"/>
      <c r="H71" s="593"/>
      <c r="I71" s="21"/>
      <c r="J71" s="21"/>
      <c r="K71" s="21"/>
      <c r="L71" s="21"/>
      <c r="M71" s="21"/>
      <c r="N71" s="21"/>
    </row>
    <row r="72" spans="2:14" x14ac:dyDescent="0.2">
      <c r="B72" s="593"/>
      <c r="C72" s="593"/>
      <c r="D72" s="593"/>
      <c r="E72" s="593"/>
      <c r="F72" s="593"/>
      <c r="G72" s="593"/>
      <c r="H72" s="593"/>
      <c r="I72" s="21"/>
      <c r="J72" s="21"/>
      <c r="K72" s="21"/>
      <c r="L72" s="21"/>
      <c r="M72" s="21"/>
      <c r="N72" s="21"/>
    </row>
    <row r="73" spans="2:14" x14ac:dyDescent="0.2">
      <c r="B73" s="593"/>
      <c r="C73" s="593"/>
      <c r="D73" s="593"/>
      <c r="E73" s="593"/>
      <c r="F73" s="593"/>
      <c r="G73" s="593"/>
      <c r="H73" s="593"/>
      <c r="I73" s="21"/>
      <c r="J73" s="21"/>
      <c r="K73" s="21"/>
      <c r="L73" s="21"/>
      <c r="M73" s="21"/>
      <c r="N73" s="21"/>
    </row>
    <row r="74" spans="2:14" x14ac:dyDescent="0.2">
      <c r="B74" s="593"/>
      <c r="C74" s="593"/>
      <c r="D74" s="593"/>
      <c r="E74" s="593"/>
      <c r="F74" s="593"/>
      <c r="G74" s="593"/>
      <c r="H74" s="593"/>
      <c r="I74" s="21"/>
      <c r="J74" s="21"/>
      <c r="K74" s="21"/>
      <c r="L74" s="21"/>
      <c r="M74" s="21"/>
      <c r="N74" s="21"/>
    </row>
    <row r="75" spans="2:14" x14ac:dyDescent="0.2">
      <c r="B75" s="593"/>
      <c r="C75" s="593"/>
      <c r="D75" s="593"/>
      <c r="E75" s="593"/>
      <c r="F75" s="593"/>
      <c r="G75" s="593"/>
      <c r="H75" s="593"/>
      <c r="I75" s="21"/>
      <c r="J75" s="21"/>
      <c r="K75" s="21"/>
      <c r="L75" s="21"/>
      <c r="M75" s="21"/>
      <c r="N75" s="21"/>
    </row>
    <row r="76" spans="2:14" x14ac:dyDescent="0.2">
      <c r="B76" s="593"/>
      <c r="C76" s="593"/>
      <c r="D76" s="593"/>
      <c r="E76" s="593"/>
      <c r="F76" s="593"/>
      <c r="G76" s="593"/>
      <c r="H76" s="593"/>
      <c r="I76" s="21"/>
      <c r="J76" s="21"/>
      <c r="K76" s="21"/>
      <c r="L76" s="21"/>
      <c r="M76" s="21"/>
      <c r="N76" s="21"/>
    </row>
    <row r="77" spans="2:14" x14ac:dyDescent="0.2">
      <c r="B77" s="593"/>
      <c r="C77" s="593"/>
      <c r="D77" s="593"/>
      <c r="E77" s="593"/>
      <c r="F77" s="593"/>
      <c r="G77" s="593"/>
      <c r="H77" s="593"/>
      <c r="I77" s="21"/>
      <c r="J77" s="21"/>
      <c r="K77" s="21"/>
      <c r="L77" s="21"/>
      <c r="M77" s="21"/>
      <c r="N77" s="21"/>
    </row>
    <row r="78" spans="2:14" x14ac:dyDescent="0.2">
      <c r="B78" s="593"/>
      <c r="C78" s="593"/>
      <c r="D78" s="593"/>
      <c r="E78" s="593"/>
      <c r="F78" s="593"/>
      <c r="G78" s="593"/>
      <c r="H78" s="593"/>
      <c r="I78" s="21"/>
      <c r="J78" s="21"/>
      <c r="K78" s="21"/>
      <c r="L78" s="21"/>
      <c r="M78" s="21"/>
      <c r="N78" s="21"/>
    </row>
    <row r="79" spans="2:14" x14ac:dyDescent="0.2">
      <c r="B79" s="593"/>
      <c r="C79" s="593"/>
      <c r="D79" s="593"/>
      <c r="E79" s="593"/>
      <c r="F79" s="593"/>
      <c r="G79" s="593"/>
      <c r="H79" s="593"/>
      <c r="I79" s="21"/>
      <c r="J79" s="21"/>
      <c r="K79" s="21"/>
      <c r="L79" s="21"/>
      <c r="M79" s="21"/>
      <c r="N79" s="21"/>
    </row>
    <row r="80" spans="2:14" x14ac:dyDescent="0.2">
      <c r="B80" s="593"/>
      <c r="C80" s="593"/>
      <c r="D80" s="593"/>
      <c r="E80" s="593"/>
      <c r="F80" s="593"/>
      <c r="G80" s="593"/>
      <c r="H80" s="593"/>
      <c r="I80" s="21"/>
      <c r="J80" s="21"/>
      <c r="K80" s="21"/>
      <c r="L80" s="21"/>
      <c r="M80" s="21"/>
      <c r="N80" s="21"/>
    </row>
    <row r="81" spans="2:14" x14ac:dyDescent="0.2">
      <c r="B81" s="593"/>
      <c r="C81" s="593"/>
      <c r="D81" s="593"/>
      <c r="E81" s="593"/>
      <c r="F81" s="593"/>
      <c r="G81" s="593"/>
      <c r="H81" s="593"/>
      <c r="I81" s="21"/>
      <c r="K81" s="21"/>
      <c r="L81" s="21"/>
      <c r="M81" s="21"/>
      <c r="N81" s="21"/>
    </row>
    <row r="82" spans="2:14" x14ac:dyDescent="0.2">
      <c r="B82" s="593"/>
      <c r="C82" s="593"/>
      <c r="D82" s="593"/>
      <c r="E82" s="593"/>
      <c r="F82" s="593"/>
      <c r="G82" s="593"/>
      <c r="H82" s="593"/>
      <c r="I82" s="21"/>
      <c r="K82" s="21"/>
      <c r="L82" s="21"/>
      <c r="M82" s="21"/>
      <c r="N82" s="21"/>
    </row>
    <row r="83" spans="2:14" x14ac:dyDescent="0.2">
      <c r="B83" s="593"/>
      <c r="C83" s="593"/>
      <c r="D83" s="593"/>
      <c r="E83" s="593"/>
      <c r="F83" s="593"/>
      <c r="G83" s="593"/>
      <c r="H83" s="593"/>
      <c r="I83" s="21"/>
      <c r="K83" s="21"/>
      <c r="L83" s="21"/>
      <c r="M83" s="21"/>
      <c r="N83" s="21"/>
    </row>
    <row r="84" spans="2:14" x14ac:dyDescent="0.2">
      <c r="B84" s="593"/>
      <c r="C84" s="593"/>
      <c r="D84" s="593"/>
      <c r="E84" s="593"/>
      <c r="F84" s="593"/>
      <c r="G84" s="593"/>
      <c r="H84" s="593"/>
      <c r="I84" s="21"/>
      <c r="K84" s="21"/>
      <c r="L84" s="21"/>
      <c r="M84" s="21"/>
      <c r="N84" s="21"/>
    </row>
    <row r="85" spans="2:14" x14ac:dyDescent="0.2">
      <c r="B85" s="593"/>
      <c r="C85" s="593"/>
      <c r="D85" s="593"/>
      <c r="E85" s="593"/>
      <c r="F85" s="593"/>
      <c r="G85" s="593"/>
      <c r="H85" s="593"/>
      <c r="I85" s="21"/>
      <c r="K85" s="21"/>
      <c r="L85" s="21"/>
      <c r="M85" s="21"/>
      <c r="N85" s="21"/>
    </row>
    <row r="86" spans="2:14" x14ac:dyDescent="0.2">
      <c r="B86" s="593"/>
      <c r="C86" s="593"/>
      <c r="D86" s="593"/>
      <c r="E86" s="593"/>
      <c r="F86" s="593"/>
      <c r="G86" s="593"/>
      <c r="H86" s="593"/>
      <c r="I86" s="21"/>
      <c r="L86" s="21"/>
      <c r="M86" s="21"/>
      <c r="N86" s="21"/>
    </row>
    <row r="87" spans="2:14" x14ac:dyDescent="0.2">
      <c r="B87" s="593"/>
      <c r="C87" s="593"/>
      <c r="D87" s="593"/>
      <c r="E87" s="593"/>
      <c r="F87" s="593"/>
      <c r="G87" s="593"/>
      <c r="H87" s="593"/>
      <c r="I87" s="21"/>
      <c r="L87" s="21"/>
      <c r="M87" s="21"/>
      <c r="N87" s="21"/>
    </row>
    <row r="88" spans="2:14" x14ac:dyDescent="0.2">
      <c r="B88" s="593"/>
      <c r="C88" s="593"/>
      <c r="D88" s="593"/>
      <c r="E88" s="593"/>
      <c r="F88" s="593"/>
      <c r="G88" s="593"/>
      <c r="H88" s="593"/>
      <c r="I88" s="21"/>
    </row>
    <row r="89" spans="2:14" x14ac:dyDescent="0.2">
      <c r="B89" s="593"/>
      <c r="C89" s="593"/>
      <c r="D89" s="593"/>
      <c r="E89" s="593"/>
      <c r="F89" s="593"/>
      <c r="G89" s="593"/>
      <c r="H89" s="593"/>
      <c r="I89" s="21"/>
    </row>
    <row r="90" spans="2:14" x14ac:dyDescent="0.2">
      <c r="B90" s="593"/>
      <c r="C90" s="593"/>
      <c r="D90" s="593"/>
      <c r="E90" s="593"/>
      <c r="F90" s="593"/>
      <c r="G90" s="593"/>
      <c r="H90" s="593"/>
      <c r="I90" s="21"/>
    </row>
    <row r="91" spans="2:14" x14ac:dyDescent="0.2">
      <c r="B91" s="593"/>
      <c r="C91" s="593"/>
      <c r="D91" s="593"/>
      <c r="E91" s="593"/>
      <c r="F91" s="593"/>
      <c r="G91" s="593"/>
      <c r="H91" s="593"/>
      <c r="I91" s="21"/>
    </row>
    <row r="92" spans="2:14" x14ac:dyDescent="0.2">
      <c r="B92" s="593"/>
      <c r="C92" s="593"/>
      <c r="D92" s="593"/>
      <c r="E92" s="593"/>
      <c r="F92" s="593"/>
      <c r="G92" s="593"/>
      <c r="H92" s="593"/>
      <c r="I92" s="21"/>
    </row>
    <row r="93" spans="2:14" x14ac:dyDescent="0.2">
      <c r="B93" s="593"/>
      <c r="C93" s="593"/>
      <c r="D93" s="593"/>
      <c r="E93" s="593"/>
      <c r="F93" s="593"/>
      <c r="G93" s="593"/>
      <c r="H93" s="593"/>
      <c r="I93" s="21"/>
    </row>
    <row r="94" spans="2:14" x14ac:dyDescent="0.2">
      <c r="B94" s="593"/>
      <c r="C94" s="593"/>
      <c r="D94" s="593"/>
      <c r="E94" s="593"/>
      <c r="F94" s="593"/>
      <c r="G94" s="593"/>
      <c r="H94" s="593"/>
    </row>
    <row r="95" spans="2:14" x14ac:dyDescent="0.2">
      <c r="B95" s="593"/>
      <c r="C95" s="593"/>
      <c r="D95" s="593"/>
      <c r="E95" s="593"/>
      <c r="F95" s="593"/>
      <c r="G95" s="593"/>
      <c r="H95" s="593"/>
    </row>
    <row r="96" spans="2:14" x14ac:dyDescent="0.2">
      <c r="B96" s="593"/>
      <c r="C96" s="593"/>
      <c r="D96" s="593"/>
      <c r="E96" s="593"/>
      <c r="F96" s="593"/>
      <c r="G96" s="593"/>
      <c r="H96" s="593"/>
    </row>
    <row r="97" spans="2:8" x14ac:dyDescent="0.2">
      <c r="B97" s="593"/>
      <c r="C97" s="593"/>
      <c r="D97" s="593"/>
      <c r="E97" s="593"/>
      <c r="F97" s="593"/>
      <c r="G97" s="593"/>
      <c r="H97" s="593"/>
    </row>
    <row r="98" spans="2:8" x14ac:dyDescent="0.2">
      <c r="B98" s="593"/>
      <c r="C98" s="593"/>
      <c r="D98" s="593"/>
      <c r="E98" s="593"/>
      <c r="F98" s="593"/>
      <c r="G98" s="593"/>
      <c r="H98" s="593"/>
    </row>
    <row r="99" spans="2:8" x14ac:dyDescent="0.2">
      <c r="B99" s="593"/>
      <c r="C99" s="593"/>
      <c r="D99" s="593"/>
      <c r="E99" s="593"/>
      <c r="F99" s="593"/>
      <c r="G99" s="593"/>
      <c r="H99" s="593"/>
    </row>
    <row r="100" spans="2:8" x14ac:dyDescent="0.2">
      <c r="B100" s="593"/>
      <c r="C100" s="593"/>
      <c r="D100" s="593"/>
      <c r="E100" s="593"/>
      <c r="F100" s="593"/>
      <c r="G100" s="593"/>
      <c r="H100" s="593"/>
    </row>
    <row r="101" spans="2:8" x14ac:dyDescent="0.2">
      <c r="B101" s="593"/>
      <c r="C101" s="593"/>
      <c r="D101" s="593"/>
      <c r="E101" s="593"/>
      <c r="F101" s="593"/>
      <c r="G101" s="593"/>
      <c r="H101" s="593"/>
    </row>
    <row r="102" spans="2:8" x14ac:dyDescent="0.2">
      <c r="B102" s="593"/>
      <c r="C102" s="593"/>
      <c r="D102" s="593"/>
      <c r="E102" s="593"/>
      <c r="F102" s="593"/>
      <c r="G102" s="593"/>
      <c r="H102" s="593"/>
    </row>
    <row r="103" spans="2:8" x14ac:dyDescent="0.2">
      <c r="B103" s="593"/>
      <c r="C103" s="593"/>
      <c r="D103" s="593"/>
      <c r="E103" s="593"/>
      <c r="F103" s="593"/>
      <c r="G103" s="593"/>
      <c r="H103" s="593"/>
    </row>
    <row r="104" spans="2:8" x14ac:dyDescent="0.2">
      <c r="B104" s="593"/>
      <c r="C104" s="593"/>
      <c r="D104" s="593"/>
      <c r="E104" s="593"/>
      <c r="F104" s="593"/>
      <c r="G104" s="593"/>
      <c r="H104" s="593"/>
    </row>
    <row r="105" spans="2:8" x14ac:dyDescent="0.2">
      <c r="B105" s="593"/>
      <c r="C105" s="593"/>
      <c r="D105" s="593"/>
      <c r="E105" s="593"/>
      <c r="F105" s="593"/>
      <c r="G105" s="593"/>
      <c r="H105" s="593"/>
    </row>
    <row r="106" spans="2:8" x14ac:dyDescent="0.2">
      <c r="B106" s="593"/>
      <c r="C106" s="593"/>
      <c r="D106" s="593"/>
      <c r="E106" s="593"/>
      <c r="F106" s="593"/>
      <c r="G106" s="593"/>
      <c r="H106" s="593"/>
    </row>
    <row r="107" spans="2:8" x14ac:dyDescent="0.2">
      <c r="B107" s="593"/>
      <c r="C107" s="593"/>
      <c r="D107" s="593"/>
      <c r="E107" s="593"/>
      <c r="F107" s="593"/>
      <c r="G107" s="593"/>
      <c r="H107" s="593"/>
    </row>
    <row r="108" spans="2:8" x14ac:dyDescent="0.2">
      <c r="B108" s="593"/>
      <c r="C108" s="593"/>
      <c r="D108" s="593"/>
      <c r="E108" s="593"/>
      <c r="F108" s="593"/>
      <c r="G108" s="593"/>
      <c r="H108" s="593"/>
    </row>
    <row r="109" spans="2:8" x14ac:dyDescent="0.2">
      <c r="B109" s="593"/>
      <c r="C109" s="593"/>
      <c r="D109" s="593"/>
      <c r="E109" s="593"/>
      <c r="F109" s="593"/>
      <c r="G109" s="593"/>
      <c r="H109" s="593"/>
    </row>
    <row r="110" spans="2:8" x14ac:dyDescent="0.2">
      <c r="B110" s="593"/>
      <c r="C110" s="593"/>
      <c r="D110" s="593"/>
      <c r="E110" s="593"/>
      <c r="F110" s="593"/>
      <c r="G110" s="593"/>
      <c r="H110" s="593"/>
    </row>
    <row r="111" spans="2:8" x14ac:dyDescent="0.2">
      <c r="B111" s="593"/>
      <c r="C111" s="593"/>
      <c r="D111" s="593"/>
      <c r="E111" s="593"/>
      <c r="F111" s="593"/>
      <c r="G111" s="593"/>
      <c r="H111" s="593"/>
    </row>
    <row r="112" spans="2:8" x14ac:dyDescent="0.2">
      <c r="B112" s="593"/>
      <c r="C112" s="593"/>
      <c r="D112" s="593"/>
      <c r="E112" s="593"/>
      <c r="F112" s="593"/>
      <c r="G112" s="593"/>
      <c r="H112" s="593"/>
    </row>
    <row r="113" spans="2:8" x14ac:dyDescent="0.2">
      <c r="B113" s="593"/>
      <c r="C113" s="593"/>
      <c r="D113" s="593"/>
      <c r="E113" s="593"/>
      <c r="F113" s="593"/>
      <c r="G113" s="593"/>
      <c r="H113" s="593"/>
    </row>
    <row r="114" spans="2:8" x14ac:dyDescent="0.2">
      <c r="B114" s="593"/>
      <c r="C114" s="593"/>
      <c r="D114" s="593"/>
      <c r="E114" s="593"/>
      <c r="F114" s="593"/>
      <c r="G114" s="593"/>
      <c r="H114" s="593"/>
    </row>
    <row r="115" spans="2:8" ht="11.25" customHeight="1" x14ac:dyDescent="0.2">
      <c r="B115" s="593"/>
      <c r="C115" s="593"/>
      <c r="D115" s="593"/>
      <c r="E115" s="593"/>
      <c r="F115" s="593"/>
      <c r="G115" s="593"/>
      <c r="H115" s="593"/>
    </row>
    <row r="116" spans="2:8" ht="9.75" hidden="1" customHeight="1" x14ac:dyDescent="0.2">
      <c r="B116" s="593"/>
      <c r="C116" s="593"/>
      <c r="D116" s="593"/>
      <c r="E116" s="593"/>
      <c r="F116" s="593"/>
      <c r="G116" s="593"/>
      <c r="H116" s="593"/>
    </row>
    <row r="117" spans="2:8" ht="25.5" hidden="1" customHeight="1" x14ac:dyDescent="0.2">
      <c r="B117" s="378" t="s">
        <v>33821</v>
      </c>
      <c r="C117" s="22" t="s">
        <v>37204</v>
      </c>
      <c r="D117" s="22" t="str">
        <f ca="1">INFO("SYSTEM")</f>
        <v>pcdos</v>
      </c>
      <c r="E117" s="22" t="str">
        <f ca="1">INFO("OSVERSION")</f>
        <v>Windows (32-bit) NT :.00</v>
      </c>
      <c r="F117" s="22" t="str">
        <f ca="1">INFO("RELEASE")</f>
        <v>16.0</v>
      </c>
      <c r="G117" s="22"/>
      <c r="H117" s="90"/>
    </row>
    <row r="118" spans="2:8" x14ac:dyDescent="0.2">
      <c r="B118" s="90"/>
      <c r="C118" s="90"/>
      <c r="D118" s="22"/>
      <c r="E118" s="22"/>
      <c r="F118" s="22"/>
      <c r="G118" s="22"/>
      <c r="H118" s="90"/>
    </row>
    <row r="119" spans="2:8" x14ac:dyDescent="0.2">
      <c r="B119" s="90"/>
      <c r="C119" s="90"/>
      <c r="D119" s="90"/>
      <c r="E119" s="90"/>
      <c r="F119" s="90"/>
      <c r="G119" s="90"/>
      <c r="H119" s="90"/>
    </row>
    <row r="120" spans="2:8" x14ac:dyDescent="0.2">
      <c r="B120" s="90"/>
      <c r="D120" s="90"/>
      <c r="E120" s="90"/>
      <c r="F120" s="90"/>
      <c r="G120" s="90"/>
      <c r="H120" s="90"/>
    </row>
    <row r="121" spans="2:8" x14ac:dyDescent="0.2">
      <c r="B121" s="90"/>
      <c r="D121" s="90"/>
      <c r="E121" s="90"/>
      <c r="F121" s="90"/>
      <c r="G121" s="90"/>
      <c r="H121" s="90"/>
    </row>
  </sheetData>
  <sheetProtection algorithmName="SHA-512" hashValue="5BIKHLUs4CdTUaICaQdMbM6D8QYochSB9UJfpXLbDrYvyRHVt8UxTihaNb0P2XSf+Oq0dCAMTlOjPBd4q/H2mw==" saltValue="+QfQnvfbQfkvNWfwRQYIxA==" spinCount="100000" sheet="1" formatCells="0" formatColumns="0" formatRows="0" selectLockedCells="1"/>
  <mergeCells count="17">
    <mergeCell ref="B16:D17"/>
    <mergeCell ref="J16:K17"/>
    <mergeCell ref="B34:H35"/>
    <mergeCell ref="B5:H14"/>
    <mergeCell ref="F16:F17"/>
    <mergeCell ref="G16:H17"/>
    <mergeCell ref="G21:H23"/>
    <mergeCell ref="B50:H116"/>
    <mergeCell ref="B48:H49"/>
    <mergeCell ref="B42:H46"/>
    <mergeCell ref="B27:H28"/>
    <mergeCell ref="G29:H29"/>
    <mergeCell ref="D29:F29"/>
    <mergeCell ref="B36:F40"/>
    <mergeCell ref="G36:H40"/>
    <mergeCell ref="B31:H32"/>
    <mergeCell ref="B30:H30"/>
  </mergeCells>
  <conditionalFormatting sqref="F16">
    <cfRule type="containsText" dxfId="156" priority="61" operator="containsText" text="Off">
      <formula>NOT(ISERROR(SEARCH("Off",F16)))</formula>
    </cfRule>
    <cfRule type="containsText" dxfId="155" priority="62" operator="containsText" text="On">
      <formula>NOT(ISERROR(SEARCH("On",F16)))</formula>
    </cfRule>
  </conditionalFormatting>
  <conditionalFormatting sqref="I52 I54:I67">
    <cfRule type="containsText" dxfId="154" priority="57" operator="containsText" text="Off">
      <formula>NOT(ISERROR(SEARCH("Off",I52)))</formula>
    </cfRule>
    <cfRule type="containsText" dxfId="153" priority="58" operator="containsText" text="On">
      <formula>NOT(ISERROR(SEARCH("On",I52)))</formula>
    </cfRule>
  </conditionalFormatting>
  <conditionalFormatting sqref="B48">
    <cfRule type="expression" dxfId="152" priority="41">
      <formula>$C49="On"</formula>
    </cfRule>
    <cfRule type="expression" dxfId="151" priority="42">
      <formula>$C49="Off"</formula>
    </cfRule>
  </conditionalFormatting>
  <conditionalFormatting sqref="J18">
    <cfRule type="expression" dxfId="150" priority="113">
      <formula>$J19="On"</formula>
    </cfRule>
    <cfRule type="expression" dxfId="149" priority="114">
      <formula>$J19="Off"</formula>
    </cfRule>
  </conditionalFormatting>
  <conditionalFormatting sqref="C18:C24">
    <cfRule type="expression" dxfId="148" priority="23">
      <formula>AND(C18="Include",D18="Valid")</formula>
    </cfRule>
    <cfRule type="expression" dxfId="147" priority="24">
      <formula>AND(D18="Empty",C18="Include")</formula>
    </cfRule>
    <cfRule type="expression" dxfId="146" priority="29">
      <formula>AND(C18="Include", E18="Upload anyway")</formula>
    </cfRule>
    <cfRule type="expression" dxfId="145" priority="34">
      <formula>AND(C18="Include",D18="Invalid")</formula>
    </cfRule>
  </conditionalFormatting>
  <conditionalFormatting sqref="F18:F25">
    <cfRule type="expression" dxfId="144" priority="32">
      <formula>$E18="Unprocessable"</formula>
    </cfRule>
  </conditionalFormatting>
  <conditionalFormatting sqref="G16 B16">
    <cfRule type="expression" dxfId="143" priority="647">
      <formula>$H16="On"</formula>
    </cfRule>
    <cfRule type="expression" dxfId="142" priority="648">
      <formula>$H16="Off"</formula>
    </cfRule>
  </conditionalFormatting>
  <conditionalFormatting sqref="B34">
    <cfRule type="expression" dxfId="141" priority="649">
      <formula>$C34="On"</formula>
    </cfRule>
    <cfRule type="expression" dxfId="140" priority="650">
      <formula>$C34="Off"</formula>
    </cfRule>
  </conditionalFormatting>
  <conditionalFormatting sqref="D18:D24">
    <cfRule type="expression" dxfId="139" priority="19">
      <formula>D18="Empty"</formula>
    </cfRule>
    <cfRule type="expression" dxfId="138" priority="20">
      <formula>AND(C18="Include",D18="Valid")</formula>
    </cfRule>
    <cfRule type="expression" dxfId="137" priority="21">
      <formula>AND(D18="Invalid",E18="Upload anyway")</formula>
    </cfRule>
    <cfRule type="expression" dxfId="136" priority="22">
      <formula>D18="Invalid"</formula>
    </cfRule>
    <cfRule type="expression" dxfId="135" priority="33">
      <formula>$D18="Invalid"</formula>
    </cfRule>
  </conditionalFormatting>
  <conditionalFormatting sqref="D29:F29">
    <cfRule type="expression" dxfId="134" priority="25">
      <formula>AND(LEN(SUM_OVR_RES)&lt;8,SUM_OVE_VALID="Allow invalid sheet upload")</formula>
    </cfRule>
  </conditionalFormatting>
  <conditionalFormatting sqref="C25">
    <cfRule type="expression" dxfId="133" priority="671">
      <formula>AND(C25="Include",D25="Valid")</formula>
    </cfRule>
    <cfRule type="expression" dxfId="132" priority="672">
      <formula>AND(D25="Empty",C25="Include")</formula>
    </cfRule>
    <cfRule type="expression" dxfId="131" priority="673">
      <formula>AND(C25="Include", E23="Upload anyway")</formula>
    </cfRule>
    <cfRule type="expression" dxfId="130" priority="674">
      <formula>AND(C25="Include",D25="Invalid")</formula>
    </cfRule>
  </conditionalFormatting>
  <conditionalFormatting sqref="D25">
    <cfRule type="expression" dxfId="129" priority="680">
      <formula>D25="Empty"</formula>
    </cfRule>
    <cfRule type="expression" dxfId="128" priority="681">
      <formula>AND(C25="Include",D25="Valid")</formula>
    </cfRule>
    <cfRule type="expression" dxfId="127" priority="682">
      <formula>AND(D25="Invalid",E23="Upload anyway")</formula>
    </cfRule>
    <cfRule type="expression" dxfId="126" priority="683">
      <formula>D25="Invalid"</formula>
    </cfRule>
    <cfRule type="expression" dxfId="125" priority="684">
      <formula>$D25="Invalid"</formula>
    </cfRule>
  </conditionalFormatting>
  <dataValidations xWindow="1381" yWindow="453" count="6">
    <dataValidation allowBlank="1" sqref="M17:N17 K20:K21 B42 J18:J19 L16:N16 B47:B48 I48:I77 F47:G47 K54 J34 O20:O51 L18:N71 J40 J23:J24 A14:A53 N14:O15 K14:K15"/>
    <dataValidation type="date" allowBlank="1" sqref="K19">
      <formula1>42370</formula1>
      <formula2>73051</formula2>
    </dataValidation>
    <dataValidation allowBlank="1" showInputMessage="1" showErrorMessage="1" errorTitle="Error" error="Invalid date" promptTitle="Date time format" prompt="dd/mm/yyyy hh:mm _x000a_(24 hour format)" sqref="H20"/>
    <dataValidation type="textLength" allowBlank="1" showInputMessage="1" showErrorMessage="1" errorTitle="Data Provider" error="Must be between 3 and 32 characters" promptTitle="Data Provider" prompt="The person or entity completing or responsible for the data" sqref="H19">
      <formula1>3</formula1>
      <formula2>32</formula2>
    </dataValidation>
    <dataValidation type="textLength" allowBlank="1" showInputMessage="1" showErrorMessage="1" error="Must be between 8 and 1000 characters" promptTitle="Validation override reason" prompt="The reason that the workbook is not valid, but should be accepted anyway" sqref="B31:H32">
      <formula1>8</formula1>
      <formula2>1000</formula2>
    </dataValidation>
    <dataValidation type="list" allowBlank="1" showInputMessage="1" showErrorMessage="1" error="Select from dropdown" sqref="C18:C25">
      <formula1>"Include, Don't include"</formula1>
    </dataValidation>
  </dataValidations>
  <hyperlinks>
    <hyperlink ref="J24" r:id="rId1"/>
    <hyperlink ref="J27" r:id="rId2"/>
    <hyperlink ref="J33" r:id="rId3"/>
    <hyperlink ref="J36" r:id="rId4"/>
    <hyperlink ref="J30" r:id="rId5"/>
  </hyperlinks>
  <pageMargins left="0.23622047244094488" right="0.23622047244094488" top="0.39370078740157483" bottom="0.39370078740157483" header="0.31496062992125984" footer="0.31496062992125984"/>
  <pageSetup paperSize="9" scale="84" fitToHeight="0" orientation="landscape" r:id="rId6"/>
  <drawing r:id="rId7"/>
  <extLst>
    <ext xmlns:x14="http://schemas.microsoft.com/office/spreadsheetml/2009/9/main" uri="{CCE6A557-97BC-4b89-ADB6-D9C93CAAB3DF}">
      <x14:dataValidations xmlns:xm="http://schemas.microsoft.com/office/excel/2006/main" xWindow="1381" yWindow="453" count="1">
        <x14:dataValidation type="list" showInputMessage="1" showErrorMessage="1" error="Select from dropdown">
          <x14:formula1>
            <xm:f>OFFSET('Tmp data'!$C$8,0,0,2-COUNTBLANK(TMP_SUM_ALLOW),1)</xm:f>
          </x14:formula1>
          <xm:sqref>D29:F29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tabColor theme="7"/>
    <pageSetUpPr fitToPage="1"/>
  </sheetPr>
  <dimension ref="A1:J38"/>
  <sheetViews>
    <sheetView zoomScale="85" zoomScaleNormal="85" workbookViewId="0">
      <pane ySplit="3" topLeftCell="A4" activePane="bottomLeft" state="frozen"/>
      <selection pane="bottomLeft" activeCell="B6" sqref="B6:I37"/>
    </sheetView>
  </sheetViews>
  <sheetFormatPr defaultRowHeight="12.75" x14ac:dyDescent="0.2"/>
  <cols>
    <col min="1" max="1" width="2.42578125" customWidth="1"/>
    <col min="2" max="10" width="24.28515625" customWidth="1"/>
  </cols>
  <sheetData>
    <row r="1" spans="1:10" s="279" customFormat="1" ht="4.5" customHeight="1" x14ac:dyDescent="0.2"/>
    <row r="2" spans="1:10" s="78" customFormat="1" ht="20.25" x14ac:dyDescent="0.2">
      <c r="A2" s="75"/>
      <c r="B2" s="76" t="s">
        <v>700</v>
      </c>
      <c r="C2" s="77"/>
      <c r="D2" s="77"/>
      <c r="E2" s="77"/>
      <c r="F2" s="77"/>
      <c r="G2" s="77"/>
      <c r="H2" s="77"/>
      <c r="I2" s="77"/>
      <c r="J2" s="77"/>
    </row>
    <row r="3" spans="1:10" s="78" customFormat="1" ht="4.5" customHeight="1" x14ac:dyDescent="0.2">
      <c r="A3" s="75"/>
      <c r="B3" s="76"/>
      <c r="C3" s="77"/>
      <c r="D3" s="77"/>
      <c r="E3" s="77"/>
      <c r="F3" s="77"/>
      <c r="G3" s="77"/>
      <c r="H3" s="77"/>
      <c r="I3" s="77"/>
      <c r="J3" s="77"/>
    </row>
    <row r="4" spans="1:10" s="290" customFormat="1" ht="12.75" customHeight="1" x14ac:dyDescent="0.2">
      <c r="A4" s="287"/>
      <c r="B4" s="289"/>
      <c r="C4" s="288"/>
      <c r="D4" s="288"/>
      <c r="E4" s="288"/>
      <c r="F4" s="288"/>
      <c r="G4" s="288"/>
      <c r="H4" s="288"/>
      <c r="I4" s="288"/>
      <c r="J4" s="288"/>
    </row>
    <row r="5" spans="1:10" ht="13.5" customHeight="1" thickBot="1" x14ac:dyDescent="0.25">
      <c r="B5" s="108" t="s">
        <v>33311</v>
      </c>
      <c r="C5" s="107"/>
      <c r="D5" s="107"/>
      <c r="E5" s="107"/>
      <c r="F5" s="107"/>
      <c r="G5" s="107"/>
      <c r="H5" s="107"/>
      <c r="I5" s="107"/>
    </row>
    <row r="6" spans="1:10" ht="14.25" customHeight="1" thickTop="1" x14ac:dyDescent="0.2">
      <c r="B6" s="1104"/>
      <c r="C6" s="1105"/>
      <c r="D6" s="1105"/>
      <c r="E6" s="1105"/>
      <c r="F6" s="1105"/>
      <c r="G6" s="1105"/>
      <c r="H6" s="1105"/>
      <c r="I6" s="1106"/>
    </row>
    <row r="7" spans="1:10" ht="14.25" customHeight="1" x14ac:dyDescent="0.2">
      <c r="B7" s="1107"/>
      <c r="C7" s="1108"/>
      <c r="D7" s="1108"/>
      <c r="E7" s="1108"/>
      <c r="F7" s="1108"/>
      <c r="G7" s="1108"/>
      <c r="H7" s="1108"/>
      <c r="I7" s="1109"/>
    </row>
    <row r="8" spans="1:10" ht="14.25" customHeight="1" x14ac:dyDescent="0.2">
      <c r="B8" s="1107"/>
      <c r="C8" s="1108"/>
      <c r="D8" s="1108"/>
      <c r="E8" s="1108"/>
      <c r="F8" s="1108"/>
      <c r="G8" s="1108"/>
      <c r="H8" s="1108"/>
      <c r="I8" s="1109"/>
    </row>
    <row r="9" spans="1:10" ht="14.25" customHeight="1" x14ac:dyDescent="0.2">
      <c r="B9" s="1107"/>
      <c r="C9" s="1108"/>
      <c r="D9" s="1108"/>
      <c r="E9" s="1108"/>
      <c r="F9" s="1108"/>
      <c r="G9" s="1108"/>
      <c r="H9" s="1108"/>
      <c r="I9" s="1109"/>
    </row>
    <row r="10" spans="1:10" ht="14.25" customHeight="1" x14ac:dyDescent="0.2">
      <c r="B10" s="1107"/>
      <c r="C10" s="1108"/>
      <c r="D10" s="1108"/>
      <c r="E10" s="1108"/>
      <c r="F10" s="1108"/>
      <c r="G10" s="1108"/>
      <c r="H10" s="1108"/>
      <c r="I10" s="1109"/>
    </row>
    <row r="11" spans="1:10" ht="14.25" customHeight="1" x14ac:dyDescent="0.2">
      <c r="B11" s="1107"/>
      <c r="C11" s="1108"/>
      <c r="D11" s="1108"/>
      <c r="E11" s="1108"/>
      <c r="F11" s="1108"/>
      <c r="G11" s="1108"/>
      <c r="H11" s="1108"/>
      <c r="I11" s="1109"/>
    </row>
    <row r="12" spans="1:10" ht="14.25" customHeight="1" x14ac:dyDescent="0.2">
      <c r="B12" s="1107"/>
      <c r="C12" s="1108"/>
      <c r="D12" s="1108"/>
      <c r="E12" s="1108"/>
      <c r="F12" s="1108"/>
      <c r="G12" s="1108"/>
      <c r="H12" s="1108"/>
      <c r="I12" s="1109"/>
    </row>
    <row r="13" spans="1:10" ht="14.25" customHeight="1" x14ac:dyDescent="0.2">
      <c r="B13" s="1107"/>
      <c r="C13" s="1108"/>
      <c r="D13" s="1108"/>
      <c r="E13" s="1108"/>
      <c r="F13" s="1108"/>
      <c r="G13" s="1108"/>
      <c r="H13" s="1108"/>
      <c r="I13" s="1109"/>
    </row>
    <row r="14" spans="1:10" ht="14.25" customHeight="1" x14ac:dyDescent="0.2">
      <c r="B14" s="1107"/>
      <c r="C14" s="1108"/>
      <c r="D14" s="1108"/>
      <c r="E14" s="1108"/>
      <c r="F14" s="1108"/>
      <c r="G14" s="1108"/>
      <c r="H14" s="1108"/>
      <c r="I14" s="1109"/>
    </row>
    <row r="15" spans="1:10" ht="14.25" customHeight="1" x14ac:dyDescent="0.2">
      <c r="B15" s="1107"/>
      <c r="C15" s="1108"/>
      <c r="D15" s="1108"/>
      <c r="E15" s="1108"/>
      <c r="F15" s="1108"/>
      <c r="G15" s="1108"/>
      <c r="H15" s="1108"/>
      <c r="I15" s="1109"/>
    </row>
    <row r="16" spans="1:10" ht="14.25" customHeight="1" x14ac:dyDescent="0.2">
      <c r="B16" s="1107"/>
      <c r="C16" s="1108"/>
      <c r="D16" s="1108"/>
      <c r="E16" s="1108"/>
      <c r="F16" s="1108"/>
      <c r="G16" s="1108"/>
      <c r="H16" s="1108"/>
      <c r="I16" s="1109"/>
    </row>
    <row r="17" spans="2:9" ht="14.25" customHeight="1" x14ac:dyDescent="0.2">
      <c r="B17" s="1107"/>
      <c r="C17" s="1108"/>
      <c r="D17" s="1108"/>
      <c r="E17" s="1108"/>
      <c r="F17" s="1108"/>
      <c r="G17" s="1108"/>
      <c r="H17" s="1108"/>
      <c r="I17" s="1109"/>
    </row>
    <row r="18" spans="2:9" ht="14.25" customHeight="1" x14ac:dyDescent="0.2">
      <c r="B18" s="1107"/>
      <c r="C18" s="1108"/>
      <c r="D18" s="1108"/>
      <c r="E18" s="1108"/>
      <c r="F18" s="1108"/>
      <c r="G18" s="1108"/>
      <c r="H18" s="1108"/>
      <c r="I18" s="1109"/>
    </row>
    <row r="19" spans="2:9" ht="14.25" customHeight="1" x14ac:dyDescent="0.2">
      <c r="B19" s="1107"/>
      <c r="C19" s="1108"/>
      <c r="D19" s="1108"/>
      <c r="E19" s="1108"/>
      <c r="F19" s="1108"/>
      <c r="G19" s="1108"/>
      <c r="H19" s="1108"/>
      <c r="I19" s="1109"/>
    </row>
    <row r="20" spans="2:9" ht="14.25" customHeight="1" x14ac:dyDescent="0.2">
      <c r="B20" s="1107"/>
      <c r="C20" s="1108"/>
      <c r="D20" s="1108"/>
      <c r="E20" s="1108"/>
      <c r="F20" s="1108"/>
      <c r="G20" s="1108"/>
      <c r="H20" s="1108"/>
      <c r="I20" s="1109"/>
    </row>
    <row r="21" spans="2:9" ht="14.25" customHeight="1" x14ac:dyDescent="0.2">
      <c r="B21" s="1107"/>
      <c r="C21" s="1108"/>
      <c r="D21" s="1108"/>
      <c r="E21" s="1108"/>
      <c r="F21" s="1108"/>
      <c r="G21" s="1108"/>
      <c r="H21" s="1108"/>
      <c r="I21" s="1109"/>
    </row>
    <row r="22" spans="2:9" ht="14.25" customHeight="1" x14ac:dyDescent="0.2">
      <c r="B22" s="1107"/>
      <c r="C22" s="1108"/>
      <c r="D22" s="1108"/>
      <c r="E22" s="1108"/>
      <c r="F22" s="1108"/>
      <c r="G22" s="1108"/>
      <c r="H22" s="1108"/>
      <c r="I22" s="1109"/>
    </row>
    <row r="23" spans="2:9" ht="14.25" customHeight="1" x14ac:dyDescent="0.2">
      <c r="B23" s="1107"/>
      <c r="C23" s="1108"/>
      <c r="D23" s="1108"/>
      <c r="E23" s="1108"/>
      <c r="F23" s="1108"/>
      <c r="G23" s="1108"/>
      <c r="H23" s="1108"/>
      <c r="I23" s="1109"/>
    </row>
    <row r="24" spans="2:9" ht="14.25" customHeight="1" x14ac:dyDescent="0.2">
      <c r="B24" s="1107"/>
      <c r="C24" s="1108"/>
      <c r="D24" s="1108"/>
      <c r="E24" s="1108"/>
      <c r="F24" s="1108"/>
      <c r="G24" s="1108"/>
      <c r="H24" s="1108"/>
      <c r="I24" s="1109"/>
    </row>
    <row r="25" spans="2:9" ht="14.25" customHeight="1" x14ac:dyDescent="0.2">
      <c r="B25" s="1107"/>
      <c r="C25" s="1108"/>
      <c r="D25" s="1108"/>
      <c r="E25" s="1108"/>
      <c r="F25" s="1108"/>
      <c r="G25" s="1108"/>
      <c r="H25" s="1108"/>
      <c r="I25" s="1109"/>
    </row>
    <row r="26" spans="2:9" ht="14.25" customHeight="1" x14ac:dyDescent="0.2">
      <c r="B26" s="1107"/>
      <c r="C26" s="1108"/>
      <c r="D26" s="1108"/>
      <c r="E26" s="1108"/>
      <c r="F26" s="1108"/>
      <c r="G26" s="1108"/>
      <c r="H26" s="1108"/>
      <c r="I26" s="1109"/>
    </row>
    <row r="27" spans="2:9" ht="14.25" customHeight="1" x14ac:dyDescent="0.2">
      <c r="B27" s="1107"/>
      <c r="C27" s="1108"/>
      <c r="D27" s="1108"/>
      <c r="E27" s="1108"/>
      <c r="F27" s="1108"/>
      <c r="G27" s="1108"/>
      <c r="H27" s="1108"/>
      <c r="I27" s="1109"/>
    </row>
    <row r="28" spans="2:9" ht="14.25" customHeight="1" x14ac:dyDescent="0.2">
      <c r="B28" s="1107"/>
      <c r="C28" s="1108"/>
      <c r="D28" s="1108"/>
      <c r="E28" s="1108"/>
      <c r="F28" s="1108"/>
      <c r="G28" s="1108"/>
      <c r="H28" s="1108"/>
      <c r="I28" s="1109"/>
    </row>
    <row r="29" spans="2:9" ht="14.25" customHeight="1" x14ac:dyDescent="0.2">
      <c r="B29" s="1107"/>
      <c r="C29" s="1108"/>
      <c r="D29" s="1108"/>
      <c r="E29" s="1108"/>
      <c r="F29" s="1108"/>
      <c r="G29" s="1108"/>
      <c r="H29" s="1108"/>
      <c r="I29" s="1109"/>
    </row>
    <row r="30" spans="2:9" ht="14.25" customHeight="1" x14ac:dyDescent="0.2">
      <c r="B30" s="1107"/>
      <c r="C30" s="1108"/>
      <c r="D30" s="1108"/>
      <c r="E30" s="1108"/>
      <c r="F30" s="1108"/>
      <c r="G30" s="1108"/>
      <c r="H30" s="1108"/>
      <c r="I30" s="1109"/>
    </row>
    <row r="31" spans="2:9" ht="14.25" customHeight="1" x14ac:dyDescent="0.2">
      <c r="B31" s="1107"/>
      <c r="C31" s="1108"/>
      <c r="D31" s="1108"/>
      <c r="E31" s="1108"/>
      <c r="F31" s="1108"/>
      <c r="G31" s="1108"/>
      <c r="H31" s="1108"/>
      <c r="I31" s="1109"/>
    </row>
    <row r="32" spans="2:9" ht="14.25" customHeight="1" x14ac:dyDescent="0.2">
      <c r="B32" s="1107"/>
      <c r="C32" s="1108"/>
      <c r="D32" s="1108"/>
      <c r="E32" s="1108"/>
      <c r="F32" s="1108"/>
      <c r="G32" s="1108"/>
      <c r="H32" s="1108"/>
      <c r="I32" s="1109"/>
    </row>
    <row r="33" spans="2:9" ht="14.25" customHeight="1" x14ac:dyDescent="0.2">
      <c r="B33" s="1107"/>
      <c r="C33" s="1108"/>
      <c r="D33" s="1108"/>
      <c r="E33" s="1108"/>
      <c r="F33" s="1108"/>
      <c r="G33" s="1108"/>
      <c r="H33" s="1108"/>
      <c r="I33" s="1109"/>
    </row>
    <row r="34" spans="2:9" ht="14.25" customHeight="1" x14ac:dyDescent="0.2">
      <c r="B34" s="1107"/>
      <c r="C34" s="1108"/>
      <c r="D34" s="1108"/>
      <c r="E34" s="1108"/>
      <c r="F34" s="1108"/>
      <c r="G34" s="1108"/>
      <c r="H34" s="1108"/>
      <c r="I34" s="1109"/>
    </row>
    <row r="35" spans="2:9" ht="14.25" customHeight="1" x14ac:dyDescent="0.2">
      <c r="B35" s="1107"/>
      <c r="C35" s="1108"/>
      <c r="D35" s="1108"/>
      <c r="E35" s="1108"/>
      <c r="F35" s="1108"/>
      <c r="G35" s="1108"/>
      <c r="H35" s="1108"/>
      <c r="I35" s="1109"/>
    </row>
    <row r="36" spans="2:9" ht="14.25" customHeight="1" x14ac:dyDescent="0.2">
      <c r="B36" s="1107"/>
      <c r="C36" s="1108"/>
      <c r="D36" s="1108"/>
      <c r="E36" s="1108"/>
      <c r="F36" s="1108"/>
      <c r="G36" s="1108"/>
      <c r="H36" s="1108"/>
      <c r="I36" s="1109"/>
    </row>
    <row r="37" spans="2:9" ht="13.5" customHeight="1" thickBot="1" x14ac:dyDescent="0.25">
      <c r="B37" s="1110"/>
      <c r="C37" s="1111"/>
      <c r="D37" s="1111"/>
      <c r="E37" s="1111"/>
      <c r="F37" s="1111"/>
      <c r="G37" s="1111"/>
      <c r="H37" s="1111"/>
      <c r="I37" s="1112"/>
    </row>
    <row r="38" spans="2:9" ht="13.5" thickTop="1" x14ac:dyDescent="0.2"/>
  </sheetData>
  <mergeCells count="1">
    <mergeCell ref="B6:I37"/>
  </mergeCells>
  <pageMargins left="0.23622047244094488" right="0.23622047244094488" top="0.39370078740157483" bottom="0.39370078740157483" header="0.31496062992125984" footer="0.31496062992125984"/>
  <pageSetup paperSize="9" scale="7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AJ164"/>
  <sheetViews>
    <sheetView zoomScale="80" zoomScaleNormal="80" workbookViewId="0">
      <pane ySplit="3" topLeftCell="A4" activePane="bottomLeft" state="frozen"/>
      <selection pane="bottomLeft" activeCell="B18" sqref="B18:L20"/>
    </sheetView>
  </sheetViews>
  <sheetFormatPr defaultRowHeight="12.75" x14ac:dyDescent="0.2"/>
  <cols>
    <col min="1" max="1" width="2.5703125" customWidth="1"/>
    <col min="12" max="12" width="21.7109375" customWidth="1"/>
    <col min="19" max="19" width="8.85546875" customWidth="1"/>
  </cols>
  <sheetData>
    <row r="1" spans="1:13" s="279" customFormat="1" ht="4.5" customHeight="1" x14ac:dyDescent="0.2"/>
    <row r="2" spans="1:13" s="78" customFormat="1" ht="20.25" x14ac:dyDescent="0.2">
      <c r="A2" s="75"/>
      <c r="B2" s="76" t="s">
        <v>34866</v>
      </c>
      <c r="C2" s="77"/>
      <c r="D2" s="77"/>
      <c r="E2" s="77"/>
      <c r="F2" s="77"/>
      <c r="G2" s="77"/>
      <c r="H2" s="77"/>
      <c r="I2" s="77"/>
      <c r="J2" s="77"/>
    </row>
    <row r="3" spans="1:13" s="78" customFormat="1" ht="4.5" customHeight="1" x14ac:dyDescent="0.2">
      <c r="A3" s="75"/>
      <c r="B3" s="76"/>
      <c r="C3" s="77"/>
      <c r="D3" s="77"/>
      <c r="E3" s="77"/>
      <c r="F3" s="77"/>
      <c r="G3" s="77"/>
      <c r="H3" s="77"/>
      <c r="I3" s="77"/>
      <c r="J3" s="77"/>
    </row>
    <row r="4" spans="1:13" s="290" customFormat="1" ht="12.75" customHeight="1" x14ac:dyDescent="0.2">
      <c r="A4" s="287"/>
      <c r="B4" s="289"/>
      <c r="C4" s="288"/>
      <c r="D4" s="288"/>
      <c r="E4" s="288"/>
      <c r="F4" s="288"/>
      <c r="G4" s="288"/>
      <c r="H4" s="288"/>
      <c r="I4" s="288"/>
      <c r="J4" s="288"/>
    </row>
    <row r="5" spans="1:13" s="290" customFormat="1" ht="12.75" customHeight="1" x14ac:dyDescent="0.2">
      <c r="A5" s="287"/>
      <c r="B5" s="289"/>
      <c r="C5" s="288"/>
      <c r="D5" s="288"/>
      <c r="E5" s="288"/>
      <c r="F5" s="288"/>
      <c r="G5" s="288"/>
      <c r="H5" s="288"/>
      <c r="I5" s="288"/>
      <c r="J5" s="288"/>
    </row>
    <row r="6" spans="1:13" s="290" customFormat="1" ht="25.5" customHeight="1" x14ac:dyDescent="0.35">
      <c r="A6" s="287"/>
      <c r="B6" s="423" t="s">
        <v>34871</v>
      </c>
      <c r="C6" s="288"/>
      <c r="D6" s="288"/>
      <c r="E6" s="288"/>
      <c r="F6" s="288"/>
      <c r="G6" s="288"/>
      <c r="H6" s="288"/>
      <c r="I6" s="288"/>
      <c r="J6" s="288"/>
    </row>
    <row r="7" spans="1:13" s="290" customFormat="1" ht="25.5" x14ac:dyDescent="0.35">
      <c r="A7" s="287"/>
      <c r="B7" s="426" t="s">
        <v>35123</v>
      </c>
      <c r="C7" s="425" t="s">
        <v>34906</v>
      </c>
      <c r="D7" s="425"/>
      <c r="E7" s="425"/>
      <c r="F7" s="425"/>
      <c r="G7" s="425"/>
      <c r="H7" s="425"/>
      <c r="I7" s="425"/>
      <c r="J7" s="425"/>
      <c r="K7" s="425"/>
      <c r="L7" s="425"/>
      <c r="M7" s="423"/>
    </row>
    <row r="8" spans="1:13" s="290" customFormat="1" ht="25.5" x14ac:dyDescent="0.35">
      <c r="A8" s="287"/>
      <c r="B8" s="426" t="s">
        <v>34918</v>
      </c>
      <c r="C8" s="425" t="s">
        <v>34907</v>
      </c>
      <c r="D8" s="425"/>
      <c r="E8" s="425"/>
      <c r="F8" s="425"/>
      <c r="G8" s="425"/>
      <c r="H8" s="425"/>
      <c r="I8" s="425"/>
      <c r="J8" s="425"/>
      <c r="K8" s="425"/>
      <c r="L8" s="425"/>
      <c r="M8" s="423"/>
    </row>
    <row r="9" spans="1:13" s="290" customFormat="1" ht="25.5" x14ac:dyDescent="0.35">
      <c r="A9" s="287"/>
      <c r="B9" s="426" t="s">
        <v>35124</v>
      </c>
      <c r="C9" s="425" t="s">
        <v>34869</v>
      </c>
      <c r="D9" s="425"/>
      <c r="E9" s="425"/>
      <c r="F9" s="425"/>
      <c r="G9" s="425"/>
      <c r="H9" s="425"/>
      <c r="I9" s="425"/>
      <c r="J9" s="425"/>
      <c r="K9" s="425"/>
      <c r="L9" s="425"/>
      <c r="M9" s="423"/>
    </row>
    <row r="10" spans="1:13" s="290" customFormat="1" ht="25.5" x14ac:dyDescent="0.35">
      <c r="A10" s="287"/>
      <c r="B10" s="426" t="s">
        <v>35125</v>
      </c>
      <c r="C10" s="425" t="s">
        <v>34872</v>
      </c>
      <c r="D10" s="425"/>
      <c r="E10" s="425"/>
      <c r="F10" s="425"/>
      <c r="G10" s="425"/>
      <c r="H10" s="425"/>
      <c r="I10" s="425"/>
      <c r="J10" s="425"/>
      <c r="K10" s="425"/>
      <c r="L10" s="425"/>
      <c r="M10" s="423"/>
    </row>
    <row r="11" spans="1:13" s="290" customFormat="1" ht="25.5" x14ac:dyDescent="0.35">
      <c r="A11" s="287"/>
      <c r="B11" s="426" t="s">
        <v>35126</v>
      </c>
      <c r="C11" s="425" t="s">
        <v>34874</v>
      </c>
      <c r="D11" s="425"/>
      <c r="E11" s="425"/>
      <c r="F11" s="425"/>
      <c r="G11" s="425"/>
      <c r="H11" s="425"/>
      <c r="I11" s="425"/>
      <c r="J11" s="425"/>
      <c r="K11" s="425"/>
      <c r="L11" s="425"/>
      <c r="M11" s="423"/>
    </row>
    <row r="12" spans="1:13" s="290" customFormat="1" ht="25.5" x14ac:dyDescent="0.35">
      <c r="A12" s="287"/>
      <c r="B12" s="426" t="s">
        <v>35127</v>
      </c>
      <c r="C12" s="425" t="s">
        <v>34875</v>
      </c>
      <c r="D12" s="425"/>
      <c r="E12" s="425"/>
      <c r="F12" s="425"/>
      <c r="G12" s="425"/>
      <c r="H12" s="425"/>
      <c r="I12" s="425"/>
      <c r="J12" s="425"/>
      <c r="K12" s="425"/>
      <c r="L12" s="425"/>
      <c r="M12" s="423"/>
    </row>
    <row r="13" spans="1:13" s="290" customFormat="1" ht="25.5" x14ac:dyDescent="0.35">
      <c r="A13" s="287"/>
      <c r="B13" s="426" t="s">
        <v>35128</v>
      </c>
      <c r="C13" s="425" t="s">
        <v>34867</v>
      </c>
      <c r="D13" s="425"/>
      <c r="E13" s="425"/>
      <c r="F13" s="425"/>
      <c r="G13" s="425"/>
      <c r="H13" s="425"/>
      <c r="I13" s="425"/>
      <c r="J13" s="425"/>
      <c r="K13" s="425"/>
      <c r="L13" s="425"/>
      <c r="M13" s="423"/>
    </row>
    <row r="14" spans="1:13" s="290" customFormat="1" ht="25.5" x14ac:dyDescent="0.35">
      <c r="A14" s="287"/>
      <c r="B14" s="426" t="s">
        <v>35129</v>
      </c>
      <c r="C14" s="425" t="s">
        <v>35110</v>
      </c>
      <c r="D14" s="425"/>
      <c r="E14" s="425"/>
      <c r="F14" s="425"/>
      <c r="G14" s="425"/>
      <c r="H14" s="425"/>
      <c r="I14" s="425"/>
      <c r="J14" s="425"/>
      <c r="K14" s="425"/>
      <c r="L14" s="425"/>
      <c r="M14" s="423"/>
    </row>
    <row r="15" spans="1:13" s="290" customFormat="1" ht="25.5" x14ac:dyDescent="0.35">
      <c r="A15" s="287"/>
      <c r="B15" s="426" t="s">
        <v>35130</v>
      </c>
      <c r="C15" s="425" t="s">
        <v>35119</v>
      </c>
      <c r="D15" s="425"/>
      <c r="E15" s="425"/>
      <c r="F15" s="425"/>
      <c r="G15" s="425"/>
      <c r="H15" s="425"/>
      <c r="I15" s="425"/>
      <c r="J15" s="425"/>
      <c r="K15" s="425"/>
      <c r="L15" s="425"/>
      <c r="M15" s="423"/>
    </row>
    <row r="16" spans="1:13" s="290" customFormat="1" ht="25.5" x14ac:dyDescent="0.35">
      <c r="A16" s="287"/>
      <c r="B16" s="502"/>
      <c r="C16" s="425"/>
      <c r="D16" s="425"/>
      <c r="E16" s="425"/>
      <c r="F16" s="425"/>
      <c r="G16" s="425"/>
      <c r="H16" s="425"/>
      <c r="I16" s="425"/>
      <c r="J16" s="425"/>
      <c r="K16" s="425"/>
      <c r="L16" s="425"/>
      <c r="M16" s="423"/>
    </row>
    <row r="17" spans="1:36" s="290" customFormat="1" ht="25.5" x14ac:dyDescent="0.35">
      <c r="A17" s="287"/>
      <c r="B17" s="423" t="s">
        <v>34916</v>
      </c>
      <c r="C17" s="423"/>
      <c r="D17" s="423"/>
      <c r="E17" s="423"/>
      <c r="F17" s="423"/>
      <c r="G17" s="423"/>
      <c r="H17" s="423"/>
      <c r="I17" s="423"/>
      <c r="J17" s="423"/>
      <c r="K17" s="423"/>
      <c r="L17" s="423"/>
      <c r="M17" s="423"/>
    </row>
    <row r="18" spans="1:36" s="290" customFormat="1" ht="12.75" customHeight="1" x14ac:dyDescent="0.35">
      <c r="A18" s="287"/>
      <c r="B18" s="1128" t="s">
        <v>37206</v>
      </c>
      <c r="C18" s="1128"/>
      <c r="D18" s="1128"/>
      <c r="E18" s="1128"/>
      <c r="F18" s="1128"/>
      <c r="G18" s="1128"/>
      <c r="H18" s="1128"/>
      <c r="I18" s="1128"/>
      <c r="J18" s="1128"/>
      <c r="K18" s="1128"/>
      <c r="L18" s="1128"/>
      <c r="M18" s="423"/>
    </row>
    <row r="19" spans="1:36" s="290" customFormat="1" ht="12.75" customHeight="1" x14ac:dyDescent="0.35">
      <c r="A19" s="287"/>
      <c r="B19" s="1128"/>
      <c r="C19" s="1128"/>
      <c r="D19" s="1128"/>
      <c r="E19" s="1128"/>
      <c r="F19" s="1128"/>
      <c r="G19" s="1128"/>
      <c r="H19" s="1128"/>
      <c r="I19" s="1128"/>
      <c r="J19" s="1128"/>
      <c r="K19" s="1128"/>
      <c r="L19" s="1128"/>
      <c r="M19" s="423"/>
    </row>
    <row r="20" spans="1:36" s="290" customFormat="1" ht="63" customHeight="1" thickBot="1" x14ac:dyDescent="0.4">
      <c r="A20" s="287"/>
      <c r="B20" s="1128"/>
      <c r="C20" s="1128"/>
      <c r="D20" s="1128"/>
      <c r="E20" s="1128"/>
      <c r="F20" s="1128"/>
      <c r="G20" s="1128"/>
      <c r="H20" s="1128"/>
      <c r="I20" s="1128"/>
      <c r="J20" s="1128"/>
      <c r="K20" s="1128"/>
      <c r="L20" s="1128"/>
      <c r="M20" s="423"/>
    </row>
    <row r="21" spans="1:36" s="290" customFormat="1" ht="23.25" customHeight="1" thickTop="1" x14ac:dyDescent="0.35">
      <c r="A21" s="287"/>
      <c r="B21" s="462"/>
      <c r="C21" s="462"/>
      <c r="D21" s="462"/>
      <c r="E21" s="462"/>
      <c r="F21" s="462"/>
      <c r="G21" s="462"/>
      <c r="H21" s="462"/>
      <c r="I21" s="462"/>
      <c r="J21" s="462"/>
      <c r="K21" s="462"/>
      <c r="L21" s="462"/>
      <c r="M21" s="463"/>
      <c r="N21" s="464"/>
      <c r="O21" s="464"/>
      <c r="P21" s="464"/>
      <c r="Q21" s="464"/>
      <c r="R21" s="464"/>
      <c r="S21" s="464"/>
      <c r="T21" s="464"/>
      <c r="U21" s="464"/>
      <c r="V21" s="464"/>
      <c r="W21" s="464"/>
      <c r="X21" s="464"/>
      <c r="Y21" s="464"/>
      <c r="Z21" s="464"/>
      <c r="AA21" s="464"/>
      <c r="AB21" s="464"/>
      <c r="AC21" s="464"/>
      <c r="AD21" s="464"/>
      <c r="AE21" s="464"/>
      <c r="AF21" s="464"/>
      <c r="AG21" s="464"/>
      <c r="AH21" s="464"/>
      <c r="AI21" s="464"/>
      <c r="AJ21" s="464"/>
    </row>
    <row r="22" spans="1:36" s="290" customFormat="1" ht="23.25" customHeight="1" x14ac:dyDescent="0.35">
      <c r="A22" s="287"/>
      <c r="B22" s="423" t="s">
        <v>34907</v>
      </c>
      <c r="C22" s="460"/>
      <c r="D22" s="460"/>
      <c r="E22" s="460"/>
      <c r="F22" s="460"/>
      <c r="G22" s="460"/>
      <c r="H22" s="460"/>
      <c r="I22" s="460"/>
      <c r="J22" s="460"/>
      <c r="K22" s="460"/>
      <c r="L22" s="460"/>
      <c r="M22" s="423"/>
    </row>
    <row r="23" spans="1:36" s="290" customFormat="1" ht="23.25" customHeight="1" x14ac:dyDescent="0.35">
      <c r="A23" s="287"/>
      <c r="B23" s="1128" t="s">
        <v>34917</v>
      </c>
      <c r="C23" s="1128"/>
      <c r="D23" s="1128"/>
      <c r="E23" s="1128"/>
      <c r="F23" s="1128"/>
      <c r="G23" s="1128"/>
      <c r="H23" s="1128"/>
      <c r="I23" s="1128"/>
      <c r="J23" s="1128"/>
      <c r="K23" s="1128"/>
      <c r="L23" s="1128"/>
      <c r="M23" s="423"/>
    </row>
    <row r="24" spans="1:36" s="290" customFormat="1" ht="23.25" customHeight="1" thickBot="1" x14ac:dyDescent="0.4">
      <c r="A24" s="287"/>
      <c r="B24" s="1128"/>
      <c r="C24" s="1128"/>
      <c r="D24" s="1128"/>
      <c r="E24" s="1128"/>
      <c r="F24" s="1128"/>
      <c r="G24" s="1128"/>
      <c r="H24" s="1128"/>
      <c r="I24" s="1128"/>
      <c r="J24" s="1128"/>
      <c r="K24" s="1128"/>
      <c r="L24" s="1128"/>
      <c r="M24" s="423"/>
    </row>
    <row r="25" spans="1:36" s="290" customFormat="1" ht="12.75" customHeight="1" thickTop="1" x14ac:dyDescent="0.35">
      <c r="A25" s="287"/>
      <c r="B25" s="462"/>
      <c r="C25" s="462"/>
      <c r="D25" s="462"/>
      <c r="E25" s="462"/>
      <c r="F25" s="462"/>
      <c r="G25" s="462"/>
      <c r="H25" s="462"/>
      <c r="I25" s="462"/>
      <c r="J25" s="462"/>
      <c r="K25" s="462"/>
      <c r="L25" s="462"/>
      <c r="M25" s="463"/>
      <c r="N25" s="464"/>
      <c r="O25" s="464"/>
      <c r="P25" s="464"/>
      <c r="Q25" s="464"/>
      <c r="R25" s="464"/>
      <c r="S25" s="464"/>
      <c r="T25" s="464"/>
      <c r="U25" s="464"/>
      <c r="V25" s="464"/>
      <c r="W25" s="464"/>
      <c r="X25" s="464"/>
      <c r="Y25" s="464"/>
      <c r="Z25" s="464"/>
      <c r="AA25" s="464"/>
      <c r="AB25" s="464"/>
      <c r="AC25" s="464"/>
      <c r="AD25" s="464"/>
      <c r="AE25" s="464"/>
      <c r="AF25" s="464"/>
      <c r="AG25" s="464"/>
      <c r="AH25" s="464"/>
      <c r="AI25" s="464"/>
      <c r="AJ25" s="464"/>
    </row>
    <row r="26" spans="1:36" s="290" customFormat="1" ht="25.5" x14ac:dyDescent="0.35">
      <c r="A26" s="287"/>
      <c r="B26" s="423" t="s">
        <v>34869</v>
      </c>
      <c r="C26" s="423"/>
      <c r="D26" s="423"/>
      <c r="E26" s="423"/>
      <c r="F26" s="423"/>
      <c r="G26" s="423"/>
      <c r="H26" s="423"/>
      <c r="I26" s="423"/>
      <c r="J26" s="423"/>
      <c r="K26" s="423"/>
      <c r="L26" s="423"/>
      <c r="M26" s="423"/>
    </row>
    <row r="27" spans="1:36" s="290" customFormat="1" ht="12.75" customHeight="1" x14ac:dyDescent="0.35">
      <c r="A27" s="287"/>
      <c r="B27" s="423"/>
      <c r="C27" s="423"/>
      <c r="D27" s="423"/>
      <c r="E27" s="423"/>
      <c r="F27" s="423"/>
      <c r="G27" s="423"/>
      <c r="H27" s="423"/>
      <c r="I27" s="423"/>
      <c r="J27" s="423"/>
      <c r="K27" s="423"/>
      <c r="L27" s="423"/>
      <c r="M27" s="423"/>
      <c r="Q27"/>
    </row>
    <row r="28" spans="1:36" s="290" customFormat="1" ht="12.75" customHeight="1" x14ac:dyDescent="0.2">
      <c r="A28" s="287"/>
      <c r="B28" s="1114" t="s">
        <v>34914</v>
      </c>
      <c r="C28" s="1114"/>
      <c r="D28" s="1114"/>
      <c r="E28" s="1114"/>
      <c r="F28" s="1114"/>
      <c r="G28" s="1114"/>
      <c r="H28" s="1114"/>
      <c r="I28" s="1114"/>
      <c r="J28" s="1114"/>
      <c r="K28" s="1114"/>
      <c r="L28" s="1114"/>
      <c r="M28" s="420"/>
      <c r="N28" s="420"/>
      <c r="O28" s="420"/>
      <c r="P28" s="420"/>
      <c r="Q28" s="420"/>
      <c r="R28" s="420"/>
    </row>
    <row r="29" spans="1:36" s="290" customFormat="1" ht="12.75" customHeight="1" x14ac:dyDescent="0.2">
      <c r="A29" s="287"/>
      <c r="B29" s="1114"/>
      <c r="C29" s="1114"/>
      <c r="D29" s="1114"/>
      <c r="E29" s="1114"/>
      <c r="F29" s="1114"/>
      <c r="G29" s="1114"/>
      <c r="H29" s="1114"/>
      <c r="I29" s="1114"/>
      <c r="J29" s="1114"/>
      <c r="K29" s="1114"/>
      <c r="L29" s="1114"/>
      <c r="M29" s="420"/>
      <c r="N29" s="420"/>
      <c r="O29" s="420"/>
      <c r="P29" s="420"/>
      <c r="Q29" s="420"/>
      <c r="R29" s="420"/>
    </row>
    <row r="30" spans="1:36" s="290" customFormat="1" ht="12.75" customHeight="1" x14ac:dyDescent="0.2">
      <c r="A30" s="287"/>
      <c r="B30" s="1114"/>
      <c r="C30" s="1114"/>
      <c r="D30" s="1114"/>
      <c r="E30" s="1114"/>
      <c r="F30" s="1114"/>
      <c r="G30" s="1114"/>
      <c r="H30" s="1114"/>
      <c r="I30" s="1114"/>
      <c r="J30" s="1114"/>
      <c r="K30" s="1114"/>
      <c r="L30" s="1114"/>
      <c r="M30" s="420"/>
      <c r="N30" s="420"/>
      <c r="O30" s="420"/>
      <c r="P30" s="420"/>
      <c r="Q30" s="420"/>
      <c r="R30" s="420"/>
    </row>
    <row r="31" spans="1:36" s="290" customFormat="1" ht="12.75" customHeight="1" x14ac:dyDescent="0.2">
      <c r="A31" s="287"/>
      <c r="B31" s="1114"/>
      <c r="C31" s="1114"/>
      <c r="D31" s="1114"/>
      <c r="E31" s="1114"/>
      <c r="F31" s="1114"/>
      <c r="G31" s="1114"/>
      <c r="H31" s="1114"/>
      <c r="I31" s="1114"/>
      <c r="J31" s="1114"/>
      <c r="K31" s="1114"/>
      <c r="L31" s="1114"/>
      <c r="M31" s="420"/>
      <c r="N31" s="420"/>
      <c r="O31" s="420"/>
      <c r="P31" s="420"/>
      <c r="Q31" s="420"/>
      <c r="R31" s="420"/>
    </row>
    <row r="32" spans="1:36" s="290" customFormat="1" ht="12.75" customHeight="1" x14ac:dyDescent="0.2">
      <c r="A32" s="287"/>
      <c r="B32" s="1114"/>
      <c r="C32" s="1114"/>
      <c r="D32" s="1114"/>
      <c r="E32" s="1114"/>
      <c r="F32" s="1114"/>
      <c r="G32" s="1114"/>
      <c r="H32" s="1114"/>
      <c r="I32" s="1114"/>
      <c r="J32" s="1114"/>
      <c r="K32" s="1114"/>
      <c r="L32" s="1114"/>
      <c r="M32" s="420"/>
      <c r="N32" s="420"/>
      <c r="O32" s="420"/>
      <c r="P32" s="420"/>
      <c r="Q32" s="420"/>
      <c r="R32" s="420"/>
    </row>
    <row r="33" spans="1:36" s="290" customFormat="1" ht="12.75" customHeight="1" x14ac:dyDescent="0.2">
      <c r="A33" s="287"/>
      <c r="B33" s="1114"/>
      <c r="C33" s="1114"/>
      <c r="D33" s="1114"/>
      <c r="E33" s="1114"/>
      <c r="F33" s="1114"/>
      <c r="G33" s="1114"/>
      <c r="H33" s="1114"/>
      <c r="I33" s="1114"/>
      <c r="J33" s="1114"/>
      <c r="K33" s="1114"/>
      <c r="L33" s="1114"/>
      <c r="M33" s="420"/>
      <c r="N33" s="420"/>
      <c r="O33" s="420"/>
      <c r="P33" s="420"/>
      <c r="Q33" s="420"/>
      <c r="R33" s="420"/>
    </row>
    <row r="34" spans="1:36" s="290" customFormat="1" ht="12.75" customHeight="1" x14ac:dyDescent="0.2">
      <c r="A34" s="287"/>
      <c r="B34" s="1114"/>
      <c r="C34" s="1114"/>
      <c r="D34" s="1114"/>
      <c r="E34" s="1114"/>
      <c r="F34" s="1114"/>
      <c r="G34" s="1114"/>
      <c r="H34" s="1114"/>
      <c r="I34" s="1114"/>
      <c r="J34" s="1114"/>
      <c r="K34" s="1114"/>
      <c r="L34" s="1114"/>
      <c r="M34" s="420"/>
      <c r="N34" s="420"/>
      <c r="O34" s="420"/>
      <c r="P34" s="420"/>
      <c r="Q34" s="420"/>
      <c r="R34" s="420"/>
    </row>
    <row r="35" spans="1:36" s="290" customFormat="1" ht="12.75" customHeight="1" x14ac:dyDescent="0.2">
      <c r="A35" s="287"/>
      <c r="B35" s="1114"/>
      <c r="C35" s="1114"/>
      <c r="D35" s="1114"/>
      <c r="E35" s="1114"/>
      <c r="F35" s="1114"/>
      <c r="G35" s="1114"/>
      <c r="H35" s="1114"/>
      <c r="I35" s="1114"/>
      <c r="J35" s="1114"/>
      <c r="K35" s="1114"/>
      <c r="L35" s="1114"/>
      <c r="M35" s="420"/>
      <c r="N35" s="420"/>
      <c r="O35" s="420"/>
      <c r="P35" s="420"/>
      <c r="Q35" s="420"/>
      <c r="R35" s="420"/>
    </row>
    <row r="36" spans="1:36" s="290" customFormat="1" ht="12.75" customHeight="1" x14ac:dyDescent="0.2">
      <c r="A36" s="287"/>
      <c r="B36" s="1114"/>
      <c r="C36" s="1114"/>
      <c r="D36" s="1114"/>
      <c r="E36" s="1114"/>
      <c r="F36" s="1114"/>
      <c r="G36" s="1114"/>
      <c r="H36" s="1114"/>
      <c r="I36" s="1114"/>
      <c r="J36" s="1114"/>
      <c r="K36" s="1114"/>
      <c r="L36" s="1114"/>
      <c r="M36" s="420"/>
      <c r="N36" s="420"/>
      <c r="O36" s="420"/>
      <c r="P36" s="420"/>
      <c r="Q36" s="420"/>
      <c r="R36" s="420"/>
    </row>
    <row r="37" spans="1:36" s="290" customFormat="1" ht="12.75" customHeight="1" x14ac:dyDescent="0.2">
      <c r="A37" s="287"/>
      <c r="B37" s="1114"/>
      <c r="C37" s="1114"/>
      <c r="D37" s="1114"/>
      <c r="E37" s="1114"/>
      <c r="F37" s="1114"/>
      <c r="G37" s="1114"/>
      <c r="H37" s="1114"/>
      <c r="I37" s="1114"/>
      <c r="J37" s="1114"/>
      <c r="K37" s="1114"/>
      <c r="L37" s="1114"/>
      <c r="M37" s="422"/>
      <c r="N37" s="422"/>
      <c r="O37" s="422"/>
      <c r="P37" s="422"/>
      <c r="Q37" s="422"/>
      <c r="R37" s="422"/>
    </row>
    <row r="38" spans="1:36" s="290" customFormat="1" ht="12.75" customHeight="1" x14ac:dyDescent="0.2">
      <c r="A38" s="287"/>
      <c r="B38" s="1114"/>
      <c r="C38" s="1114"/>
      <c r="D38" s="1114"/>
      <c r="E38" s="1114"/>
      <c r="F38" s="1114"/>
      <c r="G38" s="1114"/>
      <c r="H38" s="1114"/>
      <c r="I38" s="1114"/>
      <c r="J38" s="1114"/>
      <c r="K38" s="1114"/>
      <c r="L38" s="1114"/>
      <c r="M38" s="422"/>
      <c r="N38" s="422"/>
      <c r="O38" s="422"/>
      <c r="P38" s="422"/>
      <c r="Q38" s="422"/>
      <c r="R38" s="422"/>
    </row>
    <row r="39" spans="1:36" s="290" customFormat="1" ht="12.75" customHeight="1" x14ac:dyDescent="0.2">
      <c r="A39" s="287"/>
      <c r="B39" s="1114"/>
      <c r="C39" s="1114"/>
      <c r="D39" s="1114"/>
      <c r="E39" s="1114"/>
      <c r="F39" s="1114"/>
      <c r="G39" s="1114"/>
      <c r="H39" s="1114"/>
      <c r="I39" s="1114"/>
      <c r="J39" s="1114"/>
      <c r="K39" s="1114"/>
      <c r="L39" s="1114"/>
      <c r="M39" s="422"/>
      <c r="N39" s="422"/>
      <c r="O39" s="422"/>
      <c r="P39" s="422"/>
      <c r="Q39" s="422"/>
      <c r="R39" s="422"/>
    </row>
    <row r="40" spans="1:36" s="290" customFormat="1" ht="12.75" customHeight="1" x14ac:dyDescent="0.2">
      <c r="A40" s="287"/>
      <c r="B40" s="1114"/>
      <c r="C40" s="1114"/>
      <c r="D40" s="1114"/>
      <c r="E40" s="1114"/>
      <c r="F40" s="1114"/>
      <c r="G40" s="1114"/>
      <c r="H40" s="1114"/>
      <c r="I40" s="1114"/>
      <c r="J40" s="1114"/>
      <c r="K40" s="1114"/>
      <c r="L40" s="1114"/>
      <c r="M40" s="422"/>
      <c r="N40" s="422"/>
      <c r="O40" s="422"/>
      <c r="P40" s="422"/>
      <c r="Q40" s="422"/>
      <c r="R40" s="422"/>
    </row>
    <row r="41" spans="1:36" s="290" customFormat="1" ht="12.75" customHeight="1" x14ac:dyDescent="0.2">
      <c r="A41" s="287"/>
      <c r="B41" s="1114"/>
      <c r="C41" s="1114"/>
      <c r="D41" s="1114"/>
      <c r="E41" s="1114"/>
      <c r="F41" s="1114"/>
      <c r="G41" s="1114"/>
      <c r="H41" s="1114"/>
      <c r="I41" s="1114"/>
      <c r="J41" s="1114"/>
      <c r="K41" s="1114"/>
      <c r="L41" s="1114"/>
      <c r="M41" s="422"/>
      <c r="N41" s="422"/>
      <c r="O41" s="422"/>
      <c r="P41" s="422"/>
      <c r="Q41" s="422"/>
      <c r="R41" s="422"/>
    </row>
    <row r="42" spans="1:36" s="290" customFormat="1" ht="12.75" customHeight="1" x14ac:dyDescent="0.2">
      <c r="A42" s="287"/>
      <c r="B42" s="1114"/>
      <c r="C42" s="1114"/>
      <c r="D42" s="1114"/>
      <c r="E42" s="1114"/>
      <c r="F42" s="1114"/>
      <c r="G42" s="1114"/>
      <c r="H42" s="1114"/>
      <c r="I42" s="1114"/>
      <c r="J42" s="1114"/>
      <c r="K42" s="1114"/>
      <c r="L42" s="1114"/>
      <c r="M42" s="422"/>
      <c r="N42" s="422"/>
      <c r="O42" s="422"/>
      <c r="P42" s="422"/>
      <c r="Q42" s="422"/>
      <c r="R42" s="422"/>
    </row>
    <row r="43" spans="1:36" s="290" customFormat="1" ht="12.75" customHeight="1" thickBot="1" x14ac:dyDescent="0.25">
      <c r="A43" s="287"/>
      <c r="B43" s="1114"/>
      <c r="C43" s="1114"/>
      <c r="D43" s="1114"/>
      <c r="E43" s="1114"/>
      <c r="F43" s="1114"/>
      <c r="G43" s="1114"/>
      <c r="H43" s="1114"/>
      <c r="I43" s="1114"/>
      <c r="J43" s="1114"/>
      <c r="K43" s="1114"/>
      <c r="L43" s="1114"/>
      <c r="M43" s="422"/>
      <c r="N43" s="422"/>
      <c r="O43" s="422"/>
      <c r="P43" s="422"/>
      <c r="Q43" s="422"/>
      <c r="R43" s="422"/>
    </row>
    <row r="44" spans="1:36" s="290" customFormat="1" ht="12.75" customHeight="1" thickTop="1" x14ac:dyDescent="0.35">
      <c r="A44" s="287"/>
      <c r="B44" s="462"/>
      <c r="C44" s="462"/>
      <c r="D44" s="462"/>
      <c r="E44" s="462"/>
      <c r="F44" s="462"/>
      <c r="G44" s="462"/>
      <c r="H44" s="462"/>
      <c r="I44" s="462"/>
      <c r="J44" s="462"/>
      <c r="K44" s="462"/>
      <c r="L44" s="462"/>
      <c r="M44" s="463"/>
      <c r="N44" s="464"/>
      <c r="O44" s="464"/>
      <c r="P44" s="464"/>
      <c r="Q44" s="464"/>
      <c r="R44" s="464"/>
      <c r="S44" s="464"/>
      <c r="T44" s="464"/>
      <c r="U44" s="464"/>
      <c r="V44" s="464"/>
      <c r="W44" s="464"/>
      <c r="X44" s="464"/>
      <c r="Y44" s="464"/>
      <c r="Z44" s="464"/>
      <c r="AA44" s="464"/>
      <c r="AB44" s="464"/>
      <c r="AC44" s="464"/>
      <c r="AD44" s="464"/>
      <c r="AE44" s="464"/>
      <c r="AF44" s="464"/>
      <c r="AG44" s="464"/>
      <c r="AH44" s="464"/>
      <c r="AI44" s="464"/>
      <c r="AJ44" s="464"/>
    </row>
    <row r="45" spans="1:36" s="290" customFormat="1" ht="25.5" x14ac:dyDescent="0.35">
      <c r="A45" s="287"/>
      <c r="B45" s="423" t="s">
        <v>34873</v>
      </c>
      <c r="C45" s="423"/>
      <c r="D45" s="423"/>
      <c r="E45" s="423"/>
      <c r="F45" s="423"/>
      <c r="G45" s="423"/>
      <c r="H45" s="423"/>
      <c r="I45" s="423"/>
      <c r="J45" s="423"/>
      <c r="K45" s="423"/>
      <c r="L45" s="423"/>
      <c r="M45" s="423"/>
    </row>
    <row r="46" spans="1:36" s="290" customFormat="1" ht="12.75" customHeight="1" x14ac:dyDescent="0.35">
      <c r="A46" s="287"/>
      <c r="B46" s="423"/>
      <c r="C46" s="423"/>
      <c r="D46" s="423"/>
      <c r="E46" s="423"/>
      <c r="F46" s="423"/>
      <c r="G46" s="423"/>
      <c r="H46" s="423"/>
      <c r="I46" s="423"/>
      <c r="J46" s="423"/>
      <c r="K46" s="423"/>
      <c r="L46" s="423"/>
      <c r="M46" s="423"/>
    </row>
    <row r="47" spans="1:36" s="290" customFormat="1" ht="12.75" customHeight="1" x14ac:dyDescent="0.35">
      <c r="A47" s="287"/>
      <c r="B47" s="1114" t="s">
        <v>35134</v>
      </c>
      <c r="C47" s="1114"/>
      <c r="D47" s="1114"/>
      <c r="E47" s="1114"/>
      <c r="F47" s="1114"/>
      <c r="G47" s="1114"/>
      <c r="H47" s="1114"/>
      <c r="I47" s="1114"/>
      <c r="J47" s="1114"/>
      <c r="K47" s="1114"/>
      <c r="L47" s="1114"/>
      <c r="M47" s="423"/>
    </row>
    <row r="48" spans="1:36" s="290" customFormat="1" ht="12.75" customHeight="1" x14ac:dyDescent="0.35">
      <c r="A48" s="287"/>
      <c r="B48" s="1114"/>
      <c r="C48" s="1114"/>
      <c r="D48" s="1114"/>
      <c r="E48" s="1114"/>
      <c r="F48" s="1114"/>
      <c r="G48" s="1114"/>
      <c r="H48" s="1114"/>
      <c r="I48" s="1114"/>
      <c r="J48" s="1114"/>
      <c r="K48" s="1114"/>
      <c r="L48" s="1114"/>
      <c r="M48" s="423"/>
    </row>
    <row r="49" spans="1:13" s="290" customFormat="1" ht="12.75" customHeight="1" x14ac:dyDescent="0.35">
      <c r="A49" s="287"/>
      <c r="B49" s="1114"/>
      <c r="C49" s="1114"/>
      <c r="D49" s="1114"/>
      <c r="E49" s="1114"/>
      <c r="F49" s="1114"/>
      <c r="G49" s="1114"/>
      <c r="H49" s="1114"/>
      <c r="I49" s="1114"/>
      <c r="J49" s="1114"/>
      <c r="K49" s="1114"/>
      <c r="L49" s="1114"/>
      <c r="M49" s="423"/>
    </row>
    <row r="50" spans="1:13" s="290" customFormat="1" ht="12.75" customHeight="1" x14ac:dyDescent="0.35">
      <c r="A50" s="287"/>
      <c r="B50" s="1114"/>
      <c r="C50" s="1114"/>
      <c r="D50" s="1114"/>
      <c r="E50" s="1114"/>
      <c r="F50" s="1114"/>
      <c r="G50" s="1114"/>
      <c r="H50" s="1114"/>
      <c r="I50" s="1114"/>
      <c r="J50" s="1114"/>
      <c r="K50" s="1114"/>
      <c r="L50" s="1114"/>
      <c r="M50" s="423"/>
    </row>
    <row r="51" spans="1:13" s="290" customFormat="1" ht="12.75" customHeight="1" x14ac:dyDescent="0.35">
      <c r="A51" s="287"/>
      <c r="B51" s="1114"/>
      <c r="C51" s="1114"/>
      <c r="D51" s="1114"/>
      <c r="E51" s="1114"/>
      <c r="F51" s="1114"/>
      <c r="G51" s="1114"/>
      <c r="H51" s="1114"/>
      <c r="I51" s="1114"/>
      <c r="J51" s="1114"/>
      <c r="K51" s="1114"/>
      <c r="L51" s="1114"/>
      <c r="M51" s="423"/>
    </row>
    <row r="52" spans="1:13" s="290" customFormat="1" ht="12.75" customHeight="1" x14ac:dyDescent="0.35">
      <c r="A52" s="287"/>
      <c r="B52" s="1114"/>
      <c r="C52" s="1114"/>
      <c r="D52" s="1114"/>
      <c r="E52" s="1114"/>
      <c r="F52" s="1114"/>
      <c r="G52" s="1114"/>
      <c r="H52" s="1114"/>
      <c r="I52" s="1114"/>
      <c r="J52" s="1114"/>
      <c r="K52" s="1114"/>
      <c r="L52" s="1114"/>
      <c r="M52" s="423"/>
    </row>
    <row r="53" spans="1:13" s="290" customFormat="1" ht="12.75" customHeight="1" x14ac:dyDescent="0.35">
      <c r="A53" s="287"/>
      <c r="B53" s="1114"/>
      <c r="C53" s="1114"/>
      <c r="D53" s="1114"/>
      <c r="E53" s="1114"/>
      <c r="F53" s="1114"/>
      <c r="G53" s="1114"/>
      <c r="H53" s="1114"/>
      <c r="I53" s="1114"/>
      <c r="J53" s="1114"/>
      <c r="K53" s="1114"/>
      <c r="L53" s="1114"/>
      <c r="M53" s="423"/>
    </row>
    <row r="54" spans="1:13" s="290" customFormat="1" ht="12.75" customHeight="1" x14ac:dyDescent="0.35">
      <c r="A54" s="287"/>
      <c r="B54" s="1114"/>
      <c r="C54" s="1114"/>
      <c r="D54" s="1114"/>
      <c r="E54" s="1114"/>
      <c r="F54" s="1114"/>
      <c r="G54" s="1114"/>
      <c r="H54" s="1114"/>
      <c r="I54" s="1114"/>
      <c r="J54" s="1114"/>
      <c r="K54" s="1114"/>
      <c r="L54" s="1114"/>
      <c r="M54" s="423"/>
    </row>
    <row r="55" spans="1:13" s="290" customFormat="1" ht="12.75" customHeight="1" x14ac:dyDescent="0.35">
      <c r="A55" s="287"/>
      <c r="B55" s="1114"/>
      <c r="C55" s="1114"/>
      <c r="D55" s="1114"/>
      <c r="E55" s="1114"/>
      <c r="F55" s="1114"/>
      <c r="G55" s="1114"/>
      <c r="H55" s="1114"/>
      <c r="I55" s="1114"/>
      <c r="J55" s="1114"/>
      <c r="K55" s="1114"/>
      <c r="L55" s="1114"/>
      <c r="M55" s="423"/>
    </row>
    <row r="56" spans="1:13" s="290" customFormat="1" ht="12.75" customHeight="1" x14ac:dyDescent="0.35">
      <c r="A56" s="287"/>
      <c r="B56" s="1114"/>
      <c r="C56" s="1114"/>
      <c r="D56" s="1114"/>
      <c r="E56" s="1114"/>
      <c r="F56" s="1114"/>
      <c r="G56" s="1114"/>
      <c r="H56" s="1114"/>
      <c r="I56" s="1114"/>
      <c r="J56" s="1114"/>
      <c r="K56" s="1114"/>
      <c r="L56" s="1114"/>
      <c r="M56" s="423"/>
    </row>
    <row r="57" spans="1:13" s="290" customFormat="1" ht="12.75" customHeight="1" x14ac:dyDescent="0.35">
      <c r="A57" s="287"/>
      <c r="B57" s="1114"/>
      <c r="C57" s="1114"/>
      <c r="D57" s="1114"/>
      <c r="E57" s="1114"/>
      <c r="F57" s="1114"/>
      <c r="G57" s="1114"/>
      <c r="H57" s="1114"/>
      <c r="I57" s="1114"/>
      <c r="J57" s="1114"/>
      <c r="K57" s="1114"/>
      <c r="L57" s="1114"/>
      <c r="M57" s="423"/>
    </row>
    <row r="58" spans="1:13" s="290" customFormat="1" ht="12.75" customHeight="1" x14ac:dyDescent="0.35">
      <c r="A58" s="287"/>
      <c r="B58" s="1114"/>
      <c r="C58" s="1114"/>
      <c r="D58" s="1114"/>
      <c r="E58" s="1114"/>
      <c r="F58" s="1114"/>
      <c r="G58" s="1114"/>
      <c r="H58" s="1114"/>
      <c r="I58" s="1114"/>
      <c r="J58" s="1114"/>
      <c r="K58" s="1114"/>
      <c r="L58" s="1114"/>
      <c r="M58" s="423"/>
    </row>
    <row r="59" spans="1:13" s="290" customFormat="1" ht="12.75" customHeight="1" x14ac:dyDescent="0.35">
      <c r="A59" s="287"/>
      <c r="B59" s="1114"/>
      <c r="C59" s="1114"/>
      <c r="D59" s="1114"/>
      <c r="E59" s="1114"/>
      <c r="F59" s="1114"/>
      <c r="G59" s="1114"/>
      <c r="H59" s="1114"/>
      <c r="I59" s="1114"/>
      <c r="J59" s="1114"/>
      <c r="K59" s="1114"/>
      <c r="L59" s="1114"/>
      <c r="M59" s="423"/>
    </row>
    <row r="60" spans="1:13" s="290" customFormat="1" ht="12.75" customHeight="1" x14ac:dyDescent="0.35">
      <c r="A60" s="287"/>
      <c r="B60" s="1114"/>
      <c r="C60" s="1114"/>
      <c r="D60" s="1114"/>
      <c r="E60" s="1114"/>
      <c r="F60" s="1114"/>
      <c r="G60" s="1114"/>
      <c r="H60" s="1114"/>
      <c r="I60" s="1114"/>
      <c r="J60" s="1114"/>
      <c r="K60" s="1114"/>
      <c r="L60" s="1114"/>
      <c r="M60" s="423"/>
    </row>
    <row r="61" spans="1:13" s="290" customFormat="1" ht="12.75" customHeight="1" x14ac:dyDescent="0.35">
      <c r="A61" s="287"/>
      <c r="B61" s="1114"/>
      <c r="C61" s="1114"/>
      <c r="D61" s="1114"/>
      <c r="E61" s="1114"/>
      <c r="F61" s="1114"/>
      <c r="G61" s="1114"/>
      <c r="H61" s="1114"/>
      <c r="I61" s="1114"/>
      <c r="J61" s="1114"/>
      <c r="K61" s="1114"/>
      <c r="L61" s="1114"/>
      <c r="M61" s="423"/>
    </row>
    <row r="62" spans="1:13" s="290" customFormat="1" ht="12.75" customHeight="1" x14ac:dyDescent="0.35">
      <c r="A62" s="287"/>
      <c r="B62" s="1114"/>
      <c r="C62" s="1114"/>
      <c r="D62" s="1114"/>
      <c r="E62" s="1114"/>
      <c r="F62" s="1114"/>
      <c r="G62" s="1114"/>
      <c r="H62" s="1114"/>
      <c r="I62" s="1114"/>
      <c r="J62" s="1114"/>
      <c r="K62" s="1114"/>
      <c r="L62" s="1114"/>
      <c r="M62" s="423"/>
    </row>
    <row r="63" spans="1:13" s="290" customFormat="1" ht="12.75" customHeight="1" x14ac:dyDescent="0.35">
      <c r="A63" s="287"/>
      <c r="B63" s="423"/>
      <c r="C63" s="423"/>
      <c r="D63" s="423"/>
      <c r="E63" s="423"/>
      <c r="F63" s="423"/>
      <c r="G63" s="423"/>
      <c r="H63" s="423"/>
      <c r="I63" s="423"/>
      <c r="J63" s="423"/>
      <c r="K63" s="423"/>
      <c r="L63" s="423"/>
      <c r="M63" s="423"/>
    </row>
    <row r="64" spans="1:13" s="290" customFormat="1" ht="12.75" customHeight="1" x14ac:dyDescent="0.35">
      <c r="A64" s="287"/>
      <c r="B64" s="423"/>
      <c r="C64" s="423"/>
      <c r="D64" s="423"/>
      <c r="E64" s="423"/>
      <c r="F64" s="423"/>
      <c r="G64" s="423"/>
      <c r="H64" s="423"/>
      <c r="I64" s="423"/>
      <c r="J64" s="423"/>
      <c r="K64" s="423"/>
      <c r="L64" s="423"/>
      <c r="M64" s="423"/>
    </row>
    <row r="65" spans="1:36" s="290" customFormat="1" ht="12.75" customHeight="1" x14ac:dyDescent="0.35">
      <c r="A65" s="287"/>
      <c r="B65" s="423"/>
      <c r="C65" s="423"/>
      <c r="D65" s="423"/>
      <c r="E65" s="423"/>
      <c r="F65" s="423"/>
      <c r="G65" s="423"/>
      <c r="H65" s="423"/>
      <c r="I65" s="423"/>
      <c r="J65" s="423"/>
      <c r="K65" s="423"/>
      <c r="L65" s="423"/>
      <c r="M65" s="423"/>
    </row>
    <row r="66" spans="1:36" s="290" customFormat="1" ht="12.75" customHeight="1" x14ac:dyDescent="0.35">
      <c r="A66" s="287"/>
      <c r="B66" s="423"/>
      <c r="C66" s="423"/>
      <c r="D66" s="423"/>
      <c r="E66" s="423"/>
      <c r="F66" s="423"/>
      <c r="G66" s="423"/>
      <c r="H66" s="423"/>
      <c r="I66" s="423"/>
      <c r="J66" s="423"/>
      <c r="K66" s="423"/>
      <c r="L66" s="423"/>
      <c r="M66" s="423"/>
    </row>
    <row r="67" spans="1:36" s="290" customFormat="1" ht="12.75" customHeight="1" x14ac:dyDescent="0.35">
      <c r="A67" s="287"/>
      <c r="B67" s="423"/>
      <c r="C67" s="423"/>
      <c r="D67" s="423"/>
      <c r="E67" s="423"/>
      <c r="F67" s="423"/>
      <c r="G67" s="423"/>
      <c r="H67" s="423"/>
      <c r="I67" s="423"/>
      <c r="J67" s="423"/>
      <c r="K67" s="423"/>
      <c r="L67" s="423"/>
      <c r="M67" s="423"/>
    </row>
    <row r="68" spans="1:36" s="290" customFormat="1" ht="12.75" customHeight="1" thickBot="1" x14ac:dyDescent="0.4">
      <c r="A68" s="287"/>
      <c r="B68" s="423"/>
      <c r="C68" s="423"/>
      <c r="D68" s="423"/>
      <c r="E68" s="423"/>
      <c r="F68" s="423"/>
      <c r="G68" s="423"/>
      <c r="H68" s="423"/>
      <c r="I68" s="423"/>
      <c r="J68" s="423"/>
      <c r="K68" s="423"/>
      <c r="L68" s="423"/>
      <c r="M68" s="423"/>
    </row>
    <row r="69" spans="1:36" s="290" customFormat="1" ht="12.75" customHeight="1" thickTop="1" x14ac:dyDescent="0.35">
      <c r="A69" s="287"/>
      <c r="B69" s="462"/>
      <c r="C69" s="462"/>
      <c r="D69" s="462"/>
      <c r="E69" s="462"/>
      <c r="F69" s="462"/>
      <c r="G69" s="462"/>
      <c r="H69" s="462"/>
      <c r="I69" s="462"/>
      <c r="J69" s="462"/>
      <c r="K69" s="462"/>
      <c r="L69" s="462"/>
      <c r="M69" s="463"/>
      <c r="N69" s="464"/>
      <c r="O69" s="464"/>
      <c r="P69" s="464"/>
      <c r="Q69" s="464"/>
      <c r="R69" s="464"/>
      <c r="S69" s="464"/>
      <c r="T69" s="464"/>
      <c r="U69" s="464"/>
      <c r="V69" s="464"/>
      <c r="W69" s="464"/>
      <c r="X69" s="464"/>
      <c r="Y69" s="464"/>
      <c r="Z69" s="464"/>
      <c r="AA69" s="464"/>
      <c r="AB69" s="464"/>
      <c r="AC69" s="464"/>
      <c r="AD69" s="464"/>
      <c r="AE69" s="464"/>
      <c r="AF69" s="464"/>
      <c r="AG69" s="464"/>
      <c r="AH69" s="464"/>
      <c r="AI69" s="464"/>
      <c r="AJ69" s="464"/>
    </row>
    <row r="70" spans="1:36" s="290" customFormat="1" ht="25.5" x14ac:dyDescent="0.35">
      <c r="A70" s="287"/>
      <c r="B70" s="461" t="s">
        <v>34876</v>
      </c>
      <c r="C70" s="461"/>
      <c r="D70" s="461"/>
      <c r="E70" s="461"/>
      <c r="F70" s="461"/>
      <c r="G70" s="461"/>
      <c r="H70" s="461"/>
      <c r="I70" s="461"/>
      <c r="J70" s="461"/>
      <c r="K70" s="461"/>
      <c r="L70" s="461"/>
      <c r="M70" s="461"/>
    </row>
    <row r="71" spans="1:36" s="290" customFormat="1" ht="12.75" customHeight="1" x14ac:dyDescent="0.35">
      <c r="A71" s="287"/>
      <c r="B71" s="461"/>
      <c r="C71" s="461"/>
      <c r="D71" s="461"/>
      <c r="E71" s="461"/>
      <c r="F71" s="461"/>
      <c r="G71" s="461"/>
      <c r="H71" s="461"/>
      <c r="I71" s="461"/>
      <c r="J71" s="461"/>
      <c r="K71" s="461"/>
      <c r="L71" s="461"/>
      <c r="M71" s="461"/>
    </row>
    <row r="72" spans="1:36" s="290" customFormat="1" ht="12.75" customHeight="1" x14ac:dyDescent="0.35">
      <c r="A72" s="287"/>
      <c r="B72" s="1117" t="s">
        <v>35133</v>
      </c>
      <c r="C72" s="1117"/>
      <c r="D72" s="1117"/>
      <c r="E72" s="1117"/>
      <c r="F72" s="1117"/>
      <c r="G72" s="1117"/>
      <c r="H72" s="1117"/>
      <c r="I72" s="1117"/>
      <c r="J72" s="1117"/>
      <c r="K72" s="1117"/>
      <c r="L72" s="1117"/>
      <c r="M72" s="461"/>
    </row>
    <row r="73" spans="1:36" s="290" customFormat="1" ht="12.75" customHeight="1" x14ac:dyDescent="0.35">
      <c r="A73" s="287"/>
      <c r="B73" s="1117"/>
      <c r="C73" s="1117"/>
      <c r="D73" s="1117"/>
      <c r="E73" s="1117"/>
      <c r="F73" s="1117"/>
      <c r="G73" s="1117"/>
      <c r="H73" s="1117"/>
      <c r="I73" s="1117"/>
      <c r="J73" s="1117"/>
      <c r="K73" s="1117"/>
      <c r="L73" s="1117"/>
      <c r="M73" s="461"/>
    </row>
    <row r="74" spans="1:36" s="290" customFormat="1" ht="12.75" customHeight="1" x14ac:dyDescent="0.35">
      <c r="A74" s="287"/>
      <c r="B74" s="1117"/>
      <c r="C74" s="1117"/>
      <c r="D74" s="1117"/>
      <c r="E74" s="1117"/>
      <c r="F74" s="1117"/>
      <c r="G74" s="1117"/>
      <c r="H74" s="1117"/>
      <c r="I74" s="1117"/>
      <c r="J74" s="1117"/>
      <c r="K74" s="1117"/>
      <c r="L74" s="1117"/>
      <c r="M74" s="461"/>
    </row>
    <row r="75" spans="1:36" s="290" customFormat="1" ht="12.75" customHeight="1" x14ac:dyDescent="0.35">
      <c r="A75" s="287"/>
      <c r="B75" s="1117"/>
      <c r="C75" s="1117"/>
      <c r="D75" s="1117"/>
      <c r="E75" s="1117"/>
      <c r="F75" s="1117"/>
      <c r="G75" s="1117"/>
      <c r="H75" s="1117"/>
      <c r="I75" s="1117"/>
      <c r="J75" s="1117"/>
      <c r="K75" s="1117"/>
      <c r="L75" s="1117"/>
      <c r="M75" s="461"/>
    </row>
    <row r="76" spans="1:36" s="290" customFormat="1" ht="12.75" customHeight="1" x14ac:dyDescent="0.35">
      <c r="A76" s="287"/>
      <c r="B76" s="1117"/>
      <c r="C76" s="1117"/>
      <c r="D76" s="1117"/>
      <c r="E76" s="1117"/>
      <c r="F76" s="1117"/>
      <c r="G76" s="1117"/>
      <c r="H76" s="1117"/>
      <c r="I76" s="1117"/>
      <c r="J76" s="1117"/>
      <c r="K76" s="1117"/>
      <c r="L76" s="1117"/>
      <c r="M76" s="461"/>
    </row>
    <row r="77" spans="1:36" s="290" customFormat="1" ht="12.75" customHeight="1" x14ac:dyDescent="0.35">
      <c r="A77" s="287"/>
      <c r="B77" s="1117"/>
      <c r="C77" s="1117"/>
      <c r="D77" s="1117"/>
      <c r="E77" s="1117"/>
      <c r="F77" s="1117"/>
      <c r="G77" s="1117"/>
      <c r="H77" s="1117"/>
      <c r="I77" s="1117"/>
      <c r="J77" s="1117"/>
      <c r="K77" s="1117"/>
      <c r="L77" s="1117"/>
      <c r="M77" s="461"/>
    </row>
    <row r="78" spans="1:36" s="290" customFormat="1" ht="12.75" customHeight="1" x14ac:dyDescent="0.35">
      <c r="A78" s="287"/>
      <c r="B78" s="1117"/>
      <c r="C78" s="1117"/>
      <c r="D78" s="1117"/>
      <c r="E78" s="1117"/>
      <c r="F78" s="1117"/>
      <c r="G78" s="1117"/>
      <c r="H78" s="1117"/>
      <c r="I78" s="1117"/>
      <c r="J78" s="1117"/>
      <c r="K78" s="1117"/>
      <c r="L78" s="1117"/>
      <c r="M78" s="461"/>
    </row>
    <row r="79" spans="1:36" s="290" customFormat="1" ht="12.75" customHeight="1" x14ac:dyDescent="0.35">
      <c r="A79" s="287"/>
      <c r="B79" s="1117"/>
      <c r="C79" s="1117"/>
      <c r="D79" s="1117"/>
      <c r="E79" s="1117"/>
      <c r="F79" s="1117"/>
      <c r="G79" s="1117"/>
      <c r="H79" s="1117"/>
      <c r="I79" s="1117"/>
      <c r="J79" s="1117"/>
      <c r="K79" s="1117"/>
      <c r="L79" s="1117"/>
      <c r="M79" s="461"/>
    </row>
    <row r="80" spans="1:36" s="290" customFormat="1" ht="12.75" customHeight="1" x14ac:dyDescent="0.35">
      <c r="A80" s="287"/>
      <c r="B80" s="1117"/>
      <c r="C80" s="1117"/>
      <c r="D80" s="1117"/>
      <c r="E80" s="1117"/>
      <c r="F80" s="1117"/>
      <c r="G80" s="1117"/>
      <c r="H80" s="1117"/>
      <c r="I80" s="1117"/>
      <c r="J80" s="1117"/>
      <c r="K80" s="1117"/>
      <c r="L80" s="1117"/>
      <c r="M80" s="461"/>
    </row>
    <row r="81" spans="1:36" s="290" customFormat="1" ht="12.75" customHeight="1" x14ac:dyDescent="0.35">
      <c r="A81" s="287"/>
      <c r="B81" s="1117"/>
      <c r="C81" s="1117"/>
      <c r="D81" s="1117"/>
      <c r="E81" s="1117"/>
      <c r="F81" s="1117"/>
      <c r="G81" s="1117"/>
      <c r="H81" s="1117"/>
      <c r="I81" s="1117"/>
      <c r="J81" s="1117"/>
      <c r="K81" s="1117"/>
      <c r="L81" s="1117"/>
      <c r="M81" s="461"/>
    </row>
    <row r="82" spans="1:36" s="290" customFormat="1" ht="12.75" customHeight="1" x14ac:dyDescent="0.35">
      <c r="A82" s="287"/>
      <c r="B82" s="1117"/>
      <c r="C82" s="1117"/>
      <c r="D82" s="1117"/>
      <c r="E82" s="1117"/>
      <c r="F82" s="1117"/>
      <c r="G82" s="1117"/>
      <c r="H82" s="1117"/>
      <c r="I82" s="1117"/>
      <c r="J82" s="1117"/>
      <c r="K82" s="1117"/>
      <c r="L82" s="1117"/>
      <c r="M82" s="461"/>
    </row>
    <row r="83" spans="1:36" s="290" customFormat="1" ht="12.75" customHeight="1" x14ac:dyDescent="0.35">
      <c r="A83" s="287"/>
      <c r="B83" s="1117"/>
      <c r="C83" s="1117"/>
      <c r="D83" s="1117"/>
      <c r="E83" s="1117"/>
      <c r="F83" s="1117"/>
      <c r="G83" s="1117"/>
      <c r="H83" s="1117"/>
      <c r="I83" s="1117"/>
      <c r="J83" s="1117"/>
      <c r="K83" s="1117"/>
      <c r="L83" s="1117"/>
      <c r="M83" s="461"/>
    </row>
    <row r="84" spans="1:36" s="290" customFormat="1" ht="12.75" customHeight="1" x14ac:dyDescent="0.35">
      <c r="A84" s="287"/>
      <c r="B84" s="1117"/>
      <c r="C84" s="1117"/>
      <c r="D84" s="1117"/>
      <c r="E84" s="1117"/>
      <c r="F84" s="1117"/>
      <c r="G84" s="1117"/>
      <c r="H84" s="1117"/>
      <c r="I84" s="1117"/>
      <c r="J84" s="1117"/>
      <c r="K84" s="1117"/>
      <c r="L84" s="1117"/>
      <c r="M84" s="461"/>
    </row>
    <row r="85" spans="1:36" s="290" customFormat="1" ht="12.75" customHeight="1" x14ac:dyDescent="0.35">
      <c r="A85" s="287"/>
      <c r="B85" s="1117"/>
      <c r="C85" s="1117"/>
      <c r="D85" s="1117"/>
      <c r="E85" s="1117"/>
      <c r="F85" s="1117"/>
      <c r="G85" s="1117"/>
      <c r="H85" s="1117"/>
      <c r="I85" s="1117"/>
      <c r="J85" s="1117"/>
      <c r="K85" s="1117"/>
      <c r="L85" s="1117"/>
      <c r="M85" s="461"/>
    </row>
    <row r="86" spans="1:36" s="290" customFormat="1" ht="12.75" customHeight="1" x14ac:dyDescent="0.35">
      <c r="A86" s="287"/>
      <c r="B86" s="1117"/>
      <c r="C86" s="1117"/>
      <c r="D86" s="1117"/>
      <c r="E86" s="1117"/>
      <c r="F86" s="1117"/>
      <c r="G86" s="1117"/>
      <c r="H86" s="1117"/>
      <c r="I86" s="1117"/>
      <c r="J86" s="1117"/>
      <c r="K86" s="1117"/>
      <c r="L86" s="1117"/>
      <c r="M86" s="461"/>
    </row>
    <row r="87" spans="1:36" s="290" customFormat="1" ht="12.75" customHeight="1" x14ac:dyDescent="0.35">
      <c r="A87" s="287"/>
      <c r="B87" s="1117"/>
      <c r="C87" s="1117"/>
      <c r="D87" s="1117"/>
      <c r="E87" s="1117"/>
      <c r="F87" s="1117"/>
      <c r="G87" s="1117"/>
      <c r="H87" s="1117"/>
      <c r="I87" s="1117"/>
      <c r="J87" s="1117"/>
      <c r="K87" s="1117"/>
      <c r="L87" s="1117"/>
      <c r="M87" s="461"/>
    </row>
    <row r="88" spans="1:36" s="290" customFormat="1" ht="12.75" customHeight="1" x14ac:dyDescent="0.35">
      <c r="A88" s="287"/>
      <c r="B88" s="1117"/>
      <c r="C88" s="1117"/>
      <c r="D88" s="1117"/>
      <c r="E88" s="1117"/>
      <c r="F88" s="1117"/>
      <c r="G88" s="1117"/>
      <c r="H88" s="1117"/>
      <c r="I88" s="1117"/>
      <c r="J88" s="1117"/>
      <c r="K88" s="1117"/>
      <c r="L88" s="1117"/>
      <c r="M88" s="461"/>
    </row>
    <row r="89" spans="1:36" s="290" customFormat="1" ht="12.75" customHeight="1" thickBot="1" x14ac:dyDescent="0.4">
      <c r="A89" s="287"/>
      <c r="B89" s="1118"/>
      <c r="C89" s="1118"/>
      <c r="D89" s="1118"/>
      <c r="E89" s="1118"/>
      <c r="F89" s="1118"/>
      <c r="G89" s="1118"/>
      <c r="H89" s="1118"/>
      <c r="I89" s="1118"/>
      <c r="J89" s="1118"/>
      <c r="K89" s="1118"/>
      <c r="L89" s="1118"/>
      <c r="M89" s="465"/>
      <c r="N89" s="466"/>
      <c r="O89" s="466"/>
      <c r="P89" s="466"/>
      <c r="Q89" s="466"/>
      <c r="R89" s="466"/>
      <c r="S89" s="466"/>
      <c r="T89" s="466"/>
      <c r="U89" s="466"/>
      <c r="V89" s="466"/>
      <c r="W89" s="466"/>
    </row>
    <row r="90" spans="1:36" s="290" customFormat="1" ht="12.75" customHeight="1" thickTop="1" x14ac:dyDescent="0.35">
      <c r="A90" s="287"/>
      <c r="B90" s="462"/>
      <c r="C90" s="462"/>
      <c r="D90" s="462"/>
      <c r="E90" s="462"/>
      <c r="F90" s="462"/>
      <c r="G90" s="462"/>
      <c r="H90" s="462"/>
      <c r="I90" s="462"/>
      <c r="J90" s="462"/>
      <c r="K90" s="462"/>
      <c r="L90" s="462"/>
      <c r="M90" s="463"/>
      <c r="N90" s="464"/>
      <c r="O90" s="464"/>
      <c r="P90" s="464"/>
      <c r="Q90" s="464"/>
      <c r="R90" s="464"/>
      <c r="S90" s="464"/>
      <c r="T90" s="464"/>
      <c r="U90" s="464"/>
      <c r="V90" s="464"/>
      <c r="W90" s="464"/>
      <c r="X90" s="464"/>
      <c r="Y90" s="464"/>
      <c r="Z90" s="464"/>
      <c r="AA90" s="464"/>
      <c r="AB90" s="464"/>
      <c r="AC90" s="464"/>
      <c r="AD90" s="464"/>
      <c r="AE90" s="464"/>
      <c r="AF90" s="464"/>
      <c r="AG90" s="464"/>
      <c r="AH90" s="464"/>
      <c r="AI90" s="464"/>
      <c r="AJ90" s="464"/>
    </row>
    <row r="91" spans="1:36" s="290" customFormat="1" ht="25.5" x14ac:dyDescent="0.35">
      <c r="A91" s="287"/>
      <c r="B91" s="423" t="s">
        <v>34875</v>
      </c>
      <c r="C91" s="423"/>
      <c r="D91" s="423"/>
      <c r="E91" s="423"/>
      <c r="F91" s="423"/>
      <c r="G91" s="423"/>
      <c r="H91" s="423"/>
      <c r="I91" s="423"/>
      <c r="J91" s="423"/>
      <c r="K91" s="423"/>
      <c r="L91" s="423"/>
      <c r="M91" s="423"/>
      <c r="O91" s="424"/>
    </row>
    <row r="92" spans="1:36" s="290" customFormat="1" ht="12.75" customHeight="1" x14ac:dyDescent="0.35">
      <c r="A92" s="287"/>
      <c r="B92" s="423"/>
      <c r="C92" s="423"/>
      <c r="D92" s="423"/>
      <c r="E92" s="423"/>
      <c r="F92" s="423"/>
      <c r="G92" s="423"/>
      <c r="H92" s="423"/>
      <c r="I92" s="423"/>
      <c r="J92" s="423"/>
      <c r="K92" s="423"/>
      <c r="L92" s="423"/>
      <c r="M92" s="423"/>
    </row>
    <row r="93" spans="1:36" s="290" customFormat="1" ht="12.75" customHeight="1" x14ac:dyDescent="0.35">
      <c r="A93" s="287"/>
      <c r="B93" s="1119" t="s">
        <v>34915</v>
      </c>
      <c r="C93" s="1119"/>
      <c r="D93" s="1119"/>
      <c r="E93" s="1119"/>
      <c r="F93" s="1119"/>
      <c r="G93" s="1119"/>
      <c r="H93" s="1119"/>
      <c r="I93" s="1119"/>
      <c r="J93" s="1119"/>
      <c r="K93" s="1119"/>
      <c r="L93" s="1119"/>
      <c r="M93" s="423"/>
    </row>
    <row r="94" spans="1:36" s="290" customFormat="1" ht="12.75" customHeight="1" x14ac:dyDescent="0.35">
      <c r="A94" s="287"/>
      <c r="B94" s="1119"/>
      <c r="C94" s="1119"/>
      <c r="D94" s="1119"/>
      <c r="E94" s="1119"/>
      <c r="F94" s="1119"/>
      <c r="G94" s="1119"/>
      <c r="H94" s="1119"/>
      <c r="I94" s="1119"/>
      <c r="J94" s="1119"/>
      <c r="K94" s="1119"/>
      <c r="L94" s="1119"/>
      <c r="M94" s="423"/>
    </row>
    <row r="95" spans="1:36" s="290" customFormat="1" ht="12.75" customHeight="1" x14ac:dyDescent="0.35">
      <c r="A95" s="287"/>
      <c r="B95" s="1119"/>
      <c r="C95" s="1119"/>
      <c r="D95" s="1119"/>
      <c r="E95" s="1119"/>
      <c r="F95" s="1119"/>
      <c r="G95" s="1119"/>
      <c r="H95" s="1119"/>
      <c r="I95" s="1119"/>
      <c r="J95" s="1119"/>
      <c r="K95" s="1119"/>
      <c r="L95" s="1119"/>
      <c r="M95" s="423"/>
    </row>
    <row r="96" spans="1:36" s="290" customFormat="1" ht="12.75" customHeight="1" thickBot="1" x14ac:dyDescent="0.4">
      <c r="A96" s="287"/>
      <c r="B96" s="1119"/>
      <c r="C96" s="1119"/>
      <c r="D96" s="1119"/>
      <c r="E96" s="1119"/>
      <c r="F96" s="1119"/>
      <c r="G96" s="1119"/>
      <c r="H96" s="1119"/>
      <c r="I96" s="1119"/>
      <c r="J96" s="1119"/>
      <c r="K96" s="1119"/>
      <c r="L96" s="1119"/>
      <c r="M96" s="423"/>
    </row>
    <row r="97" spans="1:36" s="290" customFormat="1" ht="12.75" customHeight="1" thickTop="1" x14ac:dyDescent="0.35">
      <c r="A97" s="287"/>
      <c r="B97" s="462"/>
      <c r="C97" s="462"/>
      <c r="D97" s="462"/>
      <c r="E97" s="462"/>
      <c r="F97" s="462"/>
      <c r="G97" s="462"/>
      <c r="H97" s="462"/>
      <c r="I97" s="462"/>
      <c r="J97" s="462"/>
      <c r="K97" s="462"/>
      <c r="L97" s="462"/>
      <c r="M97" s="463"/>
      <c r="N97" s="464"/>
      <c r="O97" s="464"/>
      <c r="P97" s="464"/>
      <c r="Q97" s="464"/>
      <c r="R97" s="464"/>
      <c r="S97" s="464"/>
      <c r="T97" s="464"/>
      <c r="U97" s="464"/>
      <c r="V97" s="464"/>
      <c r="W97" s="464"/>
      <c r="X97" s="464"/>
      <c r="Y97" s="464"/>
      <c r="Z97" s="464"/>
      <c r="AA97" s="464"/>
      <c r="AB97" s="464"/>
      <c r="AC97" s="464"/>
      <c r="AD97" s="464"/>
      <c r="AE97" s="464"/>
      <c r="AF97" s="464"/>
      <c r="AG97" s="464"/>
      <c r="AH97" s="464"/>
      <c r="AI97" s="464"/>
      <c r="AJ97" s="464"/>
    </row>
    <row r="98" spans="1:36" ht="25.5" x14ac:dyDescent="0.35">
      <c r="B98" s="423" t="s">
        <v>34867</v>
      </c>
    </row>
    <row r="100" spans="1:36" x14ac:dyDescent="0.2">
      <c r="B100" s="1116" t="s">
        <v>34849</v>
      </c>
      <c r="C100" s="1116"/>
      <c r="D100" s="171"/>
      <c r="E100" s="171"/>
      <c r="F100" s="171"/>
      <c r="G100" s="171"/>
      <c r="H100" s="171"/>
      <c r="I100" s="171"/>
    </row>
    <row r="101" spans="1:36" ht="12.75" customHeight="1" x14ac:dyDescent="0.2">
      <c r="B101" s="1114" t="s">
        <v>35139</v>
      </c>
      <c r="C101" s="1114"/>
      <c r="D101" s="1114"/>
      <c r="E101" s="1114"/>
      <c r="F101" s="1114"/>
      <c r="G101" s="1114"/>
      <c r="H101" s="1114"/>
      <c r="I101" s="1114"/>
      <c r="J101" s="1114"/>
      <c r="K101" s="1114"/>
      <c r="L101" s="1114"/>
    </row>
    <row r="102" spans="1:36" ht="12.75" customHeight="1" x14ac:dyDescent="0.2">
      <c r="B102" s="1114"/>
      <c r="C102" s="1114"/>
      <c r="D102" s="1114"/>
      <c r="E102" s="1114"/>
      <c r="F102" s="1114"/>
      <c r="G102" s="1114"/>
      <c r="H102" s="1114"/>
      <c r="I102" s="1114"/>
      <c r="J102" s="1114"/>
      <c r="K102" s="1114"/>
      <c r="L102" s="1114"/>
    </row>
    <row r="103" spans="1:36" ht="12.75" customHeight="1" x14ac:dyDescent="0.2">
      <c r="B103" s="1114"/>
      <c r="C103" s="1114"/>
      <c r="D103" s="1114"/>
      <c r="E103" s="1114"/>
      <c r="F103" s="1114"/>
      <c r="G103" s="1114"/>
      <c r="H103" s="1114"/>
      <c r="I103" s="1114"/>
      <c r="J103" s="1114"/>
      <c r="K103" s="1114"/>
      <c r="L103" s="1114"/>
    </row>
    <row r="104" spans="1:36" ht="12.75" customHeight="1" x14ac:dyDescent="0.2">
      <c r="B104" s="1114"/>
      <c r="C104" s="1114"/>
      <c r="D104" s="1114"/>
      <c r="E104" s="1114"/>
      <c r="F104" s="1114"/>
      <c r="G104" s="1114"/>
      <c r="H104" s="1114"/>
      <c r="I104" s="1114"/>
      <c r="J104" s="1114"/>
      <c r="K104" s="1114"/>
      <c r="L104" s="1114"/>
    </row>
    <row r="105" spans="1:36" ht="12.75" customHeight="1" x14ac:dyDescent="0.2">
      <c r="B105" s="1114"/>
      <c r="C105" s="1114"/>
      <c r="D105" s="1114"/>
      <c r="E105" s="1114"/>
      <c r="F105" s="1114"/>
      <c r="G105" s="1114"/>
      <c r="H105" s="1114"/>
      <c r="I105" s="1114"/>
      <c r="J105" s="1114"/>
      <c r="K105" s="1114"/>
      <c r="L105" s="1114"/>
    </row>
    <row r="106" spans="1:36" ht="12.75" customHeight="1" x14ac:dyDescent="0.2">
      <c r="B106" s="1114"/>
      <c r="C106" s="1114"/>
      <c r="D106" s="1114"/>
      <c r="E106" s="1114"/>
      <c r="F106" s="1114"/>
      <c r="G106" s="1114"/>
      <c r="H106" s="1114"/>
      <c r="I106" s="1114"/>
      <c r="J106" s="1114"/>
      <c r="K106" s="1114"/>
      <c r="L106" s="1114"/>
    </row>
    <row r="107" spans="1:36" ht="12.75" customHeight="1" x14ac:dyDescent="0.2">
      <c r="B107" s="1114"/>
      <c r="C107" s="1114"/>
      <c r="D107" s="1114"/>
      <c r="E107" s="1114"/>
      <c r="F107" s="1114"/>
      <c r="G107" s="1114"/>
      <c r="H107" s="1114"/>
      <c r="I107" s="1114"/>
      <c r="J107" s="1114"/>
      <c r="K107" s="1114"/>
      <c r="L107" s="1114"/>
    </row>
    <row r="108" spans="1:36" ht="12.75" customHeight="1" x14ac:dyDescent="0.2">
      <c r="B108" s="1114"/>
      <c r="C108" s="1114"/>
      <c r="D108" s="1114"/>
      <c r="E108" s="1114"/>
      <c r="F108" s="1114"/>
      <c r="G108" s="1114"/>
      <c r="H108" s="1114"/>
      <c r="I108" s="1114"/>
      <c r="J108" s="1114"/>
      <c r="K108" s="1114"/>
      <c r="L108" s="1114"/>
    </row>
    <row r="109" spans="1:36" ht="91.5" customHeight="1" x14ac:dyDescent="0.2">
      <c r="B109" s="1114"/>
      <c r="C109" s="1114"/>
      <c r="D109" s="1114"/>
      <c r="E109" s="1114"/>
      <c r="F109" s="1114"/>
      <c r="G109" s="1114"/>
      <c r="H109" s="1114"/>
      <c r="I109" s="1114"/>
      <c r="J109" s="1114"/>
      <c r="K109" s="1114"/>
      <c r="L109" s="1114"/>
    </row>
    <row r="110" spans="1:36" x14ac:dyDescent="0.2">
      <c r="B110" s="171"/>
      <c r="C110" s="171"/>
      <c r="D110" s="171"/>
      <c r="E110" s="171"/>
      <c r="F110" s="171"/>
      <c r="G110" s="171"/>
      <c r="H110" s="171"/>
      <c r="I110" s="171"/>
    </row>
    <row r="111" spans="1:36" ht="15" x14ac:dyDescent="0.25">
      <c r="B111" s="1113" t="s">
        <v>34865</v>
      </c>
      <c r="C111" s="1113"/>
      <c r="D111" s="1113"/>
      <c r="E111" s="1113"/>
      <c r="F111" s="1113"/>
      <c r="G111" s="1113"/>
      <c r="H111" s="1113"/>
      <c r="I111" s="1113"/>
    </row>
    <row r="112" spans="1:36" x14ac:dyDescent="0.2">
      <c r="B112" s="171"/>
      <c r="C112" s="171"/>
      <c r="D112" s="171"/>
      <c r="E112" s="171"/>
      <c r="F112" s="171"/>
      <c r="G112" s="171"/>
      <c r="H112" s="171"/>
      <c r="I112" s="171"/>
    </row>
    <row r="113" spans="2:9" x14ac:dyDescent="0.2">
      <c r="B113" s="1124" t="s">
        <v>34860</v>
      </c>
      <c r="C113" s="1124"/>
      <c r="D113" s="171"/>
      <c r="E113" s="1124" t="s">
        <v>34856</v>
      </c>
      <c r="F113" s="1124"/>
      <c r="G113" s="171"/>
      <c r="H113" s="1124" t="s">
        <v>34851</v>
      </c>
      <c r="I113" s="1124"/>
    </row>
    <row r="114" spans="2:9" x14ac:dyDescent="0.2">
      <c r="B114" s="1121"/>
      <c r="C114" s="1121"/>
      <c r="D114" s="171"/>
      <c r="E114" s="1121"/>
      <c r="F114" s="1121"/>
      <c r="G114" s="171"/>
      <c r="H114" s="1115" t="s">
        <v>34852</v>
      </c>
      <c r="I114" s="1115"/>
    </row>
    <row r="115" spans="2:9" x14ac:dyDescent="0.2">
      <c r="B115" s="1121"/>
      <c r="C115" s="1121"/>
      <c r="D115" s="171"/>
      <c r="E115" s="171"/>
      <c r="F115" s="171"/>
      <c r="G115" s="171"/>
      <c r="H115" s="1121"/>
      <c r="I115" s="1121"/>
    </row>
    <row r="116" spans="2:9" x14ac:dyDescent="0.2">
      <c r="B116" s="1123" t="s">
        <v>34855</v>
      </c>
      <c r="C116" s="1123"/>
      <c r="D116" s="171"/>
      <c r="E116" s="1123" t="s">
        <v>34856</v>
      </c>
      <c r="F116" s="1123"/>
      <c r="G116" s="171"/>
      <c r="H116" s="1123" t="s">
        <v>34853</v>
      </c>
      <c r="I116" s="1123"/>
    </row>
    <row r="117" spans="2:9" x14ac:dyDescent="0.2">
      <c r="B117" s="1121"/>
      <c r="C117" s="1121"/>
      <c r="D117" s="171"/>
      <c r="E117" s="1122" t="s">
        <v>34857</v>
      </c>
      <c r="F117" s="1122"/>
      <c r="G117" s="171"/>
      <c r="H117" s="1121"/>
      <c r="I117" s="1121"/>
    </row>
    <row r="118" spans="2:9" x14ac:dyDescent="0.2">
      <c r="B118" s="1121"/>
      <c r="C118" s="1121"/>
      <c r="D118" s="171"/>
      <c r="E118" s="1125" t="s">
        <v>34858</v>
      </c>
      <c r="F118" s="1125"/>
      <c r="G118" s="171"/>
      <c r="H118" s="1126" t="s">
        <v>34854</v>
      </c>
      <c r="I118" s="1126"/>
    </row>
    <row r="119" spans="2:9" x14ac:dyDescent="0.2">
      <c r="B119" s="1121"/>
      <c r="C119" s="1121"/>
      <c r="D119" s="1121"/>
      <c r="E119" s="1121"/>
      <c r="F119" s="171"/>
      <c r="G119" s="171"/>
      <c r="H119" s="171"/>
      <c r="I119" s="171"/>
    </row>
    <row r="120" spans="2:9" ht="15" x14ac:dyDescent="0.25">
      <c r="B120" s="1127" t="s">
        <v>34859</v>
      </c>
      <c r="C120" s="1127"/>
      <c r="D120" s="1127"/>
      <c r="E120" s="1127"/>
      <c r="F120" s="1127"/>
      <c r="G120" s="1127"/>
      <c r="H120" s="1127"/>
      <c r="I120" s="1127"/>
    </row>
    <row r="121" spans="2:9" x14ac:dyDescent="0.2">
      <c r="B121" s="171"/>
      <c r="C121" s="171"/>
      <c r="D121" s="171"/>
      <c r="E121" s="171"/>
      <c r="F121" s="171"/>
      <c r="G121" s="171"/>
      <c r="H121" s="171"/>
      <c r="I121" s="171"/>
    </row>
    <row r="122" spans="2:9" x14ac:dyDescent="0.2">
      <c r="B122" s="1124" t="s">
        <v>34860</v>
      </c>
      <c r="C122" s="1124"/>
      <c r="D122" s="1124" t="s">
        <v>34861</v>
      </c>
      <c r="E122" s="1124"/>
      <c r="F122" s="1124"/>
      <c r="G122" s="1124" t="s">
        <v>34851</v>
      </c>
      <c r="H122" s="1124"/>
      <c r="I122" s="171"/>
    </row>
    <row r="123" spans="2:9" x14ac:dyDescent="0.2">
      <c r="B123" s="1124" t="s">
        <v>34860</v>
      </c>
      <c r="C123" s="1124"/>
      <c r="D123" s="1124" t="s">
        <v>34861</v>
      </c>
      <c r="E123" s="1124"/>
      <c r="F123" s="1124"/>
      <c r="G123" s="1115" t="s">
        <v>34852</v>
      </c>
      <c r="H123" s="1115"/>
      <c r="I123" s="171"/>
    </row>
    <row r="124" spans="2:9" x14ac:dyDescent="0.2">
      <c r="B124" s="1123" t="s">
        <v>34855</v>
      </c>
      <c r="C124" s="1123"/>
      <c r="D124" s="1123" t="s">
        <v>34862</v>
      </c>
      <c r="E124" s="1123"/>
      <c r="F124" s="1123"/>
      <c r="G124" s="1123" t="s">
        <v>34853</v>
      </c>
      <c r="H124" s="1123"/>
      <c r="I124" s="171"/>
    </row>
    <row r="125" spans="2:9" x14ac:dyDescent="0.2">
      <c r="B125" s="1123" t="s">
        <v>34855</v>
      </c>
      <c r="C125" s="1123"/>
      <c r="D125" s="1122" t="s">
        <v>34863</v>
      </c>
      <c r="E125" s="1122"/>
      <c r="F125" s="1122"/>
      <c r="G125" s="1129" t="s">
        <v>34850</v>
      </c>
      <c r="H125" s="1129"/>
      <c r="I125" s="171"/>
    </row>
    <row r="126" spans="2:9" x14ac:dyDescent="0.2">
      <c r="B126" s="1123" t="s">
        <v>34855</v>
      </c>
      <c r="C126" s="1123"/>
      <c r="D126" s="1125" t="s">
        <v>34864</v>
      </c>
      <c r="E126" s="1125"/>
      <c r="F126" s="1125"/>
      <c r="G126" s="1126" t="s">
        <v>34854</v>
      </c>
      <c r="H126" s="1126"/>
      <c r="I126" s="171"/>
    </row>
    <row r="128" spans="2:9" ht="15" x14ac:dyDescent="0.25">
      <c r="B128" s="1120" t="s">
        <v>34868</v>
      </c>
      <c r="C128" s="1120"/>
      <c r="D128" s="1120"/>
      <c r="E128" s="1120"/>
      <c r="F128" s="1120"/>
      <c r="G128" s="1120"/>
      <c r="H128" s="1120"/>
    </row>
    <row r="139" spans="2:36" ht="13.5" thickBot="1" x14ac:dyDescent="0.25"/>
    <row r="140" spans="2:36" ht="26.25" thickTop="1" x14ac:dyDescent="0.35">
      <c r="B140" s="462"/>
      <c r="C140" s="462"/>
      <c r="D140" s="462"/>
      <c r="E140" s="462"/>
      <c r="F140" s="462"/>
      <c r="G140" s="462"/>
      <c r="H140" s="462"/>
      <c r="I140" s="462"/>
      <c r="J140" s="462"/>
      <c r="K140" s="462"/>
      <c r="L140" s="462"/>
      <c r="M140" s="463"/>
      <c r="N140" s="464"/>
      <c r="O140" s="464"/>
      <c r="P140" s="464"/>
      <c r="Q140" s="464"/>
      <c r="R140" s="464"/>
      <c r="S140" s="464"/>
      <c r="T140" s="464"/>
      <c r="U140" s="464"/>
      <c r="V140" s="464"/>
      <c r="W140" s="464"/>
      <c r="X140" s="464"/>
      <c r="Y140" s="464"/>
      <c r="Z140" s="464"/>
      <c r="AA140" s="464"/>
      <c r="AB140" s="464"/>
      <c r="AC140" s="464"/>
      <c r="AD140" s="464"/>
      <c r="AE140" s="464"/>
      <c r="AF140" s="464"/>
      <c r="AG140" s="464"/>
      <c r="AH140" s="464"/>
      <c r="AI140" s="464"/>
      <c r="AJ140" s="464"/>
    </row>
    <row r="141" spans="2:36" ht="25.5" x14ac:dyDescent="0.35">
      <c r="B141" s="423" t="s">
        <v>35110</v>
      </c>
    </row>
    <row r="142" spans="2:36" ht="15" x14ac:dyDescent="0.2">
      <c r="B142" s="500"/>
    </row>
    <row r="143" spans="2:36" ht="15" customHeight="1" x14ac:dyDescent="0.25">
      <c r="B143" s="504" t="s">
        <v>35111</v>
      </c>
      <c r="C143" s="504"/>
      <c r="D143" s="504"/>
      <c r="E143" s="504"/>
      <c r="F143" s="504"/>
      <c r="G143" s="504"/>
      <c r="H143" s="504"/>
      <c r="I143" s="504"/>
      <c r="J143" s="504"/>
      <c r="K143" s="504"/>
      <c r="L143" s="504"/>
      <c r="M143" s="504"/>
      <c r="N143" s="504"/>
      <c r="O143" s="504"/>
      <c r="P143" s="504"/>
      <c r="Q143" s="504"/>
      <c r="R143" s="504"/>
      <c r="S143" s="504"/>
      <c r="T143" s="504"/>
      <c r="U143" s="504"/>
    </row>
    <row r="144" spans="2:36" ht="15" x14ac:dyDescent="0.2">
      <c r="B144" s="500"/>
    </row>
    <row r="145" spans="2:36" ht="15" customHeight="1" x14ac:dyDescent="0.25">
      <c r="B145" s="1113" t="s">
        <v>35112</v>
      </c>
      <c r="C145" s="1113"/>
      <c r="D145" s="1113"/>
      <c r="E145" s="1113"/>
      <c r="F145" s="1113"/>
      <c r="G145" s="1113"/>
      <c r="H145" s="1113"/>
      <c r="I145" s="1113"/>
      <c r="J145" s="1113"/>
      <c r="K145" s="1113"/>
      <c r="L145" s="1113"/>
      <c r="M145" s="1113"/>
      <c r="N145" s="1113"/>
      <c r="O145" s="1113"/>
      <c r="P145" s="1113"/>
      <c r="Q145" s="1113"/>
      <c r="R145" s="1113"/>
      <c r="S145" s="1113"/>
      <c r="T145" s="1113"/>
      <c r="U145" s="1113"/>
    </row>
    <row r="146" spans="2:36" x14ac:dyDescent="0.2">
      <c r="B146" s="501" t="s">
        <v>35113</v>
      </c>
    </row>
    <row r="147" spans="2:36" ht="15" x14ac:dyDescent="0.2">
      <c r="B147" s="500"/>
    </row>
    <row r="148" spans="2:36" ht="15" x14ac:dyDescent="0.25">
      <c r="B148" s="1113" t="s">
        <v>35114</v>
      </c>
      <c r="C148" s="1113"/>
      <c r="D148" s="1113"/>
      <c r="E148" s="1113"/>
      <c r="F148" s="1113"/>
      <c r="G148" s="1113"/>
      <c r="H148" s="1113"/>
      <c r="I148" s="1113"/>
      <c r="J148" s="1113"/>
      <c r="K148" s="1113"/>
      <c r="L148" s="1113"/>
      <c r="M148" s="1113"/>
      <c r="N148" s="1113"/>
      <c r="O148" s="1113"/>
      <c r="P148" s="1113"/>
      <c r="Q148" s="1113"/>
      <c r="R148" s="1113"/>
      <c r="S148" s="1113"/>
      <c r="T148" s="1113"/>
      <c r="U148" s="1113"/>
    </row>
    <row r="149" spans="2:36" x14ac:dyDescent="0.2">
      <c r="B149" s="501" t="s">
        <v>35115</v>
      </c>
    </row>
    <row r="150" spans="2:36" ht="15" x14ac:dyDescent="0.2">
      <c r="B150" s="500"/>
    </row>
    <row r="151" spans="2:36" ht="15" x14ac:dyDescent="0.25">
      <c r="B151" s="1113" t="s">
        <v>35116</v>
      </c>
      <c r="C151" s="1113"/>
      <c r="D151" s="1113"/>
      <c r="E151" s="1113"/>
      <c r="F151" s="1113"/>
      <c r="G151" s="1113"/>
      <c r="H151" s="1113"/>
      <c r="I151" s="1113"/>
      <c r="J151" s="1113"/>
      <c r="K151" s="1113"/>
      <c r="L151" s="1113"/>
      <c r="M151" s="1113"/>
      <c r="N151" s="1113"/>
      <c r="O151" s="1113"/>
      <c r="P151" s="1113"/>
      <c r="Q151" s="1113"/>
      <c r="R151" s="1113"/>
      <c r="S151" s="1113"/>
      <c r="T151" s="1113"/>
      <c r="U151" s="1113"/>
    </row>
    <row r="152" spans="2:36" x14ac:dyDescent="0.2">
      <c r="B152" s="501" t="s">
        <v>35117</v>
      </c>
    </row>
    <row r="153" spans="2:36" ht="15" x14ac:dyDescent="0.2">
      <c r="B153" s="500"/>
    </row>
    <row r="154" spans="2:36" ht="15" x14ac:dyDescent="0.25">
      <c r="B154" s="1113" t="s">
        <v>35118</v>
      </c>
      <c r="C154" s="1113"/>
      <c r="D154" s="1113"/>
      <c r="E154" s="1113"/>
      <c r="F154" s="1113"/>
      <c r="G154" s="1113"/>
      <c r="H154" s="1113"/>
      <c r="I154" s="1113"/>
      <c r="J154" s="1113"/>
      <c r="K154" s="1113"/>
      <c r="L154" s="1113"/>
      <c r="M154" s="1113"/>
      <c r="N154" s="1113"/>
      <c r="O154" s="1113"/>
      <c r="P154" s="1113"/>
      <c r="Q154" s="1113"/>
      <c r="R154" s="1113"/>
      <c r="S154" s="1113"/>
      <c r="T154" s="1113"/>
      <c r="U154" s="1113"/>
    </row>
    <row r="155" spans="2:36" ht="13.5" thickBot="1" x14ac:dyDescent="0.25"/>
    <row r="156" spans="2:36" ht="26.25" thickTop="1" x14ac:dyDescent="0.35">
      <c r="B156" s="462"/>
      <c r="C156" s="462"/>
      <c r="D156" s="462"/>
      <c r="E156" s="462"/>
      <c r="F156" s="462"/>
      <c r="G156" s="462"/>
      <c r="H156" s="462"/>
      <c r="I156" s="462"/>
      <c r="J156" s="462"/>
      <c r="K156" s="462"/>
      <c r="L156" s="462"/>
      <c r="M156" s="463"/>
      <c r="N156" s="464"/>
      <c r="O156" s="464"/>
      <c r="P156" s="464"/>
      <c r="Q156" s="464"/>
      <c r="R156" s="464"/>
      <c r="S156" s="464"/>
      <c r="T156" s="464"/>
      <c r="U156" s="464"/>
      <c r="V156" s="464"/>
      <c r="W156" s="464"/>
      <c r="X156" s="464"/>
      <c r="Y156" s="464"/>
      <c r="Z156" s="464"/>
      <c r="AA156" s="464"/>
      <c r="AB156" s="464"/>
      <c r="AC156" s="464"/>
      <c r="AD156" s="464"/>
      <c r="AE156" s="464"/>
      <c r="AF156" s="464"/>
      <c r="AG156" s="464"/>
      <c r="AH156" s="464"/>
      <c r="AI156" s="464"/>
      <c r="AJ156" s="464"/>
    </row>
    <row r="157" spans="2:36" ht="25.5" x14ac:dyDescent="0.35">
      <c r="B157" s="423" t="s">
        <v>35120</v>
      </c>
    </row>
    <row r="159" spans="2:36" x14ac:dyDescent="0.2">
      <c r="B159" t="s">
        <v>35121</v>
      </c>
    </row>
    <row r="160" spans="2:36" x14ac:dyDescent="0.2">
      <c r="B160" s="499" t="s">
        <v>35109</v>
      </c>
    </row>
    <row r="162" spans="2:2" x14ac:dyDescent="0.2">
      <c r="B162" t="s">
        <v>35122</v>
      </c>
    </row>
    <row r="164" spans="2:2" x14ac:dyDescent="0.2">
      <c r="B164" t="s">
        <v>35131</v>
      </c>
    </row>
  </sheetData>
  <sheetProtection algorithmName="SHA-512" hashValue="qyoNxo5c9/inGv2RTBK3No1oQddTG6eBAyOLloM9ulOhGJxXDVqKRn3eq5atrTagg1p+u3yj9nXXSwrnF9OCPw==" saltValue="wq2wdRwxm3eBWLEbAjV8FA==" spinCount="100000" sheet="1" objects="1" scenarios="1"/>
  <mergeCells count="49">
    <mergeCell ref="B18:L20"/>
    <mergeCell ref="B23:L24"/>
    <mergeCell ref="B126:C126"/>
    <mergeCell ref="D126:F126"/>
    <mergeCell ref="G126:H126"/>
    <mergeCell ref="B124:C124"/>
    <mergeCell ref="D124:F124"/>
    <mergeCell ref="G124:H124"/>
    <mergeCell ref="B125:C125"/>
    <mergeCell ref="D125:F125"/>
    <mergeCell ref="G125:H125"/>
    <mergeCell ref="B122:C122"/>
    <mergeCell ref="D122:F122"/>
    <mergeCell ref="G122:H122"/>
    <mergeCell ref="B123:C123"/>
    <mergeCell ref="D123:F123"/>
    <mergeCell ref="E118:F118"/>
    <mergeCell ref="H118:I118"/>
    <mergeCell ref="B119:C119"/>
    <mergeCell ref="D119:E119"/>
    <mergeCell ref="B120:I120"/>
    <mergeCell ref="B28:L43"/>
    <mergeCell ref="B115:C115"/>
    <mergeCell ref="H115:I115"/>
    <mergeCell ref="B116:C116"/>
    <mergeCell ref="E116:F116"/>
    <mergeCell ref="H116:I116"/>
    <mergeCell ref="B113:C113"/>
    <mergeCell ref="E113:F113"/>
    <mergeCell ref="H113:I113"/>
    <mergeCell ref="B114:C114"/>
    <mergeCell ref="E114:F114"/>
    <mergeCell ref="B101:L109"/>
    <mergeCell ref="B148:U148"/>
    <mergeCell ref="B151:U151"/>
    <mergeCell ref="B154:U154"/>
    <mergeCell ref="B145:U145"/>
    <mergeCell ref="B47:L62"/>
    <mergeCell ref="H114:I114"/>
    <mergeCell ref="B100:C100"/>
    <mergeCell ref="B111:I111"/>
    <mergeCell ref="B72:L89"/>
    <mergeCell ref="B93:L96"/>
    <mergeCell ref="B128:H128"/>
    <mergeCell ref="B117:C117"/>
    <mergeCell ref="E117:F117"/>
    <mergeCell ref="H117:I117"/>
    <mergeCell ref="B118:C118"/>
    <mergeCell ref="G123:H123"/>
  </mergeCells>
  <hyperlinks>
    <hyperlink ref="B160" r:id="rId1"/>
    <hyperlink ref="B145" r:id="rId2" display="mailto:cers3@mcga.gov.uk"/>
    <hyperlink ref="B146" r:id="rId3"/>
    <hyperlink ref="B148" r:id="rId4" display="mailto:environment@mcga.gov.uk"/>
    <hyperlink ref="B149" r:id="rId5"/>
    <hyperlink ref="B152" r:id="rId6"/>
  </hyperlinks>
  <pageMargins left="0.7" right="0.7" top="0.75" bottom="0.75" header="0.3" footer="0.3"/>
  <pageSetup paperSize="9" orientation="portrait" r:id="rId7"/>
  <drawing r:id="rId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Z1799"/>
  <sheetViews>
    <sheetView topLeftCell="L1" zoomScale="85" zoomScaleNormal="85" workbookViewId="0">
      <selection activeCell="X2" sqref="X2"/>
    </sheetView>
  </sheetViews>
  <sheetFormatPr defaultRowHeight="12.75" x14ac:dyDescent="0.2"/>
  <cols>
    <col min="1" max="1" width="11.5703125" customWidth="1"/>
    <col min="2" max="2" width="38.5703125" customWidth="1"/>
    <col min="3" max="3" width="2.7109375" customWidth="1"/>
    <col min="4" max="4" width="15.28515625" customWidth="1"/>
    <col min="5" max="5" width="45.42578125" customWidth="1"/>
    <col min="6" max="6" width="3.42578125" customWidth="1"/>
    <col min="7" max="7" width="24.140625" customWidth="1"/>
    <col min="8" max="8" width="44.85546875" customWidth="1"/>
    <col min="9" max="9" width="3.42578125" customWidth="1"/>
    <col min="10" max="10" width="15.140625" customWidth="1"/>
    <col min="11" max="11" width="104.5703125" customWidth="1"/>
    <col min="12" max="12" width="3" customWidth="1"/>
    <col min="15" max="15" width="3" customWidth="1"/>
    <col min="16" max="16" width="10.28515625" bestFit="1" customWidth="1"/>
    <col min="17" max="17" width="10.85546875" customWidth="1"/>
  </cols>
  <sheetData>
    <row r="1" spans="1:26" x14ac:dyDescent="0.2">
      <c r="A1" t="s">
        <v>73</v>
      </c>
      <c r="B1" t="str">
        <f>VLOOKUP(FALSE,A5:B99,2, 0)</f>
        <v xml:space="preserve">‘Current security level’ is required </v>
      </c>
      <c r="C1" t="s">
        <v>33308</v>
      </c>
      <c r="D1" t="s">
        <v>72</v>
      </c>
      <c r="E1" t="str">
        <f>VLOOKUP(FALSE,D5:E136,2, 0)</f>
        <v>‘Waste delivery status’ is required</v>
      </c>
      <c r="F1" t="s">
        <v>33308</v>
      </c>
      <c r="G1" t="s">
        <v>33370</v>
      </c>
      <c r="H1" t="str">
        <f>VLOOKUP(FALSE,G5:H1799,2, 0)</f>
        <v>‘Hazmat on board‘ is required</v>
      </c>
      <c r="I1" t="s">
        <v>33308</v>
      </c>
      <c r="J1" t="s">
        <v>33371</v>
      </c>
      <c r="K1" t="str">
        <f>VLOOKUP(FALSE,J5:K1799,2, 0)</f>
        <v>‘Hazmat on board‘ is required</v>
      </c>
      <c r="L1" t="s">
        <v>33308</v>
      </c>
      <c r="M1" t="s">
        <v>33332</v>
      </c>
      <c r="N1" t="str">
        <f>VLOOKUP(FALSE,M5:N17,2, 0)</f>
        <v>At least two of ‘IMO number’, ‘Ship name’, ‘Call sign’ and ‘MMSI number’ must be given</v>
      </c>
      <c r="P1" t="s">
        <v>7</v>
      </c>
      <c r="Q1" t="str">
        <f>VLOOKUP(FALSE,P5:Q24,2, 0)</f>
        <v xml:space="preserve">‘Port of call LOCODE' required and must be exactly 5 characters </v>
      </c>
      <c r="T1" t="s">
        <v>33512</v>
      </c>
      <c r="U1" t="s">
        <v>33762</v>
      </c>
      <c r="V1" t="s">
        <v>33763</v>
      </c>
      <c r="W1" s="525" t="s">
        <v>35152</v>
      </c>
      <c r="X1" s="35" t="e">
        <f>VLOOKUP(FALSE,W5:X25,2, 0)</f>
        <v>#N/A</v>
      </c>
      <c r="Y1" s="35" t="s">
        <v>35153</v>
      </c>
      <c r="Z1" s="35" t="e">
        <f>VLOOKUP(FALSE,Y5:Z25,2, 0)</f>
        <v>#N/A</v>
      </c>
    </row>
    <row r="2" spans="1:26" x14ac:dyDescent="0.2">
      <c r="A2" t="str">
        <f>IF(SEC_EMPTY_RES=TRUE,"Empty",IF(SEC_VALID=TRUE,"Valid","Invalid"))</f>
        <v>Empty</v>
      </c>
      <c r="B2" t="s">
        <v>33825</v>
      </c>
      <c r="C2" t="s">
        <v>33308</v>
      </c>
      <c r="D2" t="str">
        <f>IF(WAS_EMPTY_RES=TRUE,"Empty",IF(WAS_VALID=TRUE,"Valid","Invalid"))</f>
        <v>Empty</v>
      </c>
      <c r="E2" t="s">
        <v>33825</v>
      </c>
      <c r="F2" t="s">
        <v>33308</v>
      </c>
      <c r="G2" t="str">
        <f>IF(IHZ_EMPTY_RES=TRUE,"Empty",IF(IHZ_VALID=TRUE,"Valid","Invalid"))</f>
        <v>Empty</v>
      </c>
      <c r="H2" t="s">
        <v>33825</v>
      </c>
      <c r="I2" t="s">
        <v>33308</v>
      </c>
      <c r="J2" t="str">
        <f>IF(OHZ_EMPTY_RES=TRUE,"Empty",IF(OHZ_VALID=TRUE,"Valid","Invalid"))</f>
        <v>Empty</v>
      </c>
      <c r="K2" t="s">
        <v>33825</v>
      </c>
      <c r="L2" t="s">
        <v>33308</v>
      </c>
      <c r="M2" t="str">
        <f>IF(VES_EMPTY_RES=TRUE,"Empty",IF(VES_VALID=TRUE,"Valid","Invalid"))</f>
        <v>Empty</v>
      </c>
      <c r="N2" t="s">
        <v>33825</v>
      </c>
      <c r="P2" t="str">
        <f>IF(VOY_EMPTY_RES=TRUE,"Empty",IF(VOY_VALID=TRUE,"Valid","Invalid"))</f>
        <v>Empty</v>
      </c>
      <c r="Q2" t="s">
        <v>33825</v>
      </c>
      <c r="T2" t="s">
        <v>33513</v>
      </c>
      <c r="V2" t="s">
        <v>33764</v>
      </c>
      <c r="W2" s="525" t="str">
        <f>IF(IBK_EMPTY_RES=TRUE,"Empty",IF(IBK_VALID=TRUE,"Valid","Invalid"))</f>
        <v>Empty</v>
      </c>
      <c r="X2" s="35" t="s">
        <v>33825</v>
      </c>
      <c r="Y2" s="525" t="str">
        <f>IF(OBK_EMPTY_RES=TRUE,"Empty",IF(OBK_VALID=TRUE,"Valid","Invalid"))</f>
        <v>Empty</v>
      </c>
      <c r="Z2" s="35" t="s">
        <v>33825</v>
      </c>
    </row>
    <row r="3" spans="1:26" x14ac:dyDescent="0.2">
      <c r="A3" t="b">
        <f>AND(INDEX(SEC_AVD_LASTUKVISIT,1,1)="",INDEX(SEC_AVD_REPSHIPLOC,1,1)="",INDEX(SEC_CSO_FIRSTNAME,1,1)="",INDEX(SEC_CSO_LASTNAME,1,1)="",INDEX(SEC_CSO_PHONE,1,1)="",INDEX(SEC_CSO_FAX,1,1)="",INDEX(SEC_CSO_EMAIL,1,1)="",INDEX(SEC_AGENT_NAME,1,1)="",INDEX(SEC_AGENT_PHONE,1,1)="",INDEX(SEC_AGENT_FAX,1,1)="",INDEX(SEC_AGENT_EMAIL,1,1)="",INDEX(SEC_ISSC_TYPE,1,1)="",INDEX(SEC_ISSC_NUMBER,1,1)="",INDEX(SEC_ISSC_ISSUERTYPE,1,1)="",INDEX(SEC_ISSC_ISSUER,1,1)="",INDEX(SEC_ISSC_EXPIRY,1,1)="",INDEX(SEC_ISSC_ISVALID,1,1)="",INDEX(SEC_ISSC_REASON,1,1)="",INDEX(SEC_CURRENTSEC,1,1)="",INDEX(SEC_SECURITYPL,1,1)="",INDEX(SEC_PAS_PASSENGERS,1,1)="",INDEX(SEC_PAS_CREWLIST,1,1)="",INDEX(SEC_RSM_RSM,1,1)="",INDEX(SEC_RSM_DESC,1,1)="",INDEX(SEC_PURPOSE,1,1)="",INDEX(SEC_LAST_DATEOFARRI,1,1)="",INDEX(SEC_LAST_DATEOFDEPT,1,1)="",INDEX(SEC_LAST_COUNTRY,1,1)="",INDEX(SEC_LAST_FACNAME,1,1)="",INDEX(SEC_LAST_PORT,1,1)="",INDEX(SEC_LAST_PORTFAC,1,1)="",INDEX(SEC_LAST_SECLEVEL,1,1)="",INDEX(SEC_LAST_SECMEASURE,1,1)="",INDEX(SEC_SHIP_DATEFROM,1,1)="",INDEX(SEC_SHIP_DATETO,1,1)="",INDEX(SEC_SHIP_LATITUDE,1,1)="",INDEX(SEC_SHIP_LONGITUDE,1,1)="",INDEX(SEC_SHIP_LOCATION,1,1)="",INDEX(SEC_SHIP_ACTIVITY,1,1)="",INDEX(SEC_SHIP_SECURITYME,1,1)="")</f>
        <v>1</v>
      </c>
      <c r="B3" t="s">
        <v>33824</v>
      </c>
      <c r="C3" t="s">
        <v>33308</v>
      </c>
      <c r="D3" t="b">
        <f>AND(INDEX(WAS_LOC_LOCODE,1,1)="",INDEX(WAS_LOC_LOCNAME,1,1)="",INDEX(WAS_OVE_LASTPORT,1,1)="",INDEX(WAS_OVE_LASTDATE,1,1)="",INDEX(WAS_OVE_STATUS,1,1)="")</f>
        <v>1</v>
      </c>
      <c r="E3" t="s">
        <v>33824</v>
      </c>
      <c r="F3" t="s">
        <v>33308</v>
      </c>
      <c r="G3" t="b">
        <f>AND(INDEX(IHZ_DET_HAZONBOARD,1,1)="",INDEX(IHZ_DET_INFSHIPCLA,1,1)="",INDEX(IHZ_CON_FIRSTNAME,1,1)="",INDEX(IHZ_CON_LASTNAME,1,1)="",INDEX(IHZ_CON_LOCODE,1,1)="",INDEX(IHZ_CON_PHONE,1,1)="",INDEX(IHZ_CON_FAX,1,1)="",INDEX(IHZ_CON_EMAIL,1,1)="",INDEX(IHZ_DET_URL,1,1)="",INDEX(IHZ_DET_DOCTYPE,1,1)="",INDEX(IHZ_HAZ_CONSIGNMENT,1,1)="",INDEX(IHZ_HAZ_TRANSDOCID,1,1)="",INDEX(IHZ_HAZ_PORTOFLOADING,1,1)="",INDEX(IHZ_HAZ_PORTOFDISCHARGE,1,1)="",INDEX(IHZ_HAZ_DPGREF,1,1)="",INDEX(IHZ_HAZ_DGCLASSIFI,1,1)="",INDEX(IHZ_HAZ_TEXTUALREF,1,1)="",INDEX(IHZ_HAZ_IMOHAZARDC,1,1)="",INDEX(IHZ_HAZ_UNNUMBER,1,1)="",INDEX(IHZ_HAZ_TOTAMOUNT,1,1)="",INDEX(IHZ_HAZ_PACKINGGRO,1,1)="",INDEX(IHZ_HAZ_FLASHPOINT,1,1)="",INDEX(IHZ_HAZ_MARPOLCODE,1,1)="",INDEX(IHZ_HAZ_PACTYPE,1,1)="",INDEX(IHZ_HAZ_TOTALPACKA,1,1)="",INDEX(IHZ_HAZ_ADDITIONAL,1,1)="",INDEX(IHZ_HAZ_EMS,1,1)="",INDEX(IHZ_HAZ_SUBSIDIARY,1,1)="",INDEX(IHZ_HAZ_UNITTYPE,1,1)="",INDEX(IHZ_HAZ_TEUID,1,1)="",INDEX(IHZ_HAZ_LOCATION,1,1)="",INDEX(IHZ_HAZ_PACKAGES,1,1)="",INDEX(IHZ_HAZ_AMOUNT,1,1)="")</f>
        <v>1</v>
      </c>
      <c r="H3" t="s">
        <v>33824</v>
      </c>
      <c r="I3" t="s">
        <v>33308</v>
      </c>
      <c r="J3" t="b">
        <f>AND(INDEX(OHZ_DET_HAZONBOARD,1,1)="",INDEX(OHZ_DET_INFSHIPCLA,1,1)="",INDEX(OHZ_CON_FIRSTNAME,1,1)="",INDEX(OHZ_CON_LASTNAME,1,1)="",INDEX(OHZ_CON_LOCODE,1,1)="",INDEX(OHZ_CON_PHONE,1,1)="",INDEX(OHZ_CON_FAX,1,1)="",INDEX(OHZ_CON_EMAIL,1,1)="",INDEX(OHZ_DET_URL,1,1)="",INDEX(OHZ_DET_DOCTYPE,1,1)="",INDEX(OHZ_HAZ_CONSIGNMENT,1,1)="",INDEX(OHZ_HAZ_TRANSDOCID,1,1)="",INDEX(OHZ_HAZ_PORTOFLOADING,1,1)="",INDEX(OHZ_HAZ_PORTOFDISCHARGE,1,1)="",INDEX(OHZ_HAZ_DPGREF,1,1)="",INDEX(OHZ_HAZ_DGCLASSIFI,1,1)="",INDEX(OHZ_HAZ_TEXTUALREF,1,1)="",INDEX(OHZ_HAZ_IMOHAZARDC,1,1)="",INDEX(OHZ_HAZ_UNNUMBER,1,1)="",INDEX(OHZ_HAZ_TOTAMOUNT,1,1)="",INDEX(OHZ_HAZ_PACKINGGRO,1,1)="",INDEX(OHZ_HAZ_FLASHPOINT,1,1)="",INDEX(OHZ_HAZ_MARPOLCODE,1,1)="",INDEX(OHZ_HAZ_PACTYPE,1,1)="",INDEX(OHZ_HAZ_TOTALPACKA,1,1)="",INDEX(OHZ_HAZ_ADDITIONAL,1,1)="",INDEX(OHZ_HAZ_EMS,1,1)="",INDEX(OHZ_HAZ_SUBSIDIARY,1,1)="",INDEX(OHZ_HAZ_UNITTYPE,1,1)="",INDEX(OHZ_HAZ_TEUID,1,1)="",INDEX(OHZ_HAZ_LOCATION,1,1)="",INDEX(OHZ_HAZ_PACKAGES,1,1)="",INDEX(OHZ_HAZ_AMOUNT,1,1)="")</f>
        <v>1</v>
      </c>
      <c r="K3" t="s">
        <v>33824</v>
      </c>
      <c r="L3" t="s">
        <v>33308</v>
      </c>
      <c r="M3" t="b">
        <f>AND(INDEX(VES_VID_IMO,1,1)="",INDEX(VES_VID_SHIPNAME,1,1)="",INDEX(VES_VID_CALLSIGN,1,1)="",INDEX(VES_VID_MMSI,1,1)="",INDEX(VES_VID_MMSI,1,1)="",INDEX(VES_VDE_GROSSTONNA,1,1)="",INDEX(VES_VDE_SHIPTYPE,1,1)="",INDEX(VES_REG_REGDATE,1,1)="",INDEX(VES_REG_REGNUMBER,1,1)="",INDEX(VES_REG_REGCOMPNAM,1,1)="",INDEX(VES_REG_REGCOMPIMO,1,1)="",INDEX(VES_INMARSAT,1,1)="",INDEX(VES_INMARSAT,2,1)="",INDEX(VES_INMARSAT,3,1)="",INDEX(VES_INMARSAT,4,1)="",INDEX(VES_INMARSAT,5,1)="")</f>
        <v>1</v>
      </c>
      <c r="N3" t="s">
        <v>33824</v>
      </c>
      <c r="O3" t="s">
        <v>33308</v>
      </c>
      <c r="P3" t="b">
        <f>AND(INDEX(VOY_VOY_PORTFACILI,1,1)="",INDEX(VOY_VOY_POSIINPORT,1,1)="",INDEX(VOY_VOY_ETA,1,1)="",VOY_VOY_PORTOFCALL="Select port of call from cell above…",VOY_VOY_LASTPORT="Select last port from cell above…",VOY_VOY_NEXTPORT="Select next port from cell above…",INDEX(VOY_VOY_ETD,1,1)="",INDEX(VOY_VOY_ETDFROMPOC,1,1)="",INDEX(VOY_VOY_ETATONEXTP,1,1)="",INDEX(VOY_VOY_BRIEFCARGO,1,1)="",INDEX(VOY_POBPOC,1,1)="",INDEX(VOY_ARR_ATA,1,1)="",INDEX(VOY_ARR_ANCHORAGE,1,1)="",INDEX(VOY_DEP_ATD,1,1)="",INDEX(VOY_DEP_POBNEXTPOC,1,1)="")</f>
        <v>1</v>
      </c>
      <c r="Q3" t="s">
        <v>33824</v>
      </c>
      <c r="T3" t="s">
        <v>33514</v>
      </c>
      <c r="V3" t="s">
        <v>33765</v>
      </c>
      <c r="W3" s="525" t="b">
        <f>IF(AND(IBK_BNK_BNKONBOARD="",INDEX(IBK_BNK_QUANTITY,1,1)="",INDEX(IBK_BNK_TYPE,1,1)),TRUE,FALSE)</f>
        <v>1</v>
      </c>
      <c r="X3" t="s">
        <v>33824</v>
      </c>
      <c r="Y3" t="b">
        <f>IF(AND(OBK_BNK_BNKONBOARD="",INDEX(OBK_BNK_QUANTITY,1,1)="",INDEX(OBK_BNK_TYPE,1,1)),TRUE,FALSE)</f>
        <v>1</v>
      </c>
      <c r="Z3" s="35" t="s">
        <v>33824</v>
      </c>
    </row>
    <row r="4" spans="1:26" x14ac:dyDescent="0.2">
      <c r="A4" t="b">
        <f ca="1">(COUNTIF(A5:A99,FALSE)&lt;1)</f>
        <v>0</v>
      </c>
      <c r="B4" t="s">
        <v>33372</v>
      </c>
      <c r="C4" t="s">
        <v>33308</v>
      </c>
      <c r="D4" t="b">
        <f>(COUNTIF(D5:D136,FALSE)&lt;1)</f>
        <v>0</v>
      </c>
      <c r="E4" t="s">
        <v>33372</v>
      </c>
      <c r="F4" t="s">
        <v>33308</v>
      </c>
      <c r="G4" t="b">
        <f ca="1">(COUNTIF(G5:G1799,FALSE)&lt;1)</f>
        <v>0</v>
      </c>
      <c r="H4" t="s">
        <v>33372</v>
      </c>
      <c r="I4" t="s">
        <v>33308</v>
      </c>
      <c r="J4" t="b">
        <f ca="1">(COUNTIF(J5:J1799,FALSE)&lt;1)</f>
        <v>0</v>
      </c>
      <c r="K4" t="s">
        <v>33372</v>
      </c>
      <c r="L4" t="s">
        <v>33308</v>
      </c>
      <c r="M4" t="b">
        <f>(COUNTIF(M5:M17,FALSE)&lt;1)</f>
        <v>0</v>
      </c>
      <c r="N4" t="s">
        <v>33372</v>
      </c>
      <c r="P4" t="b">
        <f>(COUNTIF(P5:P24,FALSE)&lt;1)</f>
        <v>0</v>
      </c>
      <c r="Q4" t="s">
        <v>33372</v>
      </c>
      <c r="T4" t="s">
        <v>33515</v>
      </c>
      <c r="V4" t="s">
        <v>33766</v>
      </c>
      <c r="W4" s="525" t="b">
        <f>(COUNTIF(W5:W21,FALSE)&lt;1)</f>
        <v>1</v>
      </c>
      <c r="X4" t="s">
        <v>33372</v>
      </c>
      <c r="Y4" t="b">
        <f>(COUNTIF(Y5:Y21,FALSE)&lt;1)</f>
        <v>1</v>
      </c>
      <c r="Z4" s="35" t="s">
        <v>33372</v>
      </c>
    </row>
    <row r="5" spans="1:26" x14ac:dyDescent="0.2">
      <c r="A5" t="b">
        <f>SEC_CURRENTSEC&lt;&gt;""</f>
        <v>0</v>
      </c>
      <c r="B5" t="s">
        <v>33374</v>
      </c>
      <c r="C5" t="s">
        <v>33308</v>
      </c>
      <c r="D5" t="b">
        <f>WAS_OVE_STATUS&lt;&gt;""</f>
        <v>0</v>
      </c>
      <c r="E5" t="s">
        <v>33375</v>
      </c>
      <c r="F5" t="s">
        <v>33308</v>
      </c>
      <c r="G5" t="b">
        <f>IHZ_DET_HAZONBOARD&lt;&gt;""</f>
        <v>0</v>
      </c>
      <c r="H5" t="s">
        <v>33376</v>
      </c>
      <c r="I5" t="s">
        <v>33308</v>
      </c>
      <c r="J5" t="b">
        <f>OHZ_DET_HAZONBOARD&lt;&gt;""</f>
        <v>0</v>
      </c>
      <c r="K5" t="s">
        <v>33376</v>
      </c>
      <c r="L5" t="s">
        <v>33308</v>
      </c>
      <c r="M5" t="b">
        <f>IF(ISBLANK(VES_VID_IMO), TRUE(),IFERROR(IF(AND(LEN(TRIM(VES_VID_IMO))=7,EXACT(MOD(RIGHT(LEFT(VES_VID_IMO,1),1)*7+RIGHT(LEFT(VES_VID_IMO,2),1)*6+RIGHT(LEFT(VES_VID_IMO,3),1)*5+RIGHT(LEFT(VES_VID_IMO,4),1)*4+RIGHT(LEFT(VES_VID_IMO,5),1)*3+RIGHT(LEFT(VES_VID_IMO,6),1)*2,10),RIGHT(LEFT(VES_VID_IMO,7)))),TRUE(),FALSE()),FALSE()))</f>
        <v>1</v>
      </c>
      <c r="N5" t="s">
        <v>33422</v>
      </c>
      <c r="P5" t="b">
        <f>LEN(VOY_VOY_PORTOFCALL)=5</f>
        <v>0</v>
      </c>
      <c r="Q5" t="s">
        <v>35230</v>
      </c>
      <c r="T5" t="s">
        <v>33516</v>
      </c>
      <c r="V5" t="s">
        <v>33767</v>
      </c>
      <c r="W5" t="b">
        <f>IF(AND(IBK_BNK_BNKONBOARD&lt;&gt;"",IBK_BNK_BNKONBOARD&lt;&gt;"No"),INDEX(IBK_BNK_TYPE,1,1)&lt;&gt;"",TRUE)</f>
        <v>1</v>
      </c>
      <c r="X5" t="s">
        <v>35159</v>
      </c>
      <c r="Y5" t="b">
        <f>IF(AND(OBK_BNK_BNKONBOARD&lt;&gt;"",OBK_BNK_BNKONBOARD&lt;&gt;"No"),INDEX(OBK_BNK_TYPE,1,1)&lt;&gt;"",TRUE)</f>
        <v>1</v>
      </c>
      <c r="Z5" s="35" t="s">
        <v>35159</v>
      </c>
    </row>
    <row r="6" spans="1:26" x14ac:dyDescent="0.2">
      <c r="A6" t="b">
        <f>OR(SEC_AGENT_PHONE&lt;&gt;"",SEC_AGENT_FAX&lt;&gt;"",SEC_AGENT_EMAIL&lt;&gt;"",SEC_AGENT_NAME="")</f>
        <v>1</v>
      </c>
      <c r="B6" t="s">
        <v>33377</v>
      </c>
      <c r="C6" t="s">
        <v>33308</v>
      </c>
      <c r="D6" t="b">
        <f>IF(AND(WAS_OVE_STATUS="ALL",COUNTIF(WAS_ITE_REMAINING,"")&lt;36),FALSE,TRUE)</f>
        <v>1</v>
      </c>
      <c r="E6" t="s">
        <v>33410</v>
      </c>
      <c r="F6" t="s">
        <v>33308</v>
      </c>
      <c r="G6" t="b">
        <f>OR(AND(INDEX(IHZ_DET_URL,1)="",INDEX(IHZ_DET_DOCTYPE,1)=""),AND(INDEX(IHZ_DET_URL,1)&lt;&gt;"",INDEX(IHZ_DET_DOCTYPE,1)&lt;&gt;""))</f>
        <v>1</v>
      </c>
      <c r="H6" t="s">
        <v>33378</v>
      </c>
      <c r="I6" t="s">
        <v>33308</v>
      </c>
      <c r="J6" t="b">
        <f>OR(AND(INDEX(OHZ_DET_URL,1,1)="",INDEX(OHZ_DET_DOCTYPE,1,1)=""),AND(INDEX(OHZ_DET_URL,1,1)&lt;&gt;"",INDEX(OHZ_DET_DOCTYPE,1,1)&lt;&gt;""))</f>
        <v>1</v>
      </c>
      <c r="K6" t="s">
        <v>33378</v>
      </c>
      <c r="L6" t="s">
        <v>33308</v>
      </c>
      <c r="M6" t="b">
        <f>LEN(VES_VID_SHIPNAME)&lt;36</f>
        <v>1</v>
      </c>
      <c r="N6" t="s">
        <v>33423</v>
      </c>
      <c r="T6" t="s">
        <v>33517</v>
      </c>
      <c r="V6" t="s">
        <v>33768</v>
      </c>
      <c r="W6" s="35" t="b">
        <f>IF(AND(OR(INDEX(IBK_BNK_TYPE,1,1)&lt;&gt;"",INDEX(IBK_BNK_DESC,1,1)&lt;&gt;"",INDEX(IBK_BNK_QUANTITY,1,1)&lt;&gt;"",INDEX(IBK_BNK_UNIT,1,1)&lt;&gt;""),OR(INDEX(IBK_BNK_TYPE,1,1)="",INDEX(IBK_BNK_QUANTITY,1,1)="",INDEX(IBK_BNK_UNIT,1,1)="")),FALSE,TRUE)</f>
        <v>1</v>
      </c>
      <c r="X6" s="35" t="s">
        <v>35213</v>
      </c>
      <c r="Y6" s="35" t="b">
        <f>IF(AND(OR(INDEX(OBK_BNK_TYPE,1,1)&lt;&gt;"",INDEX(OBK_BNK_DESC,1,1)&lt;&gt;"",INDEX(OBK_BNK_QUANTITY,1,1)&lt;&gt;"",INDEX(OBK_BNK_UNIT,1,1)&lt;&gt;""),OR(INDEX(OBK_BNK_TYPE,1,1)="",INDEX(OBK_BNK_QUANTITY,1,1)="",INDEX(OBK_BNK_UNIT,1,1)="")),FALSE,TRUE)</f>
        <v>1</v>
      </c>
      <c r="Z6" t="s">
        <v>35213</v>
      </c>
    </row>
    <row r="7" spans="1:26" x14ac:dyDescent="0.2">
      <c r="A7" t="b">
        <f>SEC_ISSC_ISVALID&lt;&gt;""</f>
        <v>0</v>
      </c>
      <c r="B7" t="s">
        <v>33380</v>
      </c>
      <c r="C7" t="s">
        <v>33308</v>
      </c>
      <c r="D7" t="b">
        <f>AND(INDEX(WAS_ITE_DELIVERED,1,1)&lt;&gt;"",INDEX(WAS_ITE_DELIVEREDU,1,1)&lt;&gt;"",INDEX(WAS_ITE_MAXSTORAG,1,1)&lt;&gt;"",INDEX(WAS_ITE_MAXSTORAGU,1,1)&lt;&gt;"",INDEX(WAS_ITE_RETAINED,1,1)&lt;&gt;"",INDEX(WAS_ITE_RETAINEDU,1,1)&lt;&gt;"",INDEX(WAS_ITE_GENERATED,1,1)&lt;&gt;"",INDEX(WAS_ITE_GENERATED,1,1)&lt;&gt;"",INDEX(WAS_ITE_GENERATED,1,1)&lt;&gt;"",INDEX(WAS_ITE_GENERATEDU,1,1)&lt;&gt;"",INDEX(WAS_ITE_LASTPORT,1,1)&lt;&gt;"",INDEX(WAS_ITE_LASTPORTU,1,1)&lt;&gt;"")</f>
        <v>1</v>
      </c>
      <c r="E7" t="s">
        <v>35180</v>
      </c>
      <c r="F7" t="s">
        <v>33308</v>
      </c>
      <c r="G7" t="b">
        <f>IF(OR(INDEX(IHZ_CON_EMAIL,1,1)&lt;&gt;"",INDEX(IHZ_CON_FAX,1,1)&lt;&gt;"",INDEX(IHZ_CON_FIRSTNAME,1,1)&lt;&gt;"",INDEX(IHZ_CON_LOCODE,1,1)&lt;&gt;""),INDEX(IHZ_CON_PHONE,1,1)&lt;&gt;"",TRUE)</f>
        <v>1</v>
      </c>
      <c r="H7" t="s">
        <v>33381</v>
      </c>
      <c r="I7" t="s">
        <v>33308</v>
      </c>
      <c r="J7" t="b">
        <f>IF(OR(INDEX(OHZ_CON_EMAIL,1,1)&lt;&gt;"",INDEX(OHZ_CON_FAX,1,1)&lt;&gt;"",INDEX(OHZ_CON_FIRSTNAME,1,1)&lt;&gt;"",INDEX(OHZ_CON_LOCODE,1,1)&lt;&gt;""),INDEX(OHZ_CON_PHONE,1,1)&lt;&gt;"",TRUE)</f>
        <v>1</v>
      </c>
      <c r="K7" t="s">
        <v>33381</v>
      </c>
      <c r="L7" t="s">
        <v>33308</v>
      </c>
      <c r="M7" t="b">
        <f>LEN(VES_VID_CALLSIGN)&lt;8</f>
        <v>1</v>
      </c>
      <c r="N7" t="s">
        <v>33424</v>
      </c>
      <c r="P7" t="b">
        <f>OR(VOY_VOY_ETA&lt;&gt;"",VOY_ARR_ATA&lt;&gt;"")</f>
        <v>0</v>
      </c>
      <c r="Q7" t="s">
        <v>35135</v>
      </c>
      <c r="T7" t="s">
        <v>33518</v>
      </c>
      <c r="V7" t="s">
        <v>35225</v>
      </c>
      <c r="W7" s="35" t="b">
        <f>IF(AND(OR(INDEX(IBK_BNK_TYPE,2,1)&lt;&gt;"",INDEX(IBK_BNK_DESC,2,1)&lt;&gt;"",INDEX(IBK_BNK_QUANTITY,2,1)&lt;&gt;"",INDEX(IBK_BNK_UNIT,2,1)&lt;&gt;""),OR(INDEX(IBK_BNK_TYPE,2,1)="",INDEX(IBK_BNK_QUANTITY,2,1)="",INDEX(IBK_BNK_UNIT,2,1)="")),FALSE,TRUE)</f>
        <v>1</v>
      </c>
      <c r="X7" s="35" t="s">
        <v>35214</v>
      </c>
      <c r="Y7" t="b">
        <f>IF(AND(OR(INDEX(OBK_BNK_TYPE,2,1)&lt;&gt;"",INDEX(OBK_BNK_DESC,2,1)&lt;&gt;"",INDEX(OBK_BNK_QUANTITY,2,1)&lt;&gt;"",INDEX(OBK_BNK_UNIT,2,1)&lt;&gt;""),OR(INDEX(OBK_BNK_TYPE,2,1)="",INDEX(OBK_BNK_QUANTITY,2,1)="",INDEX(OBK_BNK_UNIT,2,1)="")),FALSE,TRUE)</f>
        <v>1</v>
      </c>
      <c r="Z7" s="35" t="s">
        <v>35214</v>
      </c>
    </row>
    <row r="8" spans="1:26" x14ac:dyDescent="0.2">
      <c r="A8" t="b">
        <f>OR(AND(INDEX(SEC_ISSC_ISVALID,1,1)="FALSE",INDEX(SEC_ISSC_REASON,1,1)&lt;&gt;""),SEC_ISSC_ISVALID="TRUE")</f>
        <v>0</v>
      </c>
      <c r="B8" t="s">
        <v>33383</v>
      </c>
      <c r="C8" t="s">
        <v>33308</v>
      </c>
      <c r="D8" t="b">
        <f>AND(INDEX(WAS_ITE_DELIVERED,2,1)&lt;&gt;"",INDEX(WAS_ITE_DELIVEREDU,2,1)&lt;&gt;"",INDEX(WAS_ITE_MAXSTORAG,2,1)&lt;&gt;"",INDEX(WAS_ITE_MAXSTORAGU,2,1)&lt;&gt;"",INDEX(WAS_ITE_RETAINED,2,1)&lt;&gt;"",INDEX(WAS_ITE_RETAINEDU,2,1)&lt;&gt;"",INDEX(WAS_ITE_GENERATED,2,1)&lt;&gt;"",INDEX(WAS_ITE_GENERATED,2,1)&lt;&gt;"",INDEX(WAS_ITE_GENERATED,2,1)&lt;&gt;"",INDEX(WAS_ITE_GENERATEDU,2,1)&lt;&gt;"",INDEX(WAS_ITE_LASTPORT,2,1)&lt;&gt;"",INDEX(WAS_ITE_LASTPORTU,2,1)&lt;&gt;"")</f>
        <v>1</v>
      </c>
      <c r="E8" t="s">
        <v>35181</v>
      </c>
      <c r="F8" t="s">
        <v>33308</v>
      </c>
      <c r="G8" t="b">
        <f>IF(OR(INDEX(IHZ_HAZ_CONSIGNMENT,1,1)&lt;&gt;"",INDEX(IHZ_HAZ_TRANSDOCID,1,1)&lt;&gt;"",INDEX(IHZ_HAZ_PORTOFLOADING,1,1)&lt;&gt;"",INDEX(IHZ_HAZ_PORTOFDISCHARGE,1,1)&lt;&gt;"",INDEX(IHZ_HAZ_DPGREF,1,1)&lt;&gt;"",INDEX(IHZ_HAZ_DGCLASSIFI,1,1)&lt;&gt;"",INDEX(IHZ_HAZ_TEXTUALREF,1,1)&lt;&gt;"",INDEX(IHZ_HAZ_IMOHAZARDC,1,1)&lt;&gt;"",INDEX(IHZ_HAZ_UNNUMBER,1,1)&lt;&gt;"",INDEX(IHZ_HAZ_TOTAMOUNT,1,1)&lt;&gt;"",INDEX(IHZ_HAZ_PACKINGGRO,1,1)&lt;&gt;"",INDEX(IHZ_HAZ_FLASHPOINT,1,1)&lt;&gt;"",INDEX(IHZ_HAZ_MARPOLCODE,1,1)&lt;&gt;"",INDEX(IHZ_HAZ_PACTYPE,1,1)&lt;&gt;"",INDEX(IHZ_HAZ_TOTALPACKA,1,1)&lt;&gt;"",INDEX(IHZ_HAZ_ADDITIONAL,1,1)&lt;&gt;"",INDEX(IHZ_HAZ_EMS,1,1)&lt;&gt;"",INDEX(IHZ_HAZ_SUBSIDIARY,1,1)&lt;&gt;"",INDEX(IHZ_HAZ_UNITTYPE,1,1)&lt;&gt;"",INDEX(IHZ_HAZ_TEUID,1,1)&lt;&gt;"",INDEX(IHZ_HAZ_LOCATION,1,1)&lt;&gt;"",INDEX(IHZ_HAZ_PACKAGES,1,1)&lt;&gt;"",INDEX(IHZ_HAZ_AMOUNT,1,1)&lt;&gt;"",),IF(OR(INDEX(IHZ_HAZ_DGCLASSIFI,1,1)="",INDEX(IHZ_HAZ_TEXTUALREF,1,1)="",INDEX(IHZ_HAZ_TOTAMOUNT,1,1)="",INDEX(IHZ_HAZ_DPGREF,1,1)="",INDEX(IHZ_HAZ_CONSIGNMENT,1,1)="",),FALSE,TRUE),TRUE)</f>
        <v>1</v>
      </c>
      <c r="H8" t="str">
        <f>T1&amp;$V$1</f>
        <v>Row 1 - All mandatory fields must be given</v>
      </c>
      <c r="I8" t="s">
        <v>33308</v>
      </c>
      <c r="J8" t="b">
        <f>IF(OR(INDEX(OHZ_HAZ_CONSIGNMENT,1,1)&lt;&gt;"",INDEX(OHZ_HAZ_TRANSDOCID,1,1)&lt;&gt;"",INDEX(OHZ_HAZ_PORTOFLOADING,1,1)&lt;&gt;"",INDEX(OHZ_HAZ_PORTOFDISCHARGE,1,1)&lt;&gt;"",INDEX(OHZ_HAZ_DPGREF,1,1)&lt;&gt;"",INDEX(OHZ_HAZ_DGCLASSIFI,1,1)&lt;&gt;"",INDEX(OHZ_HAZ_TEXTUALREF,1,1)&lt;&gt;"",INDEX(OHZ_HAZ_IMOHAZARDC,1,1)&lt;&gt;"",INDEX(OHZ_HAZ_UNNUMBER,1,1)&lt;&gt;"",INDEX(OHZ_HAZ_TOTAMOUNT,1,1)&lt;&gt;"",INDEX(OHZ_HAZ_PACKINGGRO,1,1)&lt;&gt;"",INDEX(OHZ_HAZ_FLASHPOINT,1,1)&lt;&gt;"",INDEX(OHZ_HAZ_MARPOLCODE,1,1)&lt;&gt;"",INDEX(OHZ_HAZ_PACTYPE,1,1)&lt;&gt;"",INDEX(OHZ_HAZ_TOTALPACKA,1,1)&lt;&gt;"",INDEX(OHZ_HAZ_ADDITIONAL,1,1)&lt;&gt;"",INDEX(OHZ_HAZ_EMS,1,1)&lt;&gt;"",INDEX(OHZ_HAZ_SUBSIDIARY,1,1)&lt;&gt;"",INDEX(OHZ_HAZ_UNITTYPE,1,1)&lt;&gt;"",INDEX(OHZ_HAZ_TEUID,1,1)&lt;&gt;"",INDEX(OHZ_HAZ_LOCATION,1,1)&lt;&gt;"",INDEX(OHZ_HAZ_PACKAGES,1,1)&lt;&gt;"",INDEX(OHZ_HAZ_AMOUNT,1,1)&lt;&gt;"",),IF(OR(INDEX(OHZ_HAZ_DGCLASSIFI,1,1)="",INDEX(OHZ_HAZ_TEXTUALREF,1,1)="",INDEX(OHZ_HAZ_TOTAMOUNT,1,1)="",INDEX(OHZ_HAZ_DPGREF,1,1)="",INDEX(OHZ_HAZ_CONSIGNMENT,1,1)="",),FALSE,TRUE),TRUE)</f>
        <v>1</v>
      </c>
      <c r="K8" t="str">
        <f>T1&amp;$V$1</f>
        <v>Row 1 - All mandatory fields must be given</v>
      </c>
      <c r="L8" t="s">
        <v>33308</v>
      </c>
      <c r="M8" t="b">
        <f>OR(VES_VID_MMSI="",AND(VES_VID_MMSI&gt;100000000,VES_VID_MMSI&lt;999999999))</f>
        <v>1</v>
      </c>
      <c r="N8" t="s">
        <v>33425</v>
      </c>
      <c r="P8" t="b">
        <f>OR(VOY_VOY_ETD&lt;&gt;"",VOY_DEP_ATD&lt;&gt;"")</f>
        <v>0</v>
      </c>
      <c r="Q8" s="35" t="s">
        <v>33384</v>
      </c>
      <c r="T8" t="s">
        <v>33519</v>
      </c>
      <c r="W8" s="35" t="b">
        <f>IF(AND(OR(INDEX(IBK_BNK_TYPE,3,1)&lt;&gt;"",INDEX(IBK_BNK_DESC,3,1)&lt;&gt;"",INDEX(IBK_BNK_QUANTITY,3,1)&lt;&gt;"",INDEX(IBK_BNK_UNIT,3,1)&lt;&gt;""),OR(INDEX(IBK_BNK_TYPE,3,1)="",INDEX(IBK_BNK_QUANTITY,3,1)="",INDEX(IBK_BNK_UNIT,3,1)="")),FALSE,TRUE)</f>
        <v>1</v>
      </c>
      <c r="X8" s="35" t="s">
        <v>35215</v>
      </c>
      <c r="Y8" t="b">
        <f>IF(AND(OR(INDEX(OBK_BNK_TYPE,3,1)&lt;&gt;"",INDEX(OBK_BNK_DESC,3,1)&lt;&gt;"",INDEX(OBK_BNK_QUANTITY,3,1)&lt;&gt;"",INDEX(OBK_BNK_UNIT,3,1)&lt;&gt;""),OR(INDEX(OBK_BNK_TYPE,3,1)="",INDEX(OBK_BNK_QUANTITY,3,1)="",INDEX(OBK_BNK_UNIT,3,1)="")),FALSE,TRUE)</f>
        <v>1</v>
      </c>
      <c r="Z8" s="35" t="s">
        <v>35215</v>
      </c>
    </row>
    <row r="9" spans="1:26" x14ac:dyDescent="0.2">
      <c r="A9" t="b">
        <f>IF(SEC_SECURITYPL&lt;&gt;"",TRUE,FALSE)</f>
        <v>0</v>
      </c>
      <c r="B9" t="s">
        <v>33385</v>
      </c>
      <c r="C9" t="s">
        <v>33308</v>
      </c>
      <c r="D9" t="b">
        <f>AND(INDEX(WAS_ITE_DELIVERED,3,1)&lt;&gt;"",INDEX(WAS_ITE_DELIVEREDU,3,1)&lt;&gt;"",INDEX(WAS_ITE_MAXSTORAG,3,1)&lt;&gt;"",INDEX(WAS_ITE_MAXSTORAGU,3,1)&lt;&gt;"",INDEX(WAS_ITE_RETAINED,3,1)&lt;&gt;"",INDEX(WAS_ITE_RETAINEDU,3,1)&lt;&gt;"",INDEX(WAS_ITE_GENERATED,3,1)&lt;&gt;"",INDEX(WAS_ITE_GENERATED,3,1)&lt;&gt;"",INDEX(WAS_ITE_GENERATED,3,1)&lt;&gt;"",INDEX(WAS_ITE_GENERATEDU,3,1)&lt;&gt;"",INDEX(WAS_ITE_LASTPORT,3,1)&lt;&gt;"",INDEX(WAS_ITE_LASTPORTU,3,1)&lt;&gt;"")</f>
        <v>1</v>
      </c>
      <c r="E9" t="s">
        <v>35182</v>
      </c>
      <c r="F9" t="s">
        <v>33308</v>
      </c>
      <c r="G9" t="b">
        <f>IF(OR(INDEX(IHZ_HAZ_CONSIGNMENT,2,1)="",AND(INDEX(IHZ_HAZ_DPGREF,2,1)&lt;&gt;"",INDEX(IHZ_HAZ_CONSIGNMENT,2,1)=INDEX(IHZ_HAZ_CONSIGNMENT,1,1),INDEX(IHZ_HAZ_DPGREF,2,1)=INDEX(IHZ_HAZ_DPGREF,1,1))),TRUE,AND(INDEX(IHZ_HAZ_DGCLASSIFI,2,1)&lt;&gt;"",INDEX(IHZ_HAZ_TEXTUALREF,2,1)&lt;&gt;"",INDEX(IHZ_HAZ_TOTAMOUNT,2,1)&lt;&gt;""))</f>
        <v>1</v>
      </c>
      <c r="H9" t="str">
        <f t="shared" ref="H9:H72" si="0">T2&amp;$V$1</f>
        <v>Row 2 - All mandatory fields must be given</v>
      </c>
      <c r="I9" t="s">
        <v>33308</v>
      </c>
      <c r="J9" t="b">
        <f>IF(OR(INDEX(OHZ_HAZ_CONSIGNMENT,2,1)="",AND(INDEX(OHZ_HAZ_DPGREF,2,1)&lt;&gt;"",INDEX(OHZ_HAZ_CONSIGNMENT,2,1)=INDEX(OHZ_HAZ_CONSIGNMENT,1,1),INDEX(OHZ_HAZ_DPGREF,2,1)=INDEX(OHZ_HAZ_DPGREF,1,1))),TRUE,AND(INDEX(OHZ_HAZ_DGCLASSIFI,2,1)&lt;&gt;"",INDEX(OHZ_HAZ_TEXTUALREF,2,1)&lt;&gt;"",INDEX(OHZ_HAZ_TOTAMOUNT,2,1)&lt;&gt;""))</f>
        <v>1</v>
      </c>
      <c r="K9" t="str">
        <f t="shared" ref="K9:K72" si="1">T2&amp;$V$1</f>
        <v>Row 2 - All mandatory fields must be given</v>
      </c>
      <c r="L9" t="s">
        <v>33308</v>
      </c>
      <c r="M9" t="b">
        <f>OR(VES_VDE_GROSSTONNA="",AND(VES_VDE_GROSSTONNA&gt;0,VES_VDE_GROSSTONNA&lt;1000000))</f>
        <v>1</v>
      </c>
      <c r="N9" t="s">
        <v>33427</v>
      </c>
      <c r="P9" t="b">
        <f>NOT(AND(SUM_INCLUDE_IHZ="Include",IHZ_DET_HAZONBOARD="Yes",VOY_POBPOC=""))</f>
        <v>1</v>
      </c>
      <c r="Q9" s="35" t="s">
        <v>35226</v>
      </c>
      <c r="T9" t="s">
        <v>33520</v>
      </c>
      <c r="W9" s="35" t="b">
        <f>IF(AND(OR(INDEX(IBK_BNK_TYPE,4,1)&lt;&gt;"",INDEX(IBK_BNK_DESC,4,1)&lt;&gt;"",INDEX(IBK_BNK_QUANTITY,4,1)&lt;&gt;"",INDEX(IBK_BNK_UNIT,4,1)&lt;&gt;""),OR(INDEX(IBK_BNK_TYPE,4,1)="",INDEX(IBK_BNK_QUANTITY,4,1)="",INDEX(IBK_BNK_UNIT,4,1)="")),FALSE,TRUE)</f>
        <v>1</v>
      </c>
      <c r="X9" s="35" t="s">
        <v>35216</v>
      </c>
      <c r="Y9" t="b">
        <f>IF(AND(OR(INDEX(OBK_BNK_TYPE,4,1)&lt;&gt;"",INDEX(OBK_BNK_DESC,4,1)&lt;&gt;"",INDEX(OBK_BNK_QUANTITY,4,1)&lt;&gt;"",INDEX(OBK_BNK_UNIT,4,1)&lt;&gt;""),OR(INDEX(OBK_BNK_TYPE,4,1)="",INDEX(OBK_BNK_QUANTITY,4,1)="",INDEX(OBK_BNK_UNIT,4,1)="")),FALSE,TRUE)</f>
        <v>1</v>
      </c>
      <c r="Z9" s="35" t="s">
        <v>35216</v>
      </c>
    </row>
    <row r="10" spans="1:26" x14ac:dyDescent="0.2">
      <c r="A10" t="b">
        <f>AND(SEC_CSO_LASTNAME&lt;&gt;"",OR(SEC_CSO_PHONE&lt;&gt;"",SEC_CSO_FAX&lt;&gt;"",SEC_CSO_EMAIL&lt;&gt;""))</f>
        <v>0</v>
      </c>
      <c r="B10" t="s">
        <v>33386</v>
      </c>
      <c r="C10" t="s">
        <v>33308</v>
      </c>
      <c r="D10" t="b">
        <f>AND(INDEX(WAS_ITE_DELIVERED,4,1)&lt;&gt;"",INDEX(WAS_ITE_DELIVEREDU,4,1)&lt;&gt;"",INDEX(WAS_ITE_MAXSTORAG,4,1)&lt;&gt;"",INDEX(WAS_ITE_MAXSTORAGU,4,1)&lt;&gt;"",INDEX(WAS_ITE_RETAINED,4,1)&lt;&gt;"",INDEX(WAS_ITE_RETAINEDU,4,1)&lt;&gt;"",INDEX(WAS_ITE_GENERATED,4,1)&lt;&gt;"",INDEX(WAS_ITE_GENERATED,4,1)&lt;&gt;"",INDEX(WAS_ITE_GENERATED,4,1)&lt;&gt;"",INDEX(WAS_ITE_GENERATEDU,4,1)&lt;&gt;"",INDEX(WAS_ITE_LASTPORT,4,1)&lt;&gt;"",INDEX(WAS_ITE_LASTPORTU,4,1)&lt;&gt;"")</f>
        <v>1</v>
      </c>
      <c r="E10" t="s">
        <v>35183</v>
      </c>
      <c r="F10" t="s">
        <v>33308</v>
      </c>
      <c r="G10" t="b">
        <f>IF(OR(INDEX(IHZ_HAZ_CONSIGNMENT,3,1)="",AND(INDEX(IHZ_HAZ_DPGREF,3,1)&lt;&gt;"",INDEX(IHZ_HAZ_CONSIGNMENT,3,1)=INDEX(IHZ_HAZ_CONSIGNMENT,2,1),INDEX(IHZ_HAZ_DPGREF,3,1)=INDEX(IHZ_HAZ_DPGREF,2,1))),TRUE,AND(INDEX(IHZ_HAZ_DGCLASSIFI,3,1)&lt;&gt;"",INDEX(IHZ_HAZ_TEXTUALREF,3,1)&lt;&gt;"",INDEX(IHZ_HAZ_TOTAMOUNT,3,1)&lt;&gt;""))</f>
        <v>1</v>
      </c>
      <c r="H10" t="str">
        <f t="shared" si="0"/>
        <v>Row 3 - All mandatory fields must be given</v>
      </c>
      <c r="I10" t="s">
        <v>33308</v>
      </c>
      <c r="J10" t="b">
        <f>IF(OR(INDEX(OHZ_HAZ_CONSIGNMENT,3,1)="",AND(INDEX(OHZ_HAZ_DPGREF,3,1)&lt;&gt;"",INDEX(OHZ_HAZ_CONSIGNMENT,3,1)=INDEX(OHZ_HAZ_CONSIGNMENT,2,1),INDEX(OHZ_HAZ_DPGREF,3,1)=INDEX(OHZ_HAZ_DPGREF,2,1))),TRUE,AND(INDEX(OHZ_HAZ_DGCLASSIFI,3,1)&lt;&gt;"",INDEX(OHZ_HAZ_TEXTUALREF,3,1)&lt;&gt;"",INDEX(OHZ_HAZ_TOTAMOUNT,3,1)&lt;&gt;""))</f>
        <v>1</v>
      </c>
      <c r="K10" t="str">
        <f t="shared" si="1"/>
        <v>Row 3 - All mandatory fields must be given</v>
      </c>
      <c r="L10" t="s">
        <v>33308</v>
      </c>
      <c r="M10" t="b">
        <f>OR(VES_VDE_SHIPTYPE="",COUNTIF(Ship_types,VES_VDE_SHIPTYPE)=1)</f>
        <v>1</v>
      </c>
      <c r="N10" t="s">
        <v>33426</v>
      </c>
      <c r="P10" t="b">
        <f>NOT(AND(SUM_INCLUDE_OHZ="Include",OHZ_DET_HAZONBOARD="Yes",VOY_DEP_POBNEXTPOC=""))</f>
        <v>1</v>
      </c>
      <c r="Q10" t="s">
        <v>33387</v>
      </c>
      <c r="T10" t="s">
        <v>33521</v>
      </c>
      <c r="W10" s="35" t="b">
        <f>IF(AND(OR(INDEX(IBK_BNK_TYPE,5,1)&lt;&gt;"",INDEX(IBK_BNK_DESC,5,1)&lt;&gt;"",INDEX(IBK_BNK_QUANTITY,5,1)&lt;&gt;"",INDEX(IBK_BNK_UNIT,5,1)&lt;&gt;""),OR(INDEX(IBK_BNK_TYPE,5,1)="",INDEX(IBK_BNK_QUANTITY,5,1)="",INDEX(IBK_BNK_UNIT,5,1)="")),FALSE,TRUE)</f>
        <v>1</v>
      </c>
      <c r="X10" s="35" t="s">
        <v>35217</v>
      </c>
      <c r="Y10" t="b">
        <f>IF(AND(OR(INDEX(OBK_BNK_TYPE,5,1)&lt;&gt;"",INDEX(OBK_BNK_DESC,5,1)&lt;&gt;"",INDEX(OBK_BNK_QUANTITY,5,1)&lt;&gt;"",INDEX(OBK_BNK_UNIT,5,1)&lt;&gt;""),OR(INDEX(OBK_BNK_TYPE,5,1)="",INDEX(OBK_BNK_QUANTITY,5,1)="",INDEX(OBK_BNK_UNIT,5,1)="")),FALSE,TRUE)</f>
        <v>1</v>
      </c>
      <c r="Z10" s="35" t="s">
        <v>35217</v>
      </c>
    </row>
    <row r="11" spans="1:26" x14ac:dyDescent="0.2">
      <c r="A11" t="b">
        <f>OR(AND(SEC_ISSC_ISVALID="TRUE",SEC_ISSC_TYPE&lt;&gt;"",SEC_ISSC_ISSUER&lt;&gt;"",SEC_ISSC_EXPIRY&lt;&gt;""),SEC_ISSC_ISVALID="FALSE")</f>
        <v>0</v>
      </c>
      <c r="B11" t="s">
        <v>33388</v>
      </c>
      <c r="C11" t="s">
        <v>33308</v>
      </c>
      <c r="D11" s="35" t="b">
        <v>1</v>
      </c>
      <c r="G11" t="b">
        <f>IF(OR(INDEX(IHZ_HAZ_CONSIGNMENT,4,1)="",AND(INDEX(IHZ_HAZ_DPGREF,4,1)&lt;&gt;"",INDEX(IHZ_HAZ_CONSIGNMENT,4,1)=INDEX(IHZ_HAZ_CONSIGNMENT,3,1),INDEX(IHZ_HAZ_DPGREF,4,1)=INDEX(IHZ_HAZ_DPGREF,3,1))),TRUE,AND(INDEX(IHZ_HAZ_DGCLASSIFI,4,1)&lt;&gt;"",INDEX(IHZ_HAZ_TEXTUALREF,4,1)&lt;&gt;"",INDEX(IHZ_HAZ_TOTAMOUNT,4,1)&lt;&gt;""))</f>
        <v>1</v>
      </c>
      <c r="H11" t="str">
        <f t="shared" si="0"/>
        <v>Row 4 - All mandatory fields must be given</v>
      </c>
      <c r="I11" t="s">
        <v>33308</v>
      </c>
      <c r="J11" t="b">
        <f>IF(OR(INDEX(OHZ_HAZ_CONSIGNMENT,4,1)="",AND(INDEX(OHZ_HAZ_DPGREF,4,1)&lt;&gt;"",INDEX(OHZ_HAZ_CONSIGNMENT,4,1)=INDEX(OHZ_HAZ_CONSIGNMENT,3,1),INDEX(OHZ_HAZ_DPGREF,4,1)=INDEX(OHZ_HAZ_DPGREF,3,1))),TRUE,AND(INDEX(OHZ_HAZ_DGCLASSIFI,4,1)&lt;&gt;"",INDEX(OHZ_HAZ_TEXTUALREF,4,1)&lt;&gt;"",INDEX(OHZ_HAZ_TOTAMOUNT,4,1)&lt;&gt;""))</f>
        <v>1</v>
      </c>
      <c r="K11" t="str">
        <f t="shared" si="1"/>
        <v>Row 4 - All mandatory fields must be given</v>
      </c>
      <c r="L11" t="s">
        <v>33308</v>
      </c>
      <c r="M11" t="b">
        <f>OR(VES_VDE_REGPORT="Select port of registry from cell above…",COUNTIF(REF_LOCODES,VES_VDE_REGPORT))</f>
        <v>1</v>
      </c>
      <c r="N11" t="s">
        <v>33428</v>
      </c>
      <c r="P11" t="b">
        <f>NOT(OR(AND(SUM_INCLUDE_OHZ="Include",OHZ_DET_HAZONBOARD="Yes",VOY_VOY_NEXTPORT=""),AND(SUM_INCLUDE_OBK="Include",OBK_BNK_BNKONBOARD="Yes",VOY_VOY_NEXTPORT="")))</f>
        <v>1</v>
      </c>
      <c r="Q11" s="35" t="s">
        <v>35227</v>
      </c>
      <c r="T11" t="s">
        <v>33522</v>
      </c>
      <c r="W11" s="35" t="b">
        <f>IF(AND(OR(INDEX(IBK_BNK_TYPE,6,1)&lt;&gt;"",INDEX(IBK_BNK_DESC,6,1)&lt;&gt;"",INDEX(IBK_BNK_QUANTITY,6,1)&lt;&gt;"",INDEX(IBK_BNK_UNIT,6,1)&lt;&gt;""),OR(INDEX(IBK_BNK_TYPE,6,1)="",INDEX(IBK_BNK_QUANTITY,6,1)="",INDEX(IBK_BNK_UNIT,6,1)="")),FALSE,TRUE)</f>
        <v>1</v>
      </c>
      <c r="X11" s="35" t="s">
        <v>35218</v>
      </c>
      <c r="Y11" t="b">
        <f>IF(AND(OR(INDEX(OBK_BNK_TYPE,6,1)&lt;&gt;"",INDEX(OBK_BNK_DESC,6,1)&lt;&gt;"",INDEX(OBK_BNK_QUANTITY,6,1)&lt;&gt;"",INDEX(OBK_BNK_UNIT,6,1)&lt;&gt;""),OR(INDEX(OBK_BNK_TYPE,6,1)="",INDEX(OBK_BNK_QUANTITY,6,1)="",INDEX(OBK_BNK_UNIT,6,1)="")),FALSE,TRUE)</f>
        <v>1</v>
      </c>
      <c r="Z11" s="35" t="s">
        <v>35218</v>
      </c>
    </row>
    <row r="12" spans="1:26" x14ac:dyDescent="0.2">
      <c r="A12" t="b">
        <f>IF(SEC_ISSC_ISVALID=TRUE,SEC_ISSC_REASON="",TRUE)</f>
        <v>1</v>
      </c>
      <c r="B12" t="s">
        <v>33389</v>
      </c>
      <c r="C12" t="s">
        <v>33308</v>
      </c>
      <c r="D12" t="b">
        <f>AND(INDEX(WAS_ITE_DELIVERED,6,1)&lt;&gt;"",INDEX(WAS_ITE_DELIVEREDU,6,1)&lt;&gt;"",INDEX(WAS_ITE_MAXSTORAG,6,1)&lt;&gt;"",INDEX(WAS_ITE_MAXSTORAGU,6,1)&lt;&gt;"",INDEX(WAS_ITE_RETAINED,6,1)&lt;&gt;"",INDEX(WAS_ITE_RETAINEDU,6,1)&lt;&gt;"",INDEX(WAS_ITE_GENERATED,6,1)&lt;&gt;"",INDEX(WAS_ITE_GENERATED,6,1)&lt;&gt;"",INDEX(WAS_ITE_GENERATED,6,1)&lt;&gt;"",INDEX(WAS_ITE_GENERATEDU,6,1)&lt;&gt;"",INDEX(WAS_ITE_LASTPORT,6,1)&lt;&gt;"",INDEX(WAS_ITE_LASTPORTU,6,1)&lt;&gt;"")</f>
        <v>1</v>
      </c>
      <c r="E12" t="s">
        <v>35184</v>
      </c>
      <c r="F12" t="s">
        <v>33308</v>
      </c>
      <c r="G12" t="b">
        <f>IF(OR(INDEX(IHZ_HAZ_CONSIGNMENT,5,1)="",AND(INDEX(IHZ_HAZ_DPGREF,5,1)&lt;&gt;"",INDEX(IHZ_HAZ_CONSIGNMENT,5,1)=INDEX(IHZ_HAZ_CONSIGNMENT,4,1),INDEX(IHZ_HAZ_DPGREF,5,1)=INDEX(IHZ_HAZ_DPGREF,4,1))),TRUE,AND(INDEX(IHZ_HAZ_DGCLASSIFI,5,1)&lt;&gt;"",INDEX(IHZ_HAZ_TEXTUALREF,5,1)&lt;&gt;"",INDEX(IHZ_HAZ_TOTAMOUNT,5,1)&lt;&gt;""))</f>
        <v>1</v>
      </c>
      <c r="H12" t="str">
        <f t="shared" si="0"/>
        <v>Row 5 - All mandatory fields must be given</v>
      </c>
      <c r="I12" t="s">
        <v>33308</v>
      </c>
      <c r="J12" t="b">
        <f>IF(OR(INDEX(OHZ_HAZ_CONSIGNMENT,5,1)="",AND(INDEX(OHZ_HAZ_DPGREF,5,1)&lt;&gt;"",INDEX(OHZ_HAZ_CONSIGNMENT,5,1)=INDEX(OHZ_HAZ_CONSIGNMENT,4,1),INDEX(OHZ_HAZ_DPGREF,5,1)=INDEX(OHZ_HAZ_DPGREF,4,1))),TRUE,AND(INDEX(OHZ_HAZ_DGCLASSIFI,5,1)&lt;&gt;"",INDEX(OHZ_HAZ_TEXTUALREF,5,1)&lt;&gt;"",INDEX(OHZ_HAZ_TOTAMOUNT,5,1)&lt;&gt;""))</f>
        <v>1</v>
      </c>
      <c r="K12" t="str">
        <f t="shared" si="1"/>
        <v>Row 5 - All mandatory fields must be given</v>
      </c>
      <c r="L12" t="s">
        <v>33308</v>
      </c>
      <c r="P12" t="b">
        <f>IF(AND(OR(AND(SUM_INCLUDE_OHZ="Include",OHZ_DET_HAZONBOARD="Yes"),AND(SUM_INCLUDE_OBK="Include",OBK_BNK_BNKONBOARD="Yes")),VOY_VOY_NEXTPORT&lt;&gt;"ZZUKN",VOY_VOY_ETATONEXTP=""),FALSE,TRUE)</f>
        <v>1</v>
      </c>
      <c r="Q12" s="35" t="s">
        <v>35228</v>
      </c>
      <c r="T12" t="s">
        <v>33523</v>
      </c>
      <c r="W12" s="35" t="b">
        <f>IF(AND(OR(INDEX(IBK_BNK_TYPE,7,1)&lt;&gt;"",INDEX(IBK_BNK_DESC,7,1)&lt;&gt;"",INDEX(IBK_BNK_QUANTITY,7,1)&lt;&gt;"",INDEX(IBK_BNK_UNIT,7,1)&lt;&gt;""),OR(INDEX(IBK_BNK_TYPE,7,1)="",INDEX(IBK_BNK_QUANTITY,7,1)="",INDEX(IBK_BNK_UNIT,7,1)="")),FALSE,TRUE)</f>
        <v>1</v>
      </c>
      <c r="X12" s="35" t="s">
        <v>35219</v>
      </c>
      <c r="Y12" t="b">
        <f>IF(AND(OR(INDEX(OBK_BNK_TYPE,7,1)&lt;&gt;"",INDEX(OBK_BNK_DESC,7,1)&lt;&gt;"",INDEX(OBK_BNK_QUANTITY,7,1)&lt;&gt;"",INDEX(OBK_BNK_UNIT,7,1)&lt;&gt;""),OR(INDEX(OBK_BNK_TYPE,7,1)="",INDEX(OBK_BNK_QUANTITY,7,1)="",INDEX(OBK_BNK_UNIT,7,1)="")),FALSE,TRUE)</f>
        <v>1</v>
      </c>
      <c r="Z12" s="35" t="s">
        <v>35219</v>
      </c>
    </row>
    <row r="13" spans="1:26" x14ac:dyDescent="0.2">
      <c r="A13" t="b">
        <f>IF(OR(INDEX(SEC_LAST_DATEOFARRI,1,1)&lt;&gt;"",INDEX(SEC_LAST_DATEOFDEPT,1,1)&lt;&gt;"",INDEX(SEC_LAST_COUNTRY,1,1)&lt;&gt;"",INDEX(SEC_LAST_FACNAME,1,1)&lt;&gt;"",INDEX(SEC_LAST_PORT,1,1)&lt;&gt;"",INDEX(SEC_LAST_PORTFAC,1,1)&lt;&gt;"",INDEX(SEC_LAST_SECLEVEL,1,1)&lt;&gt;"",INDEX(SEC_LAST_SECMEASURE,1,1)&lt;&gt;"",),IF(OR(INDEX(SEC_LAST_DATEOFARRI,1,1)="",INDEX(SEC_LAST_DATEOFDEPT,1,1)="",INDEX(SEC_LAST_FACNAME,1,1)="",INDEX(SEC_LAST_PORT,1,1)="",INDEX(SEC_LAST_PORTFAC,1,1)="",INDEX(SEC_LAST_SECLEVEL,1,1)="",),FALSE,TRUE),TRUE)</f>
        <v>1</v>
      </c>
      <c r="B13" t="s">
        <v>33390</v>
      </c>
      <c r="C13" t="s">
        <v>33308</v>
      </c>
      <c r="D13" s="35" t="b">
        <v>1</v>
      </c>
      <c r="F13" t="s">
        <v>33308</v>
      </c>
      <c r="G13" t="b">
        <f>IF(OR(INDEX(IHZ_HAZ_CONSIGNMENT,6,1)="",AND(INDEX(IHZ_HAZ_DPGREF,6,1)&lt;&gt;"",INDEX(IHZ_HAZ_CONSIGNMENT,6,1)=INDEX(IHZ_HAZ_CONSIGNMENT,5,1),INDEX(IHZ_HAZ_DPGREF,6,1)=INDEX(IHZ_HAZ_DPGREF,5,1))),TRUE,AND(INDEX(IHZ_HAZ_DGCLASSIFI,6,1)&lt;&gt;"",INDEX(IHZ_HAZ_TEXTUALREF,6,1)&lt;&gt;"",INDEX(IHZ_HAZ_TOTAMOUNT,6,1)&lt;&gt;""))</f>
        <v>1</v>
      </c>
      <c r="H13" t="str">
        <f t="shared" si="0"/>
        <v>Row 6 - All mandatory fields must be given</v>
      </c>
      <c r="I13" t="s">
        <v>33308</v>
      </c>
      <c r="J13" t="b">
        <f>IF(OR(INDEX(OHZ_HAZ_CONSIGNMENT,6,1)="",AND(INDEX(OHZ_HAZ_DPGREF,6,1)&lt;&gt;"",INDEX(OHZ_HAZ_CONSIGNMENT,6,1)=INDEX(OHZ_HAZ_CONSIGNMENT,5,1),INDEX(OHZ_HAZ_DPGREF,6,1)=INDEX(OHZ_HAZ_DPGREF,5,1))),TRUE,AND(INDEX(OHZ_HAZ_DGCLASSIFI,6,1)&lt;&gt;"",INDEX(OHZ_HAZ_TEXTUALREF,6,1)&lt;&gt;"",INDEX(OHZ_HAZ_TOTAMOUNT,6,1)&lt;&gt;""))</f>
        <v>1</v>
      </c>
      <c r="K13" t="str">
        <f t="shared" si="1"/>
        <v>Row 6 - All mandatory fields must be given</v>
      </c>
      <c r="L13" t="s">
        <v>33308</v>
      </c>
      <c r="M13" t="b">
        <f>LEN(VES_REG_REGNUMBER)&lt;36</f>
        <v>1</v>
      </c>
      <c r="N13" t="s">
        <v>33429</v>
      </c>
      <c r="P13" t="b">
        <f>OR(VOY_VOY_PORTFACILI="",IF(ISNUMBER(TRIM(VOY_VOY_PORTFACILI)*1),AND(MOD(VOY_VOY_PORTFACILI,1)=0,LEN(VOY_VOY_PORTFACILI)=4),FALSE))</f>
        <v>1</v>
      </c>
      <c r="Q13" t="s">
        <v>33826</v>
      </c>
      <c r="T13" t="s">
        <v>33524</v>
      </c>
      <c r="W13" s="35" t="b">
        <f>IF(AND(OR(INDEX(IBK_BNK_TYPE,8,1)&lt;&gt;"",INDEX(IBK_BNK_DESC,8,1)&lt;&gt;"",INDEX(IBK_BNK_QUANTITY,8,1)&lt;&gt;"",INDEX(IBK_BNK_UNIT,8,1)&lt;&gt;""),OR(INDEX(IBK_BNK_TYPE,8,1)="",INDEX(IBK_BNK_QUANTITY,8,1)="",INDEX(IBK_BNK_UNIT,8,1)="")),FALSE,TRUE)</f>
        <v>1</v>
      </c>
      <c r="X13" s="35" t="s">
        <v>35220</v>
      </c>
      <c r="Y13" t="b">
        <f>IF(AND(OR(INDEX(OBK_BNK_TYPE,8,1)&lt;&gt;"",INDEX(OBK_BNK_DESC,8,1)&lt;&gt;"",INDEX(OBK_BNK_QUANTITY,8,1)&lt;&gt;"",INDEX(OBK_BNK_UNIT,8,1)&lt;&gt;""),OR(INDEX(OBK_BNK_TYPE,8,1)="",INDEX(OBK_BNK_QUANTITY,8,1)="",INDEX(OBK_BNK_UNIT,8,1)="")),FALSE,TRUE)</f>
        <v>1</v>
      </c>
      <c r="Z13" s="35" t="s">
        <v>35220</v>
      </c>
    </row>
    <row r="14" spans="1:26" x14ac:dyDescent="0.2">
      <c r="A14" t="b">
        <f>IF(OR(INDEX(SEC_LAST_DATEOFARRI,2,1)&lt;&gt;"",INDEX(SEC_LAST_DATEOFDEPT,2,1)&lt;&gt;"",INDEX(SEC_LAST_COUNTRY,2,1)&lt;&gt;"",INDEX(SEC_LAST_FACNAME,2,1)&lt;&gt;"",INDEX(SEC_LAST_PORT,2,1)&lt;&gt;"",INDEX(SEC_LAST_PORTFAC,2,1)&lt;&gt;"",INDEX(SEC_LAST_SECLEVEL,2,1)&lt;&gt;"",INDEX(SEC_LAST_SECMEASURE,2,1)&lt;&gt;"",),IF(OR(INDEX(SEC_LAST_DATEOFARRI,2,1)="",INDEX(SEC_LAST_DATEOFDEPT,2,1)="",INDEX(SEC_LAST_FACNAME,2,1)="",INDEX(SEC_LAST_PORT,2,1)="",INDEX(SEC_LAST_PORTFAC,2,1)="",INDEX(SEC_LAST_SECLEVEL,2,1)="",),FALSE,TRUE),TRUE)</f>
        <v>1</v>
      </c>
      <c r="B14" t="s">
        <v>33391</v>
      </c>
      <c r="C14" t="s">
        <v>33308</v>
      </c>
      <c r="D14" t="b">
        <f>AND(INDEX(WAS_ITE_DELIVERED,8,1)&lt;&gt;"",INDEX(WAS_ITE_DELIVEREDU,8,1)&lt;&gt;"",INDEX(WAS_ITE_MAXSTORAG,8,1)&lt;&gt;"",INDEX(WAS_ITE_MAXSTORAGU,8,1)&lt;&gt;"",INDEX(WAS_ITE_RETAINED,8,1)&lt;&gt;"",INDEX(WAS_ITE_RETAINEDU,8,1)&lt;&gt;"",INDEX(WAS_ITE_GENERATED,8,1)&lt;&gt;"",INDEX(WAS_ITE_GENERATED,8,1)&lt;&gt;"",INDEX(WAS_ITE_GENERATED,8,1)&lt;&gt;"",INDEX(WAS_ITE_GENERATEDU,8,1)&lt;&gt;"",INDEX(WAS_ITE_LASTPORT,8,1)&lt;&gt;"",INDEX(WAS_ITE_LASTPORTU,8,1)&lt;&gt;"")</f>
        <v>1</v>
      </c>
      <c r="E14" t="s">
        <v>35185</v>
      </c>
      <c r="F14" t="s">
        <v>33308</v>
      </c>
      <c r="G14" t="b">
        <f>IF(OR(INDEX(IHZ_HAZ_CONSIGNMENT,7,1)="",AND(INDEX(IHZ_HAZ_DPGREF,7,1)&lt;&gt;"",INDEX(IHZ_HAZ_CONSIGNMENT,7,1)=INDEX(IHZ_HAZ_CONSIGNMENT,6,1),INDEX(IHZ_HAZ_DPGREF,7,1)=INDEX(IHZ_HAZ_DPGREF,6,1))),TRUE,AND(INDEX(IHZ_HAZ_DGCLASSIFI,7,1)&lt;&gt;"",INDEX(IHZ_HAZ_TEXTUALREF,7,1)&lt;&gt;"",INDEX(IHZ_HAZ_TOTAMOUNT,7,1)&lt;&gt;""))</f>
        <v>1</v>
      </c>
      <c r="H14" t="str">
        <f t="shared" si="0"/>
        <v>Row 7 - All mandatory fields must be given</v>
      </c>
      <c r="I14" t="s">
        <v>33308</v>
      </c>
      <c r="J14" t="b">
        <f>IF(OR(INDEX(OHZ_HAZ_CONSIGNMENT,7,1)="",AND(INDEX(OHZ_HAZ_DPGREF,7,1)&lt;&gt;"",INDEX(OHZ_HAZ_CONSIGNMENT,7,1)=INDEX(OHZ_HAZ_CONSIGNMENT,6,1),INDEX(OHZ_HAZ_DPGREF,7,1)=INDEX(OHZ_HAZ_DPGREF,6,1))),TRUE,AND(INDEX(OHZ_HAZ_DGCLASSIFI,7,1)&lt;&gt;"",INDEX(OHZ_HAZ_TEXTUALREF,7,1)&lt;&gt;"",INDEX(OHZ_HAZ_TOTAMOUNT,7,1)&lt;&gt;""))</f>
        <v>1</v>
      </c>
      <c r="K14" t="str">
        <f t="shared" si="1"/>
        <v>Row 7 - All mandatory fields must be given</v>
      </c>
      <c r="L14" t="s">
        <v>33308</v>
      </c>
      <c r="M14" t="b">
        <f>LEN(VES_REG_REGCOMPNAM)&lt;71</f>
        <v>1</v>
      </c>
      <c r="N14" t="s">
        <v>33430</v>
      </c>
      <c r="P14" t="b">
        <f>LEN(VOY_VOY_POSIINPORT)&lt;51</f>
        <v>1</v>
      </c>
      <c r="Q14" t="s">
        <v>33827</v>
      </c>
      <c r="T14" t="s">
        <v>33525</v>
      </c>
      <c r="W14" s="35" t="b">
        <f>IF(AND(OR(INDEX(IBK_BNK_TYPE,9,1)&lt;&gt;"",INDEX(IBK_BNK_DESC,9,1)&lt;&gt;"",INDEX(IBK_BNK_QUANTITY,9,1)&lt;&gt;"",INDEX(IBK_BNK_UNIT,9,1)&lt;&gt;""),OR(INDEX(IBK_BNK_TYPE,9,1)="",INDEX(IBK_BNK_QUANTITY,9,1)="",INDEX(IBK_BNK_UNIT,9,1)="")),FALSE,TRUE)</f>
        <v>1</v>
      </c>
      <c r="X14" s="35" t="s">
        <v>35221</v>
      </c>
      <c r="Y14" t="b">
        <f>IF(AND(OR(INDEX(OBK_BNK_TYPE,9,1)&lt;&gt;"",INDEX(OBK_BNK_DESC,9,1)&lt;&gt;"",INDEX(OBK_BNK_QUANTITY,9,1)&lt;&gt;"",INDEX(OBK_BNK_UNIT,9,1)&lt;&gt;""),OR(INDEX(OBK_BNK_TYPE,9,1)="",INDEX(OBK_BNK_QUANTITY,9,1)="",INDEX(OBK_BNK_UNIT,9,1)="")),FALSE,TRUE)</f>
        <v>1</v>
      </c>
      <c r="Z14" s="35" t="s">
        <v>35221</v>
      </c>
    </row>
    <row r="15" spans="1:26" x14ac:dyDescent="0.2">
      <c r="A15" t="b">
        <f>IF(OR(INDEX(SEC_LAST_DATEOFARRI,3,1)&lt;&gt;"",INDEX(SEC_LAST_DATEOFDEPT,3,1)&lt;&gt;"",INDEX(SEC_LAST_COUNTRY,3,1)&lt;&gt;"",INDEX(SEC_LAST_FACNAME,3,1)&lt;&gt;"",INDEX(SEC_LAST_PORT,3,1)&lt;&gt;"",INDEX(SEC_LAST_PORTFAC,3,1)&lt;&gt;"",INDEX(SEC_LAST_SECLEVEL,3,1)&lt;&gt;"",INDEX(SEC_LAST_SECMEASURE,3,1)&lt;&gt;"",),IF(OR(INDEX(SEC_LAST_DATEOFARRI,3,1)="",INDEX(SEC_LAST_DATEOFDEPT,3,1)="",INDEX(SEC_LAST_FACNAME,3,1)="",INDEX(SEC_LAST_PORT,3,1)="",INDEX(SEC_LAST_PORTFAC,3,1)="",INDEX(SEC_LAST_SECLEVEL,3,1)="",),FALSE,TRUE),TRUE)</f>
        <v>1</v>
      </c>
      <c r="B15" t="s">
        <v>33392</v>
      </c>
      <c r="C15" t="s">
        <v>33308</v>
      </c>
      <c r="D15" t="b">
        <f>AND(INDEX(WAS_ITE_DELIVERED,9,1)&lt;&gt;"",INDEX(WAS_ITE_DELIVEREDU,9,1)&lt;&gt;"",INDEX(WAS_ITE_MAXSTORAG,9,1)&lt;&gt;"",INDEX(WAS_ITE_MAXSTORAGU,9,1)&lt;&gt;"",INDEX(WAS_ITE_RETAINED,9,1)&lt;&gt;"",INDEX(WAS_ITE_RETAINEDU,9,1)&lt;&gt;"",INDEX(WAS_ITE_GENERATED,9,1)&lt;&gt;"",INDEX(WAS_ITE_GENERATED,9,1)&lt;&gt;"",INDEX(WAS_ITE_GENERATED,9,1)&lt;&gt;"",INDEX(WAS_ITE_GENERATEDU,9,1)&lt;&gt;"",INDEX(WAS_ITE_LASTPORT,9,1)&lt;&gt;"",INDEX(WAS_ITE_LASTPORTU,9,1)&lt;&gt;"")</f>
        <v>1</v>
      </c>
      <c r="E15" t="s">
        <v>35186</v>
      </c>
      <c r="F15" t="s">
        <v>33308</v>
      </c>
      <c r="G15" t="b">
        <f>IF(OR(INDEX(IHZ_HAZ_CONSIGNMENT,8,1)="",AND(INDEX(IHZ_HAZ_DPGREF,8,1)&lt;&gt;"",INDEX(IHZ_HAZ_CONSIGNMENT,8,1)=INDEX(IHZ_HAZ_CONSIGNMENT,7,1),INDEX(IHZ_HAZ_DPGREF,8,1)=INDEX(IHZ_HAZ_DPGREF,7,1))),TRUE,AND(INDEX(IHZ_HAZ_DGCLASSIFI,8,1)&lt;&gt;"",INDEX(IHZ_HAZ_TEXTUALREF,8,1)&lt;&gt;"",INDEX(IHZ_HAZ_TOTAMOUNT,8,1)&lt;&gt;""))</f>
        <v>1</v>
      </c>
      <c r="H15" t="str">
        <f t="shared" si="0"/>
        <v>Row 8 - All mandatory fields must be given</v>
      </c>
      <c r="I15" t="s">
        <v>33308</v>
      </c>
      <c r="J15" t="b">
        <f>IF(OR(INDEX(OHZ_HAZ_CONSIGNMENT,8,1)="",AND(INDEX(OHZ_HAZ_DPGREF,8,1)&lt;&gt;"",INDEX(OHZ_HAZ_CONSIGNMENT,8,1)=INDEX(OHZ_HAZ_CONSIGNMENT,7,1),INDEX(OHZ_HAZ_DPGREF,8,1)=INDEX(OHZ_HAZ_DPGREF,7,1))),TRUE,AND(INDEX(OHZ_HAZ_DGCLASSIFI,8,1)&lt;&gt;"",INDEX(OHZ_HAZ_TEXTUALREF,8,1)&lt;&gt;"",INDEX(OHZ_HAZ_TOTAMOUNT,8,1)&lt;&gt;""))</f>
        <v>1</v>
      </c>
      <c r="K15" t="str">
        <f t="shared" si="1"/>
        <v>Row 8 - All mandatory fields must be given</v>
      </c>
      <c r="L15" t="s">
        <v>33308</v>
      </c>
      <c r="M15" t="b">
        <f>OR(LEN(VES_REG_REGCOMPIMO)=0,(LEN(VES_REG_REGCOMPIMO)=7))</f>
        <v>1</v>
      </c>
      <c r="N15" t="s">
        <v>33431</v>
      </c>
      <c r="T15" t="s">
        <v>33526</v>
      </c>
      <c r="W15" s="35" t="b">
        <f>IF(AND(OR(INDEX(IBK_BNK_TYPE,10,1)&lt;&gt;"",INDEX(IBK_BNK_DESC,10,1)&lt;&gt;"",INDEX(IBK_BNK_QUANTITY,10,1)&lt;&gt;"",INDEX(IBK_BNK_UNIT,10,1)&lt;&gt;""),OR(INDEX(IBK_BNK_TYPE,10,1)="",INDEX(IBK_BNK_QUANTITY,10,1)="",INDEX(IBK_BNK_UNIT,10,1)="")),FALSE,TRUE)</f>
        <v>1</v>
      </c>
      <c r="X15" s="35" t="s">
        <v>35222</v>
      </c>
      <c r="Y15" t="b">
        <f>IF(AND(OR(INDEX(OBK_BNK_TYPE,10,1)&lt;&gt;"",INDEX(OBK_BNK_DESC,10,1)&lt;&gt;"",INDEX(OBK_BNK_QUANTITY,10,1)&lt;&gt;"",INDEX(OBK_BNK_UNIT,10,1)&lt;&gt;""),OR(INDEX(OBK_BNK_TYPE,10,1)="",INDEX(OBK_BNK_QUANTITY,10,1)="",INDEX(OBK_BNK_UNIT,10,1)="")),FALSE,TRUE)</f>
        <v>1</v>
      </c>
      <c r="Z15" s="35" t="s">
        <v>35222</v>
      </c>
    </row>
    <row r="16" spans="1:26" x14ac:dyDescent="0.2">
      <c r="A16" t="b">
        <f>IF(OR(INDEX(SEC_LAST_DATEOFARRI,4,1)&lt;&gt;"",INDEX(SEC_LAST_DATEOFDEPT,4,1)&lt;&gt;"",INDEX(SEC_LAST_COUNTRY,4,1)&lt;&gt;"",INDEX(SEC_LAST_FACNAME,4,1)&lt;&gt;"",INDEX(SEC_LAST_PORT,4,1)&lt;&gt;"",INDEX(SEC_LAST_PORTFAC,4,1)&lt;&gt;"",INDEX(SEC_LAST_SECLEVEL,4,1)&lt;&gt;"",INDEX(SEC_LAST_SECMEASURE,4,1)&lt;&gt;"",),IF(OR(INDEX(SEC_LAST_DATEOFARRI,4,1)="",INDEX(SEC_LAST_DATEOFDEPT,4,1)="",INDEX(SEC_LAST_FACNAME,4,1)="",INDEX(SEC_LAST_PORT,4,1)="",INDEX(SEC_LAST_PORTFAC,4,1)="",INDEX(SEC_LAST_SECLEVEL,4,1)="",),FALSE,TRUE),TRUE)</f>
        <v>1</v>
      </c>
      <c r="B16" t="s">
        <v>33393</v>
      </c>
      <c r="C16" t="s">
        <v>33308</v>
      </c>
      <c r="D16" t="b">
        <f>AND(INDEX(WAS_ITE_DELIVERED,10,1)&lt;&gt;"",INDEX(WAS_ITE_DELIVEREDU,10,1)&lt;&gt;"",INDEX(WAS_ITE_MAXSTORAG,10,1)&lt;&gt;"",INDEX(WAS_ITE_MAXSTORAGU,10,1)&lt;&gt;"",INDEX(WAS_ITE_RETAINED,10,1)&lt;&gt;"",INDEX(WAS_ITE_RETAINEDU,10,1)&lt;&gt;"",INDEX(WAS_ITE_GENERATED,10,1)&lt;&gt;"",INDEX(WAS_ITE_GENERATED,10,1)&lt;&gt;"",INDEX(WAS_ITE_GENERATED,10,1)&lt;&gt;"",INDEX(WAS_ITE_GENERATEDU,10,1)&lt;&gt;"",INDEX(WAS_ITE_LASTPORT,10,1)&lt;&gt;"",INDEX(WAS_ITE_LASTPORTU,10,1)&lt;&gt;"")</f>
        <v>1</v>
      </c>
      <c r="E16" t="s">
        <v>35187</v>
      </c>
      <c r="F16" t="s">
        <v>33308</v>
      </c>
      <c r="G16" t="b">
        <f>IF(OR(INDEX(IHZ_HAZ_CONSIGNMENT,9,1)="",AND(INDEX(IHZ_HAZ_DPGREF,9,1)&lt;&gt;"",INDEX(IHZ_HAZ_CONSIGNMENT,9,1)=INDEX(IHZ_HAZ_CONSIGNMENT,8,1),INDEX(IHZ_HAZ_DPGREF,9,1)=INDEX(IHZ_HAZ_DPGREF,8,1))),TRUE,AND(INDEX(IHZ_HAZ_DGCLASSIFI,9,1)&lt;&gt;"",INDEX(IHZ_HAZ_TEXTUALREF,9,1)&lt;&gt;"",INDEX(IHZ_HAZ_TOTAMOUNT,9,1)&lt;&gt;""))</f>
        <v>1</v>
      </c>
      <c r="H16" t="str">
        <f t="shared" si="0"/>
        <v>Row 9 - All mandatory fields must be given</v>
      </c>
      <c r="I16" t="s">
        <v>33308</v>
      </c>
      <c r="J16" t="b">
        <f>IF(OR(INDEX(OHZ_HAZ_CONSIGNMENT,9,1)="",AND(INDEX(OHZ_HAZ_DPGREF,9,1)&lt;&gt;"",INDEX(OHZ_HAZ_CONSIGNMENT,9,1)=INDEX(OHZ_HAZ_CONSIGNMENT,8,1),INDEX(OHZ_HAZ_DPGREF,9,1)=INDEX(OHZ_HAZ_DPGREF,8,1))),TRUE,AND(INDEX(OHZ_HAZ_DGCLASSIFI,9,1)&lt;&gt;"",INDEX(OHZ_HAZ_TEXTUALREF,9,1)&lt;&gt;"",INDEX(OHZ_HAZ_TOTAMOUNT,9,1)&lt;&gt;""))</f>
        <v>1</v>
      </c>
      <c r="K16" t="str">
        <f t="shared" si="1"/>
        <v>Row 9 - All mandatory fields must be given</v>
      </c>
      <c r="L16" t="s">
        <v>33308</v>
      </c>
      <c r="M16" t="b">
        <f>SUMPRODUCT(--(LEN(VES_INMARSAT)&gt;45))=0</f>
        <v>1</v>
      </c>
      <c r="N16" t="s">
        <v>35138</v>
      </c>
      <c r="T16" t="s">
        <v>33527</v>
      </c>
      <c r="X16" s="35"/>
    </row>
    <row r="17" spans="1:26" x14ac:dyDescent="0.2">
      <c r="A17" t="b">
        <f>IF(OR(INDEX(SEC_LAST_DATEOFARRI,5,1)&lt;&gt;"",INDEX(SEC_LAST_DATEOFDEPT,5,1)&lt;&gt;"",INDEX(SEC_LAST_COUNTRY,5,1)&lt;&gt;"",INDEX(SEC_LAST_FACNAME,5,1)&lt;&gt;"",INDEX(SEC_LAST_PORT,5,1)&lt;&gt;"",INDEX(SEC_LAST_PORTFAC,5,1)&lt;&gt;"",INDEX(SEC_LAST_SECLEVEL,5,1)&lt;&gt;"",INDEX(SEC_LAST_SECMEASURE,5,1)&lt;&gt;"",),IF(OR(INDEX(SEC_LAST_DATEOFARRI,5,1)="",INDEX(SEC_LAST_DATEOFDEPT,5,1)="",INDEX(SEC_LAST_FACNAME,5,1)="",INDEX(SEC_LAST_PORT,5,1)="",INDEX(SEC_LAST_PORTFAC,5,1)="",INDEX(SEC_LAST_SECLEVEL,5,1)="",),FALSE,TRUE),TRUE)</f>
        <v>1</v>
      </c>
      <c r="B17" t="s">
        <v>33394</v>
      </c>
      <c r="C17" t="s">
        <v>33308</v>
      </c>
      <c r="D17" t="b">
        <f>AND(INDEX(WAS_ITE_DELIVERED,11,1)&lt;&gt;"",INDEX(WAS_ITE_DELIVEREDU,11,1)&lt;&gt;"",INDEX(WAS_ITE_MAXSTORAG,11,1)&lt;&gt;"",INDEX(WAS_ITE_MAXSTORAGU,11,1)&lt;&gt;"",INDEX(WAS_ITE_RETAINED,11,1)&lt;&gt;"",INDEX(WAS_ITE_RETAINEDU,11,1)&lt;&gt;"",INDEX(WAS_ITE_GENERATED,11,1)&lt;&gt;"",INDEX(WAS_ITE_GENERATED,11,1)&lt;&gt;"",INDEX(WAS_ITE_GENERATED,11,1)&lt;&gt;"",INDEX(WAS_ITE_GENERATEDU,11,1)&lt;&gt;"",INDEX(WAS_ITE_LASTPORT,11,1)&lt;&gt;"",INDEX(WAS_ITE_LASTPORTU,11,1)&lt;&gt;"")</f>
        <v>1</v>
      </c>
      <c r="E17" t="s">
        <v>35188</v>
      </c>
      <c r="F17" t="s">
        <v>33308</v>
      </c>
      <c r="G17" t="b">
        <f>IF(OR(INDEX(IHZ_HAZ_CONSIGNMENT,10,1)="",AND(INDEX(IHZ_HAZ_DPGREF,10,1)&lt;&gt;"",INDEX(IHZ_HAZ_CONSIGNMENT,10,1)=INDEX(IHZ_HAZ_CONSIGNMENT,9,1),INDEX(IHZ_HAZ_DPGREF,10,1)=INDEX(IHZ_HAZ_DPGREF,9,1))),TRUE,AND(INDEX(IHZ_HAZ_DGCLASSIFI,10,1)&lt;&gt;"",INDEX(IHZ_HAZ_TEXTUALREF,10,1)&lt;&gt;"",INDEX(IHZ_HAZ_TOTAMOUNT,10,1)&lt;&gt;""))</f>
        <v>1</v>
      </c>
      <c r="H17" t="str">
        <f t="shared" si="0"/>
        <v>Row 10 - All mandatory fields must be given</v>
      </c>
      <c r="I17" t="s">
        <v>33308</v>
      </c>
      <c r="J17" t="b">
        <f>IF(OR(INDEX(OHZ_HAZ_CONSIGNMENT,10,1)="",AND(INDEX(OHZ_HAZ_DPGREF,10,1)&lt;&gt;"",INDEX(OHZ_HAZ_CONSIGNMENT,10,1)=INDEX(OHZ_HAZ_CONSIGNMENT,9,1),INDEX(OHZ_HAZ_DPGREF,10,1)=INDEX(OHZ_HAZ_DPGREF,9,1))),TRUE,AND(INDEX(OHZ_HAZ_DGCLASSIFI,10,1)&lt;&gt;"",INDEX(OHZ_HAZ_TEXTUALREF,10,1)&lt;&gt;"",INDEX(OHZ_HAZ_TOTAMOUNT,10,1)&lt;&gt;""))</f>
        <v>1</v>
      </c>
      <c r="K17" t="str">
        <f t="shared" si="1"/>
        <v>Row 10 - All mandatory fields must be given</v>
      </c>
      <c r="L17" t="s">
        <v>33308</v>
      </c>
      <c r="M17" t="b">
        <f>(COUNTIF(M18:M21,TRUE)&gt;1)</f>
        <v>0</v>
      </c>
      <c r="N17" t="s">
        <v>33373</v>
      </c>
      <c r="T17" t="s">
        <v>33528</v>
      </c>
      <c r="W17" t="b">
        <f>OR(INDEX(IBK_BNK_UNIT,1,1)="",INDEX(IBK_BNK_UNIT,1,1)="M3",INDEX(IBK_BNK_UNIT,1,1)="TNE")</f>
        <v>1</v>
      </c>
      <c r="X17" t="s">
        <v>35173</v>
      </c>
      <c r="Y17" t="b">
        <f>OR(INDEX(OBK_BNK_UNIT,1,1)="",INDEX(OBK_BNK_UNIT,1,1)="M3",INDEX(OBK_BNK_UNIT,1,1)="TNE")</f>
        <v>1</v>
      </c>
      <c r="Z17" s="35" t="s">
        <v>35173</v>
      </c>
    </row>
    <row r="18" spans="1:26" x14ac:dyDescent="0.2">
      <c r="A18" t="b">
        <f>IF(OR(INDEX(SEC_LAST_DATEOFARRI,6,1)&lt;&gt;"",INDEX(SEC_LAST_DATEOFDEPT,6,1)&lt;&gt;"",INDEX(SEC_LAST_COUNTRY,6,1)&lt;&gt;"",INDEX(SEC_LAST_FACNAME,6,1)&lt;&gt;"",INDEX(SEC_LAST_PORT,6,1)&lt;&gt;"",INDEX(SEC_LAST_PORTFAC,6,1)&lt;&gt;"",INDEX(SEC_LAST_SECLEVEL,6,1)&lt;&gt;"",INDEX(SEC_LAST_SECMEASURE,6,1)&lt;&gt;"",),IF(OR(INDEX(SEC_LAST_DATEOFARRI,6,1)="",INDEX(SEC_LAST_DATEOFDEPT,6,1)="",INDEX(SEC_LAST_FACNAME,6,1)="",INDEX(SEC_LAST_PORT,6,1)="",INDEX(SEC_LAST_PORTFAC,6,1)="",INDEX(SEC_LAST_SECLEVEL,6,1)="",),FALSE,TRUE),TRUE)</f>
        <v>1</v>
      </c>
      <c r="B18" t="s">
        <v>33395</v>
      </c>
      <c r="C18" t="s">
        <v>33308</v>
      </c>
      <c r="D18" t="b">
        <f>AND(INDEX(WAS_ITE_DELIVERED,12,1)&lt;&gt;"",INDEX(WAS_ITE_DELIVEREDU,12,1)&lt;&gt;"",INDEX(WAS_ITE_MAXSTORAG,12,1)&lt;&gt;"",INDEX(WAS_ITE_MAXSTORAGU,12,1)&lt;&gt;"",INDEX(WAS_ITE_RETAINED,12,1)&lt;&gt;"",INDEX(WAS_ITE_RETAINEDU,12,1)&lt;&gt;"",INDEX(WAS_ITE_GENERATED,12,1)&lt;&gt;"",INDEX(WAS_ITE_GENERATED,12,1)&lt;&gt;"",INDEX(WAS_ITE_GENERATED,12,1)&lt;&gt;"",INDEX(WAS_ITE_GENERATEDU,12,1)&lt;&gt;"",INDEX(WAS_ITE_LASTPORT,12,1)&lt;&gt;"",INDEX(WAS_ITE_LASTPORTU,12,1)&lt;&gt;"")</f>
        <v>1</v>
      </c>
      <c r="E18" t="s">
        <v>35189</v>
      </c>
      <c r="F18" t="s">
        <v>33308</v>
      </c>
      <c r="G18" t="b">
        <f>IF(OR(INDEX(IHZ_HAZ_CONSIGNMENT,11,1)="",AND(INDEX(IHZ_HAZ_DPGREF,11,1)&lt;&gt;"",INDEX(IHZ_HAZ_CONSIGNMENT,11,1)=INDEX(IHZ_HAZ_CONSIGNMENT,10,1),INDEX(IHZ_HAZ_DPGREF,11,1)=INDEX(IHZ_HAZ_DPGREF,10,1))),TRUE,AND(INDEX(IHZ_HAZ_DGCLASSIFI,11,1)&lt;&gt;"",INDEX(IHZ_HAZ_TEXTUALREF,11,1)&lt;&gt;"",INDEX(IHZ_HAZ_TOTAMOUNT,11,1)&lt;&gt;""))</f>
        <v>1</v>
      </c>
      <c r="H18" t="str">
        <f t="shared" si="0"/>
        <v>Row 11 - All mandatory fields must be given</v>
      </c>
      <c r="I18" t="s">
        <v>33308</v>
      </c>
      <c r="J18" t="b">
        <f>IF(OR(INDEX(OHZ_HAZ_CONSIGNMENT,11,1)="",AND(INDEX(OHZ_HAZ_DPGREF,11,1)&lt;&gt;"",INDEX(OHZ_HAZ_CONSIGNMENT,11,1)=INDEX(OHZ_HAZ_CONSIGNMENT,10,1),INDEX(OHZ_HAZ_DPGREF,11,1)=INDEX(OHZ_HAZ_DPGREF,10,1))),TRUE,AND(INDEX(OHZ_HAZ_DGCLASSIFI,11,1)&lt;&gt;"",INDEX(OHZ_HAZ_TEXTUALREF,11,1)&lt;&gt;"",INDEX(OHZ_HAZ_TOTAMOUNT,11,1)&lt;&gt;""))</f>
        <v>1</v>
      </c>
      <c r="K18" t="str">
        <f t="shared" si="1"/>
        <v>Row 11 - All mandatory fields must be given</v>
      </c>
      <c r="L18" t="s">
        <v>33308</v>
      </c>
      <c r="M18" s="589" t="b">
        <f>VES_VID_IMO&lt;&gt;""</f>
        <v>0</v>
      </c>
      <c r="N18" s="589" t="s">
        <v>33379</v>
      </c>
      <c r="P18" t="b">
        <f>LEN(VOY_VOY_BRIEFCARGO)&lt;256</f>
        <v>1</v>
      </c>
      <c r="Q18" t="s">
        <v>33432</v>
      </c>
      <c r="T18" t="s">
        <v>33529</v>
      </c>
      <c r="W18" s="35" t="b">
        <f>OR(COUNTIF(REF_YES_NO,IBK_BNK_BNKONBOARD)=1,IBK_BNK_BNKONBOARD="")</f>
        <v>1</v>
      </c>
      <c r="X18" t="s">
        <v>35174</v>
      </c>
      <c r="Y18" t="b">
        <f>OR(COUNTIF(REF_YES_NO,OBK_BNK_BNKONBOARD)=1,OBK_BNK_BNKONBOARD="")</f>
        <v>1</v>
      </c>
      <c r="Z18" s="35" t="s">
        <v>35174</v>
      </c>
    </row>
    <row r="19" spans="1:26" x14ac:dyDescent="0.2">
      <c r="A19" t="b">
        <f>IF(OR(INDEX(SEC_LAST_DATEOFARRI,7,1)&lt;&gt;"",INDEX(SEC_LAST_DATEOFDEPT,7,1)&lt;&gt;"",INDEX(SEC_LAST_COUNTRY,7,1)&lt;&gt;"",INDEX(SEC_LAST_FACNAME,7,1)&lt;&gt;"",INDEX(SEC_LAST_PORT,7,1)&lt;&gt;"",INDEX(SEC_LAST_PORTFAC,7,1)&lt;&gt;"",INDEX(SEC_LAST_SECLEVEL,7,1)&lt;&gt;"",INDEX(SEC_LAST_SECMEASURE,7,1)&lt;&gt;"",),IF(OR(INDEX(SEC_LAST_DATEOFARRI,7,1)="",INDEX(SEC_LAST_DATEOFDEPT,7,1)="",INDEX(SEC_LAST_FACNAME,7,1)="",INDEX(SEC_LAST_PORT,7,1)="",INDEX(SEC_LAST_PORTFAC,7,1)="",INDEX(SEC_LAST_SECLEVEL,7,1)="",),FALSE,TRUE),TRUE)</f>
        <v>1</v>
      </c>
      <c r="B19" t="s">
        <v>33396</v>
      </c>
      <c r="C19" t="s">
        <v>33308</v>
      </c>
      <c r="D19" t="b">
        <f>AND(INDEX(WAS_ITE_DELIVERED,13,1)&lt;&gt;"",INDEX(WAS_ITE_DELIVEREDU,13,1)&lt;&gt;"",INDEX(WAS_ITE_MAXSTORAG,13,1)&lt;&gt;"",INDEX(WAS_ITE_MAXSTORAGU,13,1)&lt;&gt;"",INDEX(WAS_ITE_RETAINED,13,1)&lt;&gt;"",INDEX(WAS_ITE_RETAINEDU,13,1)&lt;&gt;"",INDEX(WAS_ITE_GENERATED,13,1)&lt;&gt;"",INDEX(WAS_ITE_GENERATED,13,1)&lt;&gt;"",INDEX(WAS_ITE_GENERATED,13,1)&lt;&gt;"",INDEX(WAS_ITE_GENERATEDU,13,1)&lt;&gt;"",INDEX(WAS_ITE_LASTPORT,13,1)&lt;&gt;"",INDEX(WAS_ITE_LASTPORTU,13,1)&lt;&gt;"")</f>
        <v>1</v>
      </c>
      <c r="E19" t="s">
        <v>35190</v>
      </c>
      <c r="F19" t="s">
        <v>33308</v>
      </c>
      <c r="G19" t="b">
        <f>IF(OR(INDEX(IHZ_HAZ_CONSIGNMENT,12,1)="",AND(INDEX(IHZ_HAZ_DPGREF,12,1)&lt;&gt;"",INDEX(IHZ_HAZ_CONSIGNMENT,12,1)=INDEX(IHZ_HAZ_CONSIGNMENT,11,1),INDEX(IHZ_HAZ_DPGREF,12,1)=INDEX(IHZ_HAZ_DPGREF,11,1))),TRUE,AND(INDEX(IHZ_HAZ_DGCLASSIFI,12,1)&lt;&gt;"",INDEX(IHZ_HAZ_TEXTUALREF,12,1)&lt;&gt;"",INDEX(IHZ_HAZ_TOTAMOUNT,12,1)&lt;&gt;""))</f>
        <v>1</v>
      </c>
      <c r="H19" t="str">
        <f t="shared" si="0"/>
        <v>Row 12 - All mandatory fields must be given</v>
      </c>
      <c r="I19" t="s">
        <v>33308</v>
      </c>
      <c r="J19" t="b">
        <f>IF(OR(INDEX(OHZ_HAZ_CONSIGNMENT,12,1)="",AND(INDEX(OHZ_HAZ_DPGREF,12,1)&lt;&gt;"",INDEX(OHZ_HAZ_CONSIGNMENT,12,1)=INDEX(OHZ_HAZ_CONSIGNMENT,11,1),INDEX(OHZ_HAZ_DPGREF,12,1)=INDEX(OHZ_HAZ_DPGREF,11,1))),TRUE,AND(INDEX(OHZ_HAZ_DGCLASSIFI,12,1)&lt;&gt;"",INDEX(OHZ_HAZ_TEXTUALREF,12,1)&lt;&gt;"",INDEX(OHZ_HAZ_TOTAMOUNT,12,1)&lt;&gt;""))</f>
        <v>1</v>
      </c>
      <c r="K19" t="str">
        <f t="shared" si="1"/>
        <v>Row 12 - All mandatory fields must be given</v>
      </c>
      <c r="L19" t="s">
        <v>33308</v>
      </c>
      <c r="M19" s="589" t="b">
        <f>VES_VID_SHIPNAME&lt;&gt;""</f>
        <v>0</v>
      </c>
      <c r="N19" s="589" t="s">
        <v>33382</v>
      </c>
      <c r="P19" t="b">
        <f>OR(AND(INT(VOY_DEP_POBNEXTPOC)=VOY_DEP_POBNEXTPOC,VOY_DEP_POBNEXTPOC&gt;0,VOY_POBPOC&lt;100000),VOY_DEP_POBNEXTPOC="")</f>
        <v>1</v>
      </c>
      <c r="Q19" t="s">
        <v>33433</v>
      </c>
      <c r="T19" t="s">
        <v>33530</v>
      </c>
      <c r="W19" t="b">
        <f>OR(INDEX(IBK_BNK_QUANTITY,1,1)="",ISNUMBER(INDEX(IBK_BNK_QUANTITY,1,1)))</f>
        <v>1</v>
      </c>
      <c r="X19" t="s">
        <v>35175</v>
      </c>
      <c r="Y19" t="b">
        <f>OR(INDEX(OBK_BNK_QUANTITY,1,1)="",ISNUMBER(INDEX(OBK_BNK_QUANTITY,1,1)))</f>
        <v>1</v>
      </c>
      <c r="Z19" s="35" t="s">
        <v>35175</v>
      </c>
    </row>
    <row r="20" spans="1:26" x14ac:dyDescent="0.2">
      <c r="A20" t="b">
        <f>IF(OR(INDEX(SEC_LAST_DATEOFARRI,8,1)&lt;&gt;"",INDEX(SEC_LAST_DATEOFDEPT,8,1)&lt;&gt;"",INDEX(SEC_LAST_COUNTRY,8,1)&lt;&gt;"",INDEX(SEC_LAST_FACNAME,8,1)&lt;&gt;"",INDEX(SEC_LAST_PORT,8,1)&lt;&gt;"",INDEX(SEC_LAST_PORTFAC,8,1)&lt;&gt;"",INDEX(SEC_LAST_SECLEVEL,8,1)&lt;&gt;"",INDEX(SEC_LAST_SECMEASURE,8,1)&lt;&gt;"",),IF(OR(INDEX(SEC_LAST_DATEOFARRI,8,1)="",INDEX(SEC_LAST_DATEOFDEPT,8,1)="",INDEX(SEC_LAST_FACNAME,8,1)="",INDEX(SEC_LAST_PORT,8,1)="",INDEX(SEC_LAST_PORTFAC,8,1)="",INDEX(SEC_LAST_SECLEVEL,8,1)="",),FALSE,TRUE),TRUE)</f>
        <v>1</v>
      </c>
      <c r="B20" t="s">
        <v>33397</v>
      </c>
      <c r="C20" t="s">
        <v>33308</v>
      </c>
      <c r="D20" t="b">
        <f>AND(INDEX(WAS_ITE_DELIVERED,14,1)&lt;&gt;"",INDEX(WAS_ITE_DELIVEREDU,14,1)&lt;&gt;"",INDEX(WAS_ITE_MAXSTORAG,14,1)&lt;&gt;"",INDEX(WAS_ITE_MAXSTORAGU,14,1)&lt;&gt;"",INDEX(WAS_ITE_RETAINED,14,1)&lt;&gt;"",INDEX(WAS_ITE_RETAINEDU,14,1)&lt;&gt;"",INDEX(WAS_ITE_GENERATED,14,1)&lt;&gt;"",INDEX(WAS_ITE_GENERATED,14,1)&lt;&gt;"",INDEX(WAS_ITE_GENERATED,14,1)&lt;&gt;"",INDEX(WAS_ITE_GENERATEDU,14,1)&lt;&gt;"",INDEX(WAS_ITE_LASTPORT,14,1)&lt;&gt;"",INDEX(WAS_ITE_LASTPORTU,14,1)&lt;&gt;"")</f>
        <v>1</v>
      </c>
      <c r="E20" t="s">
        <v>35191</v>
      </c>
      <c r="F20" t="s">
        <v>33308</v>
      </c>
      <c r="G20" t="b">
        <f>IF(OR(INDEX(IHZ_HAZ_CONSIGNMENT,13,1)="",AND(INDEX(IHZ_HAZ_DPGREF,13,1)&lt;&gt;"",INDEX(IHZ_HAZ_CONSIGNMENT,13,1)=INDEX(IHZ_HAZ_CONSIGNMENT,12,1),INDEX(IHZ_HAZ_DPGREF,13,1)=INDEX(IHZ_HAZ_DPGREF,12,1))),TRUE,AND(INDEX(IHZ_HAZ_DGCLASSIFI,13,1)&lt;&gt;"",INDEX(IHZ_HAZ_TEXTUALREF,13,1)&lt;&gt;"",INDEX(IHZ_HAZ_TOTAMOUNT,13,1)&lt;&gt;""))</f>
        <v>1</v>
      </c>
      <c r="H20" t="str">
        <f t="shared" si="0"/>
        <v>Row 13 - All mandatory fields must be given</v>
      </c>
      <c r="I20" t="s">
        <v>33308</v>
      </c>
      <c r="J20" t="b">
        <f>IF(OR(INDEX(OHZ_HAZ_CONSIGNMENT,13,1)="",AND(INDEX(OHZ_HAZ_DPGREF,13,1)&lt;&gt;"",INDEX(OHZ_HAZ_CONSIGNMENT,13,1)=INDEX(OHZ_HAZ_CONSIGNMENT,12,1),INDEX(OHZ_HAZ_DPGREF,13,1)=INDEX(OHZ_HAZ_DPGREF,12,1))),TRUE,AND(INDEX(OHZ_HAZ_DGCLASSIFI,13,1)&lt;&gt;"",INDEX(OHZ_HAZ_TEXTUALREF,13,1)&lt;&gt;"",INDEX(OHZ_HAZ_TOTAMOUNT,13,1)&lt;&gt;""))</f>
        <v>1</v>
      </c>
      <c r="K20" t="str">
        <f t="shared" si="1"/>
        <v>Row 13 - All mandatory fields must be given</v>
      </c>
      <c r="L20" t="s">
        <v>33308</v>
      </c>
      <c r="M20" s="589" t="b">
        <f>VES_VID_CALLSIGN&lt;&gt;""</f>
        <v>0</v>
      </c>
      <c r="N20" s="589" t="s">
        <v>678</v>
      </c>
      <c r="T20" t="s">
        <v>33531</v>
      </c>
      <c r="W20" t="b">
        <f>LEN(INDEX(IBK_BNK_DESC,1,1))&lt;26</f>
        <v>1</v>
      </c>
      <c r="X20" t="s">
        <v>35176</v>
      </c>
      <c r="Y20" t="b">
        <f>LEN(INDEX(OBK_BNK_DESC,1,1))&lt;26</f>
        <v>1</v>
      </c>
      <c r="Z20" s="35" t="s">
        <v>35176</v>
      </c>
    </row>
    <row r="21" spans="1:26" x14ac:dyDescent="0.2">
      <c r="A21" t="b">
        <f>IF(OR(INDEX(SEC_LAST_DATEOFARRI,9,1)&lt;&gt;"",INDEX(SEC_LAST_DATEOFDEPT,9,1)&lt;&gt;"",INDEX(SEC_LAST_COUNTRY,9,1)&lt;&gt;"",INDEX(SEC_LAST_FACNAME,9,1)&lt;&gt;"",INDEX(SEC_LAST_PORT,9,1)&lt;&gt;"",INDEX(SEC_LAST_PORTFAC,9,1)&lt;&gt;"",INDEX(SEC_LAST_SECLEVEL,9,1)&lt;&gt;"",INDEX(SEC_LAST_SECMEASURE,9,1)&lt;&gt;"",),IF(OR(INDEX(SEC_LAST_DATEOFARRI,9,1)="",INDEX(SEC_LAST_DATEOFDEPT,9,1)="",INDEX(SEC_LAST_FACNAME,9,1)="",INDEX(SEC_LAST_PORT,9,1)="",INDEX(SEC_LAST_PORTFAC,9,1)="",INDEX(SEC_LAST_SECLEVEL,9,1)="",),FALSE,TRUE),TRUE)</f>
        <v>1</v>
      </c>
      <c r="B21" t="s">
        <v>33398</v>
      </c>
      <c r="C21" t="s">
        <v>33308</v>
      </c>
      <c r="D21" t="b">
        <f>AND(INDEX(WAS_ITE_DELIVERED,15,1)&lt;&gt;"",INDEX(WAS_ITE_DELIVEREDU,15,1)&lt;&gt;"",INDEX(WAS_ITE_MAXSTORAG,15,1)&lt;&gt;"",INDEX(WAS_ITE_MAXSTORAGU,15,1)&lt;&gt;"",INDEX(WAS_ITE_RETAINED,15,1)&lt;&gt;"",INDEX(WAS_ITE_RETAINEDU,15,1)&lt;&gt;"",INDEX(WAS_ITE_GENERATED,15,1)&lt;&gt;"",INDEX(WAS_ITE_GENERATED,15,1)&lt;&gt;"",INDEX(WAS_ITE_GENERATED,15,1)&lt;&gt;"",INDEX(WAS_ITE_GENERATEDU,15,1)&lt;&gt;"",INDEX(WAS_ITE_LASTPORT,15,1)&lt;&gt;"",INDEX(WAS_ITE_LASTPORTU,15,1)&lt;&gt;"")</f>
        <v>1</v>
      </c>
      <c r="E21" t="s">
        <v>35192</v>
      </c>
      <c r="F21" t="s">
        <v>33308</v>
      </c>
      <c r="G21" t="b">
        <f>IF(OR(INDEX(IHZ_HAZ_CONSIGNMENT,14,1)="",AND(INDEX(IHZ_HAZ_DPGREF,14,1)&lt;&gt;"",INDEX(IHZ_HAZ_CONSIGNMENT,14,1)=INDEX(IHZ_HAZ_CONSIGNMENT,13,1),INDEX(IHZ_HAZ_DPGREF,14,1)=INDEX(IHZ_HAZ_DPGREF,13,1))),TRUE,AND(INDEX(IHZ_HAZ_DGCLASSIFI,14,1)&lt;&gt;"",INDEX(IHZ_HAZ_TEXTUALREF,14,1)&lt;&gt;"",INDEX(IHZ_HAZ_TOTAMOUNT,14,1)&lt;&gt;""))</f>
        <v>1</v>
      </c>
      <c r="H21" t="str">
        <f t="shared" si="0"/>
        <v>Row 14 - All mandatory fields must be given</v>
      </c>
      <c r="I21" t="s">
        <v>33308</v>
      </c>
      <c r="J21" t="b">
        <f>IF(OR(INDEX(OHZ_HAZ_CONSIGNMENT,14,1)="",AND(INDEX(OHZ_HAZ_DPGREF,14,1)&lt;&gt;"",INDEX(OHZ_HAZ_CONSIGNMENT,14,1)=INDEX(OHZ_HAZ_CONSIGNMENT,13,1),INDEX(OHZ_HAZ_DPGREF,14,1)=INDEX(OHZ_HAZ_DPGREF,13,1))),TRUE,AND(INDEX(OHZ_HAZ_DGCLASSIFI,14,1)&lt;&gt;"",INDEX(OHZ_HAZ_TEXTUALREF,14,1)&lt;&gt;"",INDEX(OHZ_HAZ_TOTAMOUNT,14,1)&lt;&gt;""))</f>
        <v>1</v>
      </c>
      <c r="K21" t="str">
        <f t="shared" si="1"/>
        <v>Row 14 - All mandatory fields must be given</v>
      </c>
      <c r="L21" t="s">
        <v>33308</v>
      </c>
      <c r="M21" s="589" t="b">
        <f>VES_VID_MMSI&lt;&gt;""</f>
        <v>0</v>
      </c>
      <c r="N21" s="589" t="s">
        <v>6</v>
      </c>
      <c r="P21" t="b">
        <f>OR((COUNTIF(REF_YES_NO,VOY_ARR_ANCHORAGE))=1,VOY_ARR_ANCHORAGE="")</f>
        <v>1</v>
      </c>
      <c r="Q21" t="s">
        <v>33434</v>
      </c>
      <c r="T21" t="s">
        <v>33532</v>
      </c>
      <c r="W21" t="b">
        <f>OR(COUNTIF(REF_BUNKERTYPE,INDEX(IBK_BNK_TYPE,1,1))=1,INDEX(IBK_BNK_TYPE,1,1)="")</f>
        <v>1</v>
      </c>
      <c r="X21" t="s">
        <v>35177</v>
      </c>
      <c r="Y21" t="b">
        <f>OR(COUNTIF(REF_BUNKERTYPE,INDEX(OBK_BNK_TYPE,1,1))=1,INDEX(OBK_BNK_TYPE,1,1)="")</f>
        <v>1</v>
      </c>
      <c r="Z21" s="35" t="s">
        <v>35177</v>
      </c>
    </row>
    <row r="22" spans="1:26" x14ac:dyDescent="0.2">
      <c r="A22" t="b">
        <f>IF(OR(INDEX(SEC_LAST_DATEOFARRI,10,1)&lt;&gt;"",INDEX(SEC_LAST_DATEOFDEPT,10,1)&lt;&gt;"",INDEX(SEC_LAST_COUNTRY,10,1)&lt;&gt;"",INDEX(SEC_LAST_FACNAME,10,1)&lt;&gt;"",INDEX(SEC_LAST_PORT,10,1)&lt;&gt;"",INDEX(SEC_LAST_PORTFAC,10,1)&lt;&gt;"",INDEX(SEC_LAST_SECLEVEL,10,1)&lt;&gt;"",INDEX(SEC_LAST_SECMEASURE,10,1)&lt;&gt;"",),IF(OR(INDEX(SEC_LAST_DATEOFARRI,10,1)="",INDEX(SEC_LAST_DATEOFDEPT,10,1)="",INDEX(SEC_LAST_FACNAME,10,1)="",INDEX(SEC_LAST_PORT,10,1)="",INDEX(SEC_LAST_PORTFAC,10,1)="",INDEX(SEC_LAST_SECLEVEL,10,1)="",),FALSE,TRUE),TRUE)</f>
        <v>1</v>
      </c>
      <c r="B22" t="s">
        <v>33399</v>
      </c>
      <c r="C22" t="s">
        <v>33308</v>
      </c>
      <c r="D22" t="b">
        <f>AND(INDEX(WAS_ITE_DELIVERED,16,1)&lt;&gt;"",INDEX(WAS_ITE_DELIVEREDU,16,1)&lt;&gt;"",INDEX(WAS_ITE_MAXSTORAG,16,1)&lt;&gt;"",INDEX(WAS_ITE_MAXSTORAGU,16,1)&lt;&gt;"",INDEX(WAS_ITE_RETAINED,16,1)&lt;&gt;"",INDEX(WAS_ITE_RETAINEDU,16,1)&lt;&gt;"",INDEX(WAS_ITE_GENERATED,16,1)&lt;&gt;"",INDEX(WAS_ITE_GENERATED,16,1)&lt;&gt;"",INDEX(WAS_ITE_GENERATED,16,1)&lt;&gt;"",INDEX(WAS_ITE_GENERATEDU,16,1)&lt;&gt;"",INDEX(WAS_ITE_LASTPORT,16,1)&lt;&gt;"",INDEX(WAS_ITE_LASTPORTU,16,1)&lt;&gt;"")</f>
        <v>1</v>
      </c>
      <c r="E22" t="s">
        <v>35193</v>
      </c>
      <c r="F22" t="s">
        <v>33308</v>
      </c>
      <c r="G22" t="b">
        <f>IF(OR(INDEX(IHZ_HAZ_CONSIGNMENT,15,1)="",AND(INDEX(IHZ_HAZ_DPGREF,15,1)&lt;&gt;"",INDEX(IHZ_HAZ_CONSIGNMENT,15,1)=INDEX(IHZ_HAZ_CONSIGNMENT,14,1),INDEX(IHZ_HAZ_DPGREF,15,1)=INDEX(IHZ_HAZ_DPGREF,14,1))),TRUE,AND(INDEX(IHZ_HAZ_DGCLASSIFI,15,1)&lt;&gt;"",INDEX(IHZ_HAZ_TEXTUALREF,15,1)&lt;&gt;"",INDEX(IHZ_HAZ_TOTAMOUNT,15,1)&lt;&gt;""))</f>
        <v>1</v>
      </c>
      <c r="H22" t="str">
        <f t="shared" si="0"/>
        <v>Row 15 - All mandatory fields must be given</v>
      </c>
      <c r="I22" t="s">
        <v>33308</v>
      </c>
      <c r="J22" t="b">
        <f>IF(OR(INDEX(OHZ_HAZ_CONSIGNMENT,15,1)="",AND(INDEX(OHZ_HAZ_DPGREF,15,1)&lt;&gt;"",INDEX(OHZ_HAZ_CONSIGNMENT,15,1)=INDEX(OHZ_HAZ_CONSIGNMENT,14,1),INDEX(OHZ_HAZ_DPGREF,15,1)=INDEX(OHZ_HAZ_DPGREF,14,1))),TRUE,AND(INDEX(OHZ_HAZ_DGCLASSIFI,15,1)&lt;&gt;"",INDEX(OHZ_HAZ_TEXTUALREF,15,1)&lt;&gt;"",INDEX(OHZ_HAZ_TOTAMOUNT,15,1)&lt;&gt;""))</f>
        <v>1</v>
      </c>
      <c r="K22" t="str">
        <f t="shared" si="1"/>
        <v>Row 15 - All mandatory fields must be given</v>
      </c>
      <c r="L22" t="s">
        <v>33308</v>
      </c>
      <c r="T22" t="s">
        <v>33533</v>
      </c>
    </row>
    <row r="23" spans="1:26" x14ac:dyDescent="0.2">
      <c r="A23" t="b">
        <f>IF(OR(INDEX(SEC_SHIP_DATEFROM,1,1)&lt;&gt;"",INDEX(SEC_SHIP_DATETO,1,1)&lt;&gt;"",INDEX(SEC_SHIP_LATITUDE,1,1)&lt;&gt;"",INDEX(SEC_SHIP_LONGITUDE,1,1)&lt;&gt;"",INDEX(SEC_SHIP_LOCATION,1,1)&lt;&gt;"",INDEX(SEC_SHIP_ACTIVITY,1,1)&lt;&gt;"",INDEX(SEC_SHIP_SECURITYME,1,1)&lt;&gt;"",),IF(OR(INDEX(SEC_SHIP_MEASURESYORN,1,1)="",INDEX(SEC_SHIP_DATEFROM,1,1)="",INDEX(SEC_SHIP_DATETO,1,1)="",INDEX(SEC_SHIP_ACTIVITY,1,1)=""),FALSE,IF(OR(INDEX(SEC_SHIP_LOCATION,1,1)&lt;&gt;"",INDEX(SEC_SHIP_LATITUDE,1,1)&lt;&gt;"",INDEX(SEC_SHIP_LONGITUDE,1,1)&lt;&gt;""),OR(AND(INDEX(SEC_SHIP_LATITUDE,1,1)&lt;&gt;"",INDEX(SEC_SHIP_LONGITUDE,1,1)&lt;&gt;""),AND(INDEX(SEC_SHIP_LATITUDE,1,1)="",INDEX(SEC_SHIP_LONGITUDE,1,1)=""),FALSE))),TRUE)</f>
        <v>1</v>
      </c>
      <c r="B23" t="s">
        <v>33400</v>
      </c>
      <c r="C23" t="s">
        <v>33308</v>
      </c>
      <c r="D23" t="b">
        <f>AND(INDEX(WAS_ITE_DELIVERED,17,1)&lt;&gt;"",INDEX(WAS_ITE_DELIVEREDU,17,1)&lt;&gt;"",INDEX(WAS_ITE_MAXSTORAG,17,1)&lt;&gt;"",INDEX(WAS_ITE_MAXSTORAGU,17,1)&lt;&gt;"",INDEX(WAS_ITE_RETAINED,17,1)&lt;&gt;"",INDEX(WAS_ITE_RETAINEDU,17,1)&lt;&gt;"",INDEX(WAS_ITE_GENERATED,17,1)&lt;&gt;"",INDEX(WAS_ITE_GENERATED,17,1)&lt;&gt;"",INDEX(WAS_ITE_GENERATED,17,1)&lt;&gt;"",INDEX(WAS_ITE_GENERATEDU,17,1)&lt;&gt;"",INDEX(WAS_ITE_LASTPORT,17,1)&lt;&gt;"",INDEX(WAS_ITE_LASTPORTU,17,1)&lt;&gt;"")</f>
        <v>1</v>
      </c>
      <c r="E23" t="s">
        <v>35194</v>
      </c>
      <c r="F23" t="s">
        <v>33308</v>
      </c>
      <c r="G23" t="b">
        <f>IF(OR(INDEX(IHZ_HAZ_CONSIGNMENT,16,1)="",AND(INDEX(IHZ_HAZ_DPGREF,16,1)&lt;&gt;"",INDEX(IHZ_HAZ_CONSIGNMENT,16,1)=INDEX(IHZ_HAZ_CONSIGNMENT,15,1),INDEX(IHZ_HAZ_DPGREF,16,1)=INDEX(IHZ_HAZ_DPGREF,15,1))),TRUE,AND(INDEX(IHZ_HAZ_DGCLASSIFI,16,1)&lt;&gt;"",INDEX(IHZ_HAZ_TEXTUALREF,16,1)&lt;&gt;"",INDEX(IHZ_HAZ_TOTAMOUNT,16,1)&lt;&gt;""))</f>
        <v>1</v>
      </c>
      <c r="H23" t="str">
        <f t="shared" si="0"/>
        <v>Row 16 - All mandatory fields must be given</v>
      </c>
      <c r="I23" t="s">
        <v>33308</v>
      </c>
      <c r="J23" t="b">
        <f>IF(OR(INDEX(OHZ_HAZ_CONSIGNMENT,16,1)="",AND(INDEX(OHZ_HAZ_DPGREF,16,1)&lt;&gt;"",INDEX(OHZ_HAZ_CONSIGNMENT,16,1)=INDEX(OHZ_HAZ_CONSIGNMENT,15,1),INDEX(OHZ_HAZ_DPGREF,16,1)=INDEX(OHZ_HAZ_DPGREF,15,1))),TRUE,AND(INDEX(OHZ_HAZ_DGCLASSIFI,16,1)&lt;&gt;"",INDEX(OHZ_HAZ_TEXTUALREF,16,1)&lt;&gt;"",INDEX(OHZ_HAZ_TOTAMOUNT,16,1)&lt;&gt;""))</f>
        <v>1</v>
      </c>
      <c r="K23" t="str">
        <f t="shared" si="1"/>
        <v>Row 16 - All mandatory fields must be given</v>
      </c>
      <c r="L23" t="s">
        <v>33308</v>
      </c>
      <c r="O23" t="s">
        <v>33308</v>
      </c>
      <c r="P23" t="b">
        <f>OR(AND(INT(VOY_POBPOC)=VOY_POBPOC,VOY_POBPOC&gt;0,VOY_POBPOC&lt;100000),VOY_POBPOC="")</f>
        <v>1</v>
      </c>
      <c r="Q23" t="s">
        <v>33435</v>
      </c>
      <c r="T23" t="s">
        <v>33534</v>
      </c>
    </row>
    <row r="24" spans="1:26" x14ac:dyDescent="0.2">
      <c r="A24" t="b">
        <f>IF(OR(INDEX(SEC_SHIP_DATEFROM,2,1)&lt;&gt;"",INDEX(SEC_SHIP_DATETO,2,1)&lt;&gt;"",INDEX(SEC_SHIP_LATITUDE,2,1)&lt;&gt;"",INDEX(SEC_SHIP_LONGITUDE,2,1)&lt;&gt;"",INDEX(SEC_SHIP_LOCATION,2,1)&lt;&gt;"",INDEX(SEC_SHIP_ACTIVITY,2,1)&lt;&gt;"",INDEX(SEC_SHIP_SECURITYME,2,1)&lt;&gt;"",),IF(OR(INDEX(SEC_SHIP_MEASURESYORN,2,1)="",INDEX(SEC_SHIP_DATEFROM,2,1)="",INDEX(SEC_SHIP_DATETO,2,1)="",INDEX(SEC_SHIP_ACTIVITY,2,1)="",),FALSE,IF(OR(INDEX(SEC_SHIP_LOCATION,2,1)&lt;&gt;"",INDEX(SEC_SHIP_LATITUDE,2,1)&lt;&gt;"",INDEX(SEC_SHIP_LONGITUDE,2,1)&lt;&gt;""),OR(AND(INDEX(SEC_SHIP_LATITUDE,2,1)&lt;&gt;"",INDEX(SEC_SHIP_LONGITUDE,2,1)&lt;&gt;""),AND(INDEX(SEC_SHIP_LATITUDE,2,1)="",INDEX(SEC_SHIP_LONGITUDE,2,1)=""),FALSE))),TRUE)</f>
        <v>1</v>
      </c>
      <c r="B24" t="s">
        <v>33401</v>
      </c>
      <c r="C24" t="s">
        <v>33308</v>
      </c>
      <c r="D24" t="b">
        <f>AND(INDEX(WAS_ITE_DELIVERED,18,1)&lt;&gt;"",INDEX(WAS_ITE_DELIVEREDU,18,1)&lt;&gt;"",INDEX(WAS_ITE_MAXSTORAG,18,1)&lt;&gt;"",INDEX(WAS_ITE_MAXSTORAGU,18,1)&lt;&gt;"",INDEX(WAS_ITE_RETAINED,18,1)&lt;&gt;"",INDEX(WAS_ITE_RETAINEDU,18,1)&lt;&gt;"",INDEX(WAS_ITE_GENERATED,18,1)&lt;&gt;"",INDEX(WAS_ITE_GENERATED,18,1)&lt;&gt;"",INDEX(WAS_ITE_GENERATED,18,1)&lt;&gt;"",INDEX(WAS_ITE_GENERATEDU,18,1)&lt;&gt;"",INDEX(WAS_ITE_LASTPORT,18,1)&lt;&gt;"",INDEX(WAS_ITE_LASTPORTU,18,1)&lt;&gt;"")</f>
        <v>1</v>
      </c>
      <c r="E24" t="s">
        <v>35195</v>
      </c>
      <c r="F24" t="s">
        <v>33308</v>
      </c>
      <c r="G24" t="b">
        <f>IF(OR(INDEX(IHZ_HAZ_CONSIGNMENT,17,1)="",AND(INDEX(IHZ_HAZ_DPGREF,17,1)&lt;&gt;"",INDEX(IHZ_HAZ_CONSIGNMENT,17,1)=INDEX(IHZ_HAZ_CONSIGNMENT,16,1),INDEX(IHZ_HAZ_DPGREF,17,1)=INDEX(IHZ_HAZ_DPGREF,16,1))),TRUE,AND(INDEX(IHZ_HAZ_DGCLASSIFI,17,1)&lt;&gt;"",INDEX(IHZ_HAZ_TEXTUALREF,17,1)&lt;&gt;"",INDEX(IHZ_HAZ_TOTAMOUNT,17,1)&lt;&gt;""))</f>
        <v>1</v>
      </c>
      <c r="H24" t="str">
        <f t="shared" si="0"/>
        <v>Row 17 - All mandatory fields must be given</v>
      </c>
      <c r="I24" t="s">
        <v>33308</v>
      </c>
      <c r="J24" t="b">
        <f>IF(OR(INDEX(OHZ_HAZ_CONSIGNMENT,17,1)="",AND(INDEX(OHZ_HAZ_DPGREF,17,1)&lt;&gt;"",INDEX(OHZ_HAZ_CONSIGNMENT,17,1)=INDEX(OHZ_HAZ_CONSIGNMENT,16,1),INDEX(OHZ_HAZ_DPGREF,17,1)=INDEX(OHZ_HAZ_DPGREF,16,1))),TRUE,AND(INDEX(OHZ_HAZ_DGCLASSIFI,17,1)&lt;&gt;"",INDEX(OHZ_HAZ_TEXTUALREF,17,1)&lt;&gt;"",INDEX(OHZ_HAZ_TOTAMOUNT,17,1)&lt;&gt;""))</f>
        <v>1</v>
      </c>
      <c r="K24" t="str">
        <f t="shared" si="1"/>
        <v>Row 17 - All mandatory fields must be given</v>
      </c>
      <c r="L24" t="s">
        <v>33308</v>
      </c>
      <c r="O24" t="s">
        <v>33308</v>
      </c>
      <c r="P24" t="b">
        <f>VOY_TOTALPURPO&lt;10</f>
        <v>1</v>
      </c>
      <c r="Q24" t="s">
        <v>35108</v>
      </c>
      <c r="T24" t="s">
        <v>33535</v>
      </c>
    </row>
    <row r="25" spans="1:26" x14ac:dyDescent="0.2">
      <c r="A25" t="b">
        <f>IF(OR(INDEX(SEC_SHIP_DATEFROM,3,1)&lt;&gt;"",INDEX(SEC_SHIP_DATETO,3,1)&lt;&gt;"",INDEX(SEC_SHIP_LATITUDE,3,1)&lt;&gt;"",INDEX(SEC_SHIP_LONGITUDE,3,1)&lt;&gt;"",INDEX(SEC_SHIP_LOCATION,3,1)&lt;&gt;"",INDEX(SEC_SHIP_ACTIVITY,3,1)&lt;&gt;"",INDEX(SEC_SHIP_SECURITYME,3,1)&lt;&gt;"",),IF(OR(INDEX(SEC_SHIP_MEASURESYORN,3,1)="",INDEX(SEC_SHIP_DATEFROM,3,1)="",INDEX(SEC_SHIP_DATETO,3,1)="",INDEX(SEC_SHIP_ACTIVITY,3,1)="",),FALSE,IF(OR(INDEX(SEC_SHIP_LOCATION,3,1)&lt;&gt;"",INDEX(SEC_SHIP_LATITUDE,3,1)&lt;&gt;"",INDEX(SEC_SHIP_LONGITUDE,3,1)&lt;&gt;""),OR(AND(INDEX(SEC_SHIP_LATITUDE,3,1)&lt;&gt;"",INDEX(SEC_SHIP_LONGITUDE,3,1)&lt;&gt;""),AND(INDEX(SEC_SHIP_LATITUDE,3,1)="",INDEX(SEC_SHIP_LONGITUDE,3,1)=""),FALSE))),TRUE)</f>
        <v>1</v>
      </c>
      <c r="B25" t="s">
        <v>33402</v>
      </c>
      <c r="C25" t="s">
        <v>33308</v>
      </c>
      <c r="D25" t="b">
        <f>AND(INDEX(WAS_ITE_DELIVERED,19,1)&lt;&gt;"",INDEX(WAS_ITE_DELIVEREDU,19,1)&lt;&gt;"",INDEX(WAS_ITE_MAXSTORAG,19,1)&lt;&gt;"",INDEX(WAS_ITE_MAXSTORAGU,19,1)&lt;&gt;"",INDEX(WAS_ITE_RETAINED,19,1)&lt;&gt;"",INDEX(WAS_ITE_RETAINEDU,19,1)&lt;&gt;"",INDEX(WAS_ITE_GENERATED,19,1)&lt;&gt;"",INDEX(WAS_ITE_GENERATED,19,1)&lt;&gt;"",INDEX(WAS_ITE_GENERATED,19,1)&lt;&gt;"",INDEX(WAS_ITE_GENERATEDU,19,1)&lt;&gt;"",INDEX(WAS_ITE_LASTPORT,19,1)&lt;&gt;"",INDEX(WAS_ITE_LASTPORTU,19,1)&lt;&gt;"")</f>
        <v>1</v>
      </c>
      <c r="E25" t="s">
        <v>35196</v>
      </c>
      <c r="F25" t="s">
        <v>33308</v>
      </c>
      <c r="G25" t="b">
        <f>IF(OR(INDEX(IHZ_HAZ_CONSIGNMENT,18,1)="",AND(INDEX(IHZ_HAZ_DPGREF,18,1)&lt;&gt;"",INDEX(IHZ_HAZ_CONSIGNMENT,18,1)=INDEX(IHZ_HAZ_CONSIGNMENT,17,1),INDEX(IHZ_HAZ_DPGREF,18,1)=INDEX(IHZ_HAZ_DPGREF,17,1))),TRUE,AND(INDEX(IHZ_HAZ_DGCLASSIFI,18,1)&lt;&gt;"",INDEX(IHZ_HAZ_TEXTUALREF,18,1)&lt;&gt;"",INDEX(IHZ_HAZ_TOTAMOUNT,18,1)&lt;&gt;""))</f>
        <v>1</v>
      </c>
      <c r="H25" t="str">
        <f t="shared" si="0"/>
        <v>Row 18 - All mandatory fields must be given</v>
      </c>
      <c r="I25" t="s">
        <v>33308</v>
      </c>
      <c r="J25" t="b">
        <f>IF(OR(INDEX(OHZ_HAZ_CONSIGNMENT,18,1)="",AND(INDEX(OHZ_HAZ_DPGREF,18,1)&lt;&gt;"",INDEX(OHZ_HAZ_CONSIGNMENT,18,1)=INDEX(OHZ_HAZ_CONSIGNMENT,17,1),INDEX(OHZ_HAZ_DPGREF,18,1)=INDEX(OHZ_HAZ_DPGREF,17,1))),TRUE,AND(INDEX(OHZ_HAZ_DGCLASSIFI,18,1)&lt;&gt;"",INDEX(OHZ_HAZ_TEXTUALREF,18,1)&lt;&gt;"",INDEX(OHZ_HAZ_TOTAMOUNT,18,1)&lt;&gt;""))</f>
        <v>1</v>
      </c>
      <c r="K25" t="str">
        <f t="shared" si="1"/>
        <v>Row 18 - All mandatory fields must be given</v>
      </c>
      <c r="L25" t="s">
        <v>33308</v>
      </c>
      <c r="O25" t="s">
        <v>33308</v>
      </c>
      <c r="T25" t="s">
        <v>33536</v>
      </c>
    </row>
    <row r="26" spans="1:26" x14ac:dyDescent="0.2">
      <c r="A26" t="b">
        <f>IF(OR(INDEX(SEC_SHIP_DATEFROM,4,1)&lt;&gt;"",INDEX(SEC_SHIP_DATETO,4,1)&lt;&gt;"",INDEX(SEC_SHIP_LATITUDE,4,1)&lt;&gt;"",INDEX(SEC_SHIP_LONGITUDE,4,1)&lt;&gt;"",INDEX(SEC_SHIP_LOCATION,4,1)&lt;&gt;"",INDEX(SEC_SHIP_ACTIVITY,4,1)&lt;&gt;"",INDEX(SEC_SHIP_SECURITYME,4,1)&lt;&gt;"",),IF(OR(INDEX(SEC_SHIP_MEASURESYORN,4,1)="",INDEX(SEC_SHIP_DATEFROM,4,1)="",INDEX(SEC_SHIP_DATETO,4,1)="",INDEX(SEC_SHIP_ACTIVITY,4,1)="",),FALSE,IF(OR(INDEX(SEC_SHIP_LOCATION,4,1)&lt;&gt;"",INDEX(SEC_SHIP_LATITUDE,4,1)&lt;&gt;"",INDEX(SEC_SHIP_LONGITUDE,4,1)&lt;&gt;""),OR(AND(INDEX(SEC_SHIP_LATITUDE,4,1)&lt;&gt;"",INDEX(SEC_SHIP_LONGITUDE,4,1)&lt;&gt;""),AND(INDEX(SEC_SHIP_LATITUDE,4,1)="",INDEX(SEC_SHIP_LONGITUDE,4,1)=""),FALSE))),TRUE)</f>
        <v>1</v>
      </c>
      <c r="B26" t="s">
        <v>33403</v>
      </c>
      <c r="C26" t="s">
        <v>33308</v>
      </c>
      <c r="D26" t="b">
        <f>AND(INDEX(WAS_ITE_DELIVERED,20,1)&lt;&gt;"",INDEX(WAS_ITE_DELIVEREDU,20,1)&lt;&gt;"",INDEX(WAS_ITE_MAXSTORAG,20,1)&lt;&gt;"",INDEX(WAS_ITE_MAXSTORAGU,20,1)&lt;&gt;"",INDEX(WAS_ITE_RETAINED,20,1)&lt;&gt;"",INDEX(WAS_ITE_RETAINEDU,20,1)&lt;&gt;"",INDEX(WAS_ITE_GENERATED,20,1)&lt;&gt;"",INDEX(WAS_ITE_GENERATED,20,1)&lt;&gt;"",INDEX(WAS_ITE_GENERATED,20,1)&lt;&gt;"",INDEX(WAS_ITE_GENERATEDU,20,1)&lt;&gt;"",INDEX(WAS_ITE_LASTPORT,20,1)&lt;&gt;"",INDEX(WAS_ITE_LASTPORTU,20,1)&lt;&gt;"")</f>
        <v>1</v>
      </c>
      <c r="E26" t="s">
        <v>35197</v>
      </c>
      <c r="F26" t="s">
        <v>33308</v>
      </c>
      <c r="G26" t="b">
        <f>IF(OR(INDEX(IHZ_HAZ_CONSIGNMENT,19,1)="",AND(INDEX(IHZ_HAZ_DPGREF,19,1)&lt;&gt;"",INDEX(IHZ_HAZ_CONSIGNMENT,19,1)=INDEX(IHZ_HAZ_CONSIGNMENT,18,1),INDEX(IHZ_HAZ_DPGREF,19,1)=INDEX(IHZ_HAZ_DPGREF,18,1))),TRUE,AND(INDEX(IHZ_HAZ_DGCLASSIFI,19,1)&lt;&gt;"",INDEX(IHZ_HAZ_TEXTUALREF,19,1)&lt;&gt;"",INDEX(IHZ_HAZ_TOTAMOUNT,19,1)&lt;&gt;""))</f>
        <v>1</v>
      </c>
      <c r="H26" t="str">
        <f t="shared" si="0"/>
        <v>Row 19 - All mandatory fields must be given</v>
      </c>
      <c r="I26" t="s">
        <v>33308</v>
      </c>
      <c r="J26" t="b">
        <f>IF(OR(INDEX(OHZ_HAZ_CONSIGNMENT,19,1)="",AND(INDEX(OHZ_HAZ_DPGREF,19,1)&lt;&gt;"",INDEX(OHZ_HAZ_CONSIGNMENT,19,1)=INDEX(OHZ_HAZ_CONSIGNMENT,18,1),INDEX(OHZ_HAZ_DPGREF,19,1)=INDEX(OHZ_HAZ_DPGREF,18,1))),TRUE,AND(INDEX(OHZ_HAZ_DGCLASSIFI,19,1)&lt;&gt;"",INDEX(OHZ_HAZ_TEXTUALREF,19,1)&lt;&gt;"",INDEX(OHZ_HAZ_TOTAMOUNT,19,1)&lt;&gt;""))</f>
        <v>1</v>
      </c>
      <c r="K26" t="str">
        <f t="shared" si="1"/>
        <v>Row 19 - All mandatory fields must be given</v>
      </c>
      <c r="L26" t="s">
        <v>33308</v>
      </c>
      <c r="O26" t="s">
        <v>33308</v>
      </c>
      <c r="T26" t="s">
        <v>33537</v>
      </c>
    </row>
    <row r="27" spans="1:26" x14ac:dyDescent="0.2">
      <c r="A27" t="b">
        <f>IF(OR(INDEX(SEC_SHIP_DATEFROM,5,1)&lt;&gt;"",INDEX(SEC_SHIP_DATETO,5,1)&lt;&gt;"",INDEX(SEC_SHIP_LATITUDE,5,1)&lt;&gt;"",INDEX(SEC_SHIP_LONGITUDE,5,1)&lt;&gt;"",INDEX(SEC_SHIP_LOCATION,5,1)&lt;&gt;"",INDEX(SEC_SHIP_ACTIVITY,5,1)&lt;&gt;"",INDEX(SEC_SHIP_SECURITYME,5,1)&lt;&gt;"",),IF(OR(INDEX(SEC_SHIP_MEASURESYORN,5,1)="",INDEX(SEC_SHIP_DATEFROM,5,1)="",INDEX(SEC_SHIP_DATETO,5,1)="",INDEX(SEC_SHIP_ACTIVITY,5,1)="",),FALSE,IF(OR(INDEX(SEC_SHIP_LOCATION,5,1)&lt;&gt;"",INDEX(SEC_SHIP_LATITUDE,5,1)&lt;&gt;"",INDEX(SEC_SHIP_LONGITUDE,5,1)&lt;&gt;""),OR(AND(INDEX(SEC_SHIP_LATITUDE,5,1)&lt;&gt;"",INDEX(SEC_SHIP_LONGITUDE,5,1)&lt;&gt;""),AND(INDEX(SEC_SHIP_LATITUDE,5,1)="",INDEX(SEC_SHIP_LONGITUDE,5,1)=""),FALSE))),TRUE)</f>
        <v>1</v>
      </c>
      <c r="B27" t="s">
        <v>33404</v>
      </c>
      <c r="C27" t="s">
        <v>33308</v>
      </c>
      <c r="D27" t="b">
        <f>AND(INDEX(WAS_ITE_DELIVERED,21,1)&lt;&gt;"",INDEX(WAS_ITE_DELIVEREDU,21,1)&lt;&gt;"",INDEX(WAS_ITE_MAXSTORAG,21,1)&lt;&gt;"",INDEX(WAS_ITE_MAXSTORAGU,21,1)&lt;&gt;"",INDEX(WAS_ITE_RETAINED,21,1)&lt;&gt;"",INDEX(WAS_ITE_RETAINEDU,21,1)&lt;&gt;"",INDEX(WAS_ITE_GENERATED,21,1)&lt;&gt;"",INDEX(WAS_ITE_GENERATED,21,1)&lt;&gt;"",INDEX(WAS_ITE_GENERATED,21,1)&lt;&gt;"",INDEX(WAS_ITE_GENERATEDU,21,1)&lt;&gt;"",INDEX(WAS_ITE_LASTPORT,21,1)&lt;&gt;"",INDEX(WAS_ITE_LASTPORTU,21,1)&lt;&gt;"")</f>
        <v>1</v>
      </c>
      <c r="E27" t="s">
        <v>35198</v>
      </c>
      <c r="F27" t="s">
        <v>33308</v>
      </c>
      <c r="G27" t="b">
        <f>IF(OR(INDEX(IHZ_HAZ_CONSIGNMENT,20,1)="",AND(INDEX(IHZ_HAZ_DPGREF,20,1)&lt;&gt;"",INDEX(IHZ_HAZ_CONSIGNMENT,20,1)=INDEX(IHZ_HAZ_CONSIGNMENT,19,1),INDEX(IHZ_HAZ_DPGREF,20,1)=INDEX(IHZ_HAZ_DPGREF,19,1))),TRUE,AND(INDEX(IHZ_HAZ_DGCLASSIFI,20,1)&lt;&gt;"",INDEX(IHZ_HAZ_TEXTUALREF,20,1)&lt;&gt;"",INDEX(IHZ_HAZ_TOTAMOUNT,20,1)&lt;&gt;""))</f>
        <v>1</v>
      </c>
      <c r="H27" t="str">
        <f t="shared" si="0"/>
        <v>Row 20 - All mandatory fields must be given</v>
      </c>
      <c r="I27" t="s">
        <v>33308</v>
      </c>
      <c r="J27" t="b">
        <f>IF(OR(INDEX(OHZ_HAZ_CONSIGNMENT,20,1)="",AND(INDEX(OHZ_HAZ_DPGREF,20,1)&lt;&gt;"",INDEX(OHZ_HAZ_CONSIGNMENT,20,1)=INDEX(OHZ_HAZ_CONSIGNMENT,19,1),INDEX(OHZ_HAZ_DPGREF,20,1)=INDEX(OHZ_HAZ_DPGREF,19,1))),TRUE,AND(INDEX(OHZ_HAZ_DGCLASSIFI,20,1)&lt;&gt;"",INDEX(OHZ_HAZ_TEXTUALREF,20,1)&lt;&gt;"",INDEX(OHZ_HAZ_TOTAMOUNT,20,1)&lt;&gt;""))</f>
        <v>1</v>
      </c>
      <c r="K27" t="str">
        <f t="shared" si="1"/>
        <v>Row 20 - All mandatory fields must be given</v>
      </c>
      <c r="L27" t="s">
        <v>33308</v>
      </c>
      <c r="O27" t="s">
        <v>33308</v>
      </c>
      <c r="T27" t="s">
        <v>33538</v>
      </c>
    </row>
    <row r="28" spans="1:26" x14ac:dyDescent="0.2">
      <c r="A28" t="b">
        <f>IF(OR(INDEX(SEC_SHIP_DATEFROM,6,1)&lt;&gt;"",INDEX(SEC_SHIP_DATETO,6,1)&lt;&gt;"",INDEX(SEC_SHIP_LATITUDE,6,1)&lt;&gt;"",INDEX(SEC_SHIP_LONGITUDE,6,1)&lt;&gt;"",INDEX(SEC_SHIP_LOCATION,6,1)&lt;&gt;"",INDEX(SEC_SHIP_ACTIVITY,6,1)&lt;&gt;"",INDEX(SEC_SHIP_SECURITYME,6,1)&lt;&gt;"",),IF(OR(INDEX(SEC_SHIP_MEASURESYORN,6,1)="",INDEX(SEC_SHIP_DATEFROM,6,1)="",INDEX(SEC_SHIP_DATETO,6,1)="",INDEX(SEC_SHIP_ACTIVITY,6,1)="",),FALSE,IF(OR(INDEX(SEC_SHIP_LOCATION,6,1)&lt;&gt;"",INDEX(SEC_SHIP_LATITUDE,6,1)&lt;&gt;"",INDEX(SEC_SHIP_LONGITUDE,6,1)&lt;&gt;""),OR(AND(INDEX(SEC_SHIP_LATITUDE,6,1)&lt;&gt;"",INDEX(SEC_SHIP_LONGITUDE,6,1)&lt;&gt;""),AND(INDEX(SEC_SHIP_LATITUDE,6,1)="",INDEX(SEC_SHIP_LONGITUDE,6,1)=""),FALSE))),TRUE)</f>
        <v>1</v>
      </c>
      <c r="B28" t="s">
        <v>33405</v>
      </c>
      <c r="C28" t="s">
        <v>33308</v>
      </c>
      <c r="D28" t="b">
        <f>AND(INDEX(WAS_ITE_DELIVERED,22,1)&lt;&gt;"",INDEX(WAS_ITE_DELIVEREDU,22,1)&lt;&gt;"",INDEX(WAS_ITE_MAXSTORAG,22,1)&lt;&gt;"",INDEX(WAS_ITE_MAXSTORAGU,22,1)&lt;&gt;"",INDEX(WAS_ITE_RETAINED,22,1)&lt;&gt;"",INDEX(WAS_ITE_RETAINEDU,22,1)&lt;&gt;"",INDEX(WAS_ITE_GENERATED,22,1)&lt;&gt;"",INDEX(WAS_ITE_GENERATED,22,1)&lt;&gt;"",INDEX(WAS_ITE_GENERATED,22,1)&lt;&gt;"",INDEX(WAS_ITE_GENERATEDU,22,1)&lt;&gt;"",INDEX(WAS_ITE_LASTPORT,22,1)&lt;&gt;"",INDEX(WAS_ITE_LASTPORTU,22,1)&lt;&gt;"")</f>
        <v>1</v>
      </c>
      <c r="E28" t="s">
        <v>35199</v>
      </c>
      <c r="F28" t="s">
        <v>33308</v>
      </c>
      <c r="G28" t="b">
        <f>IF(OR(INDEX(IHZ_HAZ_CONSIGNMENT,21,1)="",AND(INDEX(IHZ_HAZ_DPGREF,21,1)&lt;&gt;"",INDEX(IHZ_HAZ_CONSIGNMENT,21,1)=INDEX(IHZ_HAZ_CONSIGNMENT,20,1),INDEX(IHZ_HAZ_DPGREF,21,1)=INDEX(IHZ_HAZ_DPGREF,20,1))),TRUE,AND(INDEX(IHZ_HAZ_DGCLASSIFI,21,1)&lt;&gt;"",INDEX(IHZ_HAZ_TEXTUALREF,21,1)&lt;&gt;"",INDEX(IHZ_HAZ_TOTAMOUNT,21,1)&lt;&gt;""))</f>
        <v>1</v>
      </c>
      <c r="H28" t="str">
        <f t="shared" si="0"/>
        <v>Row 21 - All mandatory fields must be given</v>
      </c>
      <c r="I28" t="s">
        <v>33308</v>
      </c>
      <c r="J28" t="b">
        <f>IF(OR(INDEX(OHZ_HAZ_CONSIGNMENT,21,1)="",AND(INDEX(OHZ_HAZ_DPGREF,21,1)&lt;&gt;"",INDEX(OHZ_HAZ_CONSIGNMENT,21,1)=INDEX(OHZ_HAZ_CONSIGNMENT,20,1),INDEX(OHZ_HAZ_DPGREF,21,1)=INDEX(OHZ_HAZ_DPGREF,20,1))),TRUE,AND(INDEX(OHZ_HAZ_DGCLASSIFI,21,1)&lt;&gt;"",INDEX(OHZ_HAZ_TEXTUALREF,21,1)&lt;&gt;"",INDEX(OHZ_HAZ_TOTAMOUNT,21,1)&lt;&gt;""))</f>
        <v>1</v>
      </c>
      <c r="K28" t="str">
        <f t="shared" si="1"/>
        <v>Row 21 - All mandatory fields must be given</v>
      </c>
      <c r="L28" t="s">
        <v>33308</v>
      </c>
      <c r="T28" t="s">
        <v>33539</v>
      </c>
    </row>
    <row r="29" spans="1:26" x14ac:dyDescent="0.2">
      <c r="A29" t="b">
        <f>IF(OR(INDEX(SEC_SHIP_DATEFROM,7,1)&lt;&gt;"",INDEX(SEC_SHIP_DATETO,7,1)&lt;&gt;"",INDEX(SEC_SHIP_LATITUDE,7,1)&lt;&gt;"",INDEX(SEC_SHIP_LONGITUDE,7,1)&lt;&gt;"",INDEX(SEC_SHIP_LOCATION,7,1)&lt;&gt;"",INDEX(SEC_SHIP_ACTIVITY,7,1)&lt;&gt;"",INDEX(SEC_SHIP_SECURITYME,7,1)&lt;&gt;"",),IF(OR(INDEX(SEC_SHIP_MEASURESYORN,7,1)="",INDEX(SEC_SHIP_DATEFROM,7,1)="",INDEX(SEC_SHIP_DATETO,7,1)="",INDEX(SEC_SHIP_ACTIVITY,7,1)="",),FALSE,IF(OR(INDEX(SEC_SHIP_LOCATION,7,1)&lt;&gt;"",INDEX(SEC_SHIP_LATITUDE,7,1)&lt;&gt;"",INDEX(SEC_SHIP_LONGITUDE,7,1)&lt;&gt;""),OR(AND(INDEX(SEC_SHIP_LATITUDE,7,1)&lt;&gt;"",INDEX(SEC_SHIP_LONGITUDE,7,1)&lt;&gt;""),AND(INDEX(SEC_SHIP_LATITUDE,7,1)="",INDEX(SEC_SHIP_LONGITUDE,7,1)=""),FALSE))),TRUE)</f>
        <v>1</v>
      </c>
      <c r="B29" t="s">
        <v>33406</v>
      </c>
      <c r="C29" t="s">
        <v>33308</v>
      </c>
      <c r="D29" t="b">
        <f>AND(INDEX(WAS_ITE_DELIVERED,23,1)&lt;&gt;"",INDEX(WAS_ITE_DELIVEREDU,23,1)&lt;&gt;"",INDEX(WAS_ITE_MAXSTORAG,23,1)&lt;&gt;"",INDEX(WAS_ITE_MAXSTORAGU,23,1)&lt;&gt;"",INDEX(WAS_ITE_RETAINED,23,1)&lt;&gt;"",INDEX(WAS_ITE_RETAINEDU,23,1)&lt;&gt;"",INDEX(WAS_ITE_GENERATED,23,1)&lt;&gt;"",INDEX(WAS_ITE_GENERATED,23,1)&lt;&gt;"",INDEX(WAS_ITE_GENERATED,23,1)&lt;&gt;"",INDEX(WAS_ITE_GENERATEDU,23,1)&lt;&gt;"",INDEX(WAS_ITE_LASTPORT,23,1)&lt;&gt;"",INDEX(WAS_ITE_LASTPORTU,23,1)&lt;&gt;"")</f>
        <v>1</v>
      </c>
      <c r="E29" t="s">
        <v>35199</v>
      </c>
      <c r="F29" t="s">
        <v>33308</v>
      </c>
      <c r="G29" t="b">
        <f>IF(OR(INDEX(IHZ_HAZ_CONSIGNMENT,22,1)="",AND(INDEX(IHZ_HAZ_DPGREF,22,1)&lt;&gt;"",INDEX(IHZ_HAZ_CONSIGNMENT,22,1)=INDEX(IHZ_HAZ_CONSIGNMENT,21,1),INDEX(IHZ_HAZ_DPGREF,22,1)=INDEX(IHZ_HAZ_DPGREF,21,1))),TRUE,AND(INDEX(IHZ_HAZ_DGCLASSIFI,22,1)&lt;&gt;"",INDEX(IHZ_HAZ_TEXTUALREF,22,1)&lt;&gt;"",INDEX(IHZ_HAZ_TOTAMOUNT,22,1)&lt;&gt;""))</f>
        <v>1</v>
      </c>
      <c r="H29" t="str">
        <f t="shared" si="0"/>
        <v>Row 22 - All mandatory fields must be given</v>
      </c>
      <c r="I29" t="s">
        <v>33308</v>
      </c>
      <c r="J29" t="b">
        <f>IF(OR(INDEX(OHZ_HAZ_CONSIGNMENT,22,1)="",AND(INDEX(OHZ_HAZ_DPGREF,22,1)&lt;&gt;"",INDEX(OHZ_HAZ_CONSIGNMENT,22,1)=INDEX(OHZ_HAZ_CONSIGNMENT,21,1),INDEX(OHZ_HAZ_DPGREF,22,1)=INDEX(OHZ_HAZ_DPGREF,21,1))),TRUE,AND(INDEX(OHZ_HAZ_DGCLASSIFI,22,1)&lt;&gt;"",INDEX(OHZ_HAZ_TEXTUALREF,22,1)&lt;&gt;"",INDEX(OHZ_HAZ_TOTAMOUNT,22,1)&lt;&gt;""))</f>
        <v>1</v>
      </c>
      <c r="K29" t="str">
        <f t="shared" si="1"/>
        <v>Row 22 - All mandatory fields must be given</v>
      </c>
      <c r="L29" t="s">
        <v>33308</v>
      </c>
      <c r="T29" t="s">
        <v>33540</v>
      </c>
    </row>
    <row r="30" spans="1:26" x14ac:dyDescent="0.2">
      <c r="A30" t="b">
        <f>IF(OR(INDEX(SEC_SHIP_DATEFROM,8,1)&lt;&gt;"",INDEX(SEC_SHIP_DATETO,8,1)&lt;&gt;"",INDEX(SEC_SHIP_LATITUDE,8,1)&lt;&gt;"",INDEX(SEC_SHIP_LONGITUDE,8,1)&lt;&gt;"",INDEX(SEC_SHIP_LOCATION,8,1)&lt;&gt;"",INDEX(SEC_SHIP_ACTIVITY,8,1)&lt;&gt;"",INDEX(SEC_SHIP_SECURITYME,8,1)&lt;&gt;"",),IF(OR(INDEX(SEC_SHIP_MEASURESYORN,8,1)="",INDEX(SEC_SHIP_DATEFROM,8,1)="",INDEX(SEC_SHIP_DATETO,8,1)="",INDEX(SEC_SHIP_ACTIVITY,8,1)="",),FALSE,IF(OR(INDEX(SEC_SHIP_LOCATION,8,1)&lt;&gt;"",INDEX(SEC_SHIP_LATITUDE,8,1)&lt;&gt;"",INDEX(SEC_SHIP_LONGITUDE,8,1)&lt;&gt;""),OR(AND(INDEX(SEC_SHIP_LATITUDE,8,1)&lt;&gt;"",INDEX(SEC_SHIP_LONGITUDE,8,1)&lt;&gt;""),AND(INDEX(SEC_SHIP_LATITUDE,8,1)="",INDEX(SEC_SHIP_LONGITUDE,8,1)=""),FALSE))),TRUE)</f>
        <v>1</v>
      </c>
      <c r="B30" t="s">
        <v>33407</v>
      </c>
      <c r="C30" t="s">
        <v>33308</v>
      </c>
      <c r="D30" t="b">
        <f>AND(INDEX(WAS_ITE_DELIVERED,24,1)&lt;&gt;"",INDEX(WAS_ITE_DELIVEREDU,24,1)&lt;&gt;"",INDEX(WAS_ITE_MAXSTORAG,24,1)&lt;&gt;"",INDEX(WAS_ITE_MAXSTORAGU,24,1)&lt;&gt;"",INDEX(WAS_ITE_RETAINED,24,1)&lt;&gt;"",INDEX(WAS_ITE_RETAINEDU,24,1)&lt;&gt;"",INDEX(WAS_ITE_GENERATED,24,1)&lt;&gt;"",INDEX(WAS_ITE_GENERATED,24,1)&lt;&gt;"",INDEX(WAS_ITE_GENERATED,24,1)&lt;&gt;"",INDEX(WAS_ITE_GENERATEDU,24,1)&lt;&gt;"",INDEX(WAS_ITE_LASTPORT,24,1)&lt;&gt;"",INDEX(WAS_ITE_LASTPORTU,24,1)&lt;&gt;"")</f>
        <v>1</v>
      </c>
      <c r="E30" t="s">
        <v>35200</v>
      </c>
      <c r="F30" t="s">
        <v>33308</v>
      </c>
      <c r="G30" t="b">
        <f>IF(OR(INDEX(IHZ_HAZ_CONSIGNMENT,23,1)="",AND(INDEX(IHZ_HAZ_DPGREF,23,1)&lt;&gt;"",INDEX(IHZ_HAZ_CONSIGNMENT,23,1)=INDEX(IHZ_HAZ_CONSIGNMENT,22,1),INDEX(IHZ_HAZ_DPGREF,23,1)=INDEX(IHZ_HAZ_DPGREF,22,1))),TRUE,AND(INDEX(IHZ_HAZ_DGCLASSIFI,23,1)&lt;&gt;"",INDEX(IHZ_HAZ_TEXTUALREF,23,1)&lt;&gt;"",INDEX(IHZ_HAZ_TOTAMOUNT,23,1)&lt;&gt;""))</f>
        <v>1</v>
      </c>
      <c r="H30" t="str">
        <f t="shared" si="0"/>
        <v>Row 23 - All mandatory fields must be given</v>
      </c>
      <c r="I30" t="s">
        <v>33308</v>
      </c>
      <c r="J30" t="b">
        <f>IF(OR(INDEX(OHZ_HAZ_CONSIGNMENT,23,1)="",AND(INDEX(OHZ_HAZ_DPGREF,23,1)&lt;&gt;"",INDEX(OHZ_HAZ_CONSIGNMENT,23,1)=INDEX(OHZ_HAZ_CONSIGNMENT,22,1),INDEX(OHZ_HAZ_DPGREF,23,1)=INDEX(OHZ_HAZ_DPGREF,22,1))),TRUE,AND(INDEX(OHZ_HAZ_DGCLASSIFI,23,1)&lt;&gt;"",INDEX(OHZ_HAZ_TEXTUALREF,23,1)&lt;&gt;"",INDEX(OHZ_HAZ_TOTAMOUNT,23,1)&lt;&gt;""))</f>
        <v>1</v>
      </c>
      <c r="K30" t="str">
        <f t="shared" si="1"/>
        <v>Row 23 - All mandatory fields must be given</v>
      </c>
      <c r="L30" t="s">
        <v>33308</v>
      </c>
      <c r="T30" t="s">
        <v>33541</v>
      </c>
    </row>
    <row r="31" spans="1:26" x14ac:dyDescent="0.2">
      <c r="A31" t="b">
        <f>IF(OR(INDEX(SEC_SHIP_DATEFROM,9,1)&lt;&gt;"",INDEX(SEC_SHIP_DATETO,9,1)&lt;&gt;"",INDEX(SEC_SHIP_LATITUDE,9,1)&lt;&gt;"",INDEX(SEC_SHIP_LONGITUDE,9,1)&lt;&gt;"",INDEX(SEC_SHIP_LOCATION,9,1)&lt;&gt;"",INDEX(SEC_SHIP_ACTIVITY,9,1)&lt;&gt;"",INDEX(SEC_SHIP_SECURITYME,9,1)&lt;&gt;"",),IF(OR(INDEX(SEC_SHIP_MEASURESYORN,9,1)="",INDEX(SEC_SHIP_DATEFROM,9,1)="",INDEX(SEC_SHIP_DATETO,9,1)="",INDEX(SEC_SHIP_ACTIVITY,9,1)="",),FALSE,IF(OR(INDEX(SEC_SHIP_LOCATION,9,1)&lt;&gt;"",INDEX(SEC_SHIP_LATITUDE,9,1)&lt;&gt;"",INDEX(SEC_SHIP_LONGITUDE,9,1)&lt;&gt;""),OR(AND(INDEX(SEC_SHIP_LATITUDE,9,1)&lt;&gt;"",INDEX(SEC_SHIP_LONGITUDE,9,1)&lt;&gt;""),AND(INDEX(SEC_SHIP_LATITUDE,9,1)="",INDEX(SEC_SHIP_LONGITUDE,9,1)=""),FALSE))),TRUE)</f>
        <v>1</v>
      </c>
      <c r="B31" t="s">
        <v>33408</v>
      </c>
      <c r="C31" t="s">
        <v>33308</v>
      </c>
      <c r="D31" s="35" t="b">
        <v>1</v>
      </c>
      <c r="F31" t="s">
        <v>33308</v>
      </c>
      <c r="G31" t="b">
        <f>IF(OR(INDEX(IHZ_HAZ_CONSIGNMENT,24,1)="",AND(INDEX(IHZ_HAZ_DPGREF,24,1)&lt;&gt;"",INDEX(IHZ_HAZ_CONSIGNMENT,24,1)=INDEX(IHZ_HAZ_CONSIGNMENT,23,1),INDEX(IHZ_HAZ_DPGREF,24,1)=INDEX(IHZ_HAZ_DPGREF,23,1))),TRUE,AND(INDEX(IHZ_HAZ_DGCLASSIFI,24,1)&lt;&gt;"",INDEX(IHZ_HAZ_TEXTUALREF,24,1)&lt;&gt;"",INDEX(IHZ_HAZ_TOTAMOUNT,24,1)&lt;&gt;""))</f>
        <v>1</v>
      </c>
      <c r="H31" t="str">
        <f t="shared" si="0"/>
        <v>Row 24 - All mandatory fields must be given</v>
      </c>
      <c r="I31" t="s">
        <v>33308</v>
      </c>
      <c r="J31" t="b">
        <f>IF(OR(INDEX(OHZ_HAZ_CONSIGNMENT,24,1)="",AND(INDEX(OHZ_HAZ_DPGREF,24,1)&lt;&gt;"",INDEX(OHZ_HAZ_CONSIGNMENT,24,1)=INDEX(OHZ_HAZ_CONSIGNMENT,23,1),INDEX(OHZ_HAZ_DPGREF,24,1)=INDEX(OHZ_HAZ_DPGREF,23,1))),TRUE,AND(INDEX(OHZ_HAZ_DGCLASSIFI,24,1)&lt;&gt;"",INDEX(OHZ_HAZ_TEXTUALREF,24,1)&lt;&gt;"",INDEX(OHZ_HAZ_TOTAMOUNT,24,1)&lt;&gt;""))</f>
        <v>1</v>
      </c>
      <c r="K31" t="str">
        <f t="shared" si="1"/>
        <v>Row 24 - All mandatory fields must be given</v>
      </c>
      <c r="L31" t="s">
        <v>33308</v>
      </c>
      <c r="T31" t="s">
        <v>33542</v>
      </c>
    </row>
    <row r="32" spans="1:26" x14ac:dyDescent="0.2">
      <c r="A32" t="b">
        <f>IF(OR(INDEX(SEC_SHIP_DATEFROM,10,1)&lt;&gt;"",INDEX(SEC_SHIP_DATETO,10,1)&lt;&gt;"",INDEX(SEC_SHIP_LATITUDE,10,1)&lt;&gt;"",INDEX(SEC_SHIP_LONGITUDE,10,1)&lt;&gt;"",INDEX(SEC_SHIP_LOCATION,10,1)&lt;&gt;"",INDEX(SEC_SHIP_ACTIVITY,10,1)&lt;&gt;"",INDEX(SEC_SHIP_SECURITYME,10,1)&lt;&gt;"",),IF(OR(INDEX(SEC_SHIP_MEASURESYORN,10,1)="",INDEX(SEC_SHIP_DATEFROM,10,1)="",INDEX(SEC_SHIP_DATETO,10,1)="",INDEX(SEC_SHIP_ACTIVITY,10,1)="",),FALSE,IF(OR(INDEX(SEC_SHIP_LOCATION,10,1)&lt;&gt;"",INDEX(SEC_SHIP_LATITUDE,10,1)&lt;&gt;"",INDEX(SEC_SHIP_LONGITUDE,10,1)&lt;&gt;""),OR(AND(INDEX(SEC_SHIP_LATITUDE,10,1)&lt;&gt;"",INDEX(SEC_SHIP_LONGITUDE,10,1)&lt;&gt;""),AND(INDEX(SEC_SHIP_LATITUDE,10,1)="",INDEX(SEC_SHIP_LONGITUDE,10,1)=""),FALSE))),TRUE)</f>
        <v>1</v>
      </c>
      <c r="B32" t="s">
        <v>33409</v>
      </c>
      <c r="C32" t="s">
        <v>33308</v>
      </c>
      <c r="D32" t="b">
        <f>AND(INDEX(WAS_ITE_DELIVERED,26,1)&lt;&gt;"",INDEX(WAS_ITE_DELIVEREDU,26,1)&lt;&gt;"",INDEX(WAS_ITE_MAXSTORAG,26,1)&lt;&gt;"",INDEX(WAS_ITE_MAXSTORAGU,26,1)&lt;&gt;"",INDEX(WAS_ITE_RETAINED,26,1)&lt;&gt;"",INDEX(WAS_ITE_RETAINEDU,26,1)&lt;&gt;"",INDEX(WAS_ITE_GENERATED,26,1)&lt;&gt;"",INDEX(WAS_ITE_GENERATED,26,1)&lt;&gt;"",INDEX(WAS_ITE_GENERATED,26,1)&lt;&gt;"",INDEX(WAS_ITE_GENERATEDU,26,1)&lt;&gt;"",INDEX(WAS_ITE_LASTPORT,26,1)&lt;&gt;"",INDEX(WAS_ITE_LASTPORTU,26,1)&lt;&gt;"")</f>
        <v>1</v>
      </c>
      <c r="E32" t="s">
        <v>35201</v>
      </c>
      <c r="F32" t="s">
        <v>33308</v>
      </c>
      <c r="G32" t="b">
        <f>IF(OR(INDEX(IHZ_HAZ_CONSIGNMENT,25,1)="",AND(INDEX(IHZ_HAZ_DPGREF,25,1)&lt;&gt;"",INDEX(IHZ_HAZ_CONSIGNMENT,25,1)=INDEX(IHZ_HAZ_CONSIGNMENT,24,1),INDEX(IHZ_HAZ_DPGREF,25,1)=INDEX(IHZ_HAZ_DPGREF,24,1))),TRUE,AND(INDEX(IHZ_HAZ_DGCLASSIFI,25,1)&lt;&gt;"",INDEX(IHZ_HAZ_TEXTUALREF,25,1)&lt;&gt;"",INDEX(IHZ_HAZ_TOTAMOUNT,25,1)&lt;&gt;""))</f>
        <v>1</v>
      </c>
      <c r="H32" t="str">
        <f t="shared" si="0"/>
        <v>Row 25 - All mandatory fields must be given</v>
      </c>
      <c r="I32" t="s">
        <v>33308</v>
      </c>
      <c r="J32" t="b">
        <f>IF(OR(INDEX(OHZ_HAZ_CONSIGNMENT,25,1)="",AND(INDEX(OHZ_HAZ_DPGREF,25,1)&lt;&gt;"",INDEX(OHZ_HAZ_CONSIGNMENT,25,1)=INDEX(OHZ_HAZ_CONSIGNMENT,24,1),INDEX(OHZ_HAZ_DPGREF,25,1)=INDEX(OHZ_HAZ_DPGREF,24,1))),TRUE,AND(INDEX(OHZ_HAZ_DGCLASSIFI,25,1)&lt;&gt;"",INDEX(OHZ_HAZ_TEXTUALREF,25,1)&lt;&gt;"",INDEX(OHZ_HAZ_TOTAMOUNT,25,1)&lt;&gt;""))</f>
        <v>1</v>
      </c>
      <c r="K32" t="str">
        <f t="shared" si="1"/>
        <v>Row 25 - All mandatory fields must be given</v>
      </c>
      <c r="L32" t="s">
        <v>33308</v>
      </c>
      <c r="T32" t="s">
        <v>33543</v>
      </c>
    </row>
    <row r="33" spans="1:20" x14ac:dyDescent="0.2">
      <c r="C33" t="s">
        <v>33308</v>
      </c>
      <c r="D33" t="b">
        <f>AND(INDEX(WAS_ITE_DELIVERED,27,1)&lt;&gt;"",INDEX(WAS_ITE_DELIVEREDU,27,1)&lt;&gt;"",INDEX(WAS_ITE_MAXSTORAG,27,1)&lt;&gt;"",INDEX(WAS_ITE_MAXSTORAGU,27,1)&lt;&gt;"",INDEX(WAS_ITE_RETAINED,27,1)&lt;&gt;"",INDEX(WAS_ITE_RETAINEDU,27,1)&lt;&gt;"",INDEX(WAS_ITE_GENERATED,27,1)&lt;&gt;"",INDEX(WAS_ITE_GENERATED,27,1)&lt;&gt;"",INDEX(WAS_ITE_GENERATED,27,1)&lt;&gt;"",INDEX(WAS_ITE_GENERATEDU,27,1)&lt;&gt;"",INDEX(WAS_ITE_LASTPORT,27,1)&lt;&gt;"",INDEX(WAS_ITE_LASTPORTU,27,1)&lt;&gt;"")</f>
        <v>1</v>
      </c>
      <c r="E33" t="s">
        <v>35202</v>
      </c>
      <c r="F33" t="s">
        <v>33308</v>
      </c>
      <c r="G33" t="b">
        <f>IF(OR(INDEX(IHZ_HAZ_CONSIGNMENT,26,1)="",AND(INDEX(IHZ_HAZ_DPGREF,26,1)&lt;&gt;"",INDEX(IHZ_HAZ_CONSIGNMENT,26,1)=INDEX(IHZ_HAZ_CONSIGNMENT,25,1),INDEX(IHZ_HAZ_DPGREF,26,1)=INDEX(IHZ_HAZ_DPGREF,25,1))),TRUE,AND(INDEX(IHZ_HAZ_DGCLASSIFI,26,1)&lt;&gt;"",INDEX(IHZ_HAZ_TEXTUALREF,26,1)&lt;&gt;"",INDEX(IHZ_HAZ_TOTAMOUNT,26,1)&lt;&gt;""))</f>
        <v>1</v>
      </c>
      <c r="H33" t="str">
        <f t="shared" si="0"/>
        <v>Row 26 - All mandatory fields must be given</v>
      </c>
      <c r="I33" t="s">
        <v>33308</v>
      </c>
      <c r="J33" t="b">
        <f>IF(OR(INDEX(OHZ_HAZ_CONSIGNMENT,26,1)="",AND(INDEX(OHZ_HAZ_DPGREF,26,1)&lt;&gt;"",INDEX(OHZ_HAZ_CONSIGNMENT,26,1)=INDEX(OHZ_HAZ_CONSIGNMENT,25,1),INDEX(OHZ_HAZ_DPGREF,26,1)=INDEX(OHZ_HAZ_DPGREF,25,1))),TRUE,AND(INDEX(OHZ_HAZ_DGCLASSIFI,26,1)&lt;&gt;"",INDEX(OHZ_HAZ_TEXTUALREF,26,1)&lt;&gt;"",INDEX(OHZ_HAZ_TOTAMOUNT,26,1)&lt;&gt;""))</f>
        <v>1</v>
      </c>
      <c r="K33" t="str">
        <f t="shared" si="1"/>
        <v>Row 26 - All mandatory fields must be given</v>
      </c>
      <c r="L33" t="s">
        <v>33308</v>
      </c>
      <c r="T33" t="s">
        <v>33544</v>
      </c>
    </row>
    <row r="34" spans="1:20" x14ac:dyDescent="0.2">
      <c r="A34" t="b">
        <f>LEN(SEC_AVD_REPSHIPLOC)&lt;256</f>
        <v>1</v>
      </c>
      <c r="B34" t="s">
        <v>33451</v>
      </c>
      <c r="C34" t="s">
        <v>33308</v>
      </c>
      <c r="D34" t="b">
        <f>AND(INDEX(WAS_ITE_DELIVERED,28,1)&lt;&gt;"",INDEX(WAS_ITE_DELIVEREDU,28,1)&lt;&gt;"",INDEX(WAS_ITE_MAXSTORAG,28,1)&lt;&gt;"",INDEX(WAS_ITE_MAXSTORAGU,28,1)&lt;&gt;"",INDEX(WAS_ITE_RETAINED,28,1)&lt;&gt;"",INDEX(WAS_ITE_RETAINEDU,28,1)&lt;&gt;"",INDEX(WAS_ITE_GENERATED,28,1)&lt;&gt;"",INDEX(WAS_ITE_GENERATED,28,1)&lt;&gt;"",INDEX(WAS_ITE_GENERATED,28,1)&lt;&gt;"",INDEX(WAS_ITE_GENERATEDU,28,1)&lt;&gt;"",INDEX(WAS_ITE_LASTPORT,28,1)&lt;&gt;"",INDEX(WAS_ITE_LASTPORTU,28,1)&lt;&gt;"")</f>
        <v>1</v>
      </c>
      <c r="E34" t="s">
        <v>35203</v>
      </c>
      <c r="F34" t="s">
        <v>33308</v>
      </c>
      <c r="G34" t="b">
        <f>IF(OR(INDEX(IHZ_HAZ_CONSIGNMENT,27,1)="",AND(INDEX(IHZ_HAZ_DPGREF,27,1)&lt;&gt;"",INDEX(IHZ_HAZ_CONSIGNMENT,27,1)=INDEX(IHZ_HAZ_CONSIGNMENT,26,1),INDEX(IHZ_HAZ_DPGREF,27,1)=INDEX(IHZ_HAZ_DPGREF,26,1))),TRUE,AND(INDEX(IHZ_HAZ_DGCLASSIFI,27,1)&lt;&gt;"",INDEX(IHZ_HAZ_TEXTUALREF,27,1)&lt;&gt;"",INDEX(IHZ_HAZ_TOTAMOUNT,27,1)&lt;&gt;""))</f>
        <v>1</v>
      </c>
      <c r="H34" t="str">
        <f t="shared" si="0"/>
        <v>Row 27 - All mandatory fields must be given</v>
      </c>
      <c r="I34" t="s">
        <v>33308</v>
      </c>
      <c r="J34" t="b">
        <f>IF(OR(INDEX(OHZ_HAZ_CONSIGNMENT,27,1)="",AND(INDEX(OHZ_HAZ_DPGREF,27,1)&lt;&gt;"",INDEX(OHZ_HAZ_CONSIGNMENT,27,1)=INDEX(OHZ_HAZ_CONSIGNMENT,26,1),INDEX(OHZ_HAZ_DPGREF,27,1)=INDEX(OHZ_HAZ_DPGREF,26,1))),TRUE,AND(INDEX(OHZ_HAZ_DGCLASSIFI,27,1)&lt;&gt;"",INDEX(OHZ_HAZ_TEXTUALREF,27,1)&lt;&gt;"",INDEX(OHZ_HAZ_TOTAMOUNT,27,1)&lt;&gt;""))</f>
        <v>1</v>
      </c>
      <c r="K34" t="str">
        <f t="shared" si="1"/>
        <v>Row 27 - All mandatory fields must be given</v>
      </c>
      <c r="L34" t="s">
        <v>33308</v>
      </c>
      <c r="T34" t="s">
        <v>33545</v>
      </c>
    </row>
    <row r="35" spans="1:20" x14ac:dyDescent="0.2">
      <c r="A35" t="b">
        <f>LEN(SEC_CSO_FIRSTNAME)&lt;50</f>
        <v>1</v>
      </c>
      <c r="B35" t="s">
        <v>33452</v>
      </c>
      <c r="C35" t="s">
        <v>33308</v>
      </c>
      <c r="D35" t="b">
        <f>AND(INDEX(WAS_ITE_DELIVERED,29,1)&lt;&gt;"",INDEX(WAS_ITE_DELIVEREDU,29,1)&lt;&gt;"",INDEX(WAS_ITE_MAXSTORAG,29,1)&lt;&gt;"",INDEX(WAS_ITE_MAXSTORAGU,29,1)&lt;&gt;"",INDEX(WAS_ITE_RETAINED,29,1)&lt;&gt;"",INDEX(WAS_ITE_RETAINEDU,29,1)&lt;&gt;"",INDEX(WAS_ITE_GENERATED,29,1)&lt;&gt;"",INDEX(WAS_ITE_GENERATED,29,1)&lt;&gt;"",INDEX(WAS_ITE_GENERATED,29,1)&lt;&gt;"",INDEX(WAS_ITE_GENERATEDU,29,1)&lt;&gt;"",INDEX(WAS_ITE_LASTPORT,29,1)&lt;&gt;"",INDEX(WAS_ITE_LASTPORTU,29,1)&lt;&gt;"")</f>
        <v>1</v>
      </c>
      <c r="E35" t="s">
        <v>35204</v>
      </c>
      <c r="F35" t="s">
        <v>33308</v>
      </c>
      <c r="G35" t="b">
        <f>IF(OR(INDEX(IHZ_HAZ_CONSIGNMENT,28,1)="",AND(INDEX(IHZ_HAZ_DPGREF,28,1)&lt;&gt;"",INDEX(IHZ_HAZ_CONSIGNMENT,28,1)=INDEX(IHZ_HAZ_CONSIGNMENT,27,1),INDEX(IHZ_HAZ_DPGREF,28,1)=INDEX(IHZ_HAZ_DPGREF,27,1))),TRUE,AND(INDEX(IHZ_HAZ_DGCLASSIFI,28,1)&lt;&gt;"",INDEX(IHZ_HAZ_TEXTUALREF,28,1)&lt;&gt;"",INDEX(IHZ_HAZ_TOTAMOUNT,28,1)&lt;&gt;""))</f>
        <v>1</v>
      </c>
      <c r="H35" t="str">
        <f t="shared" si="0"/>
        <v>Row 28 - All mandatory fields must be given</v>
      </c>
      <c r="I35" t="s">
        <v>33308</v>
      </c>
      <c r="J35" t="b">
        <f>IF(OR(INDEX(OHZ_HAZ_CONSIGNMENT,28,1)="",AND(INDEX(OHZ_HAZ_DPGREF,28,1)&lt;&gt;"",INDEX(OHZ_HAZ_CONSIGNMENT,28,1)=INDEX(OHZ_HAZ_CONSIGNMENT,27,1),INDEX(OHZ_HAZ_DPGREF,28,1)=INDEX(OHZ_HAZ_DPGREF,27,1))),TRUE,AND(INDEX(OHZ_HAZ_DGCLASSIFI,28,1)&lt;&gt;"",INDEX(OHZ_HAZ_TEXTUALREF,28,1)&lt;&gt;"",INDEX(OHZ_HAZ_TOTAMOUNT,28,1)&lt;&gt;""))</f>
        <v>1</v>
      </c>
      <c r="K35" t="str">
        <f t="shared" si="1"/>
        <v>Row 28 - All mandatory fields must be given</v>
      </c>
      <c r="L35" t="s">
        <v>33308</v>
      </c>
      <c r="T35" t="s">
        <v>33546</v>
      </c>
    </row>
    <row r="36" spans="1:20" x14ac:dyDescent="0.2">
      <c r="A36" t="b">
        <f>LEN(SEC_CSO_LASTNAME)&lt;256</f>
        <v>1</v>
      </c>
      <c r="B36" t="s">
        <v>33453</v>
      </c>
      <c r="C36" t="s">
        <v>33308</v>
      </c>
      <c r="D36" t="b">
        <f>AND(INDEX(WAS_ITE_DELIVERED,30,1)&lt;&gt;"",INDEX(WAS_ITE_DELIVEREDU,30,1)&lt;&gt;"",INDEX(WAS_ITE_MAXSTORAG,30,1)&lt;&gt;"",INDEX(WAS_ITE_MAXSTORAGU,30,1)&lt;&gt;"",INDEX(WAS_ITE_RETAINED,30,1)&lt;&gt;"",INDEX(WAS_ITE_RETAINEDU,30,1)&lt;&gt;"",INDEX(WAS_ITE_GENERATED,30,1)&lt;&gt;"",INDEX(WAS_ITE_GENERATED,30,1)&lt;&gt;"",INDEX(WAS_ITE_GENERATED,30,1)&lt;&gt;"",INDEX(WAS_ITE_GENERATEDU,30,1)&lt;&gt;"",INDEX(WAS_ITE_LASTPORT,30,1)&lt;&gt;"",INDEX(WAS_ITE_LASTPORTU,30,1)&lt;&gt;"")</f>
        <v>1</v>
      </c>
      <c r="E36" t="s">
        <v>35205</v>
      </c>
      <c r="F36" t="s">
        <v>33308</v>
      </c>
      <c r="G36" t="b">
        <f>IF(OR(INDEX(IHZ_HAZ_CONSIGNMENT,29,1)="",AND(INDEX(IHZ_HAZ_DPGREF,29,1)&lt;&gt;"",INDEX(IHZ_HAZ_CONSIGNMENT,29,1)=INDEX(IHZ_HAZ_CONSIGNMENT,28,1),INDEX(IHZ_HAZ_DPGREF,29,1)=INDEX(IHZ_HAZ_DPGREF,28,1))),TRUE,AND(INDEX(IHZ_HAZ_DGCLASSIFI,29,1)&lt;&gt;"",INDEX(IHZ_HAZ_TEXTUALREF,29,1)&lt;&gt;"",INDEX(IHZ_HAZ_TOTAMOUNT,29,1)&lt;&gt;""))</f>
        <v>1</v>
      </c>
      <c r="H36" t="str">
        <f t="shared" si="0"/>
        <v>Row 29 - All mandatory fields must be given</v>
      </c>
      <c r="I36" t="s">
        <v>33308</v>
      </c>
      <c r="J36" t="b">
        <f>IF(OR(INDEX(OHZ_HAZ_CONSIGNMENT,29,1)="",AND(INDEX(OHZ_HAZ_DPGREF,29,1)&lt;&gt;"",INDEX(OHZ_HAZ_CONSIGNMENT,29,1)=INDEX(OHZ_HAZ_CONSIGNMENT,28,1),INDEX(OHZ_HAZ_DPGREF,29,1)=INDEX(OHZ_HAZ_DPGREF,28,1))),TRUE,AND(INDEX(OHZ_HAZ_DGCLASSIFI,29,1)&lt;&gt;"",INDEX(OHZ_HAZ_TEXTUALREF,29,1)&lt;&gt;"",INDEX(OHZ_HAZ_TOTAMOUNT,29,1)&lt;&gt;""))</f>
        <v>1</v>
      </c>
      <c r="K36" t="str">
        <f t="shared" si="1"/>
        <v>Row 29 - All mandatory fields must be given</v>
      </c>
      <c r="L36" t="s">
        <v>33308</v>
      </c>
      <c r="T36" t="s">
        <v>33547</v>
      </c>
    </row>
    <row r="37" spans="1:20" x14ac:dyDescent="0.2">
      <c r="A37" t="b">
        <f ca="1">OR(AND(ISNUMBER(SUMPRODUCT(SEARCH(MID(SEC_CSO_PHONE,ROW(INDIRECT("1:"&amp;LEN(SEC_CSO_PHONE))),1),"0123456789+"))),LEN(SEC_CSO_PHONE)&lt;=16),SEC_CSO_PHONE="")</f>
        <v>1</v>
      </c>
      <c r="B37" t="s">
        <v>33454</v>
      </c>
      <c r="D37" t="b">
        <f>AND(INDEX(WAS_ITE_DELIVERED,31,1)&lt;&gt;"",INDEX(WAS_ITE_DELIVEREDU,31,1)&lt;&gt;"",INDEX(WAS_ITE_MAXSTORAG,31,1)&lt;&gt;"",INDEX(WAS_ITE_MAXSTORAGU,31,1)&lt;&gt;"",INDEX(WAS_ITE_RETAINED,31,1)&lt;&gt;"",INDEX(WAS_ITE_RETAINEDU,31,1)&lt;&gt;"",INDEX(WAS_ITE_GENERATED,31,1)&lt;&gt;"",INDEX(WAS_ITE_GENERATED,31,1)&lt;&gt;"",INDEX(WAS_ITE_GENERATED,31,1)&lt;&gt;"",INDEX(WAS_ITE_GENERATEDU,31,1)&lt;&gt;"",INDEX(WAS_ITE_LASTPORT,31,1)&lt;&gt;"",INDEX(WAS_ITE_LASTPORTU,31,1)&lt;&gt;"")</f>
        <v>1</v>
      </c>
      <c r="E37" t="s">
        <v>35206</v>
      </c>
      <c r="F37" t="s">
        <v>33308</v>
      </c>
      <c r="G37" t="b">
        <f>IF(OR(INDEX(IHZ_HAZ_CONSIGNMENT,30,1)="",AND(INDEX(IHZ_HAZ_DPGREF,30,1)&lt;&gt;"",INDEX(IHZ_HAZ_CONSIGNMENT,30,1)=INDEX(IHZ_HAZ_CONSIGNMENT,29,1),INDEX(IHZ_HAZ_DPGREF,30,1)=INDEX(IHZ_HAZ_DPGREF,29,1))),TRUE,AND(INDEX(IHZ_HAZ_DGCLASSIFI,30,1)&lt;&gt;"",INDEX(IHZ_HAZ_TEXTUALREF,30,1)&lt;&gt;"",INDEX(IHZ_HAZ_TOTAMOUNT,30,1)&lt;&gt;""))</f>
        <v>1</v>
      </c>
      <c r="H37" t="str">
        <f t="shared" si="0"/>
        <v>Row 30 - All mandatory fields must be given</v>
      </c>
      <c r="I37" t="s">
        <v>33308</v>
      </c>
      <c r="J37" t="b">
        <f>IF(OR(INDEX(OHZ_HAZ_CONSIGNMENT,30,1)="",AND(INDEX(OHZ_HAZ_DPGREF,30,1)&lt;&gt;"",INDEX(OHZ_HAZ_CONSIGNMENT,30,1)=INDEX(OHZ_HAZ_CONSIGNMENT,29,1),INDEX(OHZ_HAZ_DPGREF,30,1)=INDEX(OHZ_HAZ_DPGREF,29,1))),TRUE,AND(INDEX(OHZ_HAZ_DGCLASSIFI,30,1)&lt;&gt;"",INDEX(OHZ_HAZ_TEXTUALREF,30,1)&lt;&gt;"",INDEX(OHZ_HAZ_TOTAMOUNT,30,1)&lt;&gt;""))</f>
        <v>1</v>
      </c>
      <c r="K37" t="str">
        <f t="shared" si="1"/>
        <v>Row 30 - All mandatory fields must be given</v>
      </c>
      <c r="L37" t="s">
        <v>33308</v>
      </c>
      <c r="T37" t="s">
        <v>33548</v>
      </c>
    </row>
    <row r="38" spans="1:20" x14ac:dyDescent="0.2">
      <c r="A38" t="b">
        <f ca="1">OR(AND(ISNUMBER(SUMPRODUCT(SEARCH(MID(SEC_CSO_FAX,ROW(INDIRECT("1:"&amp;LEN(SEC_CSO_FAX))),1),"0123456789+"))),LEN(SEC_CSO_FAX)&lt;=16),SEC_CSO_FAX="")</f>
        <v>1</v>
      </c>
      <c r="B38" t="s">
        <v>33455</v>
      </c>
      <c r="D38" t="b">
        <f>AND(INDEX(WAS_ITE_DELIVERED,32,1)&lt;&gt;"",INDEX(WAS_ITE_DELIVEREDU,32,1)&lt;&gt;"",INDEX(WAS_ITE_MAXSTORAG,32,1)&lt;&gt;"",INDEX(WAS_ITE_MAXSTORAGU,32,1)&lt;&gt;"",INDEX(WAS_ITE_RETAINED,32,1)&lt;&gt;"",INDEX(WAS_ITE_RETAINEDU,32,1)&lt;&gt;"",INDEX(WAS_ITE_GENERATED,32,1)&lt;&gt;"",INDEX(WAS_ITE_GENERATED,32,1)&lt;&gt;"",INDEX(WAS_ITE_GENERATED,32,1)&lt;&gt;"",INDEX(WAS_ITE_GENERATEDU,32,1)&lt;&gt;"",INDEX(WAS_ITE_LASTPORT,32,1)&lt;&gt;"",INDEX(WAS_ITE_LASTPORTU,32,1)&lt;&gt;"")</f>
        <v>1</v>
      </c>
      <c r="E38" t="s">
        <v>35207</v>
      </c>
      <c r="F38" t="s">
        <v>33308</v>
      </c>
      <c r="G38" t="b">
        <f>IF(OR(INDEX(IHZ_HAZ_CONSIGNMENT,31,1)="",AND(INDEX(IHZ_HAZ_DPGREF,31,1)&lt;&gt;"",INDEX(IHZ_HAZ_CONSIGNMENT,31,1)=INDEX(IHZ_HAZ_CONSIGNMENT,30,1),INDEX(IHZ_HAZ_DPGREF,31,1)=INDEX(IHZ_HAZ_DPGREF,30,1))),TRUE,AND(INDEX(IHZ_HAZ_DGCLASSIFI,31,1)&lt;&gt;"",INDEX(IHZ_HAZ_TEXTUALREF,31,1)&lt;&gt;"",INDEX(IHZ_HAZ_TOTAMOUNT,31,1)&lt;&gt;""))</f>
        <v>1</v>
      </c>
      <c r="H38" t="str">
        <f t="shared" si="0"/>
        <v>Row 31 - All mandatory fields must be given</v>
      </c>
      <c r="I38" t="s">
        <v>33308</v>
      </c>
      <c r="J38" t="b">
        <f>IF(OR(INDEX(OHZ_HAZ_CONSIGNMENT,31,1)="",AND(INDEX(OHZ_HAZ_DPGREF,31,1)&lt;&gt;"",INDEX(OHZ_HAZ_CONSIGNMENT,31,1)=INDEX(OHZ_HAZ_CONSIGNMENT,30,1),INDEX(OHZ_HAZ_DPGREF,31,1)=INDEX(OHZ_HAZ_DPGREF,30,1))),TRUE,AND(INDEX(OHZ_HAZ_DGCLASSIFI,31,1)&lt;&gt;"",INDEX(OHZ_HAZ_TEXTUALREF,31,1)&lt;&gt;"",INDEX(OHZ_HAZ_TOTAMOUNT,31,1)&lt;&gt;""))</f>
        <v>1</v>
      </c>
      <c r="K38" t="str">
        <f t="shared" si="1"/>
        <v>Row 31 - All mandatory fields must be given</v>
      </c>
      <c r="L38" t="s">
        <v>33308</v>
      </c>
      <c r="T38" t="s">
        <v>33549</v>
      </c>
    </row>
    <row r="39" spans="1:20" x14ac:dyDescent="0.2">
      <c r="A39" t="b">
        <f>IF(OR(ISBLANK(SEC_CSO_EMAIL),AND(NOT(ISERROR(SEARCH("@",SEC_CSO_EMAIL))),ISERROR(SEARCH(" ",SEC_CSO_EMAIL)),LEN(SEC_CSO_EMAIL)&lt;=50)),TRUE(),FALSE())</f>
        <v>1</v>
      </c>
      <c r="B39" t="s">
        <v>33456</v>
      </c>
      <c r="D39" t="b">
        <f>AND(INDEX(WAS_ITE_DELIVERED,33,1)&lt;&gt;"",INDEX(WAS_ITE_DELIVEREDU,33,1)&lt;&gt;"",INDEX(WAS_ITE_MAXSTORAG,33,1)&lt;&gt;"",INDEX(WAS_ITE_MAXSTORAGU,33,1)&lt;&gt;"",INDEX(WAS_ITE_RETAINED,33,1)&lt;&gt;"",INDEX(WAS_ITE_RETAINEDU,33,1)&lt;&gt;"",INDEX(WAS_ITE_GENERATED,33,1)&lt;&gt;"",INDEX(WAS_ITE_GENERATED,33,1)&lt;&gt;"",INDEX(WAS_ITE_GENERATED,33,1)&lt;&gt;"",INDEX(WAS_ITE_GENERATEDU,33,1)&lt;&gt;"",INDEX(WAS_ITE_LASTPORT,33,1)&lt;&gt;"",INDEX(WAS_ITE_LASTPORTU,33,1)&lt;&gt;"")</f>
        <v>1</v>
      </c>
      <c r="E39" t="s">
        <v>35208</v>
      </c>
      <c r="F39" t="s">
        <v>33308</v>
      </c>
      <c r="G39" t="b">
        <f>IF(OR(INDEX(IHZ_HAZ_CONSIGNMENT,32,1)="",AND(INDEX(IHZ_HAZ_DPGREF,32,1)&lt;&gt;"",INDEX(IHZ_HAZ_CONSIGNMENT,32,1)=INDEX(IHZ_HAZ_CONSIGNMENT,31,1),INDEX(IHZ_HAZ_DPGREF,32,1)=INDEX(IHZ_HAZ_DPGREF,31,1))),TRUE,AND(INDEX(IHZ_HAZ_DGCLASSIFI,32,1)&lt;&gt;"",INDEX(IHZ_HAZ_TEXTUALREF,32,1)&lt;&gt;"",INDEX(IHZ_HAZ_TOTAMOUNT,32,1)&lt;&gt;""))</f>
        <v>1</v>
      </c>
      <c r="H39" t="str">
        <f t="shared" si="0"/>
        <v>Row 32 - All mandatory fields must be given</v>
      </c>
      <c r="I39" t="s">
        <v>33308</v>
      </c>
      <c r="J39" t="b">
        <f>IF(OR(INDEX(OHZ_HAZ_CONSIGNMENT,32,1)="",AND(INDEX(OHZ_HAZ_DPGREF,32,1)&lt;&gt;"",INDEX(OHZ_HAZ_CONSIGNMENT,32,1)=INDEX(OHZ_HAZ_CONSIGNMENT,31,1),INDEX(OHZ_HAZ_DPGREF,32,1)=INDEX(OHZ_HAZ_DPGREF,31,1))),TRUE,AND(INDEX(OHZ_HAZ_DGCLASSIFI,32,1)&lt;&gt;"",INDEX(OHZ_HAZ_TEXTUALREF,32,1)&lt;&gt;"",INDEX(OHZ_HAZ_TOTAMOUNT,32,1)&lt;&gt;""))</f>
        <v>1</v>
      </c>
      <c r="K39" t="str">
        <f t="shared" si="1"/>
        <v>Row 32 - All mandatory fields must be given</v>
      </c>
      <c r="L39" t="s">
        <v>33308</v>
      </c>
      <c r="T39" t="s">
        <v>33550</v>
      </c>
    </row>
    <row r="40" spans="1:20" x14ac:dyDescent="0.2">
      <c r="A40" t="b">
        <f>LEN(SEC_AGENT_NAME)&lt;51</f>
        <v>1</v>
      </c>
      <c r="B40" t="s">
        <v>33457</v>
      </c>
      <c r="D40" t="b">
        <f>AND(INDEX(WAS_ITE_DELIVERED,34,1)&lt;&gt;"",INDEX(WAS_ITE_DELIVEREDU,34,1)&lt;&gt;"",INDEX(WAS_ITE_MAXSTORAG,34,1)&lt;&gt;"",INDEX(WAS_ITE_MAXSTORAGU,34,1)&lt;&gt;"",INDEX(WAS_ITE_RETAINED,34,1)&lt;&gt;"",INDEX(WAS_ITE_RETAINEDU,34,1)&lt;&gt;"",INDEX(WAS_ITE_GENERATED,34,1)&lt;&gt;"",INDEX(WAS_ITE_GENERATED,34,1)&lt;&gt;"",INDEX(WAS_ITE_GENERATED,34,1)&lt;&gt;"",INDEX(WAS_ITE_GENERATEDU,34,1)&lt;&gt;"",INDEX(WAS_ITE_LASTPORT,34,1)&lt;&gt;"",INDEX(WAS_ITE_LASTPORTU,34,1)&lt;&gt;"")</f>
        <v>1</v>
      </c>
      <c r="E40" t="s">
        <v>35209</v>
      </c>
      <c r="F40" t="s">
        <v>33308</v>
      </c>
      <c r="G40" t="b">
        <f>IF(OR(INDEX(IHZ_HAZ_CONSIGNMENT,33,1)="",AND(INDEX(IHZ_HAZ_DPGREF,33,1)&lt;&gt;"",INDEX(IHZ_HAZ_CONSIGNMENT,33,1)=INDEX(IHZ_HAZ_CONSIGNMENT,32,1),INDEX(IHZ_HAZ_DPGREF,33,1)=INDEX(IHZ_HAZ_DPGREF,32,1))),TRUE,AND(INDEX(IHZ_HAZ_DGCLASSIFI,33,1)&lt;&gt;"",INDEX(IHZ_HAZ_TEXTUALREF,33,1)&lt;&gt;"",INDEX(IHZ_HAZ_TOTAMOUNT,33,1)&lt;&gt;""))</f>
        <v>1</v>
      </c>
      <c r="H40" t="str">
        <f t="shared" si="0"/>
        <v>Row 33 - All mandatory fields must be given</v>
      </c>
      <c r="I40" t="s">
        <v>33308</v>
      </c>
      <c r="J40" t="b">
        <f>IF(OR(INDEX(OHZ_HAZ_CONSIGNMENT,33,1)="",AND(INDEX(OHZ_HAZ_DPGREF,33,1)&lt;&gt;"",INDEX(OHZ_HAZ_CONSIGNMENT,33,1)=INDEX(OHZ_HAZ_CONSIGNMENT,32,1),INDEX(OHZ_HAZ_DPGREF,33,1)=INDEX(OHZ_HAZ_DPGREF,32,1))),TRUE,AND(INDEX(OHZ_HAZ_DGCLASSIFI,33,1)&lt;&gt;"",INDEX(OHZ_HAZ_TEXTUALREF,33,1)&lt;&gt;"",INDEX(OHZ_HAZ_TOTAMOUNT,33,1)&lt;&gt;""))</f>
        <v>1</v>
      </c>
      <c r="K40" t="str">
        <f t="shared" si="1"/>
        <v>Row 33 - All mandatory fields must be given</v>
      </c>
      <c r="L40" t="s">
        <v>33308</v>
      </c>
      <c r="T40" t="s">
        <v>33551</v>
      </c>
    </row>
    <row r="41" spans="1:20" x14ac:dyDescent="0.2">
      <c r="A41" t="b">
        <f ca="1">OR(AND(ISNUMBER(SUMPRODUCT(SEARCH(MID(SEC_AGENT_PHONE,ROW(INDIRECT("1:"&amp;LEN(SEC_AGENT_PHONE))),1),"0123456789+"))),LEN(SEC_AGENT_PHONE)&lt;=16),SEC_AGENT_PHONE="")</f>
        <v>1</v>
      </c>
      <c r="B41" t="s">
        <v>33458</v>
      </c>
      <c r="D41" t="b">
        <f>AND(INDEX(WAS_ITE_DELIVERED,35,1)&lt;&gt;"",INDEX(WAS_ITE_DELIVEREDU,35,1)&lt;&gt;"",INDEX(WAS_ITE_MAXSTORAG,35,1)&lt;&gt;"",INDEX(WAS_ITE_MAXSTORAGU,35,1)&lt;&gt;"",INDEX(WAS_ITE_RETAINED,35,1)&lt;&gt;"",INDEX(WAS_ITE_RETAINEDU,35,1)&lt;&gt;"",INDEX(WAS_ITE_GENERATED,35,1)&lt;&gt;"",INDEX(WAS_ITE_GENERATED,35,1)&lt;&gt;"",INDEX(WAS_ITE_GENERATED,35,1)&lt;&gt;"",INDEX(WAS_ITE_GENERATEDU,35,1)&lt;&gt;"",INDEX(WAS_ITE_LASTPORT,35,1)&lt;&gt;"",INDEX(WAS_ITE_LASTPORTU,35,1)&lt;&gt;"")</f>
        <v>1</v>
      </c>
      <c r="E41" t="s">
        <v>35210</v>
      </c>
      <c r="F41" t="s">
        <v>33308</v>
      </c>
      <c r="G41" t="b">
        <f>IF(OR(INDEX(IHZ_HAZ_CONSIGNMENT,34,1)="",AND(INDEX(IHZ_HAZ_DPGREF,34,1)&lt;&gt;"",INDEX(IHZ_HAZ_CONSIGNMENT,34,1)=INDEX(IHZ_HAZ_CONSIGNMENT,33,1),INDEX(IHZ_HAZ_DPGREF,34,1)=INDEX(IHZ_HAZ_DPGREF,33,1))),TRUE,AND(INDEX(IHZ_HAZ_DGCLASSIFI,34,1)&lt;&gt;"",INDEX(IHZ_HAZ_TEXTUALREF,34,1)&lt;&gt;"",INDEX(IHZ_HAZ_TOTAMOUNT,34,1)&lt;&gt;""))</f>
        <v>1</v>
      </c>
      <c r="H41" t="str">
        <f t="shared" si="0"/>
        <v>Row 34 - All mandatory fields must be given</v>
      </c>
      <c r="I41" t="s">
        <v>33308</v>
      </c>
      <c r="J41" t="b">
        <f>IF(OR(INDEX(OHZ_HAZ_CONSIGNMENT,34,1)="",AND(INDEX(OHZ_HAZ_DPGREF,34,1)&lt;&gt;"",INDEX(OHZ_HAZ_CONSIGNMENT,34,1)=INDEX(OHZ_HAZ_CONSIGNMENT,33,1),INDEX(OHZ_HAZ_DPGREF,34,1)=INDEX(OHZ_HAZ_DPGREF,33,1))),TRUE,AND(INDEX(OHZ_HAZ_DGCLASSIFI,34,1)&lt;&gt;"",INDEX(OHZ_HAZ_TEXTUALREF,34,1)&lt;&gt;"",INDEX(OHZ_HAZ_TOTAMOUNT,34,1)&lt;&gt;""))</f>
        <v>1</v>
      </c>
      <c r="K41" t="str">
        <f t="shared" si="1"/>
        <v>Row 34 - All mandatory fields must be given</v>
      </c>
      <c r="L41" t="s">
        <v>33308</v>
      </c>
      <c r="T41" t="s">
        <v>33552</v>
      </c>
    </row>
    <row r="42" spans="1:20" x14ac:dyDescent="0.2">
      <c r="A42" t="b">
        <f ca="1">OR(AND(ISNUMBER(SUMPRODUCT(SEARCH(MID(SEC_AGENT_FAX,ROW(INDIRECT("1:"&amp;LEN(SEC_AGENT_FAX))),1),"0123456789+"))),LEN(SEC_AGENT_FAX)&lt;=16),SEC_AGENT_FAX="")</f>
        <v>1</v>
      </c>
      <c r="B42" t="s">
        <v>33459</v>
      </c>
      <c r="D42" t="b">
        <f>AND(INDEX(WAS_ITE_DELIVERED,36,1)&lt;&gt;"",INDEX(WAS_ITE_DELIVEREDU,36,1)&lt;&gt;"",INDEX(WAS_ITE_MAXSTORAG,36,1)&lt;&gt;"",INDEX(WAS_ITE_MAXSTORAGU,36,1)&lt;&gt;"",INDEX(WAS_ITE_RETAINED,36,1)&lt;&gt;"",INDEX(WAS_ITE_RETAINEDU,36,1)&lt;&gt;"",INDEX(WAS_ITE_GENERATED,36,1)&lt;&gt;"",INDEX(WAS_ITE_GENERATED,36,1)&lt;&gt;"",INDEX(WAS_ITE_GENERATED,36,1)&lt;&gt;"",INDEX(WAS_ITE_GENERATEDU,36,1)&lt;&gt;"",INDEX(WAS_ITE_LASTPORT,36,1)&lt;&gt;"",INDEX(WAS_ITE_LASTPORTU,36,1)&lt;&gt;"")</f>
        <v>1</v>
      </c>
      <c r="E42" t="s">
        <v>35211</v>
      </c>
      <c r="F42" t="s">
        <v>33308</v>
      </c>
      <c r="G42" t="b">
        <f>IF(OR(INDEX(IHZ_HAZ_CONSIGNMENT,35,1)="",AND(INDEX(IHZ_HAZ_DPGREF,35,1)&lt;&gt;"",INDEX(IHZ_HAZ_CONSIGNMENT,35,1)=INDEX(IHZ_HAZ_CONSIGNMENT,34,1),INDEX(IHZ_HAZ_DPGREF,35,1)=INDEX(IHZ_HAZ_DPGREF,34,1))),TRUE,AND(INDEX(IHZ_HAZ_DGCLASSIFI,35,1)&lt;&gt;"",INDEX(IHZ_HAZ_TEXTUALREF,35,1)&lt;&gt;"",INDEX(IHZ_HAZ_TOTAMOUNT,35,1)&lt;&gt;""))</f>
        <v>1</v>
      </c>
      <c r="H42" t="str">
        <f t="shared" si="0"/>
        <v>Row 35 - All mandatory fields must be given</v>
      </c>
      <c r="I42" t="s">
        <v>33308</v>
      </c>
      <c r="J42" t="b">
        <f>IF(OR(INDEX(OHZ_HAZ_CONSIGNMENT,35,1)="",AND(INDEX(OHZ_HAZ_DPGREF,35,1)&lt;&gt;"",INDEX(OHZ_HAZ_CONSIGNMENT,35,1)=INDEX(OHZ_HAZ_CONSIGNMENT,34,1),INDEX(OHZ_HAZ_DPGREF,35,1)=INDEX(OHZ_HAZ_DPGREF,34,1))),TRUE,AND(INDEX(OHZ_HAZ_DGCLASSIFI,35,1)&lt;&gt;"",INDEX(OHZ_HAZ_TEXTUALREF,35,1)&lt;&gt;"",INDEX(OHZ_HAZ_TOTAMOUNT,35,1)&lt;&gt;""))</f>
        <v>1</v>
      </c>
      <c r="K42" t="str">
        <f t="shared" si="1"/>
        <v>Row 35 - All mandatory fields must be given</v>
      </c>
      <c r="L42" t="s">
        <v>33308</v>
      </c>
      <c r="T42" t="s">
        <v>33553</v>
      </c>
    </row>
    <row r="43" spans="1:20" x14ac:dyDescent="0.2">
      <c r="A43" t="b">
        <f>IF(OR(ISBLANK(SEC_AGENT_EMAIL),AND(NOT(ISERROR(SEARCH("@",SEC_AGENT_EMAIL))),ISERROR(SEARCH(" ",SEC_AGENT_EMAIL)),LEN(SEC_AGENT_EMAIL)&lt;=50)),TRUE(),FALSE())</f>
        <v>1</v>
      </c>
      <c r="B43" t="s">
        <v>33460</v>
      </c>
      <c r="D43" t="b">
        <f>AND(INDEX(WAS_ITE_DELIVERED,37,1)&lt;&gt;"",INDEX(WAS_ITE_DELIVEREDU,37,1)&lt;&gt;"",INDEX(WAS_ITE_MAXSTORAG,37,1)&lt;&gt;"",INDEX(WAS_ITE_MAXSTORAGU,37,1)&lt;&gt;"",INDEX(WAS_ITE_RETAINED,37,1)&lt;&gt;"",INDEX(WAS_ITE_RETAINEDU,37,1)&lt;&gt;"",INDEX(WAS_ITE_GENERATED,37,1)&lt;&gt;"",INDEX(WAS_ITE_GENERATED,37,1)&lt;&gt;"",INDEX(WAS_ITE_GENERATED,37,1)&lt;&gt;"",INDEX(WAS_ITE_GENERATEDU,37,1)&lt;&gt;"",INDEX(WAS_ITE_LASTPORT,37,1)&lt;&gt;"",INDEX(WAS_ITE_LASTPORTU,37,1)&lt;&gt;"")</f>
        <v>1</v>
      </c>
      <c r="E43" t="s">
        <v>35212</v>
      </c>
      <c r="F43" t="s">
        <v>33308</v>
      </c>
      <c r="G43" t="b">
        <f>IF(OR(INDEX(IHZ_HAZ_CONSIGNMENT,36,1)="",AND(INDEX(IHZ_HAZ_DPGREF,36,1)&lt;&gt;"",INDEX(IHZ_HAZ_CONSIGNMENT,36,1)=INDEX(IHZ_HAZ_CONSIGNMENT,35,1),INDEX(IHZ_HAZ_DPGREF,36,1)=INDEX(IHZ_HAZ_DPGREF,35,1))),TRUE,AND(INDEX(IHZ_HAZ_DGCLASSIFI,36,1)&lt;&gt;"",INDEX(IHZ_HAZ_TEXTUALREF,36,1)&lt;&gt;"",INDEX(IHZ_HAZ_TOTAMOUNT,36,1)&lt;&gt;""))</f>
        <v>1</v>
      </c>
      <c r="H43" t="str">
        <f t="shared" si="0"/>
        <v>Row 36 - All mandatory fields must be given</v>
      </c>
      <c r="I43" t="s">
        <v>33308</v>
      </c>
      <c r="J43" t="b">
        <f>IF(OR(INDEX(OHZ_HAZ_CONSIGNMENT,36,1)="",AND(INDEX(OHZ_HAZ_DPGREF,36,1)&lt;&gt;"",INDEX(OHZ_HAZ_CONSIGNMENT,36,1)=INDEX(OHZ_HAZ_CONSIGNMENT,35,1),INDEX(OHZ_HAZ_DPGREF,36,1)=INDEX(OHZ_HAZ_DPGREF,35,1))),TRUE,AND(INDEX(OHZ_HAZ_DGCLASSIFI,36,1)&lt;&gt;"",INDEX(OHZ_HAZ_TEXTUALREF,36,1)&lt;&gt;"",INDEX(OHZ_HAZ_TOTAMOUNT,36,1)&lt;&gt;""))</f>
        <v>1</v>
      </c>
      <c r="K43" t="str">
        <f t="shared" si="1"/>
        <v>Row 36 - All mandatory fields must be given</v>
      </c>
      <c r="L43" t="s">
        <v>33308</v>
      </c>
      <c r="T43" t="s">
        <v>33554</v>
      </c>
    </row>
    <row r="44" spans="1:20" x14ac:dyDescent="0.2">
      <c r="A44" t="b">
        <f>OR(SEC_ISSC_TYPE="",COUNTIF(ISSC_types,SEC_ISSC_TYPE)=1)</f>
        <v>1</v>
      </c>
      <c r="B44" t="s">
        <v>33461</v>
      </c>
      <c r="D44" s="35" t="b">
        <v>1</v>
      </c>
      <c r="F44" t="s">
        <v>33308</v>
      </c>
      <c r="G44" t="b">
        <f>IF(OR(INDEX(IHZ_HAZ_CONSIGNMENT,37,1)="",AND(INDEX(IHZ_HAZ_DPGREF,37,1)&lt;&gt;"",INDEX(IHZ_HAZ_CONSIGNMENT,37,1)=INDEX(IHZ_HAZ_CONSIGNMENT,36,1),INDEX(IHZ_HAZ_DPGREF,37,1)=INDEX(IHZ_HAZ_DPGREF,36,1))),TRUE,AND(INDEX(IHZ_HAZ_DGCLASSIFI,37,1)&lt;&gt;"",INDEX(IHZ_HAZ_TEXTUALREF,37,1)&lt;&gt;"",INDEX(IHZ_HAZ_TOTAMOUNT,37,1)&lt;&gt;""))</f>
        <v>1</v>
      </c>
      <c r="H44" t="str">
        <f t="shared" si="0"/>
        <v>Row 37 - All mandatory fields must be given</v>
      </c>
      <c r="I44" t="s">
        <v>33308</v>
      </c>
      <c r="J44" t="b">
        <f>IF(OR(INDEX(OHZ_HAZ_CONSIGNMENT,37,1)="",AND(INDEX(OHZ_HAZ_DPGREF,37,1)&lt;&gt;"",INDEX(OHZ_HAZ_CONSIGNMENT,37,1)=INDEX(OHZ_HAZ_CONSIGNMENT,36,1),INDEX(OHZ_HAZ_DPGREF,37,1)=INDEX(OHZ_HAZ_DPGREF,36,1))),TRUE,AND(INDEX(OHZ_HAZ_DGCLASSIFI,37,1)&lt;&gt;"",INDEX(OHZ_HAZ_TEXTUALREF,37,1)&lt;&gt;"",INDEX(OHZ_HAZ_TOTAMOUNT,37,1)&lt;&gt;""))</f>
        <v>1</v>
      </c>
      <c r="K44" t="str">
        <f t="shared" si="1"/>
        <v>Row 37 - All mandatory fields must be given</v>
      </c>
      <c r="L44" t="s">
        <v>33308</v>
      </c>
      <c r="T44" t="s">
        <v>33555</v>
      </c>
    </row>
    <row r="45" spans="1:20" x14ac:dyDescent="0.2">
      <c r="A45" t="b">
        <f>LEN(SEC_ISSC_NUMBER)&lt;51</f>
        <v>1</v>
      </c>
      <c r="B45" t="s">
        <v>33462</v>
      </c>
      <c r="D45" s="35" t="b">
        <f>IF(ISNA(INDEX(WAS_ITE_TYPECODE,39,1)),TRUE,AND(INDEX(WAS_ITE_DELIVERED,39,1)&lt;&gt;"",INDEX(WAS_ITE_DELIVEREDU,39,1)&lt;&gt;"",INDEX(WAS_ITE_MAXSTORAG,39,1)&lt;&gt;"",INDEX(WAS_ITE_MAXSTORAGU,39,1)&lt;&gt;"",INDEX(WAS_ITE_RETAINED,39,1)&lt;&gt;"",INDEX(WAS_ITE_RETAINEDU,39,1)&lt;&gt;"",INDEX(WAS_ITE_GENERATED,39,1)&lt;&gt;"",INDEX(WAS_ITE_GENERATEDU,39,1)&lt;&gt;"",INDEX(WAS_ITE_GENERATEDU,39,1)&lt;&gt;"",INDEX(WAS_ITE_LASTPORT,39,1)&lt;&gt;"",INDEX(WAS_ITE_LASTPORTU,39,1)&lt;&gt;""))</f>
        <v>1</v>
      </c>
      <c r="E45" t="s">
        <v>34901</v>
      </c>
      <c r="F45" t="s">
        <v>33308</v>
      </c>
      <c r="G45" t="b">
        <f>IF(OR(INDEX(IHZ_HAZ_CONSIGNMENT,38,1)="",AND(INDEX(IHZ_HAZ_DPGREF,38,1)&lt;&gt;"",INDEX(IHZ_HAZ_CONSIGNMENT,38,1)=INDEX(IHZ_HAZ_CONSIGNMENT,37,1),INDEX(IHZ_HAZ_DPGREF,38,1)=INDEX(IHZ_HAZ_DPGREF,37,1))),TRUE,AND(INDEX(IHZ_HAZ_DGCLASSIFI,38,1)&lt;&gt;"",INDEX(IHZ_HAZ_TEXTUALREF,38,1)&lt;&gt;"",INDEX(IHZ_HAZ_TOTAMOUNT,38,1)&lt;&gt;""))</f>
        <v>1</v>
      </c>
      <c r="H45" t="str">
        <f t="shared" si="0"/>
        <v>Row 38 - All mandatory fields must be given</v>
      </c>
      <c r="I45" t="s">
        <v>33308</v>
      </c>
      <c r="J45" t="b">
        <f>IF(OR(INDEX(OHZ_HAZ_CONSIGNMENT,38,1)="",AND(INDEX(OHZ_HAZ_DPGREF,38,1)&lt;&gt;"",INDEX(OHZ_HAZ_CONSIGNMENT,38,1)=INDEX(OHZ_HAZ_CONSIGNMENT,37,1),INDEX(OHZ_HAZ_DPGREF,38,1)=INDEX(OHZ_HAZ_DPGREF,37,1))),TRUE,AND(INDEX(OHZ_HAZ_DGCLASSIFI,38,1)&lt;&gt;"",INDEX(OHZ_HAZ_TEXTUALREF,38,1)&lt;&gt;"",INDEX(OHZ_HAZ_TOTAMOUNT,38,1)&lt;&gt;""))</f>
        <v>1</v>
      </c>
      <c r="K45" t="str">
        <f t="shared" si="1"/>
        <v>Row 38 - All mandatory fields must be given</v>
      </c>
      <c r="L45" t="s">
        <v>33308</v>
      </c>
      <c r="T45" t="s">
        <v>33556</v>
      </c>
    </row>
    <row r="46" spans="1:20" x14ac:dyDescent="0.2">
      <c r="A46" t="b">
        <f>OR(SEC_ISSC_ISSUERTYPE="",COUNTIF(REF_ISSUER_TYPE,SEC_ISSC_ISSUERTYPE)=1)</f>
        <v>1</v>
      </c>
      <c r="B46" t="s">
        <v>33463</v>
      </c>
      <c r="D46" s="35" t="b">
        <f>IF(ISNA(INDEX(WAS_ITE_TYPECODE,40,1)),TRUE,AND(INDEX(WAS_ITE_DELIVERED,40,1)&lt;&gt;"",INDEX(WAS_ITE_DELIVEREDU,40,1)&lt;&gt;"",INDEX(WAS_ITE_MAXSTORAG,40,1)&lt;&gt;"",INDEX(WAS_ITE_MAXSTORAGU,40,1)&lt;&gt;"",INDEX(WAS_ITE_RETAINED,40,1)&lt;&gt;"",INDEX(WAS_ITE_RETAINEDU,40,1)&lt;&gt;"",INDEX(WAS_ITE_GENERATED,40,1)&lt;&gt;"",INDEX(WAS_ITE_GENERATEDU,40,1)&lt;&gt;"",INDEX(WAS_ITE_GENERATEDU,40,1)&lt;&gt;"",INDEX(WAS_ITE_LASTPORT,40,1)&lt;&gt;"",INDEX(WAS_ITE_LASTPORTU,40,1)&lt;&gt;""))</f>
        <v>1</v>
      </c>
      <c r="E46" t="s">
        <v>34903</v>
      </c>
      <c r="F46" t="s">
        <v>33308</v>
      </c>
      <c r="G46" t="b">
        <f>IF(OR(INDEX(IHZ_HAZ_CONSIGNMENT,39,1)="",AND(INDEX(IHZ_HAZ_DPGREF,39,1)&lt;&gt;"",INDEX(IHZ_HAZ_CONSIGNMENT,39,1)=INDEX(IHZ_HAZ_CONSIGNMENT,38,1),INDEX(IHZ_HAZ_DPGREF,39,1)=INDEX(IHZ_HAZ_DPGREF,38,1))),TRUE,AND(INDEX(IHZ_HAZ_DGCLASSIFI,39,1)&lt;&gt;"",INDEX(IHZ_HAZ_TEXTUALREF,39,1)&lt;&gt;"",INDEX(IHZ_HAZ_TOTAMOUNT,39,1)&lt;&gt;""))</f>
        <v>1</v>
      </c>
      <c r="H46" t="str">
        <f t="shared" si="0"/>
        <v>Row 39 - All mandatory fields must be given</v>
      </c>
      <c r="I46" t="s">
        <v>33308</v>
      </c>
      <c r="J46" t="b">
        <f>IF(OR(INDEX(OHZ_HAZ_CONSIGNMENT,39,1)="",AND(INDEX(OHZ_HAZ_DPGREF,39,1)&lt;&gt;"",INDEX(OHZ_HAZ_CONSIGNMENT,39,1)=INDEX(OHZ_HAZ_CONSIGNMENT,38,1),INDEX(OHZ_HAZ_DPGREF,39,1)=INDEX(OHZ_HAZ_DPGREF,38,1))),TRUE,AND(INDEX(OHZ_HAZ_DGCLASSIFI,39,1)&lt;&gt;"",INDEX(OHZ_HAZ_TEXTUALREF,39,1)&lt;&gt;"",INDEX(OHZ_HAZ_TOTAMOUNT,39,1)&lt;&gt;""))</f>
        <v>1</v>
      </c>
      <c r="K46" t="str">
        <f t="shared" si="1"/>
        <v>Row 39 - All mandatory fields must be given</v>
      </c>
      <c r="L46" t="s">
        <v>33308</v>
      </c>
      <c r="T46" t="s">
        <v>33557</v>
      </c>
    </row>
    <row r="47" spans="1:20" x14ac:dyDescent="0.2">
      <c r="A47" t="b">
        <f>LEN(SEC_ISSC_ISSUER)&lt;256</f>
        <v>1</v>
      </c>
      <c r="B47" t="s">
        <v>33464</v>
      </c>
      <c r="D47" s="35" t="b">
        <f>IF(ISNA(INDEX(WAS_ITE_TYPECODE,41,1)),TRUE,AND(INDEX(WAS_ITE_DELIVERED,41,1)&lt;&gt;"",INDEX(WAS_ITE_DELIVEREDU,41,1)&lt;&gt;"",INDEX(WAS_ITE_MAXSTORAG,41,1)&lt;&gt;"",INDEX(WAS_ITE_MAXSTORAGU,41,1)&lt;&gt;"",INDEX(WAS_ITE_RETAINED,41,1)&lt;&gt;"",INDEX(WAS_ITE_RETAINEDU,41,1)&lt;&gt;"",INDEX(WAS_ITE_GENERATED,41,1)&lt;&gt;"",INDEX(WAS_ITE_GENERATEDU,41,1)&lt;&gt;"",INDEX(WAS_ITE_GENERATEDU,41,1)&lt;&gt;"",INDEX(WAS_ITE_LASTPORT,41,1)&lt;&gt;"",INDEX(WAS_ITE_LASTPORTU,41,1)&lt;&gt;""))</f>
        <v>1</v>
      </c>
      <c r="E47" t="s">
        <v>34904</v>
      </c>
      <c r="F47" t="s">
        <v>33308</v>
      </c>
      <c r="G47" t="b">
        <f>IF(OR(INDEX(IHZ_HAZ_CONSIGNMENT,40,1)="",AND(INDEX(IHZ_HAZ_DPGREF,40,1)&lt;&gt;"",INDEX(IHZ_HAZ_CONSIGNMENT,40,1)=INDEX(IHZ_HAZ_CONSIGNMENT,39,1),INDEX(IHZ_HAZ_DPGREF,40,1)=INDEX(IHZ_HAZ_DPGREF,39,1))),TRUE,AND(INDEX(IHZ_HAZ_DGCLASSIFI,40,1)&lt;&gt;"",INDEX(IHZ_HAZ_TEXTUALREF,40,1)&lt;&gt;"",INDEX(IHZ_HAZ_TOTAMOUNT,40,1)&lt;&gt;""))</f>
        <v>1</v>
      </c>
      <c r="H47" t="str">
        <f t="shared" si="0"/>
        <v>Row 40 - All mandatory fields must be given</v>
      </c>
      <c r="I47" t="s">
        <v>33308</v>
      </c>
      <c r="J47" t="b">
        <f>IF(OR(INDEX(OHZ_HAZ_CONSIGNMENT,40,1)="",AND(INDEX(OHZ_HAZ_DPGREF,40,1)&lt;&gt;"",INDEX(OHZ_HAZ_CONSIGNMENT,40,1)=INDEX(OHZ_HAZ_CONSIGNMENT,39,1),INDEX(OHZ_HAZ_DPGREF,40,1)=INDEX(OHZ_HAZ_DPGREF,39,1))),TRUE,AND(INDEX(OHZ_HAZ_DGCLASSIFI,40,1)&lt;&gt;"",INDEX(OHZ_HAZ_TEXTUALREF,40,1)&lt;&gt;"",INDEX(OHZ_HAZ_TOTAMOUNT,40,1)&lt;&gt;""))</f>
        <v>1</v>
      </c>
      <c r="K47" t="str">
        <f t="shared" si="1"/>
        <v>Row 40 - All mandatory fields must be given</v>
      </c>
      <c r="L47" t="s">
        <v>33308</v>
      </c>
      <c r="T47" t="s">
        <v>33558</v>
      </c>
    </row>
    <row r="48" spans="1:20" x14ac:dyDescent="0.2">
      <c r="D48" s="35" t="b">
        <f>IF(ISNA(INDEX(WAS_ITE_TYPECODE,42,1)),TRUE,AND(INDEX(WAS_ITE_DELIVERED,42,1)&lt;&gt;"",INDEX(WAS_ITE_DELIVEREDU,42,1)&lt;&gt;"",INDEX(WAS_ITE_MAXSTORAG,42,1)&lt;&gt;"",INDEX(WAS_ITE_MAXSTORAGU,42,1)&lt;&gt;"",INDEX(WAS_ITE_RETAINED,42,1)&lt;&gt;"",INDEX(WAS_ITE_RETAINEDU,42,1)&lt;&gt;"",INDEX(WAS_ITE_GENERATED,42,1)&lt;&gt;"",INDEX(WAS_ITE_GENERATEDU,42,1)&lt;&gt;"",INDEX(WAS_ITE_GENERATEDU,42,1)&lt;&gt;"",INDEX(WAS_ITE_LASTPORT,42,1)&lt;&gt;"",INDEX(WAS_ITE_LASTPORTU,42,1)&lt;&gt;""))</f>
        <v>1</v>
      </c>
      <c r="E48" t="s">
        <v>34905</v>
      </c>
      <c r="F48" t="s">
        <v>33308</v>
      </c>
      <c r="G48" t="b">
        <f>IF(OR(INDEX(IHZ_HAZ_CONSIGNMENT,41,1)="",AND(INDEX(IHZ_HAZ_DPGREF,41,1)&lt;&gt;"",INDEX(IHZ_HAZ_CONSIGNMENT,41,1)=INDEX(IHZ_HAZ_CONSIGNMENT,40,1),INDEX(IHZ_HAZ_DPGREF,41,1)=INDEX(IHZ_HAZ_DPGREF,40,1))),TRUE,AND(INDEX(IHZ_HAZ_DGCLASSIFI,41,1)&lt;&gt;"",INDEX(IHZ_HAZ_TEXTUALREF,41,1)&lt;&gt;"",INDEX(IHZ_HAZ_TOTAMOUNT,41,1)&lt;&gt;""))</f>
        <v>1</v>
      </c>
      <c r="H48" t="str">
        <f t="shared" si="0"/>
        <v>Row 41 - All mandatory fields must be given</v>
      </c>
      <c r="I48" t="s">
        <v>33308</v>
      </c>
      <c r="J48" t="b">
        <f>IF(OR(INDEX(OHZ_HAZ_CONSIGNMENT,41,1)="",AND(INDEX(OHZ_HAZ_DPGREF,41,1)&lt;&gt;"",INDEX(OHZ_HAZ_CONSIGNMENT,41,1)=INDEX(OHZ_HAZ_CONSIGNMENT,40,1),INDEX(OHZ_HAZ_DPGREF,41,1)=INDEX(OHZ_HAZ_DPGREF,40,1))),TRUE,AND(INDEX(OHZ_HAZ_DGCLASSIFI,41,1)&lt;&gt;"",INDEX(OHZ_HAZ_TEXTUALREF,41,1)&lt;&gt;"",INDEX(OHZ_HAZ_TOTAMOUNT,41,1)&lt;&gt;""))</f>
        <v>1</v>
      </c>
      <c r="K48" t="str">
        <f t="shared" si="1"/>
        <v>Row 41 - All mandatory fields must be given</v>
      </c>
      <c r="L48" t="s">
        <v>33308</v>
      </c>
      <c r="T48" t="s">
        <v>33559</v>
      </c>
    </row>
    <row r="49" spans="1:20" x14ac:dyDescent="0.2">
      <c r="A49" t="b">
        <f>OR(SEC_ISSC_ISVALID="",SEC_ISSC_ISVALID="FALSE",SEC_ISSC_ISVALID="TRUE")</f>
        <v>1</v>
      </c>
      <c r="B49" t="s">
        <v>33465</v>
      </c>
      <c r="D49" t="b">
        <f>IF(INDEX(WAS_ITE_TYPE,39,1)&lt;&gt;"",ISNUMBER(INDEX(WAS_ITE_TYPECODE,39,1)),TRUE)</f>
        <v>1</v>
      </c>
      <c r="E49" t="s">
        <v>34908</v>
      </c>
      <c r="F49" t="s">
        <v>33308</v>
      </c>
      <c r="G49" t="b">
        <f>IF(OR(INDEX(IHZ_HAZ_CONSIGNMENT,42,1)="",AND(INDEX(IHZ_HAZ_DPGREF,42,1)&lt;&gt;"",INDEX(IHZ_HAZ_CONSIGNMENT,42,1)=INDEX(IHZ_HAZ_CONSIGNMENT,41,1),INDEX(IHZ_HAZ_DPGREF,42,1)=INDEX(IHZ_HAZ_DPGREF,41,1))),TRUE,AND(INDEX(IHZ_HAZ_DGCLASSIFI,42,1)&lt;&gt;"",INDEX(IHZ_HAZ_TEXTUALREF,42,1)&lt;&gt;"",INDEX(IHZ_HAZ_TOTAMOUNT,42,1)&lt;&gt;""))</f>
        <v>1</v>
      </c>
      <c r="H49" t="str">
        <f t="shared" si="0"/>
        <v>Row 42 - All mandatory fields must be given</v>
      </c>
      <c r="I49" t="s">
        <v>33308</v>
      </c>
      <c r="J49" t="b">
        <f>IF(OR(INDEX(OHZ_HAZ_CONSIGNMENT,42,1)="",AND(INDEX(OHZ_HAZ_DPGREF,42,1)&lt;&gt;"",INDEX(OHZ_HAZ_CONSIGNMENT,42,1)=INDEX(OHZ_HAZ_CONSIGNMENT,41,1),INDEX(OHZ_HAZ_DPGREF,42,1)=INDEX(OHZ_HAZ_DPGREF,41,1))),TRUE,AND(INDEX(OHZ_HAZ_DGCLASSIFI,42,1)&lt;&gt;"",INDEX(OHZ_HAZ_TEXTUALREF,42,1)&lt;&gt;"",INDEX(OHZ_HAZ_TOTAMOUNT,42,1)&lt;&gt;""))</f>
        <v>1</v>
      </c>
      <c r="K49" t="str">
        <f t="shared" si="1"/>
        <v>Row 42 - All mandatory fields must be given</v>
      </c>
      <c r="L49" t="s">
        <v>33308</v>
      </c>
      <c r="T49" t="s">
        <v>33560</v>
      </c>
    </row>
    <row r="50" spans="1:20" x14ac:dyDescent="0.2">
      <c r="A50" t="b">
        <f>LEN(SEC_ISSC_REASON)&lt;256</f>
        <v>1</v>
      </c>
      <c r="B50" t="s">
        <v>33466</v>
      </c>
      <c r="D50" t="b">
        <f>IF(INDEX(WAS_ITE_TYPE,40,1)&lt;&gt;"",ISNUMBER(INDEX(WAS_ITE_TYPECODE,40,1)),TRUE)</f>
        <v>1</v>
      </c>
      <c r="E50" t="s">
        <v>34909</v>
      </c>
      <c r="F50" t="s">
        <v>33308</v>
      </c>
      <c r="G50" t="b">
        <f>IF(OR(INDEX(IHZ_HAZ_CONSIGNMENT,43,1)="",AND(INDEX(IHZ_HAZ_DPGREF,43,1)&lt;&gt;"",INDEX(IHZ_HAZ_CONSIGNMENT,43,1)=INDEX(IHZ_HAZ_CONSIGNMENT,42,1),INDEX(IHZ_HAZ_DPGREF,43,1)=INDEX(IHZ_HAZ_DPGREF,42,1))),TRUE,AND(INDEX(IHZ_HAZ_DGCLASSIFI,43,1)&lt;&gt;"",INDEX(IHZ_HAZ_TEXTUALREF,43,1)&lt;&gt;"",INDEX(IHZ_HAZ_TOTAMOUNT,43,1)&lt;&gt;""))</f>
        <v>1</v>
      </c>
      <c r="H50" t="str">
        <f t="shared" si="0"/>
        <v>Row 43 - All mandatory fields must be given</v>
      </c>
      <c r="I50" t="s">
        <v>33308</v>
      </c>
      <c r="J50" t="b">
        <f>IF(OR(INDEX(OHZ_HAZ_CONSIGNMENT,43,1)="",AND(INDEX(OHZ_HAZ_DPGREF,43,1)&lt;&gt;"",INDEX(OHZ_HAZ_CONSIGNMENT,43,1)=INDEX(OHZ_HAZ_CONSIGNMENT,42,1),INDEX(OHZ_HAZ_DPGREF,43,1)=INDEX(OHZ_HAZ_DPGREF,42,1))),TRUE,AND(INDEX(OHZ_HAZ_DGCLASSIFI,43,1)&lt;&gt;"",INDEX(OHZ_HAZ_TEXTUALREF,43,1)&lt;&gt;"",INDEX(OHZ_HAZ_TOTAMOUNT,43,1)&lt;&gt;""))</f>
        <v>1</v>
      </c>
      <c r="K50" t="str">
        <f t="shared" si="1"/>
        <v>Row 43 - All mandatory fields must be given</v>
      </c>
      <c r="L50" t="s">
        <v>33308</v>
      </c>
      <c r="T50" t="s">
        <v>33561</v>
      </c>
    </row>
    <row r="51" spans="1:20" x14ac:dyDescent="0.2">
      <c r="A51" t="b">
        <f>OR(AND(LEN(SEC_SRC_SOURCE)&gt;2,LEN(SEC_SRC_SOURCE)&lt;33),SEC_SRC_SOURCE="")</f>
        <v>1</v>
      </c>
      <c r="B51" t="s">
        <v>33467</v>
      </c>
      <c r="D51" t="b">
        <f>IF(INDEX(WAS_ITE_TYPE,41,1)&lt;&gt;"",ISNUMBER(INDEX(WAS_ITE_TYPECODE,41,1)),TRUE)</f>
        <v>1</v>
      </c>
      <c r="E51" t="s">
        <v>34910</v>
      </c>
      <c r="F51" t="s">
        <v>33308</v>
      </c>
      <c r="G51" t="b">
        <f>IF(OR(INDEX(IHZ_HAZ_CONSIGNMENT,44,1)="",AND(INDEX(IHZ_HAZ_DPGREF,44,1)&lt;&gt;"",INDEX(IHZ_HAZ_CONSIGNMENT,44,1)=INDEX(IHZ_HAZ_CONSIGNMENT,43,1),INDEX(IHZ_HAZ_DPGREF,44,1)=INDEX(IHZ_HAZ_DPGREF,43,1))),TRUE,AND(INDEX(IHZ_HAZ_DGCLASSIFI,44,1)&lt;&gt;"",INDEX(IHZ_HAZ_TEXTUALREF,44,1)&lt;&gt;"",INDEX(IHZ_HAZ_TOTAMOUNT,44,1)&lt;&gt;""))</f>
        <v>1</v>
      </c>
      <c r="H51" t="str">
        <f t="shared" si="0"/>
        <v>Row 44 - All mandatory fields must be given</v>
      </c>
      <c r="I51" t="s">
        <v>33308</v>
      </c>
      <c r="J51" t="b">
        <f>IF(OR(INDEX(OHZ_HAZ_CONSIGNMENT,44,1)="",AND(INDEX(OHZ_HAZ_DPGREF,44,1)&lt;&gt;"",INDEX(OHZ_HAZ_CONSIGNMENT,44,1)=INDEX(OHZ_HAZ_CONSIGNMENT,43,1),INDEX(OHZ_HAZ_DPGREF,44,1)=INDEX(OHZ_HAZ_DPGREF,43,1))),TRUE,AND(INDEX(OHZ_HAZ_DGCLASSIFI,44,1)&lt;&gt;"",INDEX(OHZ_HAZ_TEXTUALREF,44,1)&lt;&gt;"",INDEX(OHZ_HAZ_TOTAMOUNT,44,1)&lt;&gt;""))</f>
        <v>1</v>
      </c>
      <c r="K51" t="str">
        <f t="shared" si="1"/>
        <v>Row 44 - All mandatory fields must be given</v>
      </c>
      <c r="L51" t="s">
        <v>33308</v>
      </c>
      <c r="T51" t="s">
        <v>33562</v>
      </c>
    </row>
    <row r="52" spans="1:20" x14ac:dyDescent="0.2">
      <c r="A52" t="b">
        <f>OR(SEC_CURRENTSEC="",COUNTIF(REF_SECURITYLEVELS_OPTIONS,SEC_CURRENTSEC)=1)</f>
        <v>1</v>
      </c>
      <c r="B52" t="s">
        <v>33468</v>
      </c>
      <c r="D52" t="b">
        <f>IF(INDEX(WAS_ITE_TYPE,42,1)&lt;&gt;"",ISNUMBER(INDEX(WAS_ITE_TYPECODE,42,1)),TRUE)</f>
        <v>1</v>
      </c>
      <c r="E52" t="s">
        <v>34911</v>
      </c>
      <c r="F52" t="s">
        <v>33308</v>
      </c>
      <c r="G52" t="b">
        <f>IF(OR(INDEX(IHZ_HAZ_CONSIGNMENT,45,1)="",AND(INDEX(IHZ_HAZ_DPGREF,45,1)&lt;&gt;"",INDEX(IHZ_HAZ_CONSIGNMENT,45,1)=INDEX(IHZ_HAZ_CONSIGNMENT,44,1),INDEX(IHZ_HAZ_DPGREF,45,1)=INDEX(IHZ_HAZ_DPGREF,44,1))),TRUE,AND(INDEX(IHZ_HAZ_DGCLASSIFI,45,1)&lt;&gt;"",INDEX(IHZ_HAZ_TEXTUALREF,45,1)&lt;&gt;"",INDEX(IHZ_HAZ_TOTAMOUNT,45,1)&lt;&gt;""))</f>
        <v>1</v>
      </c>
      <c r="H52" t="str">
        <f t="shared" si="0"/>
        <v>Row 45 - All mandatory fields must be given</v>
      </c>
      <c r="I52" t="s">
        <v>33308</v>
      </c>
      <c r="J52" t="b">
        <f>IF(OR(INDEX(OHZ_HAZ_CONSIGNMENT,45,1)="",AND(INDEX(OHZ_HAZ_DPGREF,45,1)&lt;&gt;"",INDEX(OHZ_HAZ_CONSIGNMENT,45,1)=INDEX(OHZ_HAZ_CONSIGNMENT,44,1),INDEX(OHZ_HAZ_DPGREF,45,1)=INDEX(OHZ_HAZ_DPGREF,44,1))),TRUE,AND(INDEX(OHZ_HAZ_DGCLASSIFI,45,1)&lt;&gt;"",INDEX(OHZ_HAZ_TEXTUALREF,45,1)&lt;&gt;"",INDEX(OHZ_HAZ_TOTAMOUNT,45,1)&lt;&gt;""))</f>
        <v>1</v>
      </c>
      <c r="K52" t="str">
        <f t="shared" si="1"/>
        <v>Row 45 - All mandatory fields must be given</v>
      </c>
      <c r="L52" t="s">
        <v>33308</v>
      </c>
      <c r="T52" t="s">
        <v>33563</v>
      </c>
    </row>
    <row r="53" spans="1:20" x14ac:dyDescent="0.2">
      <c r="A53" t="b">
        <f>OR(SEC_SECURITYPL="",COUNTIF(REF_YES_NO,SEC_SECURITYPL)=1)</f>
        <v>1</v>
      </c>
      <c r="B53" t="s">
        <v>33469</v>
      </c>
      <c r="F53" t="s">
        <v>33308</v>
      </c>
      <c r="G53" t="b">
        <f>IF(OR(INDEX(IHZ_HAZ_CONSIGNMENT,46,1)="",AND(INDEX(IHZ_HAZ_DPGREF,46,1)&lt;&gt;"",INDEX(IHZ_HAZ_CONSIGNMENT,46,1)=INDEX(IHZ_HAZ_CONSIGNMENT,45,1),INDEX(IHZ_HAZ_DPGREF,46,1)=INDEX(IHZ_HAZ_DPGREF,45,1))),TRUE,AND(INDEX(IHZ_HAZ_DGCLASSIFI,46,1)&lt;&gt;"",INDEX(IHZ_HAZ_TEXTUALREF,46,1)&lt;&gt;"",INDEX(IHZ_HAZ_TOTAMOUNT,46,1)&lt;&gt;""))</f>
        <v>1</v>
      </c>
      <c r="H53" t="str">
        <f t="shared" si="0"/>
        <v>Row 46 - All mandatory fields must be given</v>
      </c>
      <c r="I53" t="s">
        <v>33308</v>
      </c>
      <c r="J53" t="b">
        <f>IF(OR(INDEX(OHZ_HAZ_CONSIGNMENT,46,1)="",AND(INDEX(OHZ_HAZ_DPGREF,46,1)&lt;&gt;"",INDEX(OHZ_HAZ_CONSIGNMENT,46,1)=INDEX(OHZ_HAZ_CONSIGNMENT,45,1),INDEX(OHZ_HAZ_DPGREF,46,1)=INDEX(OHZ_HAZ_DPGREF,45,1))),TRUE,AND(INDEX(OHZ_HAZ_DGCLASSIFI,46,1)&lt;&gt;"",INDEX(OHZ_HAZ_TEXTUALREF,46,1)&lt;&gt;"",INDEX(OHZ_HAZ_TOTAMOUNT,46,1)&lt;&gt;""))</f>
        <v>1</v>
      </c>
      <c r="K53" t="str">
        <f t="shared" si="1"/>
        <v>Row 46 - All mandatory fields must be given</v>
      </c>
      <c r="L53" t="s">
        <v>33308</v>
      </c>
      <c r="T53" t="s">
        <v>33564</v>
      </c>
    </row>
    <row r="54" spans="1:20" x14ac:dyDescent="0.2">
      <c r="A54" t="e">
        <f>OR(SEC_PAS_PASSENGERS="",COUNTIF(REF_YES_NO_PASSENGER,SEC_PAS_PASSENGERS)=1)</f>
        <v>#NAME?</v>
      </c>
      <c r="B54" t="s">
        <v>33470</v>
      </c>
      <c r="F54" t="s">
        <v>33308</v>
      </c>
      <c r="G54" t="b">
        <f>IF(OR(INDEX(IHZ_HAZ_CONSIGNMENT,47,1)="",AND(INDEX(IHZ_HAZ_DPGREF,47,1)&lt;&gt;"",INDEX(IHZ_HAZ_CONSIGNMENT,47,1)=INDEX(IHZ_HAZ_CONSIGNMENT,46,1),INDEX(IHZ_HAZ_DPGREF,47,1)=INDEX(IHZ_HAZ_DPGREF,46,1))),TRUE,AND(INDEX(IHZ_HAZ_DGCLASSIFI,47,1)&lt;&gt;"",INDEX(IHZ_HAZ_TEXTUALREF,47,1)&lt;&gt;"",INDEX(IHZ_HAZ_TOTAMOUNT,47,1)&lt;&gt;""))</f>
        <v>1</v>
      </c>
      <c r="H54" t="str">
        <f t="shared" si="0"/>
        <v>Row 47 - All mandatory fields must be given</v>
      </c>
      <c r="I54" t="s">
        <v>33308</v>
      </c>
      <c r="J54" t="b">
        <f>IF(OR(INDEX(OHZ_HAZ_CONSIGNMENT,47,1)="",AND(INDEX(OHZ_HAZ_DPGREF,47,1)&lt;&gt;"",INDEX(OHZ_HAZ_CONSIGNMENT,47,1)=INDEX(OHZ_HAZ_CONSIGNMENT,46,1),INDEX(OHZ_HAZ_DPGREF,47,1)=INDEX(OHZ_HAZ_DPGREF,46,1))),TRUE,AND(INDEX(OHZ_HAZ_DGCLASSIFI,47,1)&lt;&gt;"",INDEX(OHZ_HAZ_TEXTUALREF,47,1)&lt;&gt;"",INDEX(OHZ_HAZ_TOTAMOUNT,47,1)&lt;&gt;""))</f>
        <v>1</v>
      </c>
      <c r="K54" t="str">
        <f t="shared" si="1"/>
        <v>Row 47 - All mandatory fields must be given</v>
      </c>
      <c r="L54" t="s">
        <v>33308</v>
      </c>
      <c r="T54" t="s">
        <v>33565</v>
      </c>
    </row>
    <row r="55" spans="1:20" x14ac:dyDescent="0.2">
      <c r="A55" t="b">
        <f>OR(SEC_PAS_CREWLIST="",COUNTIF(REF_YES_NO,SEC_PAS_CREWLIST)=1)</f>
        <v>1</v>
      </c>
      <c r="B55" t="s">
        <v>33471</v>
      </c>
      <c r="F55" t="s">
        <v>33308</v>
      </c>
      <c r="G55" t="b">
        <f>IF(OR(INDEX(IHZ_HAZ_CONSIGNMENT,48,1)="",AND(INDEX(IHZ_HAZ_DPGREF,48,1)&lt;&gt;"",INDEX(IHZ_HAZ_CONSIGNMENT,48,1)=INDEX(IHZ_HAZ_CONSIGNMENT,47,1),INDEX(IHZ_HAZ_DPGREF,48,1)=INDEX(IHZ_HAZ_DPGREF,47,1))),TRUE,AND(INDEX(IHZ_HAZ_DGCLASSIFI,48,1)&lt;&gt;"",INDEX(IHZ_HAZ_TEXTUALREF,48,1)&lt;&gt;"",INDEX(IHZ_HAZ_TOTAMOUNT,48,1)&lt;&gt;""))</f>
        <v>1</v>
      </c>
      <c r="H55" t="str">
        <f t="shared" si="0"/>
        <v>Row 48 - All mandatory fields must be given</v>
      </c>
      <c r="I55" t="s">
        <v>33308</v>
      </c>
      <c r="J55" t="b">
        <f>IF(OR(INDEX(OHZ_HAZ_CONSIGNMENT,48,1)="",AND(INDEX(OHZ_HAZ_DPGREF,48,1)&lt;&gt;"",INDEX(OHZ_HAZ_CONSIGNMENT,48,1)=INDEX(OHZ_HAZ_CONSIGNMENT,47,1),INDEX(OHZ_HAZ_DPGREF,48,1)=INDEX(OHZ_HAZ_DPGREF,47,1))),TRUE,AND(INDEX(OHZ_HAZ_DGCLASSIFI,48,1)&lt;&gt;"",INDEX(OHZ_HAZ_TEXTUALREF,48,1)&lt;&gt;"",INDEX(OHZ_HAZ_TOTAMOUNT,48,1)&lt;&gt;""))</f>
        <v>1</v>
      </c>
      <c r="K55" t="str">
        <f t="shared" si="1"/>
        <v>Row 48 - All mandatory fields must be given</v>
      </c>
      <c r="L55" t="s">
        <v>33308</v>
      </c>
      <c r="T55" t="s">
        <v>33566</v>
      </c>
    </row>
    <row r="56" spans="1:20" x14ac:dyDescent="0.2">
      <c r="A56" t="b">
        <f>LEN(SEC_CAR_BRIEFCARGO)&lt;256</f>
        <v>1</v>
      </c>
      <c r="B56" t="s">
        <v>33472</v>
      </c>
      <c r="F56" t="s">
        <v>33308</v>
      </c>
      <c r="G56" t="b">
        <f>IF(OR(INDEX(IHZ_HAZ_CONSIGNMENT,49,1)="",AND(INDEX(IHZ_HAZ_DPGREF,49,1)&lt;&gt;"",INDEX(IHZ_HAZ_CONSIGNMENT,49,1)=INDEX(IHZ_HAZ_CONSIGNMENT,48,1),INDEX(IHZ_HAZ_DPGREF,49,1)=INDEX(IHZ_HAZ_DPGREF,48,1))),TRUE,AND(INDEX(IHZ_HAZ_DGCLASSIFI,49,1)&lt;&gt;"",INDEX(IHZ_HAZ_TEXTUALREF,49,1)&lt;&gt;"",INDEX(IHZ_HAZ_TOTAMOUNT,49,1)&lt;&gt;""))</f>
        <v>1</v>
      </c>
      <c r="H56" t="str">
        <f t="shared" si="0"/>
        <v>Row 49 - All mandatory fields must be given</v>
      </c>
      <c r="I56" t="s">
        <v>33308</v>
      </c>
      <c r="J56" t="b">
        <f>IF(OR(INDEX(OHZ_HAZ_CONSIGNMENT,49,1)="",AND(INDEX(OHZ_HAZ_DPGREF,49,1)&lt;&gt;"",INDEX(OHZ_HAZ_CONSIGNMENT,49,1)=INDEX(OHZ_HAZ_CONSIGNMENT,48,1),INDEX(OHZ_HAZ_DPGREF,49,1)=INDEX(OHZ_HAZ_DPGREF,48,1))),TRUE,AND(INDEX(OHZ_HAZ_DGCLASSIFI,49,1)&lt;&gt;"",INDEX(OHZ_HAZ_TEXTUALREF,49,1)&lt;&gt;"",INDEX(OHZ_HAZ_TOTAMOUNT,49,1)&lt;&gt;""))</f>
        <v>1</v>
      </c>
      <c r="K56" t="str">
        <f t="shared" si="1"/>
        <v>Row 49 - All mandatory fields must be given</v>
      </c>
      <c r="L56" t="s">
        <v>33308</v>
      </c>
      <c r="T56" t="s">
        <v>33567</v>
      </c>
    </row>
    <row r="57" spans="1:20" x14ac:dyDescent="0.2">
      <c r="A57" t="b">
        <f>OR(SEC_RSM_RSM="",SEC_RSM_RSM="No",SEC_RSM_RSM="Yes")</f>
        <v>1</v>
      </c>
      <c r="B57" t="s">
        <v>33473</v>
      </c>
      <c r="D57" t="b">
        <f>OR(INDEX(WAS_ITE_REMAINING,1,1)="",COUNTIF(REF_LOCODES,INDEX(WAS_ITE_REMAINING,1,1))&lt;&gt;0)</f>
        <v>1</v>
      </c>
      <c r="E57" t="s">
        <v>35055</v>
      </c>
      <c r="F57" t="s">
        <v>33308</v>
      </c>
      <c r="G57" t="b">
        <f>IF(OR(INDEX(IHZ_HAZ_CONSIGNMENT,50,1)="",AND(INDEX(IHZ_HAZ_DPGREF,50,1)&lt;&gt;"",INDEX(IHZ_HAZ_CONSIGNMENT,50,1)=INDEX(IHZ_HAZ_CONSIGNMENT,49,1),INDEX(IHZ_HAZ_DPGREF,50,1)=INDEX(IHZ_HAZ_DPGREF,49,1))),TRUE,AND(INDEX(IHZ_HAZ_DGCLASSIFI,50,1)&lt;&gt;"",INDEX(IHZ_HAZ_TEXTUALREF,50,1)&lt;&gt;"",INDEX(IHZ_HAZ_TOTAMOUNT,50,1)&lt;&gt;""))</f>
        <v>1</v>
      </c>
      <c r="H57" t="str">
        <f t="shared" si="0"/>
        <v>Row 50 - All mandatory fields must be given</v>
      </c>
      <c r="I57" t="s">
        <v>33308</v>
      </c>
      <c r="J57" t="b">
        <f>IF(OR(INDEX(OHZ_HAZ_CONSIGNMENT,50,1)="",AND(INDEX(OHZ_HAZ_DPGREF,50,1)&lt;&gt;"",INDEX(OHZ_HAZ_CONSIGNMENT,50,1)=INDEX(OHZ_HAZ_CONSIGNMENT,49,1),INDEX(OHZ_HAZ_DPGREF,50,1)=INDEX(OHZ_HAZ_DPGREF,49,1))),TRUE,AND(INDEX(OHZ_HAZ_DGCLASSIFI,50,1)&lt;&gt;"",INDEX(OHZ_HAZ_TEXTUALREF,50,1)&lt;&gt;"",INDEX(OHZ_HAZ_TOTAMOUNT,50,1)&lt;&gt;""))</f>
        <v>1</v>
      </c>
      <c r="K57" t="str">
        <f t="shared" si="1"/>
        <v>Row 50 - All mandatory fields must be given</v>
      </c>
      <c r="L57" t="s">
        <v>33308</v>
      </c>
      <c r="T57" t="s">
        <v>33568</v>
      </c>
    </row>
    <row r="58" spans="1:20" x14ac:dyDescent="0.2">
      <c r="A58" t="b">
        <f>LEN(SEC_RSM_DESC)&lt;256</f>
        <v>1</v>
      </c>
      <c r="B58" t="s">
        <v>33474</v>
      </c>
      <c r="D58" t="b">
        <f>OR(INDEX(WAS_ITE_REMAINING,2,1)="",COUNTIF(REF_LOCODES,INDEX(WAS_ITE_REMAINING,2,1))&lt;&gt;0)</f>
        <v>1</v>
      </c>
      <c r="E58" t="s">
        <v>35056</v>
      </c>
      <c r="F58" t="s">
        <v>33308</v>
      </c>
      <c r="G58" t="b">
        <f>IF(OR(INDEX(IHZ_HAZ_CONSIGNMENT,51,1)="",AND(INDEX(IHZ_HAZ_DPGREF,51,1)&lt;&gt;"",INDEX(IHZ_HAZ_CONSIGNMENT,51,1)=INDEX(IHZ_HAZ_CONSIGNMENT,50,1),INDEX(IHZ_HAZ_DPGREF,51,1)=INDEX(IHZ_HAZ_DPGREF,50,1))),TRUE,AND(INDEX(IHZ_HAZ_DGCLASSIFI,51,1)&lt;&gt;"",INDEX(IHZ_HAZ_TEXTUALREF,51,1)&lt;&gt;"",INDEX(IHZ_HAZ_TOTAMOUNT,51,1)&lt;&gt;""))</f>
        <v>1</v>
      </c>
      <c r="H58" t="str">
        <f t="shared" si="0"/>
        <v>Row 51 - All mandatory fields must be given</v>
      </c>
      <c r="I58" t="s">
        <v>33308</v>
      </c>
      <c r="J58" t="b">
        <f>IF(OR(INDEX(OHZ_HAZ_CONSIGNMENT,51,1)="",AND(INDEX(OHZ_HAZ_DPGREF,51,1)&lt;&gt;"",INDEX(OHZ_HAZ_CONSIGNMENT,51,1)=INDEX(OHZ_HAZ_CONSIGNMENT,50,1),INDEX(OHZ_HAZ_DPGREF,51,1)=INDEX(OHZ_HAZ_DPGREF,50,1))),TRUE,AND(INDEX(OHZ_HAZ_DGCLASSIFI,51,1)&lt;&gt;"",INDEX(OHZ_HAZ_TEXTUALREF,51,1)&lt;&gt;"",INDEX(OHZ_HAZ_TOTAMOUNT,51,1)&lt;&gt;""))</f>
        <v>1</v>
      </c>
      <c r="K58" t="str">
        <f t="shared" si="1"/>
        <v>Row 51 - All mandatory fields must be given</v>
      </c>
      <c r="L58" t="s">
        <v>33308</v>
      </c>
      <c r="T58" t="s">
        <v>33569</v>
      </c>
    </row>
    <row r="59" spans="1:20" x14ac:dyDescent="0.2">
      <c r="A59" t="b">
        <f>LEN(SEC_PURPOSE)&lt;256</f>
        <v>1</v>
      </c>
      <c r="B59" t="s">
        <v>33475</v>
      </c>
      <c r="D59" t="b">
        <f>OR(INDEX(WAS_ITE_REMAINING,3,1)="",COUNTIF(REF_LOCODES,INDEX(WAS_ITE_REMAINING,3,1))&lt;&gt;0)</f>
        <v>1</v>
      </c>
      <c r="E59" t="s">
        <v>35057</v>
      </c>
      <c r="F59" t="s">
        <v>33308</v>
      </c>
      <c r="G59" t="b">
        <f>IF(OR(INDEX(IHZ_HAZ_CONSIGNMENT,52,1)="",AND(INDEX(IHZ_HAZ_DPGREF,52,1)&lt;&gt;"",INDEX(IHZ_HAZ_CONSIGNMENT,52,1)=INDEX(IHZ_HAZ_CONSIGNMENT,51,1),INDEX(IHZ_HAZ_DPGREF,52,1)=INDEX(IHZ_HAZ_DPGREF,51,1))),TRUE,AND(INDEX(IHZ_HAZ_DGCLASSIFI,52,1)&lt;&gt;"",INDEX(IHZ_HAZ_TEXTUALREF,52,1)&lt;&gt;"",INDEX(IHZ_HAZ_TOTAMOUNT,52,1)&lt;&gt;""))</f>
        <v>1</v>
      </c>
      <c r="H59" t="str">
        <f t="shared" si="0"/>
        <v>Row 52 - All mandatory fields must be given</v>
      </c>
      <c r="I59" t="s">
        <v>33308</v>
      </c>
      <c r="J59" t="b">
        <f>IF(OR(INDEX(OHZ_HAZ_CONSIGNMENT,52,1)="",AND(INDEX(OHZ_HAZ_DPGREF,52,1)&lt;&gt;"",INDEX(OHZ_HAZ_CONSIGNMENT,52,1)=INDEX(OHZ_HAZ_CONSIGNMENT,51,1),INDEX(OHZ_HAZ_DPGREF,52,1)=INDEX(OHZ_HAZ_DPGREF,51,1))),TRUE,AND(INDEX(OHZ_HAZ_DGCLASSIFI,52,1)&lt;&gt;"",INDEX(OHZ_HAZ_TEXTUALREF,52,1)&lt;&gt;"",INDEX(OHZ_HAZ_TOTAMOUNT,52,1)&lt;&gt;""))</f>
        <v>1</v>
      </c>
      <c r="K59" t="str">
        <f t="shared" si="1"/>
        <v>Row 52 - All mandatory fields must be given</v>
      </c>
      <c r="L59" t="s">
        <v>33308</v>
      </c>
      <c r="T59" t="s">
        <v>33570</v>
      </c>
    </row>
    <row r="60" spans="1:20" x14ac:dyDescent="0.2">
      <c r="D60" t="b">
        <f>OR(INDEX(WAS_ITE_REMAINING,4,1)="",COUNTIF(REF_LOCODES,INDEX(WAS_ITE_REMAINING,4,1))&lt;&gt;0)</f>
        <v>1</v>
      </c>
      <c r="E60" t="s">
        <v>35058</v>
      </c>
      <c r="F60" t="s">
        <v>33308</v>
      </c>
      <c r="G60" t="b">
        <f>IF(OR(INDEX(IHZ_HAZ_CONSIGNMENT,53,1)="",AND(INDEX(IHZ_HAZ_DPGREF,53,1)&lt;&gt;"",INDEX(IHZ_HAZ_CONSIGNMENT,53,1)=INDEX(IHZ_HAZ_CONSIGNMENT,52,1),INDEX(IHZ_HAZ_DPGREF,53,1)=INDEX(IHZ_HAZ_DPGREF,52,1))),TRUE,AND(INDEX(IHZ_HAZ_DGCLASSIFI,53,1)&lt;&gt;"",INDEX(IHZ_HAZ_TEXTUALREF,53,1)&lt;&gt;"",INDEX(IHZ_HAZ_TOTAMOUNT,53,1)&lt;&gt;""))</f>
        <v>1</v>
      </c>
      <c r="H60" t="str">
        <f t="shared" si="0"/>
        <v>Row 53 - All mandatory fields must be given</v>
      </c>
      <c r="I60" t="s">
        <v>33308</v>
      </c>
      <c r="J60" t="b">
        <f>IF(OR(INDEX(OHZ_HAZ_CONSIGNMENT,53,1)="",AND(INDEX(OHZ_HAZ_DPGREF,53,1)&lt;&gt;"",INDEX(OHZ_HAZ_CONSIGNMENT,53,1)=INDEX(OHZ_HAZ_CONSIGNMENT,52,1),INDEX(OHZ_HAZ_DPGREF,53,1)=INDEX(OHZ_HAZ_DPGREF,52,1))),TRUE,AND(INDEX(OHZ_HAZ_DGCLASSIFI,53,1)&lt;&gt;"",INDEX(OHZ_HAZ_TEXTUALREF,53,1)&lt;&gt;"",INDEX(OHZ_HAZ_TOTAMOUNT,53,1)&lt;&gt;""))</f>
        <v>1</v>
      </c>
      <c r="K60" t="str">
        <f t="shared" si="1"/>
        <v>Row 53 - All mandatory fields must be given</v>
      </c>
      <c r="L60" t="s">
        <v>33308</v>
      </c>
      <c r="T60" t="s">
        <v>33571</v>
      </c>
    </row>
    <row r="61" spans="1:20" x14ac:dyDescent="0.2">
      <c r="D61" s="35" t="b">
        <v>1</v>
      </c>
      <c r="F61" t="s">
        <v>33308</v>
      </c>
      <c r="G61" t="b">
        <f>IF(OR(INDEX(IHZ_HAZ_CONSIGNMENT,54,1)="",AND(INDEX(IHZ_HAZ_DPGREF,54,1)&lt;&gt;"",INDEX(IHZ_HAZ_CONSIGNMENT,54,1)=INDEX(IHZ_HAZ_CONSIGNMENT,53,1),INDEX(IHZ_HAZ_DPGREF,54,1)=INDEX(IHZ_HAZ_DPGREF,53,1))),TRUE,AND(INDEX(IHZ_HAZ_DGCLASSIFI,54,1)&lt;&gt;"",INDEX(IHZ_HAZ_TEXTUALREF,54,1)&lt;&gt;"",INDEX(IHZ_HAZ_TOTAMOUNT,54,1)&lt;&gt;""))</f>
        <v>1</v>
      </c>
      <c r="H61" t="str">
        <f t="shared" si="0"/>
        <v>Row 54 - All mandatory fields must be given</v>
      </c>
      <c r="I61" t="s">
        <v>33308</v>
      </c>
      <c r="J61" t="b">
        <f>IF(OR(INDEX(OHZ_HAZ_CONSIGNMENT,54,1)="",AND(INDEX(OHZ_HAZ_DPGREF,54,1)&lt;&gt;"",INDEX(OHZ_HAZ_CONSIGNMENT,54,1)=INDEX(OHZ_HAZ_CONSIGNMENT,53,1),INDEX(OHZ_HAZ_DPGREF,54,1)=INDEX(OHZ_HAZ_DPGREF,53,1))),TRUE,AND(INDEX(OHZ_HAZ_DGCLASSIFI,54,1)&lt;&gt;"",INDEX(OHZ_HAZ_TEXTUALREF,54,1)&lt;&gt;"",INDEX(OHZ_HAZ_TOTAMOUNT,54,1)&lt;&gt;""))</f>
        <v>1</v>
      </c>
      <c r="K61" t="str">
        <f t="shared" si="1"/>
        <v>Row 54 - All mandatory fields must be given</v>
      </c>
      <c r="L61" t="s">
        <v>33308</v>
      </c>
      <c r="T61" t="s">
        <v>33572</v>
      </c>
    </row>
    <row r="62" spans="1:20" x14ac:dyDescent="0.2">
      <c r="A62" t="b">
        <f>SUMPRODUCT(--(LEN(SEC_LAST_COUNTRY)&gt;51))=0</f>
        <v>1</v>
      </c>
      <c r="B62" t="s">
        <v>35103</v>
      </c>
      <c r="D62" t="b">
        <f>OR(INDEX(WAS_ITE_REMAINING,6,1)="",COUNTIF(REF_LOCODES,INDEX(WAS_ITE_REMAINING,6,1))&lt;&gt;0)</f>
        <v>1</v>
      </c>
      <c r="E62" t="s">
        <v>35059</v>
      </c>
      <c r="F62" t="s">
        <v>33308</v>
      </c>
      <c r="G62" t="b">
        <f>IF(OR(INDEX(IHZ_HAZ_CONSIGNMENT,55,1)="",AND(INDEX(IHZ_HAZ_DPGREF,55,1)&lt;&gt;"",INDEX(IHZ_HAZ_CONSIGNMENT,55,1)=INDEX(IHZ_HAZ_CONSIGNMENT,54,1),INDEX(IHZ_HAZ_DPGREF,55,1)=INDEX(IHZ_HAZ_DPGREF,54,1))),TRUE,AND(INDEX(IHZ_HAZ_DGCLASSIFI,55,1)&lt;&gt;"",INDEX(IHZ_HAZ_TEXTUALREF,55,1)&lt;&gt;"",INDEX(IHZ_HAZ_TOTAMOUNT,55,1)&lt;&gt;""))</f>
        <v>1</v>
      </c>
      <c r="H62" t="str">
        <f t="shared" si="0"/>
        <v>Row 55 - All mandatory fields must be given</v>
      </c>
      <c r="I62" t="s">
        <v>33308</v>
      </c>
      <c r="J62" t="b">
        <f>IF(OR(INDEX(OHZ_HAZ_CONSIGNMENT,55,1)="",AND(INDEX(OHZ_HAZ_DPGREF,55,1)&lt;&gt;"",INDEX(OHZ_HAZ_CONSIGNMENT,55,1)=INDEX(OHZ_HAZ_CONSIGNMENT,54,1),INDEX(OHZ_HAZ_DPGREF,55,1)=INDEX(OHZ_HAZ_DPGREF,54,1))),TRUE,AND(INDEX(OHZ_HAZ_DGCLASSIFI,55,1)&lt;&gt;"",INDEX(OHZ_HAZ_TEXTUALREF,55,1)&lt;&gt;"",INDEX(OHZ_HAZ_TOTAMOUNT,55,1)&lt;&gt;""))</f>
        <v>1</v>
      </c>
      <c r="K62" t="str">
        <f t="shared" si="1"/>
        <v>Row 55 - All mandatory fields must be given</v>
      </c>
      <c r="L62" t="s">
        <v>33308</v>
      </c>
      <c r="T62" t="s">
        <v>33573</v>
      </c>
    </row>
    <row r="63" spans="1:20" x14ac:dyDescent="0.2">
      <c r="A63" t="b">
        <f>SUMPRODUCT(--(LEN(SEC_LAST_FACNAME)&gt;51))=0</f>
        <v>1</v>
      </c>
      <c r="B63" t="s">
        <v>35102</v>
      </c>
      <c r="D63" s="35" t="b">
        <v>1</v>
      </c>
      <c r="F63" t="s">
        <v>33308</v>
      </c>
      <c r="G63" t="b">
        <f>IF(OR(INDEX(IHZ_HAZ_CONSIGNMENT,56,1)="",AND(INDEX(IHZ_HAZ_DPGREF,56,1)&lt;&gt;"",INDEX(IHZ_HAZ_CONSIGNMENT,56,1)=INDEX(IHZ_HAZ_CONSIGNMENT,55,1),INDEX(IHZ_HAZ_DPGREF,56,1)=INDEX(IHZ_HAZ_DPGREF,55,1))),TRUE,AND(INDEX(IHZ_HAZ_DGCLASSIFI,56,1)&lt;&gt;"",INDEX(IHZ_HAZ_TEXTUALREF,56,1)&lt;&gt;"",INDEX(IHZ_HAZ_TOTAMOUNT,56,1)&lt;&gt;""))</f>
        <v>1</v>
      </c>
      <c r="H63" t="str">
        <f t="shared" si="0"/>
        <v>Row 56 - All mandatory fields must be given</v>
      </c>
      <c r="I63" t="s">
        <v>33308</v>
      </c>
      <c r="J63" t="b">
        <f>IF(OR(INDEX(OHZ_HAZ_CONSIGNMENT,56,1)="",AND(INDEX(OHZ_HAZ_DPGREF,56,1)&lt;&gt;"",INDEX(OHZ_HAZ_CONSIGNMENT,56,1)=INDEX(OHZ_HAZ_CONSIGNMENT,55,1),INDEX(OHZ_HAZ_DPGREF,56,1)=INDEX(OHZ_HAZ_DPGREF,55,1))),TRUE,AND(INDEX(OHZ_HAZ_DGCLASSIFI,56,1)&lt;&gt;"",INDEX(OHZ_HAZ_TEXTUALREF,56,1)&lt;&gt;"",INDEX(OHZ_HAZ_TOTAMOUNT,56,1)&lt;&gt;""))</f>
        <v>1</v>
      </c>
      <c r="K63" t="str">
        <f t="shared" si="1"/>
        <v>Row 56 - All mandatory fields must be given</v>
      </c>
      <c r="L63" t="s">
        <v>33308</v>
      </c>
      <c r="T63" t="s">
        <v>33574</v>
      </c>
    </row>
    <row r="64" spans="1:20" x14ac:dyDescent="0.2">
      <c r="A64" t="b">
        <f>OR(LEN(INDEX(SEC_LAST_PORT,1,1))=5,LEN(INDEX(SEC_LAST_PORT,1,1))=0)</f>
        <v>1</v>
      </c>
      <c r="B64" t="s">
        <v>35101</v>
      </c>
      <c r="D64" t="b">
        <f>OR(INDEX(WAS_ITE_REMAINING,8,1)="",COUNTIF(REF_LOCODES,INDEX(WAS_ITE_REMAINING,8,1))&lt;&gt;0)</f>
        <v>1</v>
      </c>
      <c r="E64" t="s">
        <v>35060</v>
      </c>
      <c r="F64" t="s">
        <v>33308</v>
      </c>
      <c r="G64" t="b">
        <f>IF(OR(INDEX(IHZ_HAZ_CONSIGNMENT,57,1)="",AND(INDEX(IHZ_HAZ_DPGREF,57,1)&lt;&gt;"",INDEX(IHZ_HAZ_CONSIGNMENT,57,1)=INDEX(IHZ_HAZ_CONSIGNMENT,56,1),INDEX(IHZ_HAZ_DPGREF,57,1)=INDEX(IHZ_HAZ_DPGREF,56,1))),TRUE,AND(INDEX(IHZ_HAZ_DGCLASSIFI,57,1)&lt;&gt;"",INDEX(IHZ_HAZ_TEXTUALREF,57,1)&lt;&gt;"",INDEX(IHZ_HAZ_TOTAMOUNT,57,1)&lt;&gt;""))</f>
        <v>1</v>
      </c>
      <c r="H64" t="str">
        <f t="shared" si="0"/>
        <v>Row 57 - All mandatory fields must be given</v>
      </c>
      <c r="I64" t="s">
        <v>33308</v>
      </c>
      <c r="J64" t="b">
        <f>IF(OR(INDEX(OHZ_HAZ_CONSIGNMENT,57,1)="",AND(INDEX(OHZ_HAZ_DPGREF,57,1)&lt;&gt;"",INDEX(OHZ_HAZ_CONSIGNMENT,57,1)=INDEX(OHZ_HAZ_CONSIGNMENT,56,1),INDEX(OHZ_HAZ_DPGREF,57,1)=INDEX(OHZ_HAZ_DPGREF,56,1))),TRUE,AND(INDEX(OHZ_HAZ_DGCLASSIFI,57,1)&lt;&gt;"",INDEX(OHZ_HAZ_TEXTUALREF,57,1)&lt;&gt;"",INDEX(OHZ_HAZ_TOTAMOUNT,57,1)&lt;&gt;""))</f>
        <v>1</v>
      </c>
      <c r="K64" t="str">
        <f t="shared" si="1"/>
        <v>Row 57 - All mandatory fields must be given</v>
      </c>
      <c r="L64" t="s">
        <v>33308</v>
      </c>
      <c r="T64" t="s">
        <v>33575</v>
      </c>
    </row>
    <row r="65" spans="1:20" x14ac:dyDescent="0.2">
      <c r="A65" t="b">
        <f>OR(LEN(INDEX(SEC_LAST_PORTFAC,1,1))=4,LEN(INDEX(SEC_LAST_PORTFAC,1,1))=0)</f>
        <v>1</v>
      </c>
      <c r="B65" t="s">
        <v>33500</v>
      </c>
      <c r="D65" t="b">
        <f>OR(INDEX(WAS_ITE_REMAINING,9,1)="",COUNTIF(REF_LOCODES,INDEX(WAS_ITE_REMAINING,9,1))&lt;&gt;0)</f>
        <v>1</v>
      </c>
      <c r="E65" t="s">
        <v>35224</v>
      </c>
      <c r="F65" t="s">
        <v>33308</v>
      </c>
      <c r="G65" t="b">
        <f>IF(OR(INDEX(IHZ_HAZ_CONSIGNMENT,58,1)="",AND(INDEX(IHZ_HAZ_DPGREF,58,1)&lt;&gt;"",INDEX(IHZ_HAZ_CONSIGNMENT,58,1)=INDEX(IHZ_HAZ_CONSIGNMENT,57,1),INDEX(IHZ_HAZ_DPGREF,58,1)=INDEX(IHZ_HAZ_DPGREF,57,1))),TRUE,AND(INDEX(IHZ_HAZ_DGCLASSIFI,58,1)&lt;&gt;"",INDEX(IHZ_HAZ_TEXTUALREF,58,1)&lt;&gt;"",INDEX(IHZ_HAZ_TOTAMOUNT,58,1)&lt;&gt;""))</f>
        <v>1</v>
      </c>
      <c r="H65" t="str">
        <f t="shared" si="0"/>
        <v>Row 58 - All mandatory fields must be given</v>
      </c>
      <c r="I65" t="s">
        <v>33308</v>
      </c>
      <c r="J65" t="b">
        <f>IF(OR(INDEX(OHZ_HAZ_CONSIGNMENT,58,1)="",AND(INDEX(OHZ_HAZ_DPGREF,58,1)&lt;&gt;"",INDEX(OHZ_HAZ_CONSIGNMENT,58,1)=INDEX(OHZ_HAZ_CONSIGNMENT,57,1),INDEX(OHZ_HAZ_DPGREF,58,1)=INDEX(OHZ_HAZ_DPGREF,57,1))),TRUE,AND(INDEX(OHZ_HAZ_DGCLASSIFI,58,1)&lt;&gt;"",INDEX(OHZ_HAZ_TEXTUALREF,58,1)&lt;&gt;"",INDEX(OHZ_HAZ_TOTAMOUNT,58,1)&lt;&gt;""))</f>
        <v>1</v>
      </c>
      <c r="K65" t="str">
        <f t="shared" si="1"/>
        <v>Row 58 - All mandatory fields must be given</v>
      </c>
      <c r="L65" t="s">
        <v>33308</v>
      </c>
      <c r="T65" t="s">
        <v>33576</v>
      </c>
    </row>
    <row r="66" spans="1:20" x14ac:dyDescent="0.2">
      <c r="A66" t="b">
        <f>OR(LEN(INDEX(SEC_LAST_PORTFAC,2,1))=4,LEN(INDEX(SEC_LAST_PORTFAC,2,1))=0)</f>
        <v>1</v>
      </c>
      <c r="B66" t="s">
        <v>33501</v>
      </c>
      <c r="D66" t="b">
        <f>OR(INDEX(WAS_ITE_REMAINING,10,1)="",COUNTIF(REF_LOCODES,INDEX(WAS_ITE_REMAINING,10,1))&lt;&gt;0)</f>
        <v>1</v>
      </c>
      <c r="E66" t="s">
        <v>35061</v>
      </c>
      <c r="F66" t="s">
        <v>33308</v>
      </c>
      <c r="G66" t="b">
        <f>IF(OR(INDEX(IHZ_HAZ_CONSIGNMENT,59,1)="",AND(INDEX(IHZ_HAZ_DPGREF,59,1)&lt;&gt;"",INDEX(IHZ_HAZ_CONSIGNMENT,59,1)=INDEX(IHZ_HAZ_CONSIGNMENT,58,1),INDEX(IHZ_HAZ_DPGREF,59,1)=INDEX(IHZ_HAZ_DPGREF,58,1))),TRUE,AND(INDEX(IHZ_HAZ_DGCLASSIFI,59,1)&lt;&gt;"",INDEX(IHZ_HAZ_TEXTUALREF,59,1)&lt;&gt;"",INDEX(IHZ_HAZ_TOTAMOUNT,59,1)&lt;&gt;""))</f>
        <v>1</v>
      </c>
      <c r="H66" t="str">
        <f t="shared" si="0"/>
        <v>Row 59 - All mandatory fields must be given</v>
      </c>
      <c r="I66" t="s">
        <v>33308</v>
      </c>
      <c r="J66" t="b">
        <f>IF(OR(INDEX(OHZ_HAZ_CONSIGNMENT,59,1)="",AND(INDEX(OHZ_HAZ_DPGREF,59,1)&lt;&gt;"",INDEX(OHZ_HAZ_CONSIGNMENT,59,1)=INDEX(OHZ_HAZ_CONSIGNMENT,58,1),INDEX(OHZ_HAZ_DPGREF,59,1)=INDEX(OHZ_HAZ_DPGREF,58,1))),TRUE,AND(INDEX(OHZ_HAZ_DGCLASSIFI,59,1)&lt;&gt;"",INDEX(OHZ_HAZ_TEXTUALREF,59,1)&lt;&gt;"",INDEX(OHZ_HAZ_TOTAMOUNT,59,1)&lt;&gt;""))</f>
        <v>1</v>
      </c>
      <c r="K66" t="str">
        <f t="shared" si="1"/>
        <v>Row 59 - All mandatory fields must be given</v>
      </c>
      <c r="L66" t="s">
        <v>33308</v>
      </c>
      <c r="T66" t="s">
        <v>33577</v>
      </c>
    </row>
    <row r="67" spans="1:20" x14ac:dyDescent="0.2">
      <c r="A67" t="b">
        <f>OR(LEN(INDEX(SEC_LAST_PORTFAC,3,1))=4,LEN(INDEX(SEC_LAST_PORTFAC,3,1))=0)</f>
        <v>1</v>
      </c>
      <c r="B67" t="s">
        <v>33502</v>
      </c>
      <c r="D67" t="b">
        <f>OR(INDEX(WAS_ITE_REMAINING,11,1)="",COUNTIF(REF_LOCODES,INDEX(WAS_ITE_REMAINING,11,1))&lt;&gt;0)</f>
        <v>1</v>
      </c>
      <c r="E67" t="s">
        <v>35062</v>
      </c>
      <c r="F67" t="s">
        <v>33308</v>
      </c>
      <c r="G67" t="b">
        <f>IF(OR(INDEX(IHZ_HAZ_CONSIGNMENT,60,1)="",AND(INDEX(IHZ_HAZ_DPGREF,60,1)&lt;&gt;"",INDEX(IHZ_HAZ_CONSIGNMENT,60,1)=INDEX(IHZ_HAZ_CONSIGNMENT,59,1),INDEX(IHZ_HAZ_DPGREF,60,1)=INDEX(IHZ_HAZ_DPGREF,59,1))),TRUE,AND(INDEX(IHZ_HAZ_DGCLASSIFI,60,1)&lt;&gt;"",INDEX(IHZ_HAZ_TEXTUALREF,60,1)&lt;&gt;"",INDEX(IHZ_HAZ_TOTAMOUNT,60,1)&lt;&gt;""))</f>
        <v>1</v>
      </c>
      <c r="H67" t="str">
        <f t="shared" si="0"/>
        <v>Row 60 - All mandatory fields must be given</v>
      </c>
      <c r="I67" t="s">
        <v>33308</v>
      </c>
      <c r="J67" t="b">
        <f>IF(OR(INDEX(OHZ_HAZ_CONSIGNMENT,60,1)="",AND(INDEX(OHZ_HAZ_DPGREF,60,1)&lt;&gt;"",INDEX(OHZ_HAZ_CONSIGNMENT,60,1)=INDEX(OHZ_HAZ_CONSIGNMENT,59,1),INDEX(OHZ_HAZ_DPGREF,60,1)=INDEX(OHZ_HAZ_DPGREF,59,1))),TRUE,AND(INDEX(OHZ_HAZ_DGCLASSIFI,60,1)&lt;&gt;"",INDEX(OHZ_HAZ_TEXTUALREF,60,1)&lt;&gt;"",INDEX(OHZ_HAZ_TOTAMOUNT,60,1)&lt;&gt;""))</f>
        <v>1</v>
      </c>
      <c r="K67" t="str">
        <f t="shared" si="1"/>
        <v>Row 60 - All mandatory fields must be given</v>
      </c>
      <c r="L67" t="s">
        <v>33308</v>
      </c>
      <c r="T67" t="s">
        <v>33578</v>
      </c>
    </row>
    <row r="68" spans="1:20" x14ac:dyDescent="0.2">
      <c r="A68" t="b">
        <f>OR(LEN(INDEX(SEC_LAST_PORTFAC,4,1))=4,LEN(INDEX(SEC_LAST_PORTFAC,4,1))=0)</f>
        <v>1</v>
      </c>
      <c r="B68" t="s">
        <v>33503</v>
      </c>
      <c r="D68" t="b">
        <f>OR(INDEX(WAS_ITE_REMAINING,12,1)="",COUNTIF(REF_LOCODES,INDEX(WAS_ITE_REMAINING,12,1))&lt;&gt;0)</f>
        <v>1</v>
      </c>
      <c r="E68" t="s">
        <v>35063</v>
      </c>
      <c r="F68" t="s">
        <v>33308</v>
      </c>
      <c r="G68" t="b">
        <f>IF(OR(INDEX(IHZ_HAZ_CONSIGNMENT,61,1)="",AND(INDEX(IHZ_HAZ_DPGREF,61,1)&lt;&gt;"",INDEX(IHZ_HAZ_CONSIGNMENT,61,1)=INDEX(IHZ_HAZ_CONSIGNMENT,60,1),INDEX(IHZ_HAZ_DPGREF,61,1)=INDEX(IHZ_HAZ_DPGREF,60,1))),TRUE,AND(INDEX(IHZ_HAZ_DGCLASSIFI,61,1)&lt;&gt;"",INDEX(IHZ_HAZ_TEXTUALREF,61,1)&lt;&gt;"",INDEX(IHZ_HAZ_TOTAMOUNT,61,1)&lt;&gt;""))</f>
        <v>1</v>
      </c>
      <c r="H68" t="str">
        <f t="shared" si="0"/>
        <v>Row 61 - All mandatory fields must be given</v>
      </c>
      <c r="I68" t="s">
        <v>33308</v>
      </c>
      <c r="J68" t="b">
        <f>IF(OR(INDEX(OHZ_HAZ_CONSIGNMENT,61,1)="",AND(INDEX(OHZ_HAZ_DPGREF,61,1)&lt;&gt;"",INDEX(OHZ_HAZ_CONSIGNMENT,61,1)=INDEX(OHZ_HAZ_CONSIGNMENT,60,1),INDEX(OHZ_HAZ_DPGREF,61,1)=INDEX(OHZ_HAZ_DPGREF,60,1))),TRUE,AND(INDEX(OHZ_HAZ_DGCLASSIFI,61,1)&lt;&gt;"",INDEX(OHZ_HAZ_TEXTUALREF,61,1)&lt;&gt;"",INDEX(OHZ_HAZ_TOTAMOUNT,61,1)&lt;&gt;""))</f>
        <v>1</v>
      </c>
      <c r="K68" t="str">
        <f t="shared" si="1"/>
        <v>Row 61 - All mandatory fields must be given</v>
      </c>
      <c r="L68" t="s">
        <v>33308</v>
      </c>
      <c r="T68" t="s">
        <v>33579</v>
      </c>
    </row>
    <row r="69" spans="1:20" x14ac:dyDescent="0.2">
      <c r="A69" t="b">
        <f>OR(LEN(INDEX(SEC_LAST_PORTFAC,5,1))=4,LEN(INDEX(SEC_LAST_PORTFAC,5,1))=0)</f>
        <v>1</v>
      </c>
      <c r="B69" t="s">
        <v>33504</v>
      </c>
      <c r="D69" t="b">
        <f>OR(INDEX(WAS_ITE_REMAINING,13,1)="",COUNTIF(REF_LOCODES,INDEX(WAS_ITE_REMAINING,13,1))&lt;&gt;0)</f>
        <v>1</v>
      </c>
      <c r="E69" t="s">
        <v>35064</v>
      </c>
      <c r="F69" t="s">
        <v>33308</v>
      </c>
      <c r="G69" t="b">
        <f>IF(OR(INDEX(IHZ_HAZ_CONSIGNMENT,62,1)="",AND(INDEX(IHZ_HAZ_DPGREF,62,1)&lt;&gt;"",INDEX(IHZ_HAZ_CONSIGNMENT,62,1)=INDEX(IHZ_HAZ_CONSIGNMENT,61,1),INDEX(IHZ_HAZ_DPGREF,62,1)=INDEX(IHZ_HAZ_DPGREF,61,1))),TRUE,AND(INDEX(IHZ_HAZ_DGCLASSIFI,62,1)&lt;&gt;"",INDEX(IHZ_HAZ_TEXTUALREF,62,1)&lt;&gt;"",INDEX(IHZ_HAZ_TOTAMOUNT,62,1)&lt;&gt;""))</f>
        <v>1</v>
      </c>
      <c r="H69" t="str">
        <f t="shared" si="0"/>
        <v>Row 62 - All mandatory fields must be given</v>
      </c>
      <c r="I69" t="s">
        <v>33308</v>
      </c>
      <c r="J69" t="b">
        <f>IF(OR(INDEX(OHZ_HAZ_CONSIGNMENT,62,1)="",AND(INDEX(OHZ_HAZ_DPGREF,62,1)&lt;&gt;"",INDEX(OHZ_HAZ_CONSIGNMENT,62,1)=INDEX(OHZ_HAZ_CONSIGNMENT,61,1),INDEX(OHZ_HAZ_DPGREF,62,1)=INDEX(OHZ_HAZ_DPGREF,61,1))),TRUE,AND(INDEX(OHZ_HAZ_DGCLASSIFI,62,1)&lt;&gt;"",INDEX(OHZ_HAZ_TEXTUALREF,62,1)&lt;&gt;"",INDEX(OHZ_HAZ_TOTAMOUNT,62,1)&lt;&gt;""))</f>
        <v>1</v>
      </c>
      <c r="K69" t="str">
        <f t="shared" si="1"/>
        <v>Row 62 - All mandatory fields must be given</v>
      </c>
      <c r="L69" t="s">
        <v>33308</v>
      </c>
      <c r="T69" t="s">
        <v>33580</v>
      </c>
    </row>
    <row r="70" spans="1:20" x14ac:dyDescent="0.2">
      <c r="A70" t="b">
        <f>OR(LEN(INDEX(SEC_LAST_PORTFAC,6,1))=4,LEN(INDEX(SEC_LAST_PORTFAC,6,1))=0)</f>
        <v>1</v>
      </c>
      <c r="B70" t="s">
        <v>33505</v>
      </c>
      <c r="D70" t="b">
        <f>OR(INDEX(WAS_ITE_REMAINING,14,1)="",COUNTIF(REF_LOCODES,INDEX(WAS_ITE_REMAINING,14,1))&lt;&gt;0)</f>
        <v>1</v>
      </c>
      <c r="E70" t="s">
        <v>35065</v>
      </c>
      <c r="F70" t="s">
        <v>33308</v>
      </c>
      <c r="G70" t="b">
        <f>IF(OR(INDEX(IHZ_HAZ_CONSIGNMENT,63,1)="",AND(INDEX(IHZ_HAZ_DPGREF,63,1)&lt;&gt;"",INDEX(IHZ_HAZ_CONSIGNMENT,63,1)=INDEX(IHZ_HAZ_CONSIGNMENT,62,1),INDEX(IHZ_HAZ_DPGREF,63,1)=INDEX(IHZ_HAZ_DPGREF,62,1))),TRUE,AND(INDEX(IHZ_HAZ_DGCLASSIFI,63,1)&lt;&gt;"",INDEX(IHZ_HAZ_TEXTUALREF,63,1)&lt;&gt;"",INDEX(IHZ_HAZ_TOTAMOUNT,63,1)&lt;&gt;""))</f>
        <v>1</v>
      </c>
      <c r="H70" t="str">
        <f t="shared" si="0"/>
        <v>Row 63 - All mandatory fields must be given</v>
      </c>
      <c r="I70" t="s">
        <v>33308</v>
      </c>
      <c r="J70" t="b">
        <f>IF(OR(INDEX(OHZ_HAZ_CONSIGNMENT,63,1)="",AND(INDEX(OHZ_HAZ_DPGREF,63,1)&lt;&gt;"",INDEX(OHZ_HAZ_CONSIGNMENT,63,1)=INDEX(OHZ_HAZ_CONSIGNMENT,62,1),INDEX(OHZ_HAZ_DPGREF,63,1)=INDEX(OHZ_HAZ_DPGREF,62,1))),TRUE,AND(INDEX(OHZ_HAZ_DGCLASSIFI,63,1)&lt;&gt;"",INDEX(OHZ_HAZ_TEXTUALREF,63,1)&lt;&gt;"",INDEX(OHZ_HAZ_TOTAMOUNT,63,1)&lt;&gt;""))</f>
        <v>1</v>
      </c>
      <c r="K70" t="str">
        <f t="shared" si="1"/>
        <v>Row 63 - All mandatory fields must be given</v>
      </c>
      <c r="L70" t="s">
        <v>33308</v>
      </c>
      <c r="T70" t="s">
        <v>33581</v>
      </c>
    </row>
    <row r="71" spans="1:20" x14ac:dyDescent="0.2">
      <c r="A71" t="b">
        <f>OR(LEN(INDEX(SEC_LAST_PORTFAC,7,1))=4,LEN(INDEX(SEC_LAST_PORTFAC,7,1))=0)</f>
        <v>1</v>
      </c>
      <c r="B71" t="s">
        <v>33506</v>
      </c>
      <c r="D71" t="b">
        <f>OR(INDEX(WAS_ITE_REMAINING,15,1)="",COUNTIF(REF_LOCODES,INDEX(WAS_ITE_REMAINING,15,1))&lt;&gt;0)</f>
        <v>1</v>
      </c>
      <c r="E71" t="s">
        <v>35066</v>
      </c>
      <c r="F71" t="s">
        <v>33308</v>
      </c>
      <c r="G71" t="b">
        <f>IF(OR(INDEX(IHZ_HAZ_CONSIGNMENT,64,1)="",AND(INDEX(IHZ_HAZ_DPGREF,64,1)&lt;&gt;"",INDEX(IHZ_HAZ_CONSIGNMENT,64,1)=INDEX(IHZ_HAZ_CONSIGNMENT,63,1),INDEX(IHZ_HAZ_DPGREF,64,1)=INDEX(IHZ_HAZ_DPGREF,63,1))),TRUE,AND(INDEX(IHZ_HAZ_DGCLASSIFI,64,1)&lt;&gt;"",INDEX(IHZ_HAZ_TEXTUALREF,64,1)&lt;&gt;"",INDEX(IHZ_HAZ_TOTAMOUNT,64,1)&lt;&gt;""))</f>
        <v>1</v>
      </c>
      <c r="H71" t="str">
        <f t="shared" si="0"/>
        <v>Row 64 - All mandatory fields must be given</v>
      </c>
      <c r="I71" t="s">
        <v>33308</v>
      </c>
      <c r="J71" t="b">
        <f>IF(OR(INDEX(OHZ_HAZ_CONSIGNMENT,64,1)="",AND(INDEX(OHZ_HAZ_DPGREF,64,1)&lt;&gt;"",INDEX(OHZ_HAZ_CONSIGNMENT,64,1)=INDEX(OHZ_HAZ_CONSIGNMENT,63,1),INDEX(OHZ_HAZ_DPGREF,64,1)=INDEX(OHZ_HAZ_DPGREF,63,1))),TRUE,AND(INDEX(OHZ_HAZ_DGCLASSIFI,64,1)&lt;&gt;"",INDEX(OHZ_HAZ_TEXTUALREF,64,1)&lt;&gt;"",INDEX(OHZ_HAZ_TOTAMOUNT,64,1)&lt;&gt;""))</f>
        <v>1</v>
      </c>
      <c r="K71" t="str">
        <f t="shared" si="1"/>
        <v>Row 64 - All mandatory fields must be given</v>
      </c>
      <c r="L71" t="s">
        <v>33308</v>
      </c>
      <c r="T71" t="s">
        <v>33582</v>
      </c>
    </row>
    <row r="72" spans="1:20" x14ac:dyDescent="0.2">
      <c r="A72" t="b">
        <f>OR(LEN(INDEX(SEC_LAST_PORTFAC,8,1))=4,LEN(INDEX(SEC_LAST_PORTFAC,8,1))=0)</f>
        <v>1</v>
      </c>
      <c r="B72" t="s">
        <v>33507</v>
      </c>
      <c r="D72" t="b">
        <f>OR(INDEX(WAS_ITE_REMAINING,16,1)="",COUNTIF(REF_LOCODES,INDEX(WAS_ITE_REMAINING,16,1))&lt;&gt;0)</f>
        <v>1</v>
      </c>
      <c r="E72" t="s">
        <v>35067</v>
      </c>
      <c r="F72" t="s">
        <v>33308</v>
      </c>
      <c r="G72" t="b">
        <f>IF(OR(INDEX(IHZ_HAZ_CONSIGNMENT,65,1)="",AND(INDEX(IHZ_HAZ_DPGREF,65,1)&lt;&gt;"",INDEX(IHZ_HAZ_CONSIGNMENT,65,1)=INDEX(IHZ_HAZ_CONSIGNMENT,64,1),INDEX(IHZ_HAZ_DPGREF,65,1)=INDEX(IHZ_HAZ_DPGREF,64,1))),TRUE,AND(INDEX(IHZ_HAZ_DGCLASSIFI,65,1)&lt;&gt;"",INDEX(IHZ_HAZ_TEXTUALREF,65,1)&lt;&gt;"",INDEX(IHZ_HAZ_TOTAMOUNT,65,1)&lt;&gt;""))</f>
        <v>1</v>
      </c>
      <c r="H72" t="str">
        <f t="shared" si="0"/>
        <v>Row 65 - All mandatory fields must be given</v>
      </c>
      <c r="I72" t="s">
        <v>33308</v>
      </c>
      <c r="J72" t="b">
        <f>IF(OR(INDEX(OHZ_HAZ_CONSIGNMENT,65,1)="",AND(INDEX(OHZ_HAZ_DPGREF,65,1)&lt;&gt;"",INDEX(OHZ_HAZ_CONSIGNMENT,65,1)=INDEX(OHZ_HAZ_CONSIGNMENT,64,1),INDEX(OHZ_HAZ_DPGREF,65,1)=INDEX(OHZ_HAZ_DPGREF,64,1))),TRUE,AND(INDEX(OHZ_HAZ_DGCLASSIFI,65,1)&lt;&gt;"",INDEX(OHZ_HAZ_TEXTUALREF,65,1)&lt;&gt;"",INDEX(OHZ_HAZ_TOTAMOUNT,65,1)&lt;&gt;""))</f>
        <v>1</v>
      </c>
      <c r="K72" t="str">
        <f t="shared" si="1"/>
        <v>Row 65 - All mandatory fields must be given</v>
      </c>
      <c r="L72" t="s">
        <v>33308</v>
      </c>
      <c r="T72" t="s">
        <v>33583</v>
      </c>
    </row>
    <row r="73" spans="1:20" x14ac:dyDescent="0.2">
      <c r="A73" t="b">
        <f>OR(LEN(INDEX(SEC_LAST_PORTFAC,9,1))=4,LEN(INDEX(SEC_LAST_PORTFAC,9,1))=0)</f>
        <v>1</v>
      </c>
      <c r="B73" t="s">
        <v>33508</v>
      </c>
      <c r="D73" t="b">
        <f>OR(INDEX(WAS_ITE_REMAINING,17,1)="",COUNTIF(REF_LOCODES,INDEX(WAS_ITE_REMAINING,17,1))&lt;&gt;0)</f>
        <v>1</v>
      </c>
      <c r="E73" t="s">
        <v>35068</v>
      </c>
      <c r="F73" t="s">
        <v>33308</v>
      </c>
      <c r="G73" t="b">
        <f>IF(OR(INDEX(IHZ_HAZ_CONSIGNMENT,66,1)="",AND(INDEX(IHZ_HAZ_DPGREF,66,1)&lt;&gt;"",INDEX(IHZ_HAZ_CONSIGNMENT,66,1)=INDEX(IHZ_HAZ_CONSIGNMENT,65,1),INDEX(IHZ_HAZ_DPGREF,66,1)=INDEX(IHZ_HAZ_DPGREF,65,1))),TRUE,AND(INDEX(IHZ_HAZ_DGCLASSIFI,66,1)&lt;&gt;"",INDEX(IHZ_HAZ_TEXTUALREF,66,1)&lt;&gt;"",INDEX(IHZ_HAZ_TOTAMOUNT,66,1)&lt;&gt;""))</f>
        <v>1</v>
      </c>
      <c r="H73" t="str">
        <f t="shared" ref="H73:H136" si="2">T66&amp;$V$1</f>
        <v>Row 66 - All mandatory fields must be given</v>
      </c>
      <c r="I73" t="s">
        <v>33308</v>
      </c>
      <c r="J73" t="b">
        <f>IF(OR(INDEX(OHZ_HAZ_CONSIGNMENT,66,1)="",AND(INDEX(OHZ_HAZ_DPGREF,66,1)&lt;&gt;"",INDEX(OHZ_HAZ_CONSIGNMENT,66,1)=INDEX(OHZ_HAZ_CONSIGNMENT,65,1),INDEX(OHZ_HAZ_DPGREF,66,1)=INDEX(OHZ_HAZ_DPGREF,65,1))),TRUE,AND(INDEX(OHZ_HAZ_DGCLASSIFI,66,1)&lt;&gt;"",INDEX(OHZ_HAZ_TEXTUALREF,66,1)&lt;&gt;"",INDEX(OHZ_HAZ_TOTAMOUNT,66,1)&lt;&gt;""))</f>
        <v>1</v>
      </c>
      <c r="K73" t="str">
        <f t="shared" ref="K73:K136" si="3">T66&amp;$V$1</f>
        <v>Row 66 - All mandatory fields must be given</v>
      </c>
      <c r="L73" t="s">
        <v>33308</v>
      </c>
      <c r="T73" t="s">
        <v>33584</v>
      </c>
    </row>
    <row r="74" spans="1:20" x14ac:dyDescent="0.2">
      <c r="A74" t="b">
        <f>OR(LEN(INDEX(SEC_LAST_PORTFAC,10,1))=4,LEN(INDEX(SEC_LAST_PORTFAC,10,1))=0)</f>
        <v>1</v>
      </c>
      <c r="B74" t="s">
        <v>33509</v>
      </c>
      <c r="D74" t="b">
        <f>OR(INDEX(WAS_ITE_REMAINING,18,1)="",COUNTIF(REF_LOCODES,INDEX(WAS_ITE_REMAINING,18,1))&lt;&gt;0)</f>
        <v>1</v>
      </c>
      <c r="E74" t="s">
        <v>35069</v>
      </c>
      <c r="F74" t="s">
        <v>33308</v>
      </c>
      <c r="G74" t="b">
        <f>IF(OR(INDEX(IHZ_HAZ_CONSIGNMENT,67,1)="",AND(INDEX(IHZ_HAZ_DPGREF,67,1)&lt;&gt;"",INDEX(IHZ_HAZ_CONSIGNMENT,67,1)=INDEX(IHZ_HAZ_CONSIGNMENT,66,1),INDEX(IHZ_HAZ_DPGREF,67,1)=INDEX(IHZ_HAZ_DPGREF,66,1))),TRUE,AND(INDEX(IHZ_HAZ_DGCLASSIFI,67,1)&lt;&gt;"",INDEX(IHZ_HAZ_TEXTUALREF,67,1)&lt;&gt;"",INDEX(IHZ_HAZ_TOTAMOUNT,67,1)&lt;&gt;""))</f>
        <v>1</v>
      </c>
      <c r="H74" t="str">
        <f t="shared" si="2"/>
        <v>Row 67 - All mandatory fields must be given</v>
      </c>
      <c r="I74" t="s">
        <v>33308</v>
      </c>
      <c r="J74" t="b">
        <f>IF(OR(INDEX(OHZ_HAZ_CONSIGNMENT,67,1)="",AND(INDEX(OHZ_HAZ_DPGREF,67,1)&lt;&gt;"",INDEX(OHZ_HAZ_CONSIGNMENT,67,1)=INDEX(OHZ_HAZ_CONSIGNMENT,66,1),INDEX(OHZ_HAZ_DPGREF,67,1)=INDEX(OHZ_HAZ_DPGREF,66,1))),TRUE,AND(INDEX(OHZ_HAZ_DGCLASSIFI,67,1)&lt;&gt;"",INDEX(OHZ_HAZ_TEXTUALREF,67,1)&lt;&gt;"",INDEX(OHZ_HAZ_TOTAMOUNT,67,1)&lt;&gt;""))</f>
        <v>1</v>
      </c>
      <c r="K74" t="str">
        <f t="shared" si="3"/>
        <v>Row 67 - All mandatory fields must be given</v>
      </c>
      <c r="L74" t="s">
        <v>33308</v>
      </c>
      <c r="T74" t="s">
        <v>33585</v>
      </c>
    </row>
    <row r="75" spans="1:20" x14ac:dyDescent="0.2">
      <c r="A75" t="b">
        <f>OR(INDEX(SEC_LAST_SECLEVEL,1,1)="",COUNTIF(REF_SECURITYLEVELS_OPTIONS,INDEX(SEC_LAST_SECLEVEL,1,1))=1)</f>
        <v>1</v>
      </c>
      <c r="B75" t="s">
        <v>35100</v>
      </c>
      <c r="D75" t="b">
        <f>OR(INDEX(WAS_ITE_REMAINING,19,1)="",COUNTIF(REF_LOCODES,INDEX(WAS_ITE_REMAINING,19,1))&lt;&gt;0)</f>
        <v>1</v>
      </c>
      <c r="E75" t="s">
        <v>35070</v>
      </c>
      <c r="F75" t="s">
        <v>33308</v>
      </c>
      <c r="G75" t="b">
        <f>IF(OR(INDEX(IHZ_HAZ_CONSIGNMENT,68,1)="",AND(INDEX(IHZ_HAZ_DPGREF,68,1)&lt;&gt;"",INDEX(IHZ_HAZ_CONSIGNMENT,68,1)=INDEX(IHZ_HAZ_CONSIGNMENT,67,1),INDEX(IHZ_HAZ_DPGREF,68,1)=INDEX(IHZ_HAZ_DPGREF,67,1))),TRUE,AND(INDEX(IHZ_HAZ_DGCLASSIFI,68,1)&lt;&gt;"",INDEX(IHZ_HAZ_TEXTUALREF,68,1)&lt;&gt;"",INDEX(IHZ_HAZ_TOTAMOUNT,68,1)&lt;&gt;""))</f>
        <v>1</v>
      </c>
      <c r="H75" t="str">
        <f t="shared" si="2"/>
        <v>Row 68 - All mandatory fields must be given</v>
      </c>
      <c r="I75" t="s">
        <v>33308</v>
      </c>
      <c r="J75" t="b">
        <f>IF(OR(INDEX(OHZ_HAZ_CONSIGNMENT,68,1)="",AND(INDEX(OHZ_HAZ_DPGREF,68,1)&lt;&gt;"",INDEX(OHZ_HAZ_CONSIGNMENT,68,1)=INDEX(OHZ_HAZ_CONSIGNMENT,67,1),INDEX(OHZ_HAZ_DPGREF,68,1)=INDEX(OHZ_HAZ_DPGREF,67,1))),TRUE,AND(INDEX(OHZ_HAZ_DGCLASSIFI,68,1)&lt;&gt;"",INDEX(OHZ_HAZ_TEXTUALREF,68,1)&lt;&gt;"",INDEX(OHZ_HAZ_TOTAMOUNT,68,1)&lt;&gt;""))</f>
        <v>1</v>
      </c>
      <c r="K75" t="str">
        <f t="shared" si="3"/>
        <v>Row 68 - All mandatory fields must be given</v>
      </c>
      <c r="L75" t="s">
        <v>33308</v>
      </c>
      <c r="T75" t="s">
        <v>33586</v>
      </c>
    </row>
    <row r="76" spans="1:20" x14ac:dyDescent="0.2">
      <c r="A76" t="b">
        <f>OR(INDEX(SEC_LAST_MEASURESYORN,1,1)="None",INDEX(SEC_LAST_MEASURESYORN,1,1)="Yes")</f>
        <v>1</v>
      </c>
      <c r="B76" t="s">
        <v>35099</v>
      </c>
      <c r="D76" t="b">
        <f>OR(INDEX(WAS_ITE_REMAINING,20,1)="",COUNTIF(REF_LOCODES,INDEX(WAS_ITE_REMAINING,20,1))&lt;&gt;0)</f>
        <v>1</v>
      </c>
      <c r="E76" t="s">
        <v>35071</v>
      </c>
      <c r="F76" t="s">
        <v>33308</v>
      </c>
      <c r="G76" t="b">
        <f>IF(OR(INDEX(IHZ_HAZ_CONSIGNMENT,69,1)="",AND(INDEX(IHZ_HAZ_DPGREF,69,1)&lt;&gt;"",INDEX(IHZ_HAZ_CONSIGNMENT,69,1)=INDEX(IHZ_HAZ_CONSIGNMENT,68,1),INDEX(IHZ_HAZ_DPGREF,69,1)=INDEX(IHZ_HAZ_DPGREF,68,1))),TRUE,AND(INDEX(IHZ_HAZ_DGCLASSIFI,69,1)&lt;&gt;"",INDEX(IHZ_HAZ_TEXTUALREF,69,1)&lt;&gt;"",INDEX(IHZ_HAZ_TOTAMOUNT,69,1)&lt;&gt;""))</f>
        <v>1</v>
      </c>
      <c r="H76" t="str">
        <f t="shared" si="2"/>
        <v>Row 69 - All mandatory fields must be given</v>
      </c>
      <c r="I76" t="s">
        <v>33308</v>
      </c>
      <c r="J76" t="b">
        <f>IF(OR(INDEX(OHZ_HAZ_CONSIGNMENT,69,1)="",AND(INDEX(OHZ_HAZ_DPGREF,69,1)&lt;&gt;"",INDEX(OHZ_HAZ_CONSIGNMENT,69,1)=INDEX(OHZ_HAZ_CONSIGNMENT,68,1),INDEX(OHZ_HAZ_DPGREF,69,1)=INDEX(OHZ_HAZ_DPGREF,68,1))),TRUE,AND(INDEX(OHZ_HAZ_DGCLASSIFI,69,1)&lt;&gt;"",INDEX(OHZ_HAZ_TEXTUALREF,69,1)&lt;&gt;"",INDEX(OHZ_HAZ_TOTAMOUNT,69,1)&lt;&gt;""))</f>
        <v>1</v>
      </c>
      <c r="K76" t="str">
        <f t="shared" si="3"/>
        <v>Row 69 - All mandatory fields must be given</v>
      </c>
      <c r="L76" t="s">
        <v>33308</v>
      </c>
      <c r="T76" t="s">
        <v>33587</v>
      </c>
    </row>
    <row r="77" spans="1:20" x14ac:dyDescent="0.2">
      <c r="A77" t="b">
        <f>SUMPRODUCT(--(LEN(SEC_LAST_SECMEASURE))&gt;256)=0</f>
        <v>1</v>
      </c>
      <c r="B77" t="s">
        <v>35098</v>
      </c>
      <c r="D77" t="b">
        <f>OR(INDEX(WAS_ITE_REMAINING,21,1)="",COUNTIF(REF_LOCODES,INDEX(WAS_ITE_REMAINING,21,1))&lt;&gt;0)</f>
        <v>1</v>
      </c>
      <c r="E77" t="s">
        <v>35072</v>
      </c>
      <c r="F77" t="s">
        <v>33308</v>
      </c>
      <c r="G77" t="b">
        <f>IF(OR(INDEX(IHZ_HAZ_CONSIGNMENT,70,1)="",AND(INDEX(IHZ_HAZ_DPGREF,70,1)&lt;&gt;"",INDEX(IHZ_HAZ_CONSIGNMENT,70,1)=INDEX(IHZ_HAZ_CONSIGNMENT,69,1),INDEX(IHZ_HAZ_DPGREF,70,1)=INDEX(IHZ_HAZ_DPGREF,69,1))),TRUE,AND(INDEX(IHZ_HAZ_DGCLASSIFI,70,1)&lt;&gt;"",INDEX(IHZ_HAZ_TEXTUALREF,70,1)&lt;&gt;"",INDEX(IHZ_HAZ_TOTAMOUNT,70,1)&lt;&gt;""))</f>
        <v>1</v>
      </c>
      <c r="H77" t="str">
        <f t="shared" si="2"/>
        <v>Row 70 - All mandatory fields must be given</v>
      </c>
      <c r="I77" t="s">
        <v>33308</v>
      </c>
      <c r="J77" t="b">
        <f>IF(OR(INDEX(OHZ_HAZ_CONSIGNMENT,70,1)="",AND(INDEX(OHZ_HAZ_DPGREF,70,1)&lt;&gt;"",INDEX(OHZ_HAZ_CONSIGNMENT,70,1)=INDEX(OHZ_HAZ_CONSIGNMENT,69,1),INDEX(OHZ_HAZ_DPGREF,70,1)=INDEX(OHZ_HAZ_DPGREF,69,1))),TRUE,AND(INDEX(OHZ_HAZ_DGCLASSIFI,70,1)&lt;&gt;"",INDEX(OHZ_HAZ_TEXTUALREF,70,1)&lt;&gt;"",INDEX(OHZ_HAZ_TOTAMOUNT,70,1)&lt;&gt;""))</f>
        <v>1</v>
      </c>
      <c r="K77" t="str">
        <f t="shared" si="3"/>
        <v>Row 70 - All mandatory fields must be given</v>
      </c>
      <c r="L77" t="s">
        <v>33308</v>
      </c>
      <c r="T77" t="s">
        <v>33588</v>
      </c>
    </row>
    <row r="78" spans="1:20" x14ac:dyDescent="0.2">
      <c r="D78" t="b">
        <f>OR(INDEX(WAS_ITE_REMAINING,22,1)="",COUNTIF(REF_LOCODES,INDEX(WAS_ITE_REMAINING,22,1))&lt;&gt;0)</f>
        <v>1</v>
      </c>
      <c r="E78" t="s">
        <v>35073</v>
      </c>
      <c r="F78" t="s">
        <v>33308</v>
      </c>
      <c r="G78" t="b">
        <f>IF(OR(INDEX(IHZ_HAZ_CONSIGNMENT,71,1)="",AND(INDEX(IHZ_HAZ_DPGREF,71,1)&lt;&gt;"",INDEX(IHZ_HAZ_CONSIGNMENT,71,1)=INDEX(IHZ_HAZ_CONSIGNMENT,70,1),INDEX(IHZ_HAZ_DPGREF,71,1)=INDEX(IHZ_HAZ_DPGREF,70,1))),TRUE,AND(INDEX(IHZ_HAZ_DGCLASSIFI,71,1)&lt;&gt;"",INDEX(IHZ_HAZ_TEXTUALREF,71,1)&lt;&gt;"",INDEX(IHZ_HAZ_TOTAMOUNT,71,1)&lt;&gt;""))</f>
        <v>1</v>
      </c>
      <c r="H78" t="str">
        <f t="shared" si="2"/>
        <v>Row 71 - All mandatory fields must be given</v>
      </c>
      <c r="I78" t="s">
        <v>33308</v>
      </c>
      <c r="J78" t="b">
        <f>IF(OR(INDEX(OHZ_HAZ_CONSIGNMENT,71,1)="",AND(INDEX(OHZ_HAZ_DPGREF,71,1)&lt;&gt;"",INDEX(OHZ_HAZ_CONSIGNMENT,71,1)=INDEX(OHZ_HAZ_CONSIGNMENT,70,1),INDEX(OHZ_HAZ_DPGREF,71,1)=INDEX(OHZ_HAZ_DPGREF,70,1))),TRUE,AND(INDEX(OHZ_HAZ_DGCLASSIFI,71,1)&lt;&gt;"",INDEX(OHZ_HAZ_TEXTUALREF,71,1)&lt;&gt;"",INDEX(OHZ_HAZ_TOTAMOUNT,71,1)&lt;&gt;""))</f>
        <v>1</v>
      </c>
      <c r="K78" t="str">
        <f t="shared" si="3"/>
        <v>Row 71 - All mandatory fields must be given</v>
      </c>
      <c r="L78" t="s">
        <v>33308</v>
      </c>
      <c r="T78" t="s">
        <v>33589</v>
      </c>
    </row>
    <row r="79" spans="1:20" x14ac:dyDescent="0.2">
      <c r="D79" t="b">
        <f>OR(INDEX(WAS_ITE_REMAINING,23,1)="",COUNTIF(REF_LOCODES,INDEX(WAS_ITE_REMAINING,23,1))&lt;&gt;0)</f>
        <v>1</v>
      </c>
      <c r="E79" t="s">
        <v>35073</v>
      </c>
      <c r="F79" t="s">
        <v>33308</v>
      </c>
      <c r="G79" t="b">
        <f>IF(OR(INDEX(IHZ_HAZ_CONSIGNMENT,72,1)="",AND(INDEX(IHZ_HAZ_DPGREF,72,1)&lt;&gt;"",INDEX(IHZ_HAZ_CONSIGNMENT,72,1)=INDEX(IHZ_HAZ_CONSIGNMENT,71,1),INDEX(IHZ_HAZ_DPGREF,72,1)=INDEX(IHZ_HAZ_DPGREF,71,1))),TRUE,AND(INDEX(IHZ_HAZ_DGCLASSIFI,72,1)&lt;&gt;"",INDEX(IHZ_HAZ_TEXTUALREF,72,1)&lt;&gt;"",INDEX(IHZ_HAZ_TOTAMOUNT,72,1)&lt;&gt;""))</f>
        <v>1</v>
      </c>
      <c r="H79" t="str">
        <f t="shared" si="2"/>
        <v>Row 72 - All mandatory fields must be given</v>
      </c>
      <c r="I79" t="s">
        <v>33308</v>
      </c>
      <c r="J79" t="b">
        <f>IF(OR(INDEX(OHZ_HAZ_CONSIGNMENT,72,1)="",AND(INDEX(OHZ_HAZ_DPGREF,72,1)&lt;&gt;"",INDEX(OHZ_HAZ_CONSIGNMENT,72,1)=INDEX(OHZ_HAZ_CONSIGNMENT,71,1),INDEX(OHZ_HAZ_DPGREF,72,1)=INDEX(OHZ_HAZ_DPGREF,71,1))),TRUE,AND(INDEX(OHZ_HAZ_DGCLASSIFI,72,1)&lt;&gt;"",INDEX(OHZ_HAZ_TEXTUALREF,72,1)&lt;&gt;"",INDEX(OHZ_HAZ_TOTAMOUNT,72,1)&lt;&gt;""))</f>
        <v>1</v>
      </c>
      <c r="K79" t="str">
        <f t="shared" si="3"/>
        <v>Row 72 - All mandatory fields must be given</v>
      </c>
      <c r="L79" t="s">
        <v>33308</v>
      </c>
      <c r="T79" t="s">
        <v>33590</v>
      </c>
    </row>
    <row r="80" spans="1:20" x14ac:dyDescent="0.2">
      <c r="A80" t="b">
        <f>OR(AND((INDEX(SEC_SHIP_LATITUDE,1,1)&gt;-54000001),(INDEX(SEC_SHIP_LATITUDE,1,1)&lt;54000001)), (INDEX(SEC_SHIP_LATITUDE,1,1)=54600000))</f>
        <v>1</v>
      </c>
      <c r="B80" t="s">
        <v>35097</v>
      </c>
      <c r="D80" t="b">
        <f>OR(INDEX(WAS_ITE_REMAINING,24,1)="",COUNTIF(REF_LOCODES,INDEX(WAS_ITE_REMAINING,24,1))&lt;&gt;0)</f>
        <v>1</v>
      </c>
      <c r="E80" s="35" t="s">
        <v>35223</v>
      </c>
      <c r="F80" t="s">
        <v>33308</v>
      </c>
      <c r="G80" t="b">
        <f>IF(OR(INDEX(IHZ_HAZ_CONSIGNMENT,73,1)="",AND(INDEX(IHZ_HAZ_DPGREF,73,1)&lt;&gt;"",INDEX(IHZ_HAZ_CONSIGNMENT,73,1)=INDEX(IHZ_HAZ_CONSIGNMENT,72,1),INDEX(IHZ_HAZ_DPGREF,73,1)=INDEX(IHZ_HAZ_DPGREF,72,1))),TRUE,AND(INDEX(IHZ_HAZ_DGCLASSIFI,73,1)&lt;&gt;"",INDEX(IHZ_HAZ_TEXTUALREF,73,1)&lt;&gt;"",INDEX(IHZ_HAZ_TOTAMOUNT,73,1)&lt;&gt;""))</f>
        <v>1</v>
      </c>
      <c r="H80" t="str">
        <f t="shared" si="2"/>
        <v>Row 73 - All mandatory fields must be given</v>
      </c>
      <c r="I80" t="s">
        <v>33308</v>
      </c>
      <c r="J80" t="b">
        <f>IF(OR(INDEX(OHZ_HAZ_CONSIGNMENT,73,1)="",AND(INDEX(OHZ_HAZ_DPGREF,73,1)&lt;&gt;"",INDEX(OHZ_HAZ_CONSIGNMENT,73,1)=INDEX(OHZ_HAZ_CONSIGNMENT,72,1),INDEX(OHZ_HAZ_DPGREF,73,1)=INDEX(OHZ_HAZ_DPGREF,72,1))),TRUE,AND(INDEX(OHZ_HAZ_DGCLASSIFI,73,1)&lt;&gt;"",INDEX(OHZ_HAZ_TEXTUALREF,73,1)&lt;&gt;"",INDEX(OHZ_HAZ_TOTAMOUNT,73,1)&lt;&gt;""))</f>
        <v>1</v>
      </c>
      <c r="K80" t="str">
        <f t="shared" si="3"/>
        <v>Row 73 - All mandatory fields must be given</v>
      </c>
      <c r="L80" t="s">
        <v>33308</v>
      </c>
      <c r="T80" t="s">
        <v>33591</v>
      </c>
    </row>
    <row r="81" spans="1:20" x14ac:dyDescent="0.2">
      <c r="A81" t="b">
        <f>OR(AND((INDEX(SEC_SHIP_LONGITUDE,1,1)&gt;-108000001),(INDEX(SEC_SHIP_LONGITUDE,1,1)&lt;108000001)), (INDEX(SEC_SHIP_LONGITUDE,1,1)=108600000))</f>
        <v>1</v>
      </c>
      <c r="B81" t="s">
        <v>35096</v>
      </c>
      <c r="D81" s="35" t="b">
        <v>1</v>
      </c>
      <c r="F81" t="s">
        <v>33308</v>
      </c>
      <c r="G81" t="b">
        <f>IF(OR(INDEX(IHZ_HAZ_CONSIGNMENT,74,1)="",AND(INDEX(IHZ_HAZ_DPGREF,74,1)&lt;&gt;"",INDEX(IHZ_HAZ_CONSIGNMENT,74,1)=INDEX(IHZ_HAZ_CONSIGNMENT,73,1),INDEX(IHZ_HAZ_DPGREF,74,1)=INDEX(IHZ_HAZ_DPGREF,73,1))),TRUE,AND(INDEX(IHZ_HAZ_DGCLASSIFI,74,1)&lt;&gt;"",INDEX(IHZ_HAZ_TEXTUALREF,74,1)&lt;&gt;"",INDEX(IHZ_HAZ_TOTAMOUNT,74,1)&lt;&gt;""))</f>
        <v>1</v>
      </c>
      <c r="H81" t="str">
        <f t="shared" si="2"/>
        <v>Row 74 - All mandatory fields must be given</v>
      </c>
      <c r="I81" t="s">
        <v>33308</v>
      </c>
      <c r="J81" t="b">
        <f>IF(OR(INDEX(OHZ_HAZ_CONSIGNMENT,74,1)="",AND(INDEX(OHZ_HAZ_DPGREF,74,1)&lt;&gt;"",INDEX(OHZ_HAZ_CONSIGNMENT,74,1)=INDEX(OHZ_HAZ_CONSIGNMENT,73,1),INDEX(OHZ_HAZ_DPGREF,74,1)=INDEX(OHZ_HAZ_DPGREF,73,1))),TRUE,AND(INDEX(OHZ_HAZ_DGCLASSIFI,74,1)&lt;&gt;"",INDEX(OHZ_HAZ_TEXTUALREF,74,1)&lt;&gt;"",INDEX(OHZ_HAZ_TOTAMOUNT,74,1)&lt;&gt;""))</f>
        <v>1</v>
      </c>
      <c r="K81" t="str">
        <f t="shared" si="3"/>
        <v>Row 74 - All mandatory fields must be given</v>
      </c>
      <c r="L81" t="s">
        <v>33308</v>
      </c>
      <c r="T81" t="s">
        <v>33592</v>
      </c>
    </row>
    <row r="82" spans="1:20" x14ac:dyDescent="0.2">
      <c r="A82" t="b">
        <f>SUMPRODUCT(--(LEN(SEC_SHIP_LOCATION))&gt;256)=0</f>
        <v>1</v>
      </c>
      <c r="B82" t="s">
        <v>35095</v>
      </c>
      <c r="D82" t="b">
        <f>OR(INDEX(WAS_ITE_REMAINING,26,1)="",COUNTIF(REF_LOCODES,INDEX(WAS_ITE_REMAINING,26,1))&lt;&gt;0)</f>
        <v>1</v>
      </c>
      <c r="E82" t="s">
        <v>35074</v>
      </c>
      <c r="F82" t="s">
        <v>33308</v>
      </c>
      <c r="G82" t="b">
        <f>IF(OR(INDEX(IHZ_HAZ_CONSIGNMENT,75,1)="",AND(INDEX(IHZ_HAZ_DPGREF,75,1)&lt;&gt;"",INDEX(IHZ_HAZ_CONSIGNMENT,75,1)=INDEX(IHZ_HAZ_CONSIGNMENT,74,1),INDEX(IHZ_HAZ_DPGREF,75,1)=INDEX(IHZ_HAZ_DPGREF,74,1))),TRUE,AND(INDEX(IHZ_HAZ_DGCLASSIFI,75,1)&lt;&gt;"",INDEX(IHZ_HAZ_TEXTUALREF,75,1)&lt;&gt;"",INDEX(IHZ_HAZ_TOTAMOUNT,75,1)&lt;&gt;""))</f>
        <v>1</v>
      </c>
      <c r="H82" t="str">
        <f t="shared" si="2"/>
        <v>Row 75 - All mandatory fields must be given</v>
      </c>
      <c r="I82" t="s">
        <v>33308</v>
      </c>
      <c r="J82" t="b">
        <f>IF(OR(INDEX(OHZ_HAZ_CONSIGNMENT,75,1)="",AND(INDEX(OHZ_HAZ_DPGREF,75,1)&lt;&gt;"",INDEX(OHZ_HAZ_CONSIGNMENT,75,1)=INDEX(OHZ_HAZ_CONSIGNMENT,74,1),INDEX(OHZ_HAZ_DPGREF,75,1)=INDEX(OHZ_HAZ_DPGREF,74,1))),TRUE,AND(INDEX(OHZ_HAZ_DGCLASSIFI,75,1)&lt;&gt;"",INDEX(OHZ_HAZ_TEXTUALREF,75,1)&lt;&gt;"",INDEX(OHZ_HAZ_TOTAMOUNT,75,1)&lt;&gt;""))</f>
        <v>1</v>
      </c>
      <c r="K82" t="str">
        <f t="shared" si="3"/>
        <v>Row 75 - All mandatory fields must be given</v>
      </c>
      <c r="L82" t="s">
        <v>33308</v>
      </c>
      <c r="T82" t="s">
        <v>33593</v>
      </c>
    </row>
    <row r="83" spans="1:20" x14ac:dyDescent="0.2">
      <c r="A83" t="b">
        <f>OR(INDEX(SEC_SHIP_ACTIVITY,1,1)="",COUNTIF(REF_ACTIVITY,INDEX(SEC_SHIP_ACTIVITY,1,1))=1)</f>
        <v>1</v>
      </c>
      <c r="B83" t="s">
        <v>35094</v>
      </c>
      <c r="D83" t="b">
        <f>OR(INDEX(WAS_ITE_REMAINING,27,1)="",COUNTIF(REF_LOCODES,INDEX(WAS_ITE_REMAINING,27,1))&lt;&gt;0)</f>
        <v>1</v>
      </c>
      <c r="E83" t="s">
        <v>35075</v>
      </c>
      <c r="F83" t="s">
        <v>33308</v>
      </c>
      <c r="G83" t="b">
        <f>IF(OR(INDEX(IHZ_HAZ_CONSIGNMENT,76,1)="",AND(INDEX(IHZ_HAZ_DPGREF,76,1)&lt;&gt;"",INDEX(IHZ_HAZ_CONSIGNMENT,76,1)=INDEX(IHZ_HAZ_CONSIGNMENT,75,1),INDEX(IHZ_HAZ_DPGREF,76,1)=INDEX(IHZ_HAZ_DPGREF,75,1))),TRUE,AND(INDEX(IHZ_HAZ_DGCLASSIFI,76,1)&lt;&gt;"",INDEX(IHZ_HAZ_TEXTUALREF,76,1)&lt;&gt;"",INDEX(IHZ_HAZ_TOTAMOUNT,76,1)&lt;&gt;""))</f>
        <v>1</v>
      </c>
      <c r="H83" t="str">
        <f t="shared" si="2"/>
        <v>Row 76 - All mandatory fields must be given</v>
      </c>
      <c r="I83" t="s">
        <v>33308</v>
      </c>
      <c r="J83" t="b">
        <f>IF(OR(INDEX(OHZ_HAZ_CONSIGNMENT,76,1)="",AND(INDEX(OHZ_HAZ_DPGREF,76,1)&lt;&gt;"",INDEX(OHZ_HAZ_CONSIGNMENT,76,1)=INDEX(OHZ_HAZ_CONSIGNMENT,75,1),INDEX(OHZ_HAZ_DPGREF,76,1)=INDEX(OHZ_HAZ_DPGREF,75,1))),TRUE,AND(INDEX(OHZ_HAZ_DGCLASSIFI,76,1)&lt;&gt;"",INDEX(OHZ_HAZ_TEXTUALREF,76,1)&lt;&gt;"",INDEX(OHZ_HAZ_TOTAMOUNT,76,1)&lt;&gt;""))</f>
        <v>1</v>
      </c>
      <c r="K83" t="str">
        <f t="shared" si="3"/>
        <v>Row 76 - All mandatory fields must be given</v>
      </c>
      <c r="L83" t="s">
        <v>33308</v>
      </c>
      <c r="T83" t="s">
        <v>33594</v>
      </c>
    </row>
    <row r="84" spans="1:20" x14ac:dyDescent="0.2">
      <c r="A84" t="b">
        <f>OR(INDEX(SEC_SHIP_MEASURESYORN,1,1)="None",INDEX(SEC_SHIP_MEASURESYORN,1,1)="Yes")</f>
        <v>1</v>
      </c>
      <c r="B84" t="s">
        <v>35137</v>
      </c>
      <c r="D84" s="35" t="b">
        <f>OR(INDEX(WAS_ITE_REMAINING,28,1)="",COUNTIF(REF_LOCODES,INDEX(WAS_ITE_REMAINING,28,1))&lt;&gt;0)</f>
        <v>1</v>
      </c>
      <c r="E84" t="s">
        <v>35076</v>
      </c>
      <c r="F84" t="s">
        <v>33308</v>
      </c>
      <c r="G84" t="b">
        <f>IF(OR(INDEX(IHZ_HAZ_CONSIGNMENT,77,1)="",AND(INDEX(IHZ_HAZ_DPGREF,77,1)&lt;&gt;"",INDEX(IHZ_HAZ_CONSIGNMENT,77,1)=INDEX(IHZ_HAZ_CONSIGNMENT,76,1),INDEX(IHZ_HAZ_DPGREF,77,1)=INDEX(IHZ_HAZ_DPGREF,76,1))),TRUE,AND(INDEX(IHZ_HAZ_DGCLASSIFI,77,1)&lt;&gt;"",INDEX(IHZ_HAZ_TEXTUALREF,77,1)&lt;&gt;"",INDEX(IHZ_HAZ_TOTAMOUNT,77,1)&lt;&gt;""))</f>
        <v>1</v>
      </c>
      <c r="H84" t="str">
        <f t="shared" si="2"/>
        <v>Row 77 - All mandatory fields must be given</v>
      </c>
      <c r="I84" t="s">
        <v>33308</v>
      </c>
      <c r="J84" t="b">
        <f>IF(OR(INDEX(OHZ_HAZ_CONSIGNMENT,77,1)="",AND(INDEX(OHZ_HAZ_DPGREF,77,1)&lt;&gt;"",INDEX(OHZ_HAZ_CONSIGNMENT,77,1)=INDEX(OHZ_HAZ_CONSIGNMENT,76,1),INDEX(OHZ_HAZ_DPGREF,77,1)=INDEX(OHZ_HAZ_DPGREF,76,1))),TRUE,AND(INDEX(OHZ_HAZ_DGCLASSIFI,77,1)&lt;&gt;"",INDEX(OHZ_HAZ_TEXTUALREF,77,1)&lt;&gt;"",INDEX(OHZ_HAZ_TOTAMOUNT,77,1)&lt;&gt;""))</f>
        <v>1</v>
      </c>
      <c r="K84" t="str">
        <f t="shared" si="3"/>
        <v>Row 77 - All mandatory fields must be given</v>
      </c>
      <c r="L84" t="s">
        <v>33308</v>
      </c>
      <c r="T84" t="s">
        <v>33595</v>
      </c>
    </row>
    <row r="85" spans="1:20" x14ac:dyDescent="0.2">
      <c r="A85" t="b">
        <f>SUMPRODUCT(--(LEN(SEC_SHIP_SECURITYME))&gt;256)=0</f>
        <v>1</v>
      </c>
      <c r="B85" t="s">
        <v>35093</v>
      </c>
      <c r="D85" t="b">
        <f>OR(INDEX(WAS_ITE_REMAINING,29,1)="",COUNTIF(REF_LOCODES,INDEX(WAS_ITE_REMAINING,29,1))&lt;&gt;0)</f>
        <v>1</v>
      </c>
      <c r="E85" t="s">
        <v>35077</v>
      </c>
      <c r="F85" t="s">
        <v>33308</v>
      </c>
      <c r="G85" t="b">
        <f>IF(OR(INDEX(IHZ_HAZ_CONSIGNMENT,78,1)="",AND(INDEX(IHZ_HAZ_DPGREF,78,1)&lt;&gt;"",INDEX(IHZ_HAZ_CONSIGNMENT,78,1)=INDEX(IHZ_HAZ_CONSIGNMENT,77,1),INDEX(IHZ_HAZ_DPGREF,78,1)=INDEX(IHZ_HAZ_DPGREF,77,1))),TRUE,AND(INDEX(IHZ_HAZ_DGCLASSIFI,78,1)&lt;&gt;"",INDEX(IHZ_HAZ_TEXTUALREF,78,1)&lt;&gt;"",INDEX(IHZ_HAZ_TOTAMOUNT,78,1)&lt;&gt;""))</f>
        <v>1</v>
      </c>
      <c r="H85" t="str">
        <f t="shared" si="2"/>
        <v>Row 78 - All mandatory fields must be given</v>
      </c>
      <c r="I85" t="s">
        <v>33308</v>
      </c>
      <c r="J85" t="b">
        <f>IF(OR(INDEX(OHZ_HAZ_CONSIGNMENT,78,1)="",AND(INDEX(OHZ_HAZ_DPGREF,78,1)&lt;&gt;"",INDEX(OHZ_HAZ_CONSIGNMENT,78,1)=INDEX(OHZ_HAZ_CONSIGNMENT,77,1),INDEX(OHZ_HAZ_DPGREF,78,1)=INDEX(OHZ_HAZ_DPGREF,77,1))),TRUE,AND(INDEX(OHZ_HAZ_DGCLASSIFI,78,1)&lt;&gt;"",INDEX(OHZ_HAZ_TEXTUALREF,78,1)&lt;&gt;"",INDEX(OHZ_HAZ_TOTAMOUNT,78,1)&lt;&gt;""))</f>
        <v>1</v>
      </c>
      <c r="K85" t="str">
        <f t="shared" si="3"/>
        <v>Row 78 - All mandatory fields must be given</v>
      </c>
      <c r="L85" t="s">
        <v>33308</v>
      </c>
      <c r="T85" t="s">
        <v>33596</v>
      </c>
    </row>
    <row r="86" spans="1:20" x14ac:dyDescent="0.2">
      <c r="D86" t="b">
        <f>OR(INDEX(WAS_ITE_REMAINING,30,1)="",COUNTIF(REF_LOCODES,INDEX(WAS_ITE_REMAINING,30,1))&lt;&gt;0)</f>
        <v>1</v>
      </c>
      <c r="E86" t="s">
        <v>35078</v>
      </c>
      <c r="F86" t="s">
        <v>33308</v>
      </c>
      <c r="G86" t="b">
        <f>IF(OR(INDEX(IHZ_HAZ_CONSIGNMENT,79,1)="",AND(INDEX(IHZ_HAZ_DPGREF,79,1)&lt;&gt;"",INDEX(IHZ_HAZ_CONSIGNMENT,79,1)=INDEX(IHZ_HAZ_CONSIGNMENT,78,1),INDEX(IHZ_HAZ_DPGREF,79,1)=INDEX(IHZ_HAZ_DPGREF,78,1))),TRUE,AND(INDEX(IHZ_HAZ_DGCLASSIFI,79,1)&lt;&gt;"",INDEX(IHZ_HAZ_TEXTUALREF,79,1)&lt;&gt;"",INDEX(IHZ_HAZ_TOTAMOUNT,79,1)&lt;&gt;""))</f>
        <v>1</v>
      </c>
      <c r="H86" t="str">
        <f t="shared" si="2"/>
        <v>Row 79 - All mandatory fields must be given</v>
      </c>
      <c r="I86" t="s">
        <v>33308</v>
      </c>
      <c r="J86" t="b">
        <f>IF(OR(INDEX(OHZ_HAZ_CONSIGNMENT,79,1)="",AND(INDEX(OHZ_HAZ_DPGREF,79,1)&lt;&gt;"",INDEX(OHZ_HAZ_CONSIGNMENT,79,1)=INDEX(OHZ_HAZ_CONSIGNMENT,78,1),INDEX(OHZ_HAZ_DPGREF,79,1)=INDEX(OHZ_HAZ_DPGREF,78,1))),TRUE,AND(INDEX(OHZ_HAZ_DGCLASSIFI,79,1)&lt;&gt;"",INDEX(OHZ_HAZ_TEXTUALREF,79,1)&lt;&gt;"",INDEX(OHZ_HAZ_TOTAMOUNT,79,1)&lt;&gt;""))</f>
        <v>1</v>
      </c>
      <c r="K86" t="str">
        <f t="shared" si="3"/>
        <v>Row 79 - All mandatory fields must be given</v>
      </c>
      <c r="L86" t="s">
        <v>33308</v>
      </c>
      <c r="T86" t="s">
        <v>33597</v>
      </c>
    </row>
    <row r="87" spans="1:20" x14ac:dyDescent="0.2">
      <c r="A87" t="b">
        <f>INDEX(SEC_LAST_DATEOFARRI,1,1)&lt;=INDEX(SEC_LAST_DATEOFDEPT,1,1)</f>
        <v>1</v>
      </c>
      <c r="B87" t="s">
        <v>34880</v>
      </c>
      <c r="D87" t="b">
        <f>OR(INDEX(WAS_ITE_REMAINING,31,1)="",COUNTIF(REF_LOCODES,INDEX(WAS_ITE_REMAINING,31,1))&lt;&gt;0)</f>
        <v>1</v>
      </c>
      <c r="E87" t="s">
        <v>35079</v>
      </c>
      <c r="F87" t="s">
        <v>33308</v>
      </c>
      <c r="G87" t="b">
        <f>IF(OR(INDEX(IHZ_HAZ_CONSIGNMENT,80,1)="",AND(INDEX(IHZ_HAZ_DPGREF,80,1)&lt;&gt;"",INDEX(IHZ_HAZ_CONSIGNMENT,80,1)=INDEX(IHZ_HAZ_CONSIGNMENT,79,1),INDEX(IHZ_HAZ_DPGREF,80,1)=INDEX(IHZ_HAZ_DPGREF,79,1))),TRUE,AND(INDEX(IHZ_HAZ_DGCLASSIFI,80,1)&lt;&gt;"",INDEX(IHZ_HAZ_TEXTUALREF,80,1)&lt;&gt;"",INDEX(IHZ_HAZ_TOTAMOUNT,80,1)&lt;&gt;""))</f>
        <v>1</v>
      </c>
      <c r="H87" t="str">
        <f t="shared" si="2"/>
        <v>Row 80 - All mandatory fields must be given</v>
      </c>
      <c r="I87" t="s">
        <v>33308</v>
      </c>
      <c r="J87" t="b">
        <f>IF(OR(INDEX(OHZ_HAZ_CONSIGNMENT,80,1)="",AND(INDEX(OHZ_HAZ_DPGREF,80,1)&lt;&gt;"",INDEX(OHZ_HAZ_CONSIGNMENT,80,1)=INDEX(OHZ_HAZ_CONSIGNMENT,79,1),INDEX(OHZ_HAZ_DPGREF,80,1)=INDEX(OHZ_HAZ_DPGREF,79,1))),TRUE,AND(INDEX(OHZ_HAZ_DGCLASSIFI,80,1)&lt;&gt;"",INDEX(OHZ_HAZ_TEXTUALREF,80,1)&lt;&gt;"",INDEX(OHZ_HAZ_TOTAMOUNT,80,1)&lt;&gt;""))</f>
        <v>1</v>
      </c>
      <c r="K87" t="str">
        <f t="shared" si="3"/>
        <v>Row 80 - All mandatory fields must be given</v>
      </c>
      <c r="L87" t="s">
        <v>33308</v>
      </c>
      <c r="T87" t="s">
        <v>33598</v>
      </c>
    </row>
    <row r="88" spans="1:20" x14ac:dyDescent="0.2">
      <c r="A88" t="b">
        <f>INDEX(SEC_LAST_DATEOFARRI,2,1)&lt;=INDEX(SEC_LAST_DATEOFDEPT,2,1)</f>
        <v>1</v>
      </c>
      <c r="B88" t="s">
        <v>34881</v>
      </c>
      <c r="D88" t="b">
        <f>OR(INDEX(WAS_ITE_REMAINING,32,1)="",COUNTIF(REF_LOCODES,INDEX(WAS_ITE_REMAINING,32,1))&lt;&gt;0)</f>
        <v>1</v>
      </c>
      <c r="E88" t="s">
        <v>35080</v>
      </c>
      <c r="F88" t="s">
        <v>33308</v>
      </c>
      <c r="G88" t="b">
        <f>IF(OR(INDEX(IHZ_HAZ_CONSIGNMENT,81,1)="",AND(INDEX(IHZ_HAZ_DPGREF,81,1)&lt;&gt;"",INDEX(IHZ_HAZ_CONSIGNMENT,81,1)=INDEX(IHZ_HAZ_CONSIGNMENT,80,1),INDEX(IHZ_HAZ_DPGREF,81,1)=INDEX(IHZ_HAZ_DPGREF,80,1))),TRUE,AND(INDEX(IHZ_HAZ_DGCLASSIFI,81,1)&lt;&gt;"",INDEX(IHZ_HAZ_TEXTUALREF,81,1)&lt;&gt;"",INDEX(IHZ_HAZ_TOTAMOUNT,81,1)&lt;&gt;""))</f>
        <v>1</v>
      </c>
      <c r="H88" t="str">
        <f t="shared" si="2"/>
        <v>Row 81 - All mandatory fields must be given</v>
      </c>
      <c r="I88" t="s">
        <v>33308</v>
      </c>
      <c r="J88" t="b">
        <f>IF(OR(INDEX(OHZ_HAZ_CONSIGNMENT,81,1)="",AND(INDEX(OHZ_HAZ_DPGREF,81,1)&lt;&gt;"",INDEX(OHZ_HAZ_CONSIGNMENT,81,1)=INDEX(OHZ_HAZ_CONSIGNMENT,80,1),INDEX(OHZ_HAZ_DPGREF,81,1)=INDEX(OHZ_HAZ_DPGREF,80,1))),TRUE,AND(INDEX(OHZ_HAZ_DGCLASSIFI,81,1)&lt;&gt;"",INDEX(OHZ_HAZ_TEXTUALREF,81,1)&lt;&gt;"",INDEX(OHZ_HAZ_TOTAMOUNT,81,1)&lt;&gt;""))</f>
        <v>1</v>
      </c>
      <c r="K88" t="str">
        <f t="shared" si="3"/>
        <v>Row 81 - All mandatory fields must be given</v>
      </c>
      <c r="L88" t="s">
        <v>33308</v>
      </c>
      <c r="T88" t="s">
        <v>33599</v>
      </c>
    </row>
    <row r="89" spans="1:20" x14ac:dyDescent="0.2">
      <c r="A89" t="b">
        <f>INDEX(SEC_LAST_DATEOFARRI,3,1)&lt;=INDEX(SEC_LAST_DATEOFDEPT,3,1)</f>
        <v>1</v>
      </c>
      <c r="B89" t="s">
        <v>34882</v>
      </c>
      <c r="D89" t="b">
        <f>OR(INDEX(WAS_ITE_REMAINING,33,1)="",COUNTIF(REF_LOCODES,INDEX(WAS_ITE_REMAINING,33,1))&lt;&gt;0)</f>
        <v>1</v>
      </c>
      <c r="E89" t="s">
        <v>35081</v>
      </c>
      <c r="F89" t="s">
        <v>33308</v>
      </c>
      <c r="G89" t="b">
        <f>IF(OR(INDEX(IHZ_HAZ_CONSIGNMENT,82,1)="",AND(INDEX(IHZ_HAZ_DPGREF,82,1)&lt;&gt;"",INDEX(IHZ_HAZ_CONSIGNMENT,82,1)=INDEX(IHZ_HAZ_CONSIGNMENT,81,1),INDEX(IHZ_HAZ_DPGREF,82,1)=INDEX(IHZ_HAZ_DPGREF,81,1))),TRUE,AND(INDEX(IHZ_HAZ_DGCLASSIFI,82,1)&lt;&gt;"",INDEX(IHZ_HAZ_TEXTUALREF,82,1)&lt;&gt;"",INDEX(IHZ_HAZ_TOTAMOUNT,82,1)&lt;&gt;""))</f>
        <v>1</v>
      </c>
      <c r="H89" t="str">
        <f t="shared" si="2"/>
        <v>Row 82 - All mandatory fields must be given</v>
      </c>
      <c r="I89" t="s">
        <v>33308</v>
      </c>
      <c r="J89" t="b">
        <f>IF(OR(INDEX(OHZ_HAZ_CONSIGNMENT,82,1)="",AND(INDEX(OHZ_HAZ_DPGREF,82,1)&lt;&gt;"",INDEX(OHZ_HAZ_CONSIGNMENT,82,1)=INDEX(OHZ_HAZ_CONSIGNMENT,81,1),INDEX(OHZ_HAZ_DPGREF,82,1)=INDEX(OHZ_HAZ_DPGREF,81,1))),TRUE,AND(INDEX(OHZ_HAZ_DGCLASSIFI,82,1)&lt;&gt;"",INDEX(OHZ_HAZ_TEXTUALREF,82,1)&lt;&gt;"",INDEX(OHZ_HAZ_TOTAMOUNT,82,1)&lt;&gt;""))</f>
        <v>1</v>
      </c>
      <c r="K89" t="str">
        <f t="shared" si="3"/>
        <v>Row 82 - All mandatory fields must be given</v>
      </c>
      <c r="L89" t="s">
        <v>33308</v>
      </c>
      <c r="T89" t="s">
        <v>33600</v>
      </c>
    </row>
    <row r="90" spans="1:20" x14ac:dyDescent="0.2">
      <c r="A90" t="b">
        <f>INDEX(SEC_LAST_DATEOFARRI,4,1)&lt;=INDEX(SEC_LAST_DATEOFDEPT,4,1)</f>
        <v>1</v>
      </c>
      <c r="B90" t="s">
        <v>34883</v>
      </c>
      <c r="D90" t="b">
        <f>OR(INDEX(WAS_ITE_REMAINING,34,1)="",COUNTIF(REF_LOCODES,INDEX(WAS_ITE_REMAINING,34,1))&lt;&gt;0)</f>
        <v>1</v>
      </c>
      <c r="E90" t="s">
        <v>35082</v>
      </c>
      <c r="F90" t="s">
        <v>33308</v>
      </c>
      <c r="G90" t="b">
        <f>IF(OR(INDEX(IHZ_HAZ_CONSIGNMENT,83,1)="",AND(INDEX(IHZ_HAZ_DPGREF,83,1)&lt;&gt;"",INDEX(IHZ_HAZ_CONSIGNMENT,83,1)=INDEX(IHZ_HAZ_CONSIGNMENT,82,1),INDEX(IHZ_HAZ_DPGREF,83,1)=INDEX(IHZ_HAZ_DPGREF,82,1))),TRUE,AND(INDEX(IHZ_HAZ_DGCLASSIFI,83,1)&lt;&gt;"",INDEX(IHZ_HAZ_TEXTUALREF,83,1)&lt;&gt;"",INDEX(IHZ_HAZ_TOTAMOUNT,83,1)&lt;&gt;""))</f>
        <v>1</v>
      </c>
      <c r="H90" t="str">
        <f t="shared" si="2"/>
        <v>Row 83 - All mandatory fields must be given</v>
      </c>
      <c r="I90" t="s">
        <v>33308</v>
      </c>
      <c r="J90" t="b">
        <f>IF(OR(INDEX(OHZ_HAZ_CONSIGNMENT,83,1)="",AND(INDEX(OHZ_HAZ_DPGREF,83,1)&lt;&gt;"",INDEX(OHZ_HAZ_CONSIGNMENT,83,1)=INDEX(OHZ_HAZ_CONSIGNMENT,82,1),INDEX(OHZ_HAZ_DPGREF,83,1)=INDEX(OHZ_HAZ_DPGREF,82,1))),TRUE,AND(INDEX(OHZ_HAZ_DGCLASSIFI,83,1)&lt;&gt;"",INDEX(OHZ_HAZ_TEXTUALREF,83,1)&lt;&gt;"",INDEX(OHZ_HAZ_TOTAMOUNT,83,1)&lt;&gt;""))</f>
        <v>1</v>
      </c>
      <c r="K90" t="str">
        <f t="shared" si="3"/>
        <v>Row 83 - All mandatory fields must be given</v>
      </c>
      <c r="L90" t="s">
        <v>33308</v>
      </c>
      <c r="T90" t="s">
        <v>33601</v>
      </c>
    </row>
    <row r="91" spans="1:20" x14ac:dyDescent="0.2">
      <c r="A91" t="b">
        <f>INDEX(SEC_LAST_DATEOFARRI,5,1)&lt;=INDEX(SEC_LAST_DATEOFDEPT,5,1)</f>
        <v>1</v>
      </c>
      <c r="B91" t="s">
        <v>34884</v>
      </c>
      <c r="D91" t="b">
        <f>OR(INDEX(WAS_ITE_REMAINING,35,1)="",COUNTIF(REF_LOCODES,INDEX(WAS_ITE_REMAINING,35,1))&lt;&gt;0)</f>
        <v>1</v>
      </c>
      <c r="E91" t="s">
        <v>35083</v>
      </c>
      <c r="F91" t="s">
        <v>33308</v>
      </c>
      <c r="G91" t="b">
        <f>IF(OR(INDEX(IHZ_HAZ_CONSIGNMENT,84,1)="",AND(INDEX(IHZ_HAZ_DPGREF,84,1)&lt;&gt;"",INDEX(IHZ_HAZ_CONSIGNMENT,84,1)=INDEX(IHZ_HAZ_CONSIGNMENT,83,1),INDEX(IHZ_HAZ_DPGREF,84,1)=INDEX(IHZ_HAZ_DPGREF,83,1))),TRUE,AND(INDEX(IHZ_HAZ_DGCLASSIFI,84,1)&lt;&gt;"",INDEX(IHZ_HAZ_TEXTUALREF,84,1)&lt;&gt;"",INDEX(IHZ_HAZ_TOTAMOUNT,84,1)&lt;&gt;""))</f>
        <v>1</v>
      </c>
      <c r="H91" t="str">
        <f t="shared" si="2"/>
        <v>Row 84 - All mandatory fields must be given</v>
      </c>
      <c r="I91" t="s">
        <v>33308</v>
      </c>
      <c r="J91" t="b">
        <f>IF(OR(INDEX(OHZ_HAZ_CONSIGNMENT,84,1)="",AND(INDEX(OHZ_HAZ_DPGREF,84,1)&lt;&gt;"",INDEX(OHZ_HAZ_CONSIGNMENT,84,1)=INDEX(OHZ_HAZ_CONSIGNMENT,83,1),INDEX(OHZ_HAZ_DPGREF,84,1)=INDEX(OHZ_HAZ_DPGREF,83,1))),TRUE,AND(INDEX(OHZ_HAZ_DGCLASSIFI,84,1)&lt;&gt;"",INDEX(OHZ_HAZ_TEXTUALREF,84,1)&lt;&gt;"",INDEX(OHZ_HAZ_TOTAMOUNT,84,1)&lt;&gt;""))</f>
        <v>1</v>
      </c>
      <c r="K91" t="str">
        <f t="shared" si="3"/>
        <v>Row 84 - All mandatory fields must be given</v>
      </c>
      <c r="L91" t="s">
        <v>33308</v>
      </c>
      <c r="T91" t="s">
        <v>33602</v>
      </c>
    </row>
    <row r="92" spans="1:20" x14ac:dyDescent="0.2">
      <c r="A92" t="b">
        <f>INDEX(SEC_LAST_DATEOFARRI,6,1)&lt;=INDEX(SEC_LAST_DATEOFDEPT,6,1)</f>
        <v>1</v>
      </c>
      <c r="B92" t="s">
        <v>34885</v>
      </c>
      <c r="D92" t="b">
        <f>OR(INDEX(WAS_ITE_REMAINING,36,1)="",COUNTIF(REF_LOCODES,INDEX(WAS_ITE_REMAINING,36,1))&lt;&gt;0)</f>
        <v>1</v>
      </c>
      <c r="E92" t="s">
        <v>35084</v>
      </c>
      <c r="F92" t="s">
        <v>33308</v>
      </c>
      <c r="G92" t="b">
        <f>IF(OR(INDEX(IHZ_HAZ_CONSIGNMENT,85,1)="",AND(INDEX(IHZ_HAZ_DPGREF,85,1)&lt;&gt;"",INDEX(IHZ_HAZ_CONSIGNMENT,85,1)=INDEX(IHZ_HAZ_CONSIGNMENT,84,1),INDEX(IHZ_HAZ_DPGREF,85,1)=INDEX(IHZ_HAZ_DPGREF,84,1))),TRUE,AND(INDEX(IHZ_HAZ_DGCLASSIFI,85,1)&lt;&gt;"",INDEX(IHZ_HAZ_TEXTUALREF,85,1)&lt;&gt;"",INDEX(IHZ_HAZ_TOTAMOUNT,85,1)&lt;&gt;""))</f>
        <v>1</v>
      </c>
      <c r="H92" t="str">
        <f t="shared" si="2"/>
        <v>Row 85 - All mandatory fields must be given</v>
      </c>
      <c r="I92" t="s">
        <v>33308</v>
      </c>
      <c r="J92" t="b">
        <f>IF(OR(INDEX(OHZ_HAZ_CONSIGNMENT,85,1)="",AND(INDEX(OHZ_HAZ_DPGREF,85,1)&lt;&gt;"",INDEX(OHZ_HAZ_CONSIGNMENT,85,1)=INDEX(OHZ_HAZ_CONSIGNMENT,84,1),INDEX(OHZ_HAZ_DPGREF,85,1)=INDEX(OHZ_HAZ_DPGREF,84,1))),TRUE,AND(INDEX(OHZ_HAZ_DGCLASSIFI,85,1)&lt;&gt;"",INDEX(OHZ_HAZ_TEXTUALREF,85,1)&lt;&gt;"",INDEX(OHZ_HAZ_TOTAMOUNT,85,1)&lt;&gt;""))</f>
        <v>1</v>
      </c>
      <c r="K92" t="str">
        <f t="shared" si="3"/>
        <v>Row 85 - All mandatory fields must be given</v>
      </c>
      <c r="L92" t="s">
        <v>33308</v>
      </c>
      <c r="T92" t="s">
        <v>33603</v>
      </c>
    </row>
    <row r="93" spans="1:20" x14ac:dyDescent="0.2">
      <c r="A93" t="b">
        <f>INDEX(SEC_LAST_DATEOFARRI,7,1)&lt;=INDEX(SEC_LAST_DATEOFDEPT,7,1)</f>
        <v>1</v>
      </c>
      <c r="B93" t="s">
        <v>34886</v>
      </c>
      <c r="D93" s="35" t="b">
        <f>OR(INDEX(WAS_ITE_REMAINING,37,1)="",COUNTIF(REF_LOCODES,INDEX(WAS_ITE_REMAINING,37,1))&lt;&gt;0)</f>
        <v>1</v>
      </c>
      <c r="E93" t="s">
        <v>35085</v>
      </c>
      <c r="F93" t="s">
        <v>33308</v>
      </c>
      <c r="G93" t="b">
        <f>IF(OR(INDEX(IHZ_HAZ_CONSIGNMENT,86,1)="",AND(INDEX(IHZ_HAZ_DPGREF,86,1)&lt;&gt;"",INDEX(IHZ_HAZ_CONSIGNMENT,86,1)=INDEX(IHZ_HAZ_CONSIGNMENT,85,1),INDEX(IHZ_HAZ_DPGREF,86,1)=INDEX(IHZ_HAZ_DPGREF,85,1))),TRUE,AND(INDEX(IHZ_HAZ_DGCLASSIFI,86,1)&lt;&gt;"",INDEX(IHZ_HAZ_TEXTUALREF,86,1)&lt;&gt;"",INDEX(IHZ_HAZ_TOTAMOUNT,86,1)&lt;&gt;""))</f>
        <v>1</v>
      </c>
      <c r="H93" t="str">
        <f t="shared" si="2"/>
        <v>Row 86 - All mandatory fields must be given</v>
      </c>
      <c r="I93" t="s">
        <v>33308</v>
      </c>
      <c r="J93" t="b">
        <f>IF(OR(INDEX(OHZ_HAZ_CONSIGNMENT,86,1)="",AND(INDEX(OHZ_HAZ_DPGREF,86,1)&lt;&gt;"",INDEX(OHZ_HAZ_CONSIGNMENT,86,1)=INDEX(OHZ_HAZ_CONSIGNMENT,85,1),INDEX(OHZ_HAZ_DPGREF,86,1)=INDEX(OHZ_HAZ_DPGREF,85,1))),TRUE,AND(INDEX(OHZ_HAZ_DGCLASSIFI,86,1)&lt;&gt;"",INDEX(OHZ_HAZ_TEXTUALREF,86,1)&lt;&gt;"",INDEX(OHZ_HAZ_TOTAMOUNT,86,1)&lt;&gt;""))</f>
        <v>1</v>
      </c>
      <c r="K93" t="str">
        <f t="shared" si="3"/>
        <v>Row 86 - All mandatory fields must be given</v>
      </c>
      <c r="L93" t="s">
        <v>33308</v>
      </c>
      <c r="T93" t="s">
        <v>33604</v>
      </c>
    </row>
    <row r="94" spans="1:20" x14ac:dyDescent="0.2">
      <c r="A94" t="b">
        <f>INDEX(SEC_LAST_DATEOFARRI,8,1)&lt;=INDEX(SEC_LAST_DATEOFDEPT,8,1)</f>
        <v>1</v>
      </c>
      <c r="B94" t="s">
        <v>34887</v>
      </c>
      <c r="D94" s="35" t="b">
        <v>1</v>
      </c>
      <c r="F94" t="s">
        <v>33308</v>
      </c>
      <c r="G94" t="b">
        <f>IF(OR(INDEX(IHZ_HAZ_CONSIGNMENT,87,1)="",AND(INDEX(IHZ_HAZ_DPGREF,87,1)&lt;&gt;"",INDEX(IHZ_HAZ_CONSIGNMENT,87,1)=INDEX(IHZ_HAZ_CONSIGNMENT,86,1),INDEX(IHZ_HAZ_DPGREF,87,1)=INDEX(IHZ_HAZ_DPGREF,86,1))),TRUE,AND(INDEX(IHZ_HAZ_DGCLASSIFI,87,1)&lt;&gt;"",INDEX(IHZ_HAZ_TEXTUALREF,87,1)&lt;&gt;"",INDEX(IHZ_HAZ_TOTAMOUNT,87,1)&lt;&gt;""))</f>
        <v>1</v>
      </c>
      <c r="H94" t="str">
        <f t="shared" si="2"/>
        <v>Row 87 - All mandatory fields must be given</v>
      </c>
      <c r="I94" t="s">
        <v>33308</v>
      </c>
      <c r="J94" t="b">
        <f>IF(OR(INDEX(OHZ_HAZ_CONSIGNMENT,87,1)="",AND(INDEX(OHZ_HAZ_DPGREF,87,1)&lt;&gt;"",INDEX(OHZ_HAZ_CONSIGNMENT,87,1)=INDEX(OHZ_HAZ_CONSIGNMENT,86,1),INDEX(OHZ_HAZ_DPGREF,87,1)=INDEX(OHZ_HAZ_DPGREF,86,1))),TRUE,AND(INDEX(OHZ_HAZ_DGCLASSIFI,87,1)&lt;&gt;"",INDEX(OHZ_HAZ_TEXTUALREF,87,1)&lt;&gt;"",INDEX(OHZ_HAZ_TOTAMOUNT,87,1)&lt;&gt;""))</f>
        <v>1</v>
      </c>
      <c r="K94" t="str">
        <f t="shared" si="3"/>
        <v>Row 87 - All mandatory fields must be given</v>
      </c>
      <c r="L94" t="s">
        <v>33308</v>
      </c>
      <c r="T94" t="s">
        <v>33605</v>
      </c>
    </row>
    <row r="95" spans="1:20" x14ac:dyDescent="0.2">
      <c r="A95" t="b">
        <f>INDEX(SEC_LAST_DATEOFARRI,9,1)&lt;=INDEX(SEC_LAST_DATEOFDEPT,9,1)</f>
        <v>1</v>
      </c>
      <c r="B95" t="s">
        <v>34888</v>
      </c>
      <c r="D95" t="b">
        <f>OR(INDEX(WAS_ITE_REMAINING,39,1)="",COUNTIF(REF_LOCODES,INDEX(WAS_ITE_REMAINING,39,1))&lt;&gt;0)</f>
        <v>1</v>
      </c>
      <c r="E95" t="s">
        <v>35086</v>
      </c>
      <c r="F95" t="s">
        <v>33308</v>
      </c>
      <c r="G95" t="b">
        <f>IF(OR(INDEX(IHZ_HAZ_CONSIGNMENT,88,1)="",AND(INDEX(IHZ_HAZ_DPGREF,88,1)&lt;&gt;"",INDEX(IHZ_HAZ_CONSIGNMENT,88,1)=INDEX(IHZ_HAZ_CONSIGNMENT,87,1),INDEX(IHZ_HAZ_DPGREF,88,1)=INDEX(IHZ_HAZ_DPGREF,87,1))),TRUE,AND(INDEX(IHZ_HAZ_DGCLASSIFI,88,1)&lt;&gt;"",INDEX(IHZ_HAZ_TEXTUALREF,88,1)&lt;&gt;"",INDEX(IHZ_HAZ_TOTAMOUNT,88,1)&lt;&gt;""))</f>
        <v>1</v>
      </c>
      <c r="H95" t="str">
        <f t="shared" si="2"/>
        <v>Row 88 - All mandatory fields must be given</v>
      </c>
      <c r="I95" t="s">
        <v>33308</v>
      </c>
      <c r="J95" t="b">
        <f>IF(OR(INDEX(OHZ_HAZ_CONSIGNMENT,88,1)="",AND(INDEX(OHZ_HAZ_DPGREF,88,1)&lt;&gt;"",INDEX(OHZ_HAZ_CONSIGNMENT,88,1)=INDEX(OHZ_HAZ_CONSIGNMENT,87,1),INDEX(OHZ_HAZ_DPGREF,88,1)=INDEX(OHZ_HAZ_DPGREF,87,1))),TRUE,AND(INDEX(OHZ_HAZ_DGCLASSIFI,88,1)&lt;&gt;"",INDEX(OHZ_HAZ_TEXTUALREF,88,1)&lt;&gt;"",INDEX(OHZ_HAZ_TOTAMOUNT,88,1)&lt;&gt;""))</f>
        <v>1</v>
      </c>
      <c r="K95" t="str">
        <f t="shared" si="3"/>
        <v>Row 88 - All mandatory fields must be given</v>
      </c>
      <c r="L95" t="s">
        <v>33308</v>
      </c>
      <c r="T95" t="s">
        <v>33606</v>
      </c>
    </row>
    <row r="96" spans="1:20" x14ac:dyDescent="0.2">
      <c r="A96" t="b">
        <f>INDEX(SEC_LAST_DATEOFARRI,10,1)&lt;=INDEX(SEC_LAST_DATEOFDEPT,10,1)</f>
        <v>1</v>
      </c>
      <c r="B96" t="s">
        <v>34889</v>
      </c>
      <c r="D96" t="b">
        <f>OR(INDEX(WAS_ITE_REMAINING,40,1)="",COUNTIF(REF_LOCODES,INDEX(WAS_ITE_REMAINING,40,1))&lt;&gt;0)</f>
        <v>1</v>
      </c>
      <c r="E96" t="s">
        <v>35087</v>
      </c>
      <c r="F96" t="s">
        <v>33308</v>
      </c>
      <c r="G96" t="b">
        <f>IF(OR(INDEX(IHZ_HAZ_CONSIGNMENT,89,1)="",AND(INDEX(IHZ_HAZ_DPGREF,89,1)&lt;&gt;"",INDEX(IHZ_HAZ_CONSIGNMENT,89,1)=INDEX(IHZ_HAZ_CONSIGNMENT,88,1),INDEX(IHZ_HAZ_DPGREF,89,1)=INDEX(IHZ_HAZ_DPGREF,88,1))),TRUE,AND(INDEX(IHZ_HAZ_DGCLASSIFI,89,1)&lt;&gt;"",INDEX(IHZ_HAZ_TEXTUALREF,89,1)&lt;&gt;"",INDEX(IHZ_HAZ_TOTAMOUNT,89,1)&lt;&gt;""))</f>
        <v>1</v>
      </c>
      <c r="H96" t="str">
        <f t="shared" si="2"/>
        <v>Row 89 - All mandatory fields must be given</v>
      </c>
      <c r="I96" t="s">
        <v>33308</v>
      </c>
      <c r="J96" t="b">
        <f>IF(OR(INDEX(OHZ_HAZ_CONSIGNMENT,89,1)="",AND(INDEX(OHZ_HAZ_DPGREF,89,1)&lt;&gt;"",INDEX(OHZ_HAZ_CONSIGNMENT,89,1)=INDEX(OHZ_HAZ_CONSIGNMENT,88,1),INDEX(OHZ_HAZ_DPGREF,89,1)=INDEX(OHZ_HAZ_DPGREF,88,1))),TRUE,AND(INDEX(OHZ_HAZ_DGCLASSIFI,89,1)&lt;&gt;"",INDEX(OHZ_HAZ_TEXTUALREF,89,1)&lt;&gt;"",INDEX(OHZ_HAZ_TOTAMOUNT,89,1)&lt;&gt;""))</f>
        <v>1</v>
      </c>
      <c r="K96" t="str">
        <f t="shared" si="3"/>
        <v>Row 89 - All mandatory fields must be given</v>
      </c>
      <c r="L96" t="s">
        <v>33308</v>
      </c>
      <c r="T96" t="s">
        <v>33607</v>
      </c>
    </row>
    <row r="97" spans="1:20" x14ac:dyDescent="0.2">
      <c r="D97" t="b">
        <f>OR(INDEX(WAS_ITE_REMAINING,41,1)="",COUNTIF(REF_LOCODES,INDEX(WAS_ITE_REMAINING,41,1))&lt;&gt;0)</f>
        <v>1</v>
      </c>
      <c r="E97" t="s">
        <v>35088</v>
      </c>
      <c r="F97" t="s">
        <v>33308</v>
      </c>
      <c r="G97" t="b">
        <f>IF(OR(INDEX(IHZ_HAZ_CONSIGNMENT,90,1)="",AND(INDEX(IHZ_HAZ_DPGREF,90,1)&lt;&gt;"",INDEX(IHZ_HAZ_CONSIGNMENT,90,1)=INDEX(IHZ_HAZ_CONSIGNMENT,89,1),INDEX(IHZ_HAZ_DPGREF,90,1)=INDEX(IHZ_HAZ_DPGREF,89,1))),TRUE,AND(INDEX(IHZ_HAZ_DGCLASSIFI,90,1)&lt;&gt;"",INDEX(IHZ_HAZ_TEXTUALREF,90,1)&lt;&gt;"",INDEX(IHZ_HAZ_TOTAMOUNT,90,1)&lt;&gt;""))</f>
        <v>1</v>
      </c>
      <c r="H97" t="str">
        <f t="shared" si="2"/>
        <v>Row 90 - All mandatory fields must be given</v>
      </c>
      <c r="I97" t="s">
        <v>33308</v>
      </c>
      <c r="J97" t="b">
        <f>IF(OR(INDEX(OHZ_HAZ_CONSIGNMENT,90,1)="",AND(INDEX(OHZ_HAZ_DPGREF,90,1)&lt;&gt;"",INDEX(OHZ_HAZ_CONSIGNMENT,90,1)=INDEX(OHZ_HAZ_CONSIGNMENT,89,1),INDEX(OHZ_HAZ_DPGREF,90,1)=INDEX(OHZ_HAZ_DPGREF,89,1))),TRUE,AND(INDEX(OHZ_HAZ_DGCLASSIFI,90,1)&lt;&gt;"",INDEX(OHZ_HAZ_TEXTUALREF,90,1)&lt;&gt;"",INDEX(OHZ_HAZ_TOTAMOUNT,90,1)&lt;&gt;""))</f>
        <v>1</v>
      </c>
      <c r="K97" t="str">
        <f t="shared" si="3"/>
        <v>Row 90 - All mandatory fields must be given</v>
      </c>
      <c r="L97" t="s">
        <v>33308</v>
      </c>
      <c r="T97" t="s">
        <v>33608</v>
      </c>
    </row>
    <row r="98" spans="1:20" x14ac:dyDescent="0.2">
      <c r="A98" t="b">
        <f>IF(SEC_ISSC_ISVALID="TRUE",INDEX(SEC_ISSC_REASON,1,1)="",TRUE)</f>
        <v>1</v>
      </c>
      <c r="B98" t="s">
        <v>34912</v>
      </c>
      <c r="D98" t="b">
        <f>OR(INDEX(WAS_ITE_REMAINING,42,1)="",COUNTIF(REF_LOCODES,INDEX(WAS_ITE_REMAINING,42,1))&lt;&gt;0)</f>
        <v>1</v>
      </c>
      <c r="E98" t="s">
        <v>35089</v>
      </c>
      <c r="F98" t="s">
        <v>33308</v>
      </c>
      <c r="G98" t="b">
        <f>IF(OR(INDEX(IHZ_HAZ_CONSIGNMENT,91,1)="",AND(INDEX(IHZ_HAZ_DPGREF,91,1)&lt;&gt;"",INDEX(IHZ_HAZ_CONSIGNMENT,91,1)=INDEX(IHZ_HAZ_CONSIGNMENT,90,1),INDEX(IHZ_HAZ_DPGREF,91,1)=INDEX(IHZ_HAZ_DPGREF,90,1))),TRUE,AND(INDEX(IHZ_HAZ_DGCLASSIFI,91,1)&lt;&gt;"",INDEX(IHZ_HAZ_TEXTUALREF,91,1)&lt;&gt;"",INDEX(IHZ_HAZ_TOTAMOUNT,91,1)&lt;&gt;""))</f>
        <v>1</v>
      </c>
      <c r="H98" t="str">
        <f t="shared" si="2"/>
        <v>Row 91 - All mandatory fields must be given</v>
      </c>
      <c r="I98" t="s">
        <v>33308</v>
      </c>
      <c r="J98" t="b">
        <f>IF(OR(INDEX(OHZ_HAZ_CONSIGNMENT,91,1)="",AND(INDEX(OHZ_HAZ_DPGREF,91,1)&lt;&gt;"",INDEX(OHZ_HAZ_CONSIGNMENT,91,1)=INDEX(OHZ_HAZ_CONSIGNMENT,90,1),INDEX(OHZ_HAZ_DPGREF,91,1)=INDEX(OHZ_HAZ_DPGREF,90,1))),TRUE,AND(INDEX(OHZ_HAZ_DGCLASSIFI,91,1)&lt;&gt;"",INDEX(OHZ_HAZ_TEXTUALREF,91,1)&lt;&gt;"",INDEX(OHZ_HAZ_TOTAMOUNT,91,1)&lt;&gt;""))</f>
        <v>1</v>
      </c>
      <c r="K98" t="str">
        <f t="shared" si="3"/>
        <v>Row 91 - All mandatory fields must be given</v>
      </c>
      <c r="L98" t="s">
        <v>33308</v>
      </c>
      <c r="T98" t="s">
        <v>33609</v>
      </c>
    </row>
    <row r="99" spans="1:20" x14ac:dyDescent="0.2">
      <c r="A99" t="b">
        <f ca="1">OR(INDEX(SEC_ISSC_EXPIRY,1,1)&gt;TODAY()-1,INDEX(SEC_ISSC_EXPIRY,1,1)="")</f>
        <v>1</v>
      </c>
      <c r="B99" t="s">
        <v>37205</v>
      </c>
      <c r="F99" t="s">
        <v>33308</v>
      </c>
      <c r="G99" t="b">
        <f>IF(OR(INDEX(IHZ_HAZ_CONSIGNMENT,92,1)="",AND(INDEX(IHZ_HAZ_DPGREF,92,1)&lt;&gt;"",INDEX(IHZ_HAZ_CONSIGNMENT,92,1)=INDEX(IHZ_HAZ_CONSIGNMENT,91,1),INDEX(IHZ_HAZ_DPGREF,92,1)=INDEX(IHZ_HAZ_DPGREF,91,1))),TRUE,AND(INDEX(IHZ_HAZ_DGCLASSIFI,92,1)&lt;&gt;"",INDEX(IHZ_HAZ_TEXTUALREF,92,1)&lt;&gt;"",INDEX(IHZ_HAZ_TOTAMOUNT,92,1)&lt;&gt;""))</f>
        <v>1</v>
      </c>
      <c r="H99" t="str">
        <f t="shared" si="2"/>
        <v>Row 92 - All mandatory fields must be given</v>
      </c>
      <c r="I99" t="s">
        <v>33308</v>
      </c>
      <c r="J99" t="b">
        <f>IF(OR(INDEX(OHZ_HAZ_CONSIGNMENT,92,1)="",AND(INDEX(OHZ_HAZ_DPGREF,92,1)&lt;&gt;"",INDEX(OHZ_HAZ_CONSIGNMENT,92,1)=INDEX(OHZ_HAZ_CONSIGNMENT,91,1),INDEX(OHZ_HAZ_DPGREF,92,1)=INDEX(OHZ_HAZ_DPGREF,91,1))),TRUE,AND(INDEX(OHZ_HAZ_DGCLASSIFI,92,1)&lt;&gt;"",INDEX(OHZ_HAZ_TEXTUALREF,92,1)&lt;&gt;"",INDEX(OHZ_HAZ_TOTAMOUNT,92,1)&lt;&gt;""))</f>
        <v>1</v>
      </c>
      <c r="K99" t="str">
        <f t="shared" si="3"/>
        <v>Row 92 - All mandatory fields must be given</v>
      </c>
      <c r="L99" t="s">
        <v>33308</v>
      </c>
      <c r="T99" t="s">
        <v>33610</v>
      </c>
    </row>
    <row r="100" spans="1:20" x14ac:dyDescent="0.2">
      <c r="F100" t="s">
        <v>33308</v>
      </c>
      <c r="G100" t="b">
        <f>IF(OR(INDEX(IHZ_HAZ_CONSIGNMENT,93,1)="",AND(INDEX(IHZ_HAZ_DPGREF,93,1)&lt;&gt;"",INDEX(IHZ_HAZ_CONSIGNMENT,93,1)=INDEX(IHZ_HAZ_CONSIGNMENT,92,1),INDEX(IHZ_HAZ_DPGREF,93,1)=INDEX(IHZ_HAZ_DPGREF,92,1))),TRUE,AND(INDEX(IHZ_HAZ_DGCLASSIFI,93,1)&lt;&gt;"",INDEX(IHZ_HAZ_TEXTUALREF,93,1)&lt;&gt;"",INDEX(IHZ_HAZ_TOTAMOUNT,93,1)&lt;&gt;""))</f>
        <v>1</v>
      </c>
      <c r="H100" t="str">
        <f t="shared" si="2"/>
        <v>Row 93 - All mandatory fields must be given</v>
      </c>
      <c r="I100" t="s">
        <v>33308</v>
      </c>
      <c r="J100" t="b">
        <f>IF(OR(INDEX(OHZ_HAZ_CONSIGNMENT,93,1)="",AND(INDEX(OHZ_HAZ_DPGREF,93,1)&lt;&gt;"",INDEX(OHZ_HAZ_CONSIGNMENT,93,1)=INDEX(OHZ_HAZ_CONSIGNMENT,92,1),INDEX(OHZ_HAZ_DPGREF,93,1)=INDEX(OHZ_HAZ_DPGREF,92,1))),TRUE,AND(INDEX(OHZ_HAZ_DGCLASSIFI,93,1)&lt;&gt;"",INDEX(OHZ_HAZ_TEXTUALREF,93,1)&lt;&gt;"",INDEX(OHZ_HAZ_TOTAMOUNT,93,1)&lt;&gt;""))</f>
        <v>1</v>
      </c>
      <c r="K100" t="str">
        <f t="shared" si="3"/>
        <v>Row 93 - All mandatory fields must be given</v>
      </c>
      <c r="L100" t="s">
        <v>33308</v>
      </c>
      <c r="T100" t="s">
        <v>33611</v>
      </c>
    </row>
    <row r="101" spans="1:20" x14ac:dyDescent="0.2">
      <c r="F101" t="s">
        <v>33308</v>
      </c>
      <c r="G101" t="b">
        <f>IF(OR(INDEX(IHZ_HAZ_CONSIGNMENT,94,1)="",AND(INDEX(IHZ_HAZ_DPGREF,94,1)&lt;&gt;"",INDEX(IHZ_HAZ_CONSIGNMENT,94,1)=INDEX(IHZ_HAZ_CONSIGNMENT,93,1),INDEX(IHZ_HAZ_DPGREF,94,1)=INDEX(IHZ_HAZ_DPGREF,93,1))),TRUE,AND(INDEX(IHZ_HAZ_DGCLASSIFI,94,1)&lt;&gt;"",INDEX(IHZ_HAZ_TEXTUALREF,94,1)&lt;&gt;"",INDEX(IHZ_HAZ_TOTAMOUNT,94,1)&lt;&gt;""))</f>
        <v>1</v>
      </c>
      <c r="H101" t="str">
        <f t="shared" si="2"/>
        <v>Row 94 - All mandatory fields must be given</v>
      </c>
      <c r="I101" t="s">
        <v>33308</v>
      </c>
      <c r="J101" t="b">
        <f>IF(OR(INDEX(OHZ_HAZ_CONSIGNMENT,94,1)="",AND(INDEX(OHZ_HAZ_DPGREF,94,1)&lt;&gt;"",INDEX(OHZ_HAZ_CONSIGNMENT,94,1)=INDEX(OHZ_HAZ_CONSIGNMENT,93,1),INDEX(OHZ_HAZ_DPGREF,94,1)=INDEX(OHZ_HAZ_DPGREF,93,1))),TRUE,AND(INDEX(OHZ_HAZ_DGCLASSIFI,94,1)&lt;&gt;"",INDEX(OHZ_HAZ_TEXTUALREF,94,1)&lt;&gt;"",INDEX(OHZ_HAZ_TOTAMOUNT,94,1)&lt;&gt;""))</f>
        <v>1</v>
      </c>
      <c r="K101" t="str">
        <f t="shared" si="3"/>
        <v>Row 94 - All mandatory fields must be given</v>
      </c>
      <c r="L101" t="s">
        <v>33308</v>
      </c>
      <c r="T101" t="s">
        <v>33612</v>
      </c>
    </row>
    <row r="102" spans="1:20" x14ac:dyDescent="0.2">
      <c r="F102" t="s">
        <v>33308</v>
      </c>
      <c r="G102" t="b">
        <f>IF(OR(INDEX(IHZ_HAZ_CONSIGNMENT,95,1)="",AND(INDEX(IHZ_HAZ_DPGREF,95,1)&lt;&gt;"",INDEX(IHZ_HAZ_CONSIGNMENT,95,1)=INDEX(IHZ_HAZ_CONSIGNMENT,94,1),INDEX(IHZ_HAZ_DPGREF,95,1)=INDEX(IHZ_HAZ_DPGREF,94,1))),TRUE,AND(INDEX(IHZ_HAZ_DGCLASSIFI,95,1)&lt;&gt;"",INDEX(IHZ_HAZ_TEXTUALREF,95,1)&lt;&gt;"",INDEX(IHZ_HAZ_TOTAMOUNT,95,1)&lt;&gt;""))</f>
        <v>1</v>
      </c>
      <c r="H102" t="str">
        <f t="shared" si="2"/>
        <v>Row 95 - All mandatory fields must be given</v>
      </c>
      <c r="I102" t="s">
        <v>33308</v>
      </c>
      <c r="J102" t="b">
        <f>IF(OR(INDEX(OHZ_HAZ_CONSIGNMENT,95,1)="",AND(INDEX(OHZ_HAZ_DPGREF,95,1)&lt;&gt;"",INDEX(OHZ_HAZ_CONSIGNMENT,95,1)=INDEX(OHZ_HAZ_CONSIGNMENT,94,1),INDEX(OHZ_HAZ_DPGREF,95,1)=INDEX(OHZ_HAZ_DPGREF,94,1))),TRUE,AND(INDEX(OHZ_HAZ_DGCLASSIFI,95,1)&lt;&gt;"",INDEX(OHZ_HAZ_TEXTUALREF,95,1)&lt;&gt;"",INDEX(OHZ_HAZ_TOTAMOUNT,95,1)&lt;&gt;""))</f>
        <v>1</v>
      </c>
      <c r="K102" t="str">
        <f t="shared" si="3"/>
        <v>Row 95 - All mandatory fields must be given</v>
      </c>
      <c r="L102" t="s">
        <v>33308</v>
      </c>
      <c r="T102" t="s">
        <v>33613</v>
      </c>
    </row>
    <row r="103" spans="1:20" x14ac:dyDescent="0.2">
      <c r="F103" t="s">
        <v>33308</v>
      </c>
      <c r="G103" t="b">
        <f>IF(OR(INDEX(IHZ_HAZ_CONSIGNMENT,96,1)="",AND(INDEX(IHZ_HAZ_DPGREF,96,1)&lt;&gt;"",INDEX(IHZ_HAZ_CONSIGNMENT,96,1)=INDEX(IHZ_HAZ_CONSIGNMENT,95,1),INDEX(IHZ_HAZ_DPGREF,96,1)=INDEX(IHZ_HAZ_DPGREF,95,1))),TRUE,AND(INDEX(IHZ_HAZ_DGCLASSIFI,96,1)&lt;&gt;"",INDEX(IHZ_HAZ_TEXTUALREF,96,1)&lt;&gt;"",INDEX(IHZ_HAZ_TOTAMOUNT,96,1)&lt;&gt;""))</f>
        <v>1</v>
      </c>
      <c r="H103" t="str">
        <f t="shared" si="2"/>
        <v>Row 96 - All mandatory fields must be given</v>
      </c>
      <c r="I103" t="s">
        <v>33308</v>
      </c>
      <c r="J103" t="b">
        <f>IF(OR(INDEX(OHZ_HAZ_CONSIGNMENT,96,1)="",AND(INDEX(OHZ_HAZ_DPGREF,96,1)&lt;&gt;"",INDEX(OHZ_HAZ_CONSIGNMENT,96,1)=INDEX(OHZ_HAZ_CONSIGNMENT,95,1),INDEX(OHZ_HAZ_DPGREF,96,1)=INDEX(OHZ_HAZ_DPGREF,95,1))),TRUE,AND(INDEX(OHZ_HAZ_DGCLASSIFI,96,1)&lt;&gt;"",INDEX(OHZ_HAZ_TEXTUALREF,96,1)&lt;&gt;"",INDEX(OHZ_HAZ_TOTAMOUNT,96,1)&lt;&gt;""))</f>
        <v>1</v>
      </c>
      <c r="K103" t="str">
        <f t="shared" si="3"/>
        <v>Row 96 - All mandatory fields must be given</v>
      </c>
      <c r="L103" t="s">
        <v>33308</v>
      </c>
      <c r="T103" t="s">
        <v>33614</v>
      </c>
    </row>
    <row r="104" spans="1:20" x14ac:dyDescent="0.2">
      <c r="D104" t="b">
        <f>OR(WAS_OVE_STATUS="",WAS_OVE_STATUS="NONE",SUM(WAS_ITE_DELIVERED,WAS_ITE_MAXSTORAG,WAS_ITE_RETAINED,WAS_ITE_GENERATED,WAS_ITE_LASTPORT)&lt;&gt;0)</f>
        <v>1</v>
      </c>
      <c r="E104" t="s">
        <v>35136</v>
      </c>
      <c r="F104" t="s">
        <v>33308</v>
      </c>
      <c r="G104" t="b">
        <f>IF(OR(INDEX(IHZ_HAZ_CONSIGNMENT,97,1)="",AND(INDEX(IHZ_HAZ_DPGREF,97,1)&lt;&gt;"",INDEX(IHZ_HAZ_CONSIGNMENT,97,1)=INDEX(IHZ_HAZ_CONSIGNMENT,96,1),INDEX(IHZ_HAZ_DPGREF,97,1)=INDEX(IHZ_HAZ_DPGREF,96,1))),TRUE,AND(INDEX(IHZ_HAZ_DGCLASSIFI,97,1)&lt;&gt;"",INDEX(IHZ_HAZ_TEXTUALREF,97,1)&lt;&gt;"",INDEX(IHZ_HAZ_TOTAMOUNT,97,1)&lt;&gt;""))</f>
        <v>1</v>
      </c>
      <c r="H104" t="str">
        <f t="shared" si="2"/>
        <v>Row 97 - All mandatory fields must be given</v>
      </c>
      <c r="I104" t="s">
        <v>33308</v>
      </c>
      <c r="J104" t="b">
        <f>IF(OR(INDEX(OHZ_HAZ_CONSIGNMENT,97,1)="",AND(INDEX(OHZ_HAZ_DPGREF,97,1)&lt;&gt;"",INDEX(OHZ_HAZ_CONSIGNMENT,97,1)=INDEX(OHZ_HAZ_CONSIGNMENT,96,1),INDEX(OHZ_HAZ_DPGREF,97,1)=INDEX(OHZ_HAZ_DPGREF,96,1))),TRUE,AND(INDEX(OHZ_HAZ_DGCLASSIFI,97,1)&lt;&gt;"",INDEX(OHZ_HAZ_TEXTUALREF,97,1)&lt;&gt;"",INDEX(OHZ_HAZ_TOTAMOUNT,97,1)&lt;&gt;""))</f>
        <v>1</v>
      </c>
      <c r="K104" t="str">
        <f t="shared" si="3"/>
        <v>Row 97 - All mandatory fields must be given</v>
      </c>
      <c r="L104" t="s">
        <v>33308</v>
      </c>
      <c r="T104" t="s">
        <v>33615</v>
      </c>
    </row>
    <row r="105" spans="1:20" x14ac:dyDescent="0.2">
      <c r="F105" t="s">
        <v>33308</v>
      </c>
      <c r="G105" t="b">
        <f>IF(OR(INDEX(IHZ_HAZ_CONSIGNMENT,98,1)="",AND(INDEX(IHZ_HAZ_DPGREF,98,1)&lt;&gt;"",INDEX(IHZ_HAZ_CONSIGNMENT,98,1)=INDEX(IHZ_HAZ_CONSIGNMENT,97,1),INDEX(IHZ_HAZ_DPGREF,98,1)=INDEX(IHZ_HAZ_DPGREF,97,1))),TRUE,AND(INDEX(IHZ_HAZ_DGCLASSIFI,98,1)&lt;&gt;"",INDEX(IHZ_HAZ_TEXTUALREF,98,1)&lt;&gt;"",INDEX(IHZ_HAZ_TOTAMOUNT,98,1)&lt;&gt;""))</f>
        <v>1</v>
      </c>
      <c r="H105" t="str">
        <f t="shared" si="2"/>
        <v>Row 98 - All mandatory fields must be given</v>
      </c>
      <c r="I105" t="s">
        <v>33308</v>
      </c>
      <c r="J105" t="b">
        <f>IF(OR(INDEX(OHZ_HAZ_CONSIGNMENT,98,1)="",AND(INDEX(OHZ_HAZ_DPGREF,98,1)&lt;&gt;"",INDEX(OHZ_HAZ_CONSIGNMENT,98,1)=INDEX(OHZ_HAZ_CONSIGNMENT,97,1),INDEX(OHZ_HAZ_DPGREF,98,1)=INDEX(OHZ_HAZ_DPGREF,97,1))),TRUE,AND(INDEX(OHZ_HAZ_DGCLASSIFI,98,1)&lt;&gt;"",INDEX(OHZ_HAZ_TEXTUALREF,98,1)&lt;&gt;"",INDEX(OHZ_HAZ_TOTAMOUNT,98,1)&lt;&gt;""))</f>
        <v>1</v>
      </c>
      <c r="K105" t="str">
        <f t="shared" si="3"/>
        <v>Row 98 - All mandatory fields must be given</v>
      </c>
      <c r="L105" t="s">
        <v>33308</v>
      </c>
      <c r="T105" t="s">
        <v>33616</v>
      </c>
    </row>
    <row r="106" spans="1:20" x14ac:dyDescent="0.2">
      <c r="F106" t="s">
        <v>33308</v>
      </c>
      <c r="G106" t="b">
        <f>IF(OR(INDEX(IHZ_HAZ_CONSIGNMENT,99,1)="",AND(INDEX(IHZ_HAZ_DPGREF,99,1)&lt;&gt;"",INDEX(IHZ_HAZ_CONSIGNMENT,99,1)=INDEX(IHZ_HAZ_CONSIGNMENT,98,1),INDEX(IHZ_HAZ_DPGREF,99,1)=INDEX(IHZ_HAZ_DPGREF,98,1))),TRUE,AND(INDEX(IHZ_HAZ_DGCLASSIFI,99,1)&lt;&gt;"",INDEX(IHZ_HAZ_TEXTUALREF,99,1)&lt;&gt;"",INDEX(IHZ_HAZ_TOTAMOUNT,99,1)&lt;&gt;""))</f>
        <v>1</v>
      </c>
      <c r="H106" t="str">
        <f t="shared" si="2"/>
        <v>Row 99 - All mandatory fields must be given</v>
      </c>
      <c r="I106" t="s">
        <v>33308</v>
      </c>
      <c r="J106" t="b">
        <f>IF(OR(INDEX(OHZ_HAZ_CONSIGNMENT,99,1)="",AND(INDEX(OHZ_HAZ_DPGREF,99,1)&lt;&gt;"",INDEX(OHZ_HAZ_CONSIGNMENT,99,1)=INDEX(OHZ_HAZ_CONSIGNMENT,98,1),INDEX(OHZ_HAZ_DPGREF,99,1)=INDEX(OHZ_HAZ_DPGREF,98,1))),TRUE,AND(INDEX(OHZ_HAZ_DGCLASSIFI,99,1)&lt;&gt;"",INDEX(OHZ_HAZ_TEXTUALREF,99,1)&lt;&gt;"",INDEX(OHZ_HAZ_TOTAMOUNT,99,1)&lt;&gt;""))</f>
        <v>1</v>
      </c>
      <c r="K106" t="str">
        <f t="shared" si="3"/>
        <v>Row 99 - All mandatory fields must be given</v>
      </c>
      <c r="L106" t="s">
        <v>33308</v>
      </c>
      <c r="T106" t="s">
        <v>33617</v>
      </c>
    </row>
    <row r="107" spans="1:20" x14ac:dyDescent="0.2">
      <c r="F107" t="s">
        <v>33308</v>
      </c>
      <c r="G107" t="b">
        <f>IF(OR(INDEX(IHZ_HAZ_CONSIGNMENT,100,1)="",AND(INDEX(IHZ_HAZ_DPGREF,100,1)&lt;&gt;"",INDEX(IHZ_HAZ_CONSIGNMENT,100,1)=INDEX(IHZ_HAZ_CONSIGNMENT,99,1),INDEX(IHZ_HAZ_DPGREF,100,1)=INDEX(IHZ_HAZ_DPGREF,99,1))),TRUE,AND(INDEX(IHZ_HAZ_DGCLASSIFI,100,1)&lt;&gt;"",INDEX(IHZ_HAZ_TEXTUALREF,100,1)&lt;&gt;"",INDEX(IHZ_HAZ_TOTAMOUNT,100,1)&lt;&gt;""))</f>
        <v>1</v>
      </c>
      <c r="H107" t="str">
        <f t="shared" si="2"/>
        <v>Row 100 - All mandatory fields must be given</v>
      </c>
      <c r="I107" t="s">
        <v>33308</v>
      </c>
      <c r="J107" t="b">
        <f>IF(OR(INDEX(OHZ_HAZ_CONSIGNMENT,100,1)="",AND(INDEX(OHZ_HAZ_DPGREF,100,1)&lt;&gt;"",INDEX(OHZ_HAZ_CONSIGNMENT,100,1)=INDEX(OHZ_HAZ_CONSIGNMENT,99,1),INDEX(OHZ_HAZ_DPGREF,100,1)=INDEX(OHZ_HAZ_DPGREF,99,1))),TRUE,AND(INDEX(OHZ_HAZ_DGCLASSIFI,100,1)&lt;&gt;"",INDEX(OHZ_HAZ_TEXTUALREF,100,1)&lt;&gt;"",INDEX(OHZ_HAZ_TOTAMOUNT,100,1)&lt;&gt;""))</f>
        <v>1</v>
      </c>
      <c r="K107" t="str">
        <f t="shared" si="3"/>
        <v>Row 100 - All mandatory fields must be given</v>
      </c>
      <c r="L107" t="s">
        <v>33308</v>
      </c>
      <c r="T107" t="s">
        <v>33618</v>
      </c>
    </row>
    <row r="108" spans="1:20" x14ac:dyDescent="0.2">
      <c r="F108" t="s">
        <v>33308</v>
      </c>
      <c r="G108" t="b">
        <f>IF(OR(INDEX(IHZ_HAZ_CONSIGNMENT,101,1)="",AND(INDEX(IHZ_HAZ_DPGREF,101,1)&lt;&gt;"",INDEX(IHZ_HAZ_CONSIGNMENT,101,1)=INDEX(IHZ_HAZ_CONSIGNMENT,100,1),INDEX(IHZ_HAZ_DPGREF,101,1)=INDEX(IHZ_HAZ_DPGREF,100,1))),TRUE,AND(INDEX(IHZ_HAZ_DGCLASSIFI,101,1)&lt;&gt;"",INDEX(IHZ_HAZ_TEXTUALREF,101,1)&lt;&gt;"",INDEX(IHZ_HAZ_TOTAMOUNT,101,1)&lt;&gt;""))</f>
        <v>1</v>
      </c>
      <c r="H108" t="str">
        <f t="shared" si="2"/>
        <v>Row 101 - All mandatory fields must be given</v>
      </c>
      <c r="I108" t="s">
        <v>33308</v>
      </c>
      <c r="J108" t="b">
        <f>IF(OR(INDEX(OHZ_HAZ_CONSIGNMENT,101,1)="",AND(INDEX(OHZ_HAZ_DPGREF,101,1)&lt;&gt;"",INDEX(OHZ_HAZ_CONSIGNMENT,101,1)=INDEX(OHZ_HAZ_CONSIGNMENT,100,1),INDEX(OHZ_HAZ_DPGREF,101,1)=INDEX(OHZ_HAZ_DPGREF,100,1))),TRUE,AND(INDEX(OHZ_HAZ_DGCLASSIFI,101,1)&lt;&gt;"",INDEX(OHZ_HAZ_TEXTUALREF,101,1)&lt;&gt;"",INDEX(OHZ_HAZ_TOTAMOUNT,101,1)&lt;&gt;""))</f>
        <v>1</v>
      </c>
      <c r="K108" t="str">
        <f t="shared" si="3"/>
        <v>Row 101 - All mandatory fields must be given</v>
      </c>
      <c r="L108" t="s">
        <v>33308</v>
      </c>
      <c r="T108" t="s">
        <v>33619</v>
      </c>
    </row>
    <row r="109" spans="1:20" x14ac:dyDescent="0.2">
      <c r="F109" t="s">
        <v>33308</v>
      </c>
      <c r="G109" t="b">
        <f>IF(OR(INDEX(IHZ_HAZ_CONSIGNMENT,102,1)="",AND(INDEX(IHZ_HAZ_DPGREF,102,1)&lt;&gt;"",INDEX(IHZ_HAZ_CONSIGNMENT,102,1)=INDEX(IHZ_HAZ_CONSIGNMENT,101,1),INDEX(IHZ_HAZ_DPGREF,102,1)=INDEX(IHZ_HAZ_DPGREF,101,1))),TRUE,AND(INDEX(IHZ_HAZ_DGCLASSIFI,102,1)&lt;&gt;"",INDEX(IHZ_HAZ_TEXTUALREF,102,1)&lt;&gt;"",INDEX(IHZ_HAZ_TOTAMOUNT,102,1)&lt;&gt;""))</f>
        <v>1</v>
      </c>
      <c r="H109" t="str">
        <f t="shared" si="2"/>
        <v>Row 102 - All mandatory fields must be given</v>
      </c>
      <c r="I109" t="s">
        <v>33308</v>
      </c>
      <c r="J109" t="b">
        <f>IF(OR(INDEX(OHZ_HAZ_CONSIGNMENT,102,1)="",AND(INDEX(OHZ_HAZ_DPGREF,102,1)&lt;&gt;"",INDEX(OHZ_HAZ_CONSIGNMENT,102,1)=INDEX(OHZ_HAZ_CONSIGNMENT,101,1),INDEX(OHZ_HAZ_DPGREF,102,1)=INDEX(OHZ_HAZ_DPGREF,101,1))),TRUE,AND(INDEX(OHZ_HAZ_DGCLASSIFI,102,1)&lt;&gt;"",INDEX(OHZ_HAZ_TEXTUALREF,102,1)&lt;&gt;"",INDEX(OHZ_HAZ_TOTAMOUNT,102,1)&lt;&gt;""))</f>
        <v>1</v>
      </c>
      <c r="K109" t="str">
        <f t="shared" si="3"/>
        <v>Row 102 - All mandatory fields must be given</v>
      </c>
      <c r="L109" t="s">
        <v>33308</v>
      </c>
      <c r="T109" t="s">
        <v>33620</v>
      </c>
    </row>
    <row r="110" spans="1:20" x14ac:dyDescent="0.2">
      <c r="D110" t="b">
        <f>OR(WAS_LOC_LOCODE="",COUNTIF(REF_LOCODES,WAS_LOC_LOCODE)&gt;0)</f>
        <v>1</v>
      </c>
      <c r="E110" t="s">
        <v>33437</v>
      </c>
      <c r="F110" t="s">
        <v>33308</v>
      </c>
      <c r="G110" t="b">
        <f>IF(OR(INDEX(IHZ_HAZ_CONSIGNMENT,103,1)="",AND(INDEX(IHZ_HAZ_DPGREF,103,1)&lt;&gt;"",INDEX(IHZ_HAZ_CONSIGNMENT,103,1)=INDEX(IHZ_HAZ_CONSIGNMENT,102,1),INDEX(IHZ_HAZ_DPGREF,103,1)=INDEX(IHZ_HAZ_DPGREF,102,1))),TRUE,AND(INDEX(IHZ_HAZ_DGCLASSIFI,103,1)&lt;&gt;"",INDEX(IHZ_HAZ_TEXTUALREF,103,1)&lt;&gt;"",INDEX(IHZ_HAZ_TOTAMOUNT,103,1)&lt;&gt;""))</f>
        <v>1</v>
      </c>
      <c r="H110" t="str">
        <f t="shared" si="2"/>
        <v>Row 103 - All mandatory fields must be given</v>
      </c>
      <c r="I110" t="s">
        <v>33308</v>
      </c>
      <c r="J110" t="b">
        <f>IF(OR(INDEX(OHZ_HAZ_CONSIGNMENT,103,1)="",AND(INDEX(OHZ_HAZ_DPGREF,103,1)&lt;&gt;"",INDEX(OHZ_HAZ_CONSIGNMENT,103,1)=INDEX(OHZ_HAZ_CONSIGNMENT,102,1),INDEX(OHZ_HAZ_DPGREF,103,1)=INDEX(OHZ_HAZ_DPGREF,102,1))),TRUE,AND(INDEX(OHZ_HAZ_DGCLASSIFI,103,1)&lt;&gt;"",INDEX(OHZ_HAZ_TEXTUALREF,103,1)&lt;&gt;"",INDEX(OHZ_HAZ_TOTAMOUNT,103,1)&lt;&gt;""))</f>
        <v>1</v>
      </c>
      <c r="K110" t="str">
        <f t="shared" si="3"/>
        <v>Row 103 - All mandatory fields must be given</v>
      </c>
      <c r="L110" t="s">
        <v>33308</v>
      </c>
      <c r="T110" t="s">
        <v>33621</v>
      </c>
    </row>
    <row r="111" spans="1:20" x14ac:dyDescent="0.2">
      <c r="F111" t="s">
        <v>33308</v>
      </c>
      <c r="G111" t="b">
        <f>IF(OR(INDEX(IHZ_HAZ_CONSIGNMENT,104,1)="",AND(INDEX(IHZ_HAZ_DPGREF,104,1)&lt;&gt;"",INDEX(IHZ_HAZ_CONSIGNMENT,104,1)=INDEX(IHZ_HAZ_CONSIGNMENT,103,1),INDEX(IHZ_HAZ_DPGREF,104,1)=INDEX(IHZ_HAZ_DPGREF,103,1))),TRUE,AND(INDEX(IHZ_HAZ_DGCLASSIFI,104,1)&lt;&gt;"",INDEX(IHZ_HAZ_TEXTUALREF,104,1)&lt;&gt;"",INDEX(IHZ_HAZ_TOTAMOUNT,104,1)&lt;&gt;""))</f>
        <v>1</v>
      </c>
      <c r="H111" t="str">
        <f t="shared" si="2"/>
        <v>Row 104 - All mandatory fields must be given</v>
      </c>
      <c r="I111" t="s">
        <v>33308</v>
      </c>
      <c r="J111" t="b">
        <f>IF(OR(INDEX(OHZ_HAZ_CONSIGNMENT,104,1)="",AND(INDEX(OHZ_HAZ_DPGREF,104,1)&lt;&gt;"",INDEX(OHZ_HAZ_CONSIGNMENT,104,1)=INDEX(OHZ_HAZ_CONSIGNMENT,103,1),INDEX(OHZ_HAZ_DPGREF,104,1)=INDEX(OHZ_HAZ_DPGREF,103,1))),TRUE,AND(INDEX(OHZ_HAZ_DGCLASSIFI,104,1)&lt;&gt;"",INDEX(OHZ_HAZ_TEXTUALREF,104,1)&lt;&gt;"",INDEX(OHZ_HAZ_TOTAMOUNT,104,1)&lt;&gt;""))</f>
        <v>1</v>
      </c>
      <c r="K111" t="str">
        <f t="shared" si="3"/>
        <v>Row 104 - All mandatory fields must be given</v>
      </c>
      <c r="L111" t="s">
        <v>33308</v>
      </c>
      <c r="T111" t="s">
        <v>33622</v>
      </c>
    </row>
    <row r="112" spans="1:20" x14ac:dyDescent="0.2">
      <c r="F112" t="s">
        <v>33308</v>
      </c>
      <c r="G112" t="b">
        <f>IF(OR(INDEX(IHZ_HAZ_CONSIGNMENT,105,1)="",AND(INDEX(IHZ_HAZ_DPGREF,105,1)&lt;&gt;"",INDEX(IHZ_HAZ_CONSIGNMENT,105,1)=INDEX(IHZ_HAZ_CONSIGNMENT,104,1),INDEX(IHZ_HAZ_DPGREF,105,1)=INDEX(IHZ_HAZ_DPGREF,104,1))),TRUE,AND(INDEX(IHZ_HAZ_DGCLASSIFI,105,1)&lt;&gt;"",INDEX(IHZ_HAZ_TEXTUALREF,105,1)&lt;&gt;"",INDEX(IHZ_HAZ_TOTAMOUNT,105,1)&lt;&gt;""))</f>
        <v>1</v>
      </c>
      <c r="H112" t="str">
        <f t="shared" si="2"/>
        <v>Row 105 - All mandatory fields must be given</v>
      </c>
      <c r="I112" t="s">
        <v>33308</v>
      </c>
      <c r="J112" t="b">
        <f>IF(OR(INDEX(OHZ_HAZ_CONSIGNMENT,105,1)="",AND(INDEX(OHZ_HAZ_DPGREF,105,1)&lt;&gt;"",INDEX(OHZ_HAZ_CONSIGNMENT,105,1)=INDEX(OHZ_HAZ_CONSIGNMENT,104,1),INDEX(OHZ_HAZ_DPGREF,105,1)=INDEX(OHZ_HAZ_DPGREF,104,1))),TRUE,AND(INDEX(OHZ_HAZ_DGCLASSIFI,105,1)&lt;&gt;"",INDEX(OHZ_HAZ_TEXTUALREF,105,1)&lt;&gt;"",INDEX(OHZ_HAZ_TOTAMOUNT,105,1)&lt;&gt;""))</f>
        <v>1</v>
      </c>
      <c r="K112" t="str">
        <f t="shared" si="3"/>
        <v>Row 105 - All mandatory fields must be given</v>
      </c>
      <c r="L112" t="s">
        <v>33308</v>
      </c>
      <c r="T112" t="s">
        <v>33623</v>
      </c>
    </row>
    <row r="113" spans="4:20" x14ac:dyDescent="0.2">
      <c r="D113" t="b">
        <f>LEN(WAS_LOC_LOCNAME)&lt;51</f>
        <v>1</v>
      </c>
      <c r="E113" t="s">
        <v>33436</v>
      </c>
      <c r="F113" t="s">
        <v>33308</v>
      </c>
      <c r="G113" t="b">
        <f>IF(OR(INDEX(IHZ_HAZ_CONSIGNMENT,106,1)="",AND(INDEX(IHZ_HAZ_DPGREF,106,1)&lt;&gt;"",INDEX(IHZ_HAZ_CONSIGNMENT,106,1)=INDEX(IHZ_HAZ_CONSIGNMENT,105,1),INDEX(IHZ_HAZ_DPGREF,106,1)=INDEX(IHZ_HAZ_DPGREF,105,1))),TRUE,AND(INDEX(IHZ_HAZ_DGCLASSIFI,106,1)&lt;&gt;"",INDEX(IHZ_HAZ_TEXTUALREF,106,1)&lt;&gt;"",INDEX(IHZ_HAZ_TOTAMOUNT,106,1)&lt;&gt;""))</f>
        <v>1</v>
      </c>
      <c r="H113" t="str">
        <f t="shared" si="2"/>
        <v>Row 106 - All mandatory fields must be given</v>
      </c>
      <c r="I113" t="s">
        <v>33308</v>
      </c>
      <c r="J113" t="b">
        <f>IF(OR(INDEX(OHZ_HAZ_CONSIGNMENT,106,1)="",AND(INDEX(OHZ_HAZ_DPGREF,106,1)&lt;&gt;"",INDEX(OHZ_HAZ_CONSIGNMENT,106,1)=INDEX(OHZ_HAZ_CONSIGNMENT,105,1),INDEX(OHZ_HAZ_DPGREF,106,1)=INDEX(OHZ_HAZ_DPGREF,105,1))),TRUE,AND(INDEX(OHZ_HAZ_DGCLASSIFI,106,1)&lt;&gt;"",INDEX(OHZ_HAZ_TEXTUALREF,106,1)&lt;&gt;"",INDEX(OHZ_HAZ_TOTAMOUNT,106,1)&lt;&gt;""))</f>
        <v>1</v>
      </c>
      <c r="K113" t="str">
        <f t="shared" si="3"/>
        <v>Row 106 - All mandatory fields must be given</v>
      </c>
      <c r="L113" t="s">
        <v>33308</v>
      </c>
      <c r="T113" t="s">
        <v>33624</v>
      </c>
    </row>
    <row r="114" spans="4:20" x14ac:dyDescent="0.2">
      <c r="D114" t="b">
        <f>OR(WAS_OVE_LASTPORT="",COUNTIF(REF_LOCODES,WAS_OVE_LASTPORT)&gt;0)</f>
        <v>1</v>
      </c>
      <c r="E114" t="s">
        <v>33438</v>
      </c>
      <c r="F114" t="s">
        <v>33308</v>
      </c>
      <c r="G114" t="b">
        <f>IF(OR(INDEX(IHZ_HAZ_CONSIGNMENT,107,1)="",AND(INDEX(IHZ_HAZ_DPGREF,107,1)&lt;&gt;"",INDEX(IHZ_HAZ_CONSIGNMENT,107,1)=INDEX(IHZ_HAZ_CONSIGNMENT,106,1),INDEX(IHZ_HAZ_DPGREF,107,1)=INDEX(IHZ_HAZ_DPGREF,106,1))),TRUE,AND(INDEX(IHZ_HAZ_DGCLASSIFI,107,1)&lt;&gt;"",INDEX(IHZ_HAZ_TEXTUALREF,107,1)&lt;&gt;"",INDEX(IHZ_HAZ_TOTAMOUNT,107,1)&lt;&gt;""))</f>
        <v>1</v>
      </c>
      <c r="H114" t="str">
        <f t="shared" si="2"/>
        <v>Row 107 - All mandatory fields must be given</v>
      </c>
      <c r="I114" t="s">
        <v>33308</v>
      </c>
      <c r="J114" t="b">
        <f>IF(OR(INDEX(OHZ_HAZ_CONSIGNMENT,107,1)="",AND(INDEX(OHZ_HAZ_DPGREF,107,1)&lt;&gt;"",INDEX(OHZ_HAZ_CONSIGNMENT,107,1)=INDEX(OHZ_HAZ_CONSIGNMENT,106,1),INDEX(OHZ_HAZ_DPGREF,107,1)=INDEX(OHZ_HAZ_DPGREF,106,1))),TRUE,AND(INDEX(OHZ_HAZ_DGCLASSIFI,107,1)&lt;&gt;"",INDEX(OHZ_HAZ_TEXTUALREF,107,1)&lt;&gt;"",INDEX(OHZ_HAZ_TOTAMOUNT,107,1)&lt;&gt;""))</f>
        <v>1</v>
      </c>
      <c r="K114" t="str">
        <f t="shared" si="3"/>
        <v>Row 107 - All mandatory fields must be given</v>
      </c>
      <c r="L114" t="s">
        <v>33308</v>
      </c>
      <c r="T114" t="s">
        <v>33625</v>
      </c>
    </row>
    <row r="115" spans="4:20" x14ac:dyDescent="0.2">
      <c r="F115" t="s">
        <v>33308</v>
      </c>
      <c r="G115" t="b">
        <f>IF(OR(INDEX(IHZ_HAZ_CONSIGNMENT,108,1)="",AND(INDEX(IHZ_HAZ_DPGREF,108,1)&lt;&gt;"",INDEX(IHZ_HAZ_CONSIGNMENT,108,1)=INDEX(IHZ_HAZ_CONSIGNMENT,107,1),INDEX(IHZ_HAZ_DPGREF,108,1)=INDEX(IHZ_HAZ_DPGREF,107,1))),TRUE,AND(INDEX(IHZ_HAZ_DGCLASSIFI,108,1)&lt;&gt;"",INDEX(IHZ_HAZ_TEXTUALREF,108,1)&lt;&gt;"",INDEX(IHZ_HAZ_TOTAMOUNT,108,1)&lt;&gt;""))</f>
        <v>1</v>
      </c>
      <c r="H115" t="str">
        <f t="shared" si="2"/>
        <v>Row 108 - All mandatory fields must be given</v>
      </c>
      <c r="I115" t="s">
        <v>33308</v>
      </c>
      <c r="J115" t="b">
        <f>IF(OR(INDEX(OHZ_HAZ_CONSIGNMENT,108,1)="",AND(INDEX(OHZ_HAZ_DPGREF,108,1)&lt;&gt;"",INDEX(OHZ_HAZ_CONSIGNMENT,108,1)=INDEX(OHZ_HAZ_CONSIGNMENT,107,1),INDEX(OHZ_HAZ_DPGREF,108,1)=INDEX(OHZ_HAZ_DPGREF,107,1))),TRUE,AND(INDEX(OHZ_HAZ_DGCLASSIFI,108,1)&lt;&gt;"",INDEX(OHZ_HAZ_TEXTUALREF,108,1)&lt;&gt;"",INDEX(OHZ_HAZ_TOTAMOUNT,108,1)&lt;&gt;""))</f>
        <v>1</v>
      </c>
      <c r="K115" t="str">
        <f t="shared" si="3"/>
        <v>Row 108 - All mandatory fields must be given</v>
      </c>
      <c r="L115" t="s">
        <v>33308</v>
      </c>
      <c r="T115" t="s">
        <v>33626</v>
      </c>
    </row>
    <row r="116" spans="4:20" x14ac:dyDescent="0.2">
      <c r="D116" t="b">
        <f>COUNTIF(Waste_delivery_status,WAS_OVE_STATUS)=1</f>
        <v>0</v>
      </c>
      <c r="E116" t="s">
        <v>33440</v>
      </c>
      <c r="F116" t="s">
        <v>33308</v>
      </c>
      <c r="G116" t="b">
        <f>IF(OR(INDEX(IHZ_HAZ_CONSIGNMENT,109,1)="",AND(INDEX(IHZ_HAZ_DPGREF,109,1)&lt;&gt;"",INDEX(IHZ_HAZ_CONSIGNMENT,109,1)=INDEX(IHZ_HAZ_CONSIGNMENT,108,1),INDEX(IHZ_HAZ_DPGREF,109,1)=INDEX(IHZ_HAZ_DPGREF,108,1))),TRUE,AND(INDEX(IHZ_HAZ_DGCLASSIFI,109,1)&lt;&gt;"",INDEX(IHZ_HAZ_TEXTUALREF,109,1)&lt;&gt;"",INDEX(IHZ_HAZ_TOTAMOUNT,109,1)&lt;&gt;""))</f>
        <v>1</v>
      </c>
      <c r="H116" t="str">
        <f t="shared" si="2"/>
        <v>Row 109 - All mandatory fields must be given</v>
      </c>
      <c r="I116" t="s">
        <v>33308</v>
      </c>
      <c r="J116" t="b">
        <f>IF(OR(INDEX(OHZ_HAZ_CONSIGNMENT,109,1)="",AND(INDEX(OHZ_HAZ_DPGREF,109,1)&lt;&gt;"",INDEX(OHZ_HAZ_CONSIGNMENT,109,1)=INDEX(OHZ_HAZ_CONSIGNMENT,108,1),INDEX(OHZ_HAZ_DPGREF,109,1)=INDEX(OHZ_HAZ_DPGREF,108,1))),TRUE,AND(INDEX(OHZ_HAZ_DGCLASSIFI,109,1)&lt;&gt;"",INDEX(OHZ_HAZ_TEXTUALREF,109,1)&lt;&gt;"",INDEX(OHZ_HAZ_TOTAMOUNT,109,1)&lt;&gt;""))</f>
        <v>1</v>
      </c>
      <c r="K116" t="str">
        <f t="shared" si="3"/>
        <v>Row 109 - All mandatory fields must be given</v>
      </c>
      <c r="L116" t="s">
        <v>33308</v>
      </c>
      <c r="T116" t="s">
        <v>33627</v>
      </c>
    </row>
    <row r="117" spans="4:20" x14ac:dyDescent="0.2">
      <c r="D117" t="b">
        <f>SUMPRODUCT(--(LEN(WAS_ITE_TYPEDESCRI)&gt;255))=0</f>
        <v>1</v>
      </c>
      <c r="E117" t="s">
        <v>33439</v>
      </c>
      <c r="F117" t="s">
        <v>33308</v>
      </c>
      <c r="G117" t="b">
        <f>IF(OR(INDEX(IHZ_HAZ_CONSIGNMENT,110,1)="",AND(INDEX(IHZ_HAZ_DPGREF,110,1)&lt;&gt;"",INDEX(IHZ_HAZ_CONSIGNMENT,110,1)=INDEX(IHZ_HAZ_CONSIGNMENT,109,1),INDEX(IHZ_HAZ_DPGREF,110,1)=INDEX(IHZ_HAZ_DPGREF,109,1))),TRUE,AND(INDEX(IHZ_HAZ_DGCLASSIFI,110,1)&lt;&gt;"",INDEX(IHZ_HAZ_TEXTUALREF,110,1)&lt;&gt;"",INDEX(IHZ_HAZ_TOTAMOUNT,110,1)&lt;&gt;""))</f>
        <v>1</v>
      </c>
      <c r="H117" t="str">
        <f t="shared" si="2"/>
        <v>Row 110 - All mandatory fields must be given</v>
      </c>
      <c r="I117" t="s">
        <v>33308</v>
      </c>
      <c r="J117" t="b">
        <f>IF(OR(INDEX(OHZ_HAZ_CONSIGNMENT,110,1)="",AND(INDEX(OHZ_HAZ_DPGREF,110,1)&lt;&gt;"",INDEX(OHZ_HAZ_CONSIGNMENT,110,1)=INDEX(OHZ_HAZ_CONSIGNMENT,109,1),INDEX(OHZ_HAZ_DPGREF,110,1)=INDEX(OHZ_HAZ_DPGREF,109,1))),TRUE,AND(INDEX(OHZ_HAZ_DGCLASSIFI,110,1)&lt;&gt;"",INDEX(OHZ_HAZ_TEXTUALREF,110,1)&lt;&gt;"",INDEX(OHZ_HAZ_TOTAMOUNT,110,1)&lt;&gt;""))</f>
        <v>1</v>
      </c>
      <c r="K117" t="str">
        <f t="shared" si="3"/>
        <v>Row 110 - All mandatory fields must be given</v>
      </c>
      <c r="L117" t="s">
        <v>33308</v>
      </c>
      <c r="T117" t="s">
        <v>33628</v>
      </c>
    </row>
    <row r="118" spans="4:20" x14ac:dyDescent="0.2">
      <c r="D118" t="b">
        <f>OR(ISBLANK(SUM(WAS_ITE_MAXSTORAG)),AND(ISNUMBER(SUM(WAS_ITE_MAXSTORAG)),SUM(WAS_ITE_MAXSTORAG)&lt;=9999999))</f>
        <v>1</v>
      </c>
      <c r="E118" s="484" t="s">
        <v>35141</v>
      </c>
      <c r="F118" t="s">
        <v>33308</v>
      </c>
      <c r="G118" t="b">
        <f>IF(OR(INDEX(IHZ_HAZ_CONSIGNMENT,111,1)="",AND(INDEX(IHZ_HAZ_DPGREF,111,1)&lt;&gt;"",INDEX(IHZ_HAZ_CONSIGNMENT,111,1)=INDEX(IHZ_HAZ_CONSIGNMENT,110,1),INDEX(IHZ_HAZ_DPGREF,111,1)=INDEX(IHZ_HAZ_DPGREF,110,1))),TRUE,AND(INDEX(IHZ_HAZ_DGCLASSIFI,111,1)&lt;&gt;"",INDEX(IHZ_HAZ_TEXTUALREF,111,1)&lt;&gt;"",INDEX(IHZ_HAZ_TOTAMOUNT,111,1)&lt;&gt;""))</f>
        <v>1</v>
      </c>
      <c r="H118" t="str">
        <f t="shared" si="2"/>
        <v>Row 111 - All mandatory fields must be given</v>
      </c>
      <c r="I118" t="s">
        <v>33308</v>
      </c>
      <c r="J118" t="b">
        <f>IF(OR(INDEX(OHZ_HAZ_CONSIGNMENT,111,1)="",AND(INDEX(OHZ_HAZ_DPGREF,111,1)&lt;&gt;"",INDEX(OHZ_HAZ_CONSIGNMENT,111,1)=INDEX(OHZ_HAZ_CONSIGNMENT,110,1),INDEX(OHZ_HAZ_DPGREF,111,1)=INDEX(OHZ_HAZ_DPGREF,110,1))),TRUE,AND(INDEX(OHZ_HAZ_DGCLASSIFI,111,1)&lt;&gt;"",INDEX(OHZ_HAZ_TEXTUALREF,111,1)&lt;&gt;"",INDEX(OHZ_HAZ_TOTAMOUNT,111,1)&lt;&gt;""))</f>
        <v>1</v>
      </c>
      <c r="K118" t="str">
        <f t="shared" si="3"/>
        <v>Row 111 - All mandatory fields must be given</v>
      </c>
      <c r="L118" t="s">
        <v>33308</v>
      </c>
      <c r="T118" t="s">
        <v>33629</v>
      </c>
    </row>
    <row r="119" spans="4:20" x14ac:dyDescent="0.2">
      <c r="D119" t="b">
        <f>OR(ISBLANK(SUM(WAS_ITE_RETAINED)),AND(ISNUMBER(SUM(WAS_ITE_RETAINED)),SUM(WAS_ITE_RETAINED)&lt;=9999999))</f>
        <v>1</v>
      </c>
      <c r="E119" s="484" t="s">
        <v>35142</v>
      </c>
      <c r="F119" t="s">
        <v>33308</v>
      </c>
      <c r="G119" t="b">
        <f>IF(OR(INDEX(IHZ_HAZ_CONSIGNMENT,112,1)="",AND(INDEX(IHZ_HAZ_DPGREF,112,1)&lt;&gt;"",INDEX(IHZ_HAZ_CONSIGNMENT,112,1)=INDEX(IHZ_HAZ_CONSIGNMENT,111,1),INDEX(IHZ_HAZ_DPGREF,112,1)=INDEX(IHZ_HAZ_DPGREF,111,1))),TRUE,AND(INDEX(IHZ_HAZ_DGCLASSIFI,112,1)&lt;&gt;"",INDEX(IHZ_HAZ_TEXTUALREF,112,1)&lt;&gt;"",INDEX(IHZ_HAZ_TOTAMOUNT,112,1)&lt;&gt;""))</f>
        <v>1</v>
      </c>
      <c r="H119" t="str">
        <f t="shared" si="2"/>
        <v>Row 112 - All mandatory fields must be given</v>
      </c>
      <c r="I119" t="s">
        <v>33308</v>
      </c>
      <c r="J119" t="b">
        <f>IF(OR(INDEX(OHZ_HAZ_CONSIGNMENT,112,1)="",AND(INDEX(OHZ_HAZ_DPGREF,112,1)&lt;&gt;"",INDEX(OHZ_HAZ_CONSIGNMENT,112,1)=INDEX(OHZ_HAZ_CONSIGNMENT,111,1),INDEX(OHZ_HAZ_DPGREF,112,1)=INDEX(OHZ_HAZ_DPGREF,111,1))),TRUE,AND(INDEX(OHZ_HAZ_DGCLASSIFI,112,1)&lt;&gt;"",INDEX(OHZ_HAZ_TEXTUALREF,112,1)&lt;&gt;"",INDEX(OHZ_HAZ_TOTAMOUNT,112,1)&lt;&gt;""))</f>
        <v>1</v>
      </c>
      <c r="K119" t="str">
        <f t="shared" si="3"/>
        <v>Row 112 - All mandatory fields must be given</v>
      </c>
      <c r="L119" t="s">
        <v>33308</v>
      </c>
      <c r="T119" t="s">
        <v>33630</v>
      </c>
    </row>
    <row r="120" spans="4:20" x14ac:dyDescent="0.2">
      <c r="F120" t="s">
        <v>33308</v>
      </c>
      <c r="G120" t="b">
        <f>IF(OR(INDEX(IHZ_HAZ_CONSIGNMENT,113,1)="",AND(INDEX(IHZ_HAZ_DPGREF,113,1)&lt;&gt;"",INDEX(IHZ_HAZ_CONSIGNMENT,113,1)=INDEX(IHZ_HAZ_CONSIGNMENT,112,1),INDEX(IHZ_HAZ_DPGREF,113,1)=INDEX(IHZ_HAZ_DPGREF,112,1))),TRUE,AND(INDEX(IHZ_HAZ_DGCLASSIFI,113,1)&lt;&gt;"",INDEX(IHZ_HAZ_TEXTUALREF,113,1)&lt;&gt;"",INDEX(IHZ_HAZ_TOTAMOUNT,113,1)&lt;&gt;""))</f>
        <v>1</v>
      </c>
      <c r="H120" t="str">
        <f t="shared" si="2"/>
        <v>Row 113 - All mandatory fields must be given</v>
      </c>
      <c r="I120" t="s">
        <v>33308</v>
      </c>
      <c r="J120" t="b">
        <f>IF(OR(INDEX(OHZ_HAZ_CONSIGNMENT,113,1)="",AND(INDEX(OHZ_HAZ_DPGREF,113,1)&lt;&gt;"",INDEX(OHZ_HAZ_CONSIGNMENT,113,1)=INDEX(OHZ_HAZ_CONSIGNMENT,112,1),INDEX(OHZ_HAZ_DPGREF,113,1)=INDEX(OHZ_HAZ_DPGREF,112,1))),TRUE,AND(INDEX(OHZ_HAZ_DGCLASSIFI,113,1)&lt;&gt;"",INDEX(OHZ_HAZ_TEXTUALREF,113,1)&lt;&gt;"",INDEX(OHZ_HAZ_TOTAMOUNT,113,1)&lt;&gt;""))</f>
        <v>1</v>
      </c>
      <c r="K120" t="str">
        <f t="shared" si="3"/>
        <v>Row 113 - All mandatory fields must be given</v>
      </c>
      <c r="L120" t="s">
        <v>33308</v>
      </c>
      <c r="T120" t="s">
        <v>33631</v>
      </c>
    </row>
    <row r="121" spans="4:20" x14ac:dyDescent="0.2">
      <c r="F121" t="s">
        <v>33308</v>
      </c>
      <c r="G121" t="b">
        <f>IF(OR(INDEX(IHZ_HAZ_CONSIGNMENT,114,1)="",AND(INDEX(IHZ_HAZ_DPGREF,114,1)&lt;&gt;"",INDEX(IHZ_HAZ_CONSIGNMENT,114,1)=INDEX(IHZ_HAZ_CONSIGNMENT,113,1),INDEX(IHZ_HAZ_DPGREF,114,1)=INDEX(IHZ_HAZ_DPGREF,113,1))),TRUE,AND(INDEX(IHZ_HAZ_DGCLASSIFI,114,1)&lt;&gt;"",INDEX(IHZ_HAZ_TEXTUALREF,114,1)&lt;&gt;"",INDEX(IHZ_HAZ_TOTAMOUNT,114,1)&lt;&gt;""))</f>
        <v>1</v>
      </c>
      <c r="H121" t="str">
        <f t="shared" si="2"/>
        <v>Row 114 - All mandatory fields must be given</v>
      </c>
      <c r="I121" t="s">
        <v>33308</v>
      </c>
      <c r="J121" t="b">
        <f>IF(OR(INDEX(OHZ_HAZ_CONSIGNMENT,114,1)="",AND(INDEX(OHZ_HAZ_DPGREF,114,1)&lt;&gt;"",INDEX(OHZ_HAZ_CONSIGNMENT,114,1)=INDEX(OHZ_HAZ_CONSIGNMENT,113,1),INDEX(OHZ_HAZ_DPGREF,114,1)=INDEX(OHZ_HAZ_DPGREF,113,1))),TRUE,AND(INDEX(OHZ_HAZ_DGCLASSIFI,114,1)&lt;&gt;"",INDEX(OHZ_HAZ_TEXTUALREF,114,1)&lt;&gt;"",INDEX(OHZ_HAZ_TOTAMOUNT,114,1)&lt;&gt;""))</f>
        <v>1</v>
      </c>
      <c r="K121" t="str">
        <f t="shared" si="3"/>
        <v>Row 114 - All mandatory fields must be given</v>
      </c>
      <c r="L121" t="s">
        <v>33308</v>
      </c>
      <c r="T121" t="s">
        <v>33632</v>
      </c>
    </row>
    <row r="122" spans="4:20" x14ac:dyDescent="0.2">
      <c r="F122" t="s">
        <v>33308</v>
      </c>
      <c r="G122" t="b">
        <f>IF(OR(INDEX(IHZ_HAZ_CONSIGNMENT,115,1)="",AND(INDEX(IHZ_HAZ_DPGREF,115,1)&lt;&gt;"",INDEX(IHZ_HAZ_CONSIGNMENT,115,1)=INDEX(IHZ_HAZ_CONSIGNMENT,114,1),INDEX(IHZ_HAZ_DPGREF,115,1)=INDEX(IHZ_HAZ_DPGREF,114,1))),TRUE,AND(INDEX(IHZ_HAZ_DGCLASSIFI,115,1)&lt;&gt;"",INDEX(IHZ_HAZ_TEXTUALREF,115,1)&lt;&gt;"",INDEX(IHZ_HAZ_TOTAMOUNT,115,1)&lt;&gt;""))</f>
        <v>1</v>
      </c>
      <c r="H122" t="str">
        <f t="shared" si="2"/>
        <v>Row 115 - All mandatory fields must be given</v>
      </c>
      <c r="I122" t="s">
        <v>33308</v>
      </c>
      <c r="J122" t="b">
        <f>IF(OR(INDEX(OHZ_HAZ_CONSIGNMENT,115,1)="",AND(INDEX(OHZ_HAZ_DPGREF,115,1)&lt;&gt;"",INDEX(OHZ_HAZ_CONSIGNMENT,115,1)=INDEX(OHZ_HAZ_CONSIGNMENT,114,1),INDEX(OHZ_HAZ_DPGREF,115,1)=INDEX(OHZ_HAZ_DPGREF,114,1))),TRUE,AND(INDEX(OHZ_HAZ_DGCLASSIFI,115,1)&lt;&gt;"",INDEX(OHZ_HAZ_TEXTUALREF,115,1)&lt;&gt;"",INDEX(OHZ_HAZ_TOTAMOUNT,115,1)&lt;&gt;""))</f>
        <v>1</v>
      </c>
      <c r="K122" t="str">
        <f t="shared" si="3"/>
        <v>Row 115 - All mandatory fields must be given</v>
      </c>
      <c r="L122" t="s">
        <v>33308</v>
      </c>
      <c r="T122" t="s">
        <v>33633</v>
      </c>
    </row>
    <row r="123" spans="4:20" x14ac:dyDescent="0.2">
      <c r="F123" t="s">
        <v>33308</v>
      </c>
      <c r="G123" t="b">
        <f>IF(OR(INDEX(IHZ_HAZ_CONSIGNMENT,116,1)="",AND(INDEX(IHZ_HAZ_DPGREF,116,1)&lt;&gt;"",INDEX(IHZ_HAZ_CONSIGNMENT,116,1)=INDEX(IHZ_HAZ_CONSIGNMENT,115,1),INDEX(IHZ_HAZ_DPGREF,116,1)=INDEX(IHZ_HAZ_DPGREF,115,1))),TRUE,AND(INDEX(IHZ_HAZ_DGCLASSIFI,116,1)&lt;&gt;"",INDEX(IHZ_HAZ_TEXTUALREF,116,1)&lt;&gt;"",INDEX(IHZ_HAZ_TOTAMOUNT,116,1)&lt;&gt;""))</f>
        <v>1</v>
      </c>
      <c r="H123" t="str">
        <f t="shared" si="2"/>
        <v>Row 116 - All mandatory fields must be given</v>
      </c>
      <c r="I123" t="s">
        <v>33308</v>
      </c>
      <c r="J123" t="b">
        <f>IF(OR(INDEX(OHZ_HAZ_CONSIGNMENT,116,1)="",AND(INDEX(OHZ_HAZ_DPGREF,116,1)&lt;&gt;"",INDEX(OHZ_HAZ_CONSIGNMENT,116,1)=INDEX(OHZ_HAZ_CONSIGNMENT,115,1),INDEX(OHZ_HAZ_DPGREF,116,1)=INDEX(OHZ_HAZ_DPGREF,115,1))),TRUE,AND(INDEX(OHZ_HAZ_DGCLASSIFI,116,1)&lt;&gt;"",INDEX(OHZ_HAZ_TEXTUALREF,116,1)&lt;&gt;"",INDEX(OHZ_HAZ_TOTAMOUNT,116,1)&lt;&gt;""))</f>
        <v>1</v>
      </c>
      <c r="K123" t="str">
        <f t="shared" si="3"/>
        <v>Row 116 - All mandatory fields must be given</v>
      </c>
      <c r="L123" t="s">
        <v>33308</v>
      </c>
      <c r="T123" t="s">
        <v>33634</v>
      </c>
    </row>
    <row r="124" spans="4:20" x14ac:dyDescent="0.2">
      <c r="F124" t="s">
        <v>33308</v>
      </c>
      <c r="G124" t="b">
        <f>IF(OR(INDEX(IHZ_HAZ_CONSIGNMENT,117,1)="",AND(INDEX(IHZ_HAZ_DPGREF,117,1)&lt;&gt;"",INDEX(IHZ_HAZ_CONSIGNMENT,117,1)=INDEX(IHZ_HAZ_CONSIGNMENT,116,1),INDEX(IHZ_HAZ_DPGREF,117,1)=INDEX(IHZ_HAZ_DPGREF,116,1))),TRUE,AND(INDEX(IHZ_HAZ_DGCLASSIFI,117,1)&lt;&gt;"",INDEX(IHZ_HAZ_TEXTUALREF,117,1)&lt;&gt;"",INDEX(IHZ_HAZ_TOTAMOUNT,117,1)&lt;&gt;""))</f>
        <v>1</v>
      </c>
      <c r="H124" t="str">
        <f t="shared" si="2"/>
        <v>Row 117 - All mandatory fields must be given</v>
      </c>
      <c r="I124" t="s">
        <v>33308</v>
      </c>
      <c r="J124" t="b">
        <f>IF(OR(INDEX(OHZ_HAZ_CONSIGNMENT,117,1)="",AND(INDEX(OHZ_HAZ_DPGREF,117,1)&lt;&gt;"",INDEX(OHZ_HAZ_CONSIGNMENT,117,1)=INDEX(OHZ_HAZ_CONSIGNMENT,116,1),INDEX(OHZ_HAZ_DPGREF,117,1)=INDEX(OHZ_HAZ_DPGREF,116,1))),TRUE,AND(INDEX(OHZ_HAZ_DGCLASSIFI,117,1)&lt;&gt;"",INDEX(OHZ_HAZ_TEXTUALREF,117,1)&lt;&gt;"",INDEX(OHZ_HAZ_TOTAMOUNT,117,1)&lt;&gt;""))</f>
        <v>1</v>
      </c>
      <c r="K124" t="str">
        <f t="shared" si="3"/>
        <v>Row 117 - All mandatory fields must be given</v>
      </c>
      <c r="L124" t="s">
        <v>33308</v>
      </c>
      <c r="T124" t="s">
        <v>33635</v>
      </c>
    </row>
    <row r="125" spans="4:20" x14ac:dyDescent="0.2">
      <c r="D125" t="b">
        <f>LEN(INDEX(WAS_ITE_TYPEDESCRI,1,1))&lt;256</f>
        <v>1</v>
      </c>
      <c r="E125" t="s">
        <v>34838</v>
      </c>
      <c r="F125" t="s">
        <v>33308</v>
      </c>
      <c r="G125" t="b">
        <f>IF(OR(INDEX(IHZ_HAZ_CONSIGNMENT,118,1)="",AND(INDEX(IHZ_HAZ_DPGREF,118,1)&lt;&gt;"",INDEX(IHZ_HAZ_CONSIGNMENT,118,1)=INDEX(IHZ_HAZ_CONSIGNMENT,117,1),INDEX(IHZ_HAZ_DPGREF,118,1)=INDEX(IHZ_HAZ_DPGREF,117,1))),TRUE,AND(INDEX(IHZ_HAZ_DGCLASSIFI,118,1)&lt;&gt;"",INDEX(IHZ_HAZ_TEXTUALREF,118,1)&lt;&gt;"",INDEX(IHZ_HAZ_TOTAMOUNT,118,1)&lt;&gt;""))</f>
        <v>1</v>
      </c>
      <c r="H125" t="str">
        <f t="shared" si="2"/>
        <v>Row 118 - All mandatory fields must be given</v>
      </c>
      <c r="I125" t="s">
        <v>33308</v>
      </c>
      <c r="J125" t="b">
        <f>IF(OR(INDEX(OHZ_HAZ_CONSIGNMENT,118,1)="",AND(INDEX(OHZ_HAZ_DPGREF,118,1)&lt;&gt;"",INDEX(OHZ_HAZ_CONSIGNMENT,118,1)=INDEX(OHZ_HAZ_CONSIGNMENT,117,1),INDEX(OHZ_HAZ_DPGREF,118,1)=INDEX(OHZ_HAZ_DPGREF,117,1))),TRUE,AND(INDEX(OHZ_HAZ_DGCLASSIFI,118,1)&lt;&gt;"",INDEX(OHZ_HAZ_TEXTUALREF,118,1)&lt;&gt;"",INDEX(OHZ_HAZ_TOTAMOUNT,118,1)&lt;&gt;""))</f>
        <v>1</v>
      </c>
      <c r="K125" t="str">
        <f t="shared" si="3"/>
        <v>Row 118 - All mandatory fields must be given</v>
      </c>
      <c r="L125" t="s">
        <v>33308</v>
      </c>
      <c r="T125" t="s">
        <v>33636</v>
      </c>
    </row>
    <row r="126" spans="4:20" x14ac:dyDescent="0.2">
      <c r="D126" t="b">
        <f>OR(ISBLANK(INDEX(WAS_ITE_DELIVERED,1,1)),AND(ISNUMBER(INDEX(WAS_ITE_DELIVERED,1,1)),INDEX(WAS_ITE_DELIVERED,1,1)&lt;=9999999))</f>
        <v>1</v>
      </c>
      <c r="E126" t="s">
        <v>34837</v>
      </c>
      <c r="F126" t="s">
        <v>33308</v>
      </c>
      <c r="G126" t="b">
        <f>IF(OR(INDEX(IHZ_HAZ_CONSIGNMENT,119,1)="",AND(INDEX(IHZ_HAZ_DPGREF,119,1)&lt;&gt;"",INDEX(IHZ_HAZ_CONSIGNMENT,119,1)=INDEX(IHZ_HAZ_CONSIGNMENT,118,1),INDEX(IHZ_HAZ_DPGREF,119,1)=INDEX(IHZ_HAZ_DPGREF,118,1))),TRUE,AND(INDEX(IHZ_HAZ_DGCLASSIFI,119,1)&lt;&gt;"",INDEX(IHZ_HAZ_TEXTUALREF,119,1)&lt;&gt;"",INDEX(IHZ_HAZ_TOTAMOUNT,119,1)&lt;&gt;""))</f>
        <v>1</v>
      </c>
      <c r="H126" t="str">
        <f t="shared" si="2"/>
        <v>Row 119 - All mandatory fields must be given</v>
      </c>
      <c r="I126" t="s">
        <v>33308</v>
      </c>
      <c r="J126" t="b">
        <f>IF(OR(INDEX(OHZ_HAZ_CONSIGNMENT,119,1)="",AND(INDEX(OHZ_HAZ_DPGREF,119,1)&lt;&gt;"",INDEX(OHZ_HAZ_CONSIGNMENT,119,1)=INDEX(OHZ_HAZ_CONSIGNMENT,118,1),INDEX(OHZ_HAZ_DPGREF,119,1)=INDEX(OHZ_HAZ_DPGREF,118,1))),TRUE,AND(INDEX(OHZ_HAZ_DGCLASSIFI,119,1)&lt;&gt;"",INDEX(OHZ_HAZ_TEXTUALREF,119,1)&lt;&gt;"",INDEX(OHZ_HAZ_TOTAMOUNT,119,1)&lt;&gt;""))</f>
        <v>1</v>
      </c>
      <c r="K126" t="str">
        <f t="shared" si="3"/>
        <v>Row 119 - All mandatory fields must be given</v>
      </c>
      <c r="L126" t="s">
        <v>33308</v>
      </c>
      <c r="T126" t="s">
        <v>33637</v>
      </c>
    </row>
    <row r="127" spans="4:20" x14ac:dyDescent="0.2">
      <c r="D127" t="b">
        <f>OR(INDEX(WAS_ITE_DELIVEREDU,1,1)="",COUNTIF(Units_description,INDEX(WAS_ITE_DELIVEREDU,1,1))=1)</f>
        <v>1</v>
      </c>
      <c r="E127" t="s">
        <v>34832</v>
      </c>
      <c r="F127" t="s">
        <v>33308</v>
      </c>
      <c r="G127" t="b">
        <f>IF(OR(INDEX(IHZ_HAZ_CONSIGNMENT,120,1)="",AND(INDEX(IHZ_HAZ_DPGREF,120,1)&lt;&gt;"",INDEX(IHZ_HAZ_CONSIGNMENT,120,1)=INDEX(IHZ_HAZ_CONSIGNMENT,119,1),INDEX(IHZ_HAZ_DPGREF,120,1)=INDEX(IHZ_HAZ_DPGREF,119,1))),TRUE,AND(INDEX(IHZ_HAZ_DGCLASSIFI,120,1)&lt;&gt;"",INDEX(IHZ_HAZ_TEXTUALREF,120,1)&lt;&gt;"",INDEX(IHZ_HAZ_TOTAMOUNT,120,1)&lt;&gt;""))</f>
        <v>1</v>
      </c>
      <c r="H127" t="str">
        <f t="shared" si="2"/>
        <v>Row 120 - All mandatory fields must be given</v>
      </c>
      <c r="I127" t="s">
        <v>33308</v>
      </c>
      <c r="J127" t="b">
        <f>IF(OR(INDEX(OHZ_HAZ_CONSIGNMENT,120,1)="",AND(INDEX(OHZ_HAZ_DPGREF,120,1)&lt;&gt;"",INDEX(OHZ_HAZ_CONSIGNMENT,120,1)=INDEX(OHZ_HAZ_CONSIGNMENT,119,1),INDEX(OHZ_HAZ_DPGREF,120,1)=INDEX(OHZ_HAZ_DPGREF,119,1))),TRUE,AND(INDEX(OHZ_HAZ_DGCLASSIFI,120,1)&lt;&gt;"",INDEX(OHZ_HAZ_TEXTUALREF,120,1)&lt;&gt;"",INDEX(OHZ_HAZ_TOTAMOUNT,120,1)&lt;&gt;""))</f>
        <v>1</v>
      </c>
      <c r="K127" t="str">
        <f t="shared" si="3"/>
        <v>Row 120 - All mandatory fields must be given</v>
      </c>
      <c r="L127" t="s">
        <v>33308</v>
      </c>
      <c r="T127" t="s">
        <v>33638</v>
      </c>
    </row>
    <row r="128" spans="4:20" x14ac:dyDescent="0.2">
      <c r="D128" t="b">
        <f>OR(ISBLANK(INDEX(WAS_ITE_MAXSTORAG,1,1)),AND(ISNUMBER(INDEX(WAS_ITE_MAXSTORAG,1,1)),INDEX(WAS_ITE_MAXSTORAG,1,1)&lt;=9999999))</f>
        <v>1</v>
      </c>
      <c r="E128" t="s">
        <v>34836</v>
      </c>
      <c r="F128" t="s">
        <v>33308</v>
      </c>
      <c r="G128" t="b">
        <f>IF(OR(INDEX(IHZ_HAZ_CONSIGNMENT,121,1)="",AND(INDEX(IHZ_HAZ_DPGREF,121,1)&lt;&gt;"",INDEX(IHZ_HAZ_CONSIGNMENT,121,1)=INDEX(IHZ_HAZ_CONSIGNMENT,120,1),INDEX(IHZ_HAZ_DPGREF,121,1)=INDEX(IHZ_HAZ_DPGREF,120,1))),TRUE,AND(INDEX(IHZ_HAZ_DGCLASSIFI,121,1)&lt;&gt;"",INDEX(IHZ_HAZ_TEXTUALREF,121,1)&lt;&gt;"",INDEX(IHZ_HAZ_TOTAMOUNT,121,1)&lt;&gt;""))</f>
        <v>1</v>
      </c>
      <c r="H128" t="str">
        <f t="shared" si="2"/>
        <v>Row 121 - All mandatory fields must be given</v>
      </c>
      <c r="I128" t="s">
        <v>33308</v>
      </c>
      <c r="J128" t="b">
        <f>IF(OR(INDEX(OHZ_HAZ_CONSIGNMENT,121,1)="",AND(INDEX(OHZ_HAZ_DPGREF,121,1)&lt;&gt;"",INDEX(OHZ_HAZ_CONSIGNMENT,121,1)=INDEX(OHZ_HAZ_CONSIGNMENT,120,1),INDEX(OHZ_HAZ_DPGREF,121,1)=INDEX(OHZ_HAZ_DPGREF,120,1))),TRUE,AND(INDEX(OHZ_HAZ_DGCLASSIFI,121,1)&lt;&gt;"",INDEX(OHZ_HAZ_TEXTUALREF,121,1)&lt;&gt;"",INDEX(OHZ_HAZ_TOTAMOUNT,121,1)&lt;&gt;""))</f>
        <v>1</v>
      </c>
      <c r="K128" t="str">
        <f t="shared" si="3"/>
        <v>Row 121 - All mandatory fields must be given</v>
      </c>
      <c r="L128" t="s">
        <v>33308</v>
      </c>
      <c r="T128" t="s">
        <v>33639</v>
      </c>
    </row>
    <row r="129" spans="4:20" x14ac:dyDescent="0.2">
      <c r="D129" t="b">
        <f>OR(INDEX(WAS_ITE_MAXSTORAGU,1,1)="",COUNTIF(Units_description,INDEX(WAS_ITE_MAXSTORAGU,1,1))=1)</f>
        <v>1</v>
      </c>
      <c r="E129" t="s">
        <v>34832</v>
      </c>
      <c r="F129" t="s">
        <v>33308</v>
      </c>
      <c r="G129" t="b">
        <f>IF(OR(INDEX(IHZ_HAZ_CONSIGNMENT,122,1)="",AND(INDEX(IHZ_HAZ_DPGREF,122,1)&lt;&gt;"",INDEX(IHZ_HAZ_CONSIGNMENT,122,1)=INDEX(IHZ_HAZ_CONSIGNMENT,121,1),INDEX(IHZ_HAZ_DPGREF,122,1)=INDEX(IHZ_HAZ_DPGREF,121,1))),TRUE,AND(INDEX(IHZ_HAZ_DGCLASSIFI,122,1)&lt;&gt;"",INDEX(IHZ_HAZ_TEXTUALREF,122,1)&lt;&gt;"",INDEX(IHZ_HAZ_TOTAMOUNT,122,1)&lt;&gt;""))</f>
        <v>1</v>
      </c>
      <c r="H129" t="str">
        <f t="shared" si="2"/>
        <v>Row 122 - All mandatory fields must be given</v>
      </c>
      <c r="I129" t="s">
        <v>33308</v>
      </c>
      <c r="J129" t="b">
        <f>IF(OR(INDEX(OHZ_HAZ_CONSIGNMENT,122,1)="",AND(INDEX(OHZ_HAZ_DPGREF,122,1)&lt;&gt;"",INDEX(OHZ_HAZ_CONSIGNMENT,122,1)=INDEX(OHZ_HAZ_CONSIGNMENT,121,1),INDEX(OHZ_HAZ_DPGREF,122,1)=INDEX(OHZ_HAZ_DPGREF,121,1))),TRUE,AND(INDEX(OHZ_HAZ_DGCLASSIFI,122,1)&lt;&gt;"",INDEX(OHZ_HAZ_TEXTUALREF,122,1)&lt;&gt;"",INDEX(OHZ_HAZ_TOTAMOUNT,122,1)&lt;&gt;""))</f>
        <v>1</v>
      </c>
      <c r="K129" t="str">
        <f t="shared" si="3"/>
        <v>Row 122 - All mandatory fields must be given</v>
      </c>
      <c r="L129" t="s">
        <v>33308</v>
      </c>
      <c r="T129" t="s">
        <v>33640</v>
      </c>
    </row>
    <row r="130" spans="4:20" x14ac:dyDescent="0.2">
      <c r="D130" t="b">
        <f>OR(ISBLANK(INDEX(WAS_ITE_RETAINED,1,1)),AND(ISNUMBER(INDEX(WAS_ITE_RETAINED,1,1)),INDEX(WAS_ITE_RETAINED,1,1)&lt;=9999999))</f>
        <v>1</v>
      </c>
      <c r="E130" t="s">
        <v>34835</v>
      </c>
      <c r="F130" t="s">
        <v>33308</v>
      </c>
      <c r="G130" t="b">
        <f>IF(OR(INDEX(IHZ_HAZ_CONSIGNMENT,123,1)="",AND(INDEX(IHZ_HAZ_DPGREF,123,1)&lt;&gt;"",INDEX(IHZ_HAZ_CONSIGNMENT,123,1)=INDEX(IHZ_HAZ_CONSIGNMENT,122,1),INDEX(IHZ_HAZ_DPGREF,123,1)=INDEX(IHZ_HAZ_DPGREF,122,1))),TRUE,AND(INDEX(IHZ_HAZ_DGCLASSIFI,123,1)&lt;&gt;"",INDEX(IHZ_HAZ_TEXTUALREF,123,1)&lt;&gt;"",INDEX(IHZ_HAZ_TOTAMOUNT,123,1)&lt;&gt;""))</f>
        <v>1</v>
      </c>
      <c r="H130" t="str">
        <f t="shared" si="2"/>
        <v>Row 123 - All mandatory fields must be given</v>
      </c>
      <c r="I130" t="s">
        <v>33308</v>
      </c>
      <c r="J130" t="b">
        <f>IF(OR(INDEX(OHZ_HAZ_CONSIGNMENT,123,1)="",AND(INDEX(OHZ_HAZ_DPGREF,123,1)&lt;&gt;"",INDEX(OHZ_HAZ_CONSIGNMENT,123,1)=INDEX(OHZ_HAZ_CONSIGNMENT,122,1),INDEX(OHZ_HAZ_DPGREF,123,1)=INDEX(OHZ_HAZ_DPGREF,122,1))),TRUE,AND(INDEX(OHZ_HAZ_DGCLASSIFI,123,1)&lt;&gt;"",INDEX(OHZ_HAZ_TEXTUALREF,123,1)&lt;&gt;"",INDEX(OHZ_HAZ_TOTAMOUNT,123,1)&lt;&gt;""))</f>
        <v>1</v>
      </c>
      <c r="K130" t="str">
        <f t="shared" si="3"/>
        <v>Row 123 - All mandatory fields must be given</v>
      </c>
      <c r="L130" t="s">
        <v>33308</v>
      </c>
      <c r="T130" t="s">
        <v>33641</v>
      </c>
    </row>
    <row r="131" spans="4:20" x14ac:dyDescent="0.2">
      <c r="D131" t="b">
        <f>OR(INDEX(WAS_ITE_RETAINEDU,1,1)="",COUNTIF(Units_description,INDEX(WAS_ITE_RETAINEDU,1,1))=1)</f>
        <v>1</v>
      </c>
      <c r="E131" t="s">
        <v>34832</v>
      </c>
      <c r="F131" t="s">
        <v>33308</v>
      </c>
      <c r="G131" t="b">
        <f>IF(OR(INDEX(IHZ_HAZ_CONSIGNMENT,124,1)="",AND(INDEX(IHZ_HAZ_DPGREF,124,1)&lt;&gt;"",INDEX(IHZ_HAZ_CONSIGNMENT,124,1)=INDEX(IHZ_HAZ_CONSIGNMENT,123,1),INDEX(IHZ_HAZ_DPGREF,124,1)=INDEX(IHZ_HAZ_DPGREF,123,1))),TRUE,AND(INDEX(IHZ_HAZ_DGCLASSIFI,124,1)&lt;&gt;"",INDEX(IHZ_HAZ_TEXTUALREF,124,1)&lt;&gt;"",INDEX(IHZ_HAZ_TOTAMOUNT,124,1)&lt;&gt;""))</f>
        <v>1</v>
      </c>
      <c r="H131" t="str">
        <f t="shared" si="2"/>
        <v>Row 124 - All mandatory fields must be given</v>
      </c>
      <c r="I131" t="s">
        <v>33308</v>
      </c>
      <c r="J131" t="b">
        <f>IF(OR(INDEX(OHZ_HAZ_CONSIGNMENT,124,1)="",AND(INDEX(OHZ_HAZ_DPGREF,124,1)&lt;&gt;"",INDEX(OHZ_HAZ_CONSIGNMENT,124,1)=INDEX(OHZ_HAZ_CONSIGNMENT,123,1),INDEX(OHZ_HAZ_DPGREF,124,1)=INDEX(OHZ_HAZ_DPGREF,123,1))),TRUE,AND(INDEX(OHZ_HAZ_DGCLASSIFI,124,1)&lt;&gt;"",INDEX(OHZ_HAZ_TEXTUALREF,124,1)&lt;&gt;"",INDEX(OHZ_HAZ_TOTAMOUNT,124,1)&lt;&gt;""))</f>
        <v>1</v>
      </c>
      <c r="K131" t="str">
        <f t="shared" si="3"/>
        <v>Row 124 - All mandatory fields must be given</v>
      </c>
      <c r="L131" t="s">
        <v>33308</v>
      </c>
      <c r="T131" t="s">
        <v>33642</v>
      </c>
    </row>
    <row r="132" spans="4:20" x14ac:dyDescent="0.2">
      <c r="D132" t="b">
        <f>OR(INDEX(WAS_ITE_REMAINING,1,1)="",COUNTIF(LOCODE,INDEX(WAS_ITE_REMAINING,1,1))=1)</f>
        <v>1</v>
      </c>
      <c r="E132" t="s">
        <v>34834</v>
      </c>
      <c r="F132" t="s">
        <v>33308</v>
      </c>
      <c r="G132" t="b">
        <f>IF(OR(INDEX(IHZ_HAZ_CONSIGNMENT,125,1)="",AND(INDEX(IHZ_HAZ_DPGREF,125,1)&lt;&gt;"",INDEX(IHZ_HAZ_CONSIGNMENT,125,1)=INDEX(IHZ_HAZ_CONSIGNMENT,124,1),INDEX(IHZ_HAZ_DPGREF,125,1)=INDEX(IHZ_HAZ_DPGREF,124,1))),TRUE,AND(INDEX(IHZ_HAZ_DGCLASSIFI,125,1)&lt;&gt;"",INDEX(IHZ_HAZ_TEXTUALREF,125,1)&lt;&gt;"",INDEX(IHZ_HAZ_TOTAMOUNT,125,1)&lt;&gt;""))</f>
        <v>1</v>
      </c>
      <c r="H132" t="str">
        <f t="shared" si="2"/>
        <v>Row 125 - All mandatory fields must be given</v>
      </c>
      <c r="I132" t="s">
        <v>33308</v>
      </c>
      <c r="J132" t="b">
        <f>IF(OR(INDEX(OHZ_HAZ_CONSIGNMENT,125,1)="",AND(INDEX(OHZ_HAZ_DPGREF,125,1)&lt;&gt;"",INDEX(OHZ_HAZ_CONSIGNMENT,125,1)=INDEX(OHZ_HAZ_CONSIGNMENT,124,1),INDEX(OHZ_HAZ_DPGREF,125,1)=INDEX(OHZ_HAZ_DPGREF,124,1))),TRUE,AND(INDEX(OHZ_HAZ_DGCLASSIFI,125,1)&lt;&gt;"",INDEX(OHZ_HAZ_TEXTUALREF,125,1)&lt;&gt;"",INDEX(OHZ_HAZ_TOTAMOUNT,125,1)&lt;&gt;""))</f>
        <v>1</v>
      </c>
      <c r="K132" t="str">
        <f t="shared" si="3"/>
        <v>Row 125 - All mandatory fields must be given</v>
      </c>
      <c r="L132" t="s">
        <v>33308</v>
      </c>
      <c r="T132" t="s">
        <v>33643</v>
      </c>
    </row>
    <row r="133" spans="4:20" x14ac:dyDescent="0.2">
      <c r="D133" t="b">
        <f>OR(ISBLANK(INDEX(WAS_ITE_RETAINED,1,1)),AND(ISNUMBER(INDEX(WAS_ITE_RETAINED,1,1)),INDEX(WAS_ITE_RETAINED,1,1)&lt;=9999999))</f>
        <v>1</v>
      </c>
      <c r="E133" t="s">
        <v>34833</v>
      </c>
      <c r="F133" t="s">
        <v>33308</v>
      </c>
      <c r="G133" t="b">
        <f>IF(OR(INDEX(IHZ_HAZ_CONSIGNMENT,126,1)="",AND(INDEX(IHZ_HAZ_DPGREF,126,1)&lt;&gt;"",INDEX(IHZ_HAZ_CONSIGNMENT,126,1)=INDEX(IHZ_HAZ_CONSIGNMENT,125,1),INDEX(IHZ_HAZ_DPGREF,126,1)=INDEX(IHZ_HAZ_DPGREF,125,1))),TRUE,AND(INDEX(IHZ_HAZ_DGCLASSIFI,126,1)&lt;&gt;"",INDEX(IHZ_HAZ_TEXTUALREF,126,1)&lt;&gt;"",INDEX(IHZ_HAZ_TOTAMOUNT,126,1)&lt;&gt;""))</f>
        <v>1</v>
      </c>
      <c r="H133" t="str">
        <f t="shared" si="2"/>
        <v>Row 126 - All mandatory fields must be given</v>
      </c>
      <c r="I133" t="s">
        <v>33308</v>
      </c>
      <c r="J133" t="b">
        <f>IF(OR(INDEX(OHZ_HAZ_CONSIGNMENT,126,1)="",AND(INDEX(OHZ_HAZ_DPGREF,126,1)&lt;&gt;"",INDEX(OHZ_HAZ_CONSIGNMENT,126,1)=INDEX(OHZ_HAZ_CONSIGNMENT,125,1),INDEX(OHZ_HAZ_DPGREF,126,1)=INDEX(OHZ_HAZ_DPGREF,125,1))),TRUE,AND(INDEX(OHZ_HAZ_DGCLASSIFI,126,1)&lt;&gt;"",INDEX(OHZ_HAZ_TEXTUALREF,126,1)&lt;&gt;"",INDEX(OHZ_HAZ_TOTAMOUNT,126,1)&lt;&gt;""))</f>
        <v>1</v>
      </c>
      <c r="K133" t="str">
        <f t="shared" si="3"/>
        <v>Row 126 - All mandatory fields must be given</v>
      </c>
      <c r="L133" t="s">
        <v>33308</v>
      </c>
      <c r="T133" t="s">
        <v>33644</v>
      </c>
    </row>
    <row r="134" spans="4:20" x14ac:dyDescent="0.2">
      <c r="D134" t="b">
        <f>OR(INDEX(WAS_ITE_GENERATEDU,1,1)="",COUNTIF(Units_description,INDEX(WAS_ITE_GENERATEDU,1,1))=1)</f>
        <v>1</v>
      </c>
      <c r="E134" t="s">
        <v>34832</v>
      </c>
      <c r="F134" t="s">
        <v>33308</v>
      </c>
      <c r="G134" t="b">
        <f>IF(OR(INDEX(IHZ_HAZ_CONSIGNMENT,127,1)="",AND(INDEX(IHZ_HAZ_DPGREF,127,1)&lt;&gt;"",INDEX(IHZ_HAZ_CONSIGNMENT,127,1)=INDEX(IHZ_HAZ_CONSIGNMENT,126,1),INDEX(IHZ_HAZ_DPGREF,127,1)=INDEX(IHZ_HAZ_DPGREF,126,1))),TRUE,AND(INDEX(IHZ_HAZ_DGCLASSIFI,127,1)&lt;&gt;"",INDEX(IHZ_HAZ_TEXTUALREF,127,1)&lt;&gt;"",INDEX(IHZ_HAZ_TOTAMOUNT,127,1)&lt;&gt;""))</f>
        <v>1</v>
      </c>
      <c r="H134" t="str">
        <f t="shared" si="2"/>
        <v>Row 127 - All mandatory fields must be given</v>
      </c>
      <c r="I134" t="s">
        <v>33308</v>
      </c>
      <c r="J134" t="b">
        <f>IF(OR(INDEX(OHZ_HAZ_CONSIGNMENT,127,1)="",AND(INDEX(OHZ_HAZ_DPGREF,127,1)&lt;&gt;"",INDEX(OHZ_HAZ_CONSIGNMENT,127,1)=INDEX(OHZ_HAZ_CONSIGNMENT,126,1),INDEX(OHZ_HAZ_DPGREF,127,1)=INDEX(OHZ_HAZ_DPGREF,126,1))),TRUE,AND(INDEX(OHZ_HAZ_DGCLASSIFI,127,1)&lt;&gt;"",INDEX(OHZ_HAZ_TEXTUALREF,127,1)&lt;&gt;"",INDEX(OHZ_HAZ_TOTAMOUNT,127,1)&lt;&gt;""))</f>
        <v>1</v>
      </c>
      <c r="K134" t="str">
        <f t="shared" si="3"/>
        <v>Row 127 - All mandatory fields must be given</v>
      </c>
      <c r="L134" t="s">
        <v>33308</v>
      </c>
      <c r="T134" t="s">
        <v>33645</v>
      </c>
    </row>
    <row r="135" spans="4:20" x14ac:dyDescent="0.2">
      <c r="D135" s="35" t="b">
        <f>OR(ISBLANK(INDEX(WAS_ITE_LASTPORT,1,1)),AND(ISNUMBER(INDEX(WAS_ITE_LASTPORT,1,1)),INDEX(WAS_ITE_LASTPORT,1,1)&lt;=9999999))</f>
        <v>1</v>
      </c>
      <c r="E135" s="35" t="s">
        <v>35179</v>
      </c>
      <c r="F135" t="s">
        <v>33308</v>
      </c>
      <c r="G135" t="b">
        <f>IF(OR(INDEX(IHZ_HAZ_CONSIGNMENT,128,1)="",AND(INDEX(IHZ_HAZ_DPGREF,128,1)&lt;&gt;"",INDEX(IHZ_HAZ_CONSIGNMENT,128,1)=INDEX(IHZ_HAZ_CONSIGNMENT,127,1),INDEX(IHZ_HAZ_DPGREF,128,1)=INDEX(IHZ_HAZ_DPGREF,127,1))),TRUE,AND(INDEX(IHZ_HAZ_DGCLASSIFI,128,1)&lt;&gt;"",INDEX(IHZ_HAZ_TEXTUALREF,128,1)&lt;&gt;"",INDEX(IHZ_HAZ_TOTAMOUNT,128,1)&lt;&gt;""))</f>
        <v>1</v>
      </c>
      <c r="H135" t="str">
        <f t="shared" si="2"/>
        <v>Row 128 - All mandatory fields must be given</v>
      </c>
      <c r="I135" t="s">
        <v>33308</v>
      </c>
      <c r="J135" t="b">
        <f>IF(OR(INDEX(OHZ_HAZ_CONSIGNMENT,128,1)="",AND(INDEX(OHZ_HAZ_DPGREF,128,1)&lt;&gt;"",INDEX(OHZ_HAZ_CONSIGNMENT,128,1)=INDEX(OHZ_HAZ_CONSIGNMENT,127,1),INDEX(OHZ_HAZ_DPGREF,128,1)=INDEX(OHZ_HAZ_DPGREF,127,1))),TRUE,AND(INDEX(OHZ_HAZ_DGCLASSIFI,128,1)&lt;&gt;"",INDEX(OHZ_HAZ_TEXTUALREF,128,1)&lt;&gt;"",INDEX(OHZ_HAZ_TOTAMOUNT,128,1)&lt;&gt;""))</f>
        <v>1</v>
      </c>
      <c r="K135" t="str">
        <f t="shared" si="3"/>
        <v>Row 128 - All mandatory fields must be given</v>
      </c>
      <c r="L135" t="s">
        <v>33308</v>
      </c>
      <c r="T135" t="s">
        <v>33646</v>
      </c>
    </row>
    <row r="136" spans="4:20" x14ac:dyDescent="0.2">
      <c r="D136" s="35" t="b">
        <f>OR(INDEX(WAS_ITE_LASTPORTU,1,1)="",COUNTIF(Units_description,INDEX(WAS_ITE_LASTPORTU,1,1))=1)</f>
        <v>1</v>
      </c>
      <c r="E136" s="35" t="s">
        <v>34832</v>
      </c>
      <c r="F136" t="s">
        <v>33308</v>
      </c>
      <c r="G136" t="b">
        <f>IF(OR(INDEX(IHZ_HAZ_CONSIGNMENT,129,1)="",AND(INDEX(IHZ_HAZ_DPGREF,129,1)&lt;&gt;"",INDEX(IHZ_HAZ_CONSIGNMENT,129,1)=INDEX(IHZ_HAZ_CONSIGNMENT,128,1),INDEX(IHZ_HAZ_DPGREF,129,1)=INDEX(IHZ_HAZ_DPGREF,128,1))),TRUE,AND(INDEX(IHZ_HAZ_DGCLASSIFI,129,1)&lt;&gt;"",INDEX(IHZ_HAZ_TEXTUALREF,129,1)&lt;&gt;"",INDEX(IHZ_HAZ_TOTAMOUNT,129,1)&lt;&gt;""))</f>
        <v>1</v>
      </c>
      <c r="H136" t="str">
        <f t="shared" si="2"/>
        <v>Row 129 - All mandatory fields must be given</v>
      </c>
      <c r="I136" t="s">
        <v>33308</v>
      </c>
      <c r="J136" t="b">
        <f>IF(OR(INDEX(OHZ_HAZ_CONSIGNMENT,129,1)="",AND(INDEX(OHZ_HAZ_DPGREF,129,1)&lt;&gt;"",INDEX(OHZ_HAZ_CONSIGNMENT,129,1)=INDEX(OHZ_HAZ_CONSIGNMENT,128,1),INDEX(OHZ_HAZ_DPGREF,129,1)=INDEX(OHZ_HAZ_DPGREF,128,1))),TRUE,AND(INDEX(OHZ_HAZ_DGCLASSIFI,129,1)&lt;&gt;"",INDEX(OHZ_HAZ_TEXTUALREF,129,1)&lt;&gt;"",INDEX(OHZ_HAZ_TOTAMOUNT,129,1)&lt;&gt;""))</f>
        <v>1</v>
      </c>
      <c r="K136" t="str">
        <f t="shared" si="3"/>
        <v>Row 129 - All mandatory fields must be given</v>
      </c>
      <c r="L136" t="s">
        <v>33308</v>
      </c>
      <c r="T136" t="s">
        <v>33647</v>
      </c>
    </row>
    <row r="137" spans="4:20" x14ac:dyDescent="0.2">
      <c r="F137" t="s">
        <v>33308</v>
      </c>
      <c r="G137" t="b">
        <f>IF(OR(INDEX(IHZ_HAZ_CONSIGNMENT,130,1)="",AND(INDEX(IHZ_HAZ_DPGREF,130,1)&lt;&gt;"",INDEX(IHZ_HAZ_CONSIGNMENT,130,1)=INDEX(IHZ_HAZ_CONSIGNMENT,129,1),INDEX(IHZ_HAZ_DPGREF,130,1)=INDEX(IHZ_HAZ_DPGREF,129,1))),TRUE,AND(INDEX(IHZ_HAZ_DGCLASSIFI,130,1)&lt;&gt;"",INDEX(IHZ_HAZ_TEXTUALREF,130,1)&lt;&gt;"",INDEX(IHZ_HAZ_TOTAMOUNT,130,1)&lt;&gt;""))</f>
        <v>1</v>
      </c>
      <c r="H137" t="str">
        <f t="shared" ref="H137:H200" si="4">T130&amp;$V$1</f>
        <v>Row 130 - All mandatory fields must be given</v>
      </c>
      <c r="I137" t="s">
        <v>33308</v>
      </c>
      <c r="J137" t="b">
        <f>IF(OR(INDEX(OHZ_HAZ_CONSIGNMENT,130,1)="",AND(INDEX(OHZ_HAZ_DPGREF,130,1)&lt;&gt;"",INDEX(OHZ_HAZ_CONSIGNMENT,130,1)=INDEX(OHZ_HAZ_CONSIGNMENT,129,1),INDEX(OHZ_HAZ_DPGREF,130,1)=INDEX(OHZ_HAZ_DPGREF,129,1))),TRUE,AND(INDEX(OHZ_HAZ_DGCLASSIFI,130,1)&lt;&gt;"",INDEX(OHZ_HAZ_TEXTUALREF,130,1)&lt;&gt;"",INDEX(OHZ_HAZ_TOTAMOUNT,130,1)&lt;&gt;""))</f>
        <v>1</v>
      </c>
      <c r="K137" t="str">
        <f t="shared" ref="K137:K200" si="5">T130&amp;$V$1</f>
        <v>Row 130 - All mandatory fields must be given</v>
      </c>
      <c r="L137" t="s">
        <v>33308</v>
      </c>
      <c r="T137" t="s">
        <v>33648</v>
      </c>
    </row>
    <row r="138" spans="4:20" x14ac:dyDescent="0.2">
      <c r="F138" t="s">
        <v>33308</v>
      </c>
      <c r="G138" t="b">
        <f>IF(OR(INDEX(IHZ_HAZ_CONSIGNMENT,131,1)="",AND(INDEX(IHZ_HAZ_DPGREF,131,1)&lt;&gt;"",INDEX(IHZ_HAZ_CONSIGNMENT,131,1)=INDEX(IHZ_HAZ_CONSIGNMENT,130,1),INDEX(IHZ_HAZ_DPGREF,131,1)=INDEX(IHZ_HAZ_DPGREF,130,1))),TRUE,AND(INDEX(IHZ_HAZ_DGCLASSIFI,131,1)&lt;&gt;"",INDEX(IHZ_HAZ_TEXTUALREF,131,1)&lt;&gt;"",INDEX(IHZ_HAZ_TOTAMOUNT,131,1)&lt;&gt;""))</f>
        <v>1</v>
      </c>
      <c r="H138" t="str">
        <f t="shared" si="4"/>
        <v>Row 131 - All mandatory fields must be given</v>
      </c>
      <c r="I138" t="s">
        <v>33308</v>
      </c>
      <c r="J138" t="b">
        <f>IF(OR(INDEX(OHZ_HAZ_CONSIGNMENT,131,1)="",AND(INDEX(OHZ_HAZ_DPGREF,131,1)&lt;&gt;"",INDEX(OHZ_HAZ_CONSIGNMENT,131,1)=INDEX(OHZ_HAZ_CONSIGNMENT,130,1),INDEX(OHZ_HAZ_DPGREF,131,1)=INDEX(OHZ_HAZ_DPGREF,130,1))),TRUE,AND(INDEX(OHZ_HAZ_DGCLASSIFI,131,1)&lt;&gt;"",INDEX(OHZ_HAZ_TEXTUALREF,131,1)&lt;&gt;"",INDEX(OHZ_HAZ_TOTAMOUNT,131,1)&lt;&gt;""))</f>
        <v>1</v>
      </c>
      <c r="K138" t="str">
        <f t="shared" si="5"/>
        <v>Row 131 - All mandatory fields must be given</v>
      </c>
      <c r="L138" t="s">
        <v>33308</v>
      </c>
      <c r="T138" t="s">
        <v>33649</v>
      </c>
    </row>
    <row r="139" spans="4:20" x14ac:dyDescent="0.2">
      <c r="F139" t="s">
        <v>33308</v>
      </c>
      <c r="G139" t="b">
        <f>IF(OR(INDEX(IHZ_HAZ_CONSIGNMENT,132,1)="",AND(INDEX(IHZ_HAZ_DPGREF,132,1)&lt;&gt;"",INDEX(IHZ_HAZ_CONSIGNMENT,132,1)=INDEX(IHZ_HAZ_CONSIGNMENT,131,1),INDEX(IHZ_HAZ_DPGREF,132,1)=INDEX(IHZ_HAZ_DPGREF,131,1))),TRUE,AND(INDEX(IHZ_HAZ_DGCLASSIFI,132,1)&lt;&gt;"",INDEX(IHZ_HAZ_TEXTUALREF,132,1)&lt;&gt;"",INDEX(IHZ_HAZ_TOTAMOUNT,132,1)&lt;&gt;""))</f>
        <v>1</v>
      </c>
      <c r="H139" t="str">
        <f t="shared" si="4"/>
        <v>Row 132 - All mandatory fields must be given</v>
      </c>
      <c r="I139" t="s">
        <v>33308</v>
      </c>
      <c r="J139" t="b">
        <f>IF(OR(INDEX(OHZ_HAZ_CONSIGNMENT,132,1)="",AND(INDEX(OHZ_HAZ_DPGREF,132,1)&lt;&gt;"",INDEX(OHZ_HAZ_CONSIGNMENT,132,1)=INDEX(OHZ_HAZ_CONSIGNMENT,131,1),INDEX(OHZ_HAZ_DPGREF,132,1)=INDEX(OHZ_HAZ_DPGREF,131,1))),TRUE,AND(INDEX(OHZ_HAZ_DGCLASSIFI,132,1)&lt;&gt;"",INDEX(OHZ_HAZ_TEXTUALREF,132,1)&lt;&gt;"",INDEX(OHZ_HAZ_TOTAMOUNT,132,1)&lt;&gt;""))</f>
        <v>1</v>
      </c>
      <c r="K139" t="str">
        <f t="shared" si="5"/>
        <v>Row 132 - All mandatory fields must be given</v>
      </c>
      <c r="L139" t="s">
        <v>33308</v>
      </c>
      <c r="T139" t="s">
        <v>33650</v>
      </c>
    </row>
    <row r="140" spans="4:20" x14ac:dyDescent="0.2">
      <c r="F140" t="s">
        <v>33308</v>
      </c>
      <c r="G140" t="b">
        <f>IF(OR(INDEX(IHZ_HAZ_CONSIGNMENT,133,1)="",AND(INDEX(IHZ_HAZ_DPGREF,133,1)&lt;&gt;"",INDEX(IHZ_HAZ_CONSIGNMENT,133,1)=INDEX(IHZ_HAZ_CONSIGNMENT,132,1),INDEX(IHZ_HAZ_DPGREF,133,1)=INDEX(IHZ_HAZ_DPGREF,132,1))),TRUE,AND(INDEX(IHZ_HAZ_DGCLASSIFI,133,1)&lt;&gt;"",INDEX(IHZ_HAZ_TEXTUALREF,133,1)&lt;&gt;"",INDEX(IHZ_HAZ_TOTAMOUNT,133,1)&lt;&gt;""))</f>
        <v>1</v>
      </c>
      <c r="H140" t="str">
        <f t="shared" si="4"/>
        <v>Row 133 - All mandatory fields must be given</v>
      </c>
      <c r="I140" t="s">
        <v>33308</v>
      </c>
      <c r="J140" t="b">
        <f>IF(OR(INDEX(OHZ_HAZ_CONSIGNMENT,133,1)="",AND(INDEX(OHZ_HAZ_DPGREF,133,1)&lt;&gt;"",INDEX(OHZ_HAZ_CONSIGNMENT,133,1)=INDEX(OHZ_HAZ_CONSIGNMENT,132,1),INDEX(OHZ_HAZ_DPGREF,133,1)=INDEX(OHZ_HAZ_DPGREF,132,1))),TRUE,AND(INDEX(OHZ_HAZ_DGCLASSIFI,133,1)&lt;&gt;"",INDEX(OHZ_HAZ_TEXTUALREF,133,1)&lt;&gt;"",INDEX(OHZ_HAZ_TOTAMOUNT,133,1)&lt;&gt;""))</f>
        <v>1</v>
      </c>
      <c r="K140" t="str">
        <f t="shared" si="5"/>
        <v>Row 133 - All mandatory fields must be given</v>
      </c>
      <c r="L140" t="s">
        <v>33308</v>
      </c>
      <c r="T140" t="s">
        <v>33651</v>
      </c>
    </row>
    <row r="141" spans="4:20" x14ac:dyDescent="0.2">
      <c r="F141" t="s">
        <v>33308</v>
      </c>
      <c r="G141" t="b">
        <f>IF(OR(INDEX(IHZ_HAZ_CONSIGNMENT,134,1)="",AND(INDEX(IHZ_HAZ_DPGREF,134,1)&lt;&gt;"",INDEX(IHZ_HAZ_CONSIGNMENT,134,1)=INDEX(IHZ_HAZ_CONSIGNMENT,133,1),INDEX(IHZ_HAZ_DPGREF,134,1)=INDEX(IHZ_HAZ_DPGREF,133,1))),TRUE,AND(INDEX(IHZ_HAZ_DGCLASSIFI,134,1)&lt;&gt;"",INDEX(IHZ_HAZ_TEXTUALREF,134,1)&lt;&gt;"",INDEX(IHZ_HAZ_TOTAMOUNT,134,1)&lt;&gt;""))</f>
        <v>1</v>
      </c>
      <c r="H141" t="str">
        <f t="shared" si="4"/>
        <v>Row 134 - All mandatory fields must be given</v>
      </c>
      <c r="I141" t="s">
        <v>33308</v>
      </c>
      <c r="J141" t="b">
        <f>IF(OR(INDEX(OHZ_HAZ_CONSIGNMENT,134,1)="",AND(INDEX(OHZ_HAZ_DPGREF,134,1)&lt;&gt;"",INDEX(OHZ_HAZ_CONSIGNMENT,134,1)=INDEX(OHZ_HAZ_CONSIGNMENT,133,1),INDEX(OHZ_HAZ_DPGREF,134,1)=INDEX(OHZ_HAZ_DPGREF,133,1))),TRUE,AND(INDEX(OHZ_HAZ_DGCLASSIFI,134,1)&lt;&gt;"",INDEX(OHZ_HAZ_TEXTUALREF,134,1)&lt;&gt;"",INDEX(OHZ_HAZ_TOTAMOUNT,134,1)&lt;&gt;""))</f>
        <v>1</v>
      </c>
      <c r="K141" t="str">
        <f t="shared" si="5"/>
        <v>Row 134 - All mandatory fields must be given</v>
      </c>
      <c r="L141" t="s">
        <v>33308</v>
      </c>
      <c r="T141" t="s">
        <v>33652</v>
      </c>
    </row>
    <row r="142" spans="4:20" x14ac:dyDescent="0.2">
      <c r="F142" t="s">
        <v>33308</v>
      </c>
      <c r="G142" t="b">
        <f>IF(OR(INDEX(IHZ_HAZ_CONSIGNMENT,135,1)="",AND(INDEX(IHZ_HAZ_DPGREF,135,1)&lt;&gt;"",INDEX(IHZ_HAZ_CONSIGNMENT,135,1)=INDEX(IHZ_HAZ_CONSIGNMENT,134,1),INDEX(IHZ_HAZ_DPGREF,135,1)=INDEX(IHZ_HAZ_DPGREF,134,1))),TRUE,AND(INDEX(IHZ_HAZ_DGCLASSIFI,135,1)&lt;&gt;"",INDEX(IHZ_HAZ_TEXTUALREF,135,1)&lt;&gt;"",INDEX(IHZ_HAZ_TOTAMOUNT,135,1)&lt;&gt;""))</f>
        <v>1</v>
      </c>
      <c r="H142" t="str">
        <f t="shared" si="4"/>
        <v>Row 135 - All mandatory fields must be given</v>
      </c>
      <c r="I142" t="s">
        <v>33308</v>
      </c>
      <c r="J142" t="b">
        <f>IF(OR(INDEX(OHZ_HAZ_CONSIGNMENT,135,1)="",AND(INDEX(OHZ_HAZ_DPGREF,135,1)&lt;&gt;"",INDEX(OHZ_HAZ_CONSIGNMENT,135,1)=INDEX(OHZ_HAZ_CONSIGNMENT,134,1),INDEX(OHZ_HAZ_DPGREF,135,1)=INDEX(OHZ_HAZ_DPGREF,134,1))),TRUE,AND(INDEX(OHZ_HAZ_DGCLASSIFI,135,1)&lt;&gt;"",INDEX(OHZ_HAZ_TEXTUALREF,135,1)&lt;&gt;"",INDEX(OHZ_HAZ_TOTAMOUNT,135,1)&lt;&gt;""))</f>
        <v>1</v>
      </c>
      <c r="K142" t="str">
        <f t="shared" si="5"/>
        <v>Row 135 - All mandatory fields must be given</v>
      </c>
      <c r="L142" t="s">
        <v>33308</v>
      </c>
      <c r="T142" t="s">
        <v>33653</v>
      </c>
    </row>
    <row r="143" spans="4:20" x14ac:dyDescent="0.2">
      <c r="F143" t="s">
        <v>33308</v>
      </c>
      <c r="G143" t="b">
        <f>IF(OR(INDEX(IHZ_HAZ_CONSIGNMENT,136,1)="",AND(INDEX(IHZ_HAZ_DPGREF,136,1)&lt;&gt;"",INDEX(IHZ_HAZ_CONSIGNMENT,136,1)=INDEX(IHZ_HAZ_CONSIGNMENT,135,1),INDEX(IHZ_HAZ_DPGREF,136,1)=INDEX(IHZ_HAZ_DPGREF,135,1))),TRUE,AND(INDEX(IHZ_HAZ_DGCLASSIFI,136,1)&lt;&gt;"",INDEX(IHZ_HAZ_TEXTUALREF,136,1)&lt;&gt;"",INDEX(IHZ_HAZ_TOTAMOUNT,136,1)&lt;&gt;""))</f>
        <v>1</v>
      </c>
      <c r="H143" t="str">
        <f t="shared" si="4"/>
        <v>Row 136 - All mandatory fields must be given</v>
      </c>
      <c r="I143" t="s">
        <v>33308</v>
      </c>
      <c r="J143" t="b">
        <f>IF(OR(INDEX(OHZ_HAZ_CONSIGNMENT,136,1)="",AND(INDEX(OHZ_HAZ_DPGREF,136,1)&lt;&gt;"",INDEX(OHZ_HAZ_CONSIGNMENT,136,1)=INDEX(OHZ_HAZ_CONSIGNMENT,135,1),INDEX(OHZ_HAZ_DPGREF,136,1)=INDEX(OHZ_HAZ_DPGREF,135,1))),TRUE,AND(INDEX(OHZ_HAZ_DGCLASSIFI,136,1)&lt;&gt;"",INDEX(OHZ_HAZ_TEXTUALREF,136,1)&lt;&gt;"",INDEX(OHZ_HAZ_TOTAMOUNT,136,1)&lt;&gt;""))</f>
        <v>1</v>
      </c>
      <c r="K143" t="str">
        <f t="shared" si="5"/>
        <v>Row 136 - All mandatory fields must be given</v>
      </c>
      <c r="L143" t="s">
        <v>33308</v>
      </c>
      <c r="T143" t="s">
        <v>33654</v>
      </c>
    </row>
    <row r="144" spans="4:20" x14ac:dyDescent="0.2">
      <c r="F144" t="s">
        <v>33308</v>
      </c>
      <c r="G144" t="b">
        <f>IF(OR(INDEX(IHZ_HAZ_CONSIGNMENT,137,1)="",AND(INDEX(IHZ_HAZ_DPGREF,137,1)&lt;&gt;"",INDEX(IHZ_HAZ_CONSIGNMENT,137,1)=INDEX(IHZ_HAZ_CONSIGNMENT,136,1),INDEX(IHZ_HAZ_DPGREF,137,1)=INDEX(IHZ_HAZ_DPGREF,136,1))),TRUE,AND(INDEX(IHZ_HAZ_DGCLASSIFI,137,1)&lt;&gt;"",INDEX(IHZ_HAZ_TEXTUALREF,137,1)&lt;&gt;"",INDEX(IHZ_HAZ_TOTAMOUNT,137,1)&lt;&gt;""))</f>
        <v>1</v>
      </c>
      <c r="H144" t="str">
        <f t="shared" si="4"/>
        <v>Row 137 - All mandatory fields must be given</v>
      </c>
      <c r="I144" t="s">
        <v>33308</v>
      </c>
      <c r="J144" t="b">
        <f>IF(OR(INDEX(OHZ_HAZ_CONSIGNMENT,137,1)="",AND(INDEX(OHZ_HAZ_DPGREF,137,1)&lt;&gt;"",INDEX(OHZ_HAZ_CONSIGNMENT,137,1)=INDEX(OHZ_HAZ_CONSIGNMENT,136,1),INDEX(OHZ_HAZ_DPGREF,137,1)=INDEX(OHZ_HAZ_DPGREF,136,1))),TRUE,AND(INDEX(OHZ_HAZ_DGCLASSIFI,137,1)&lt;&gt;"",INDEX(OHZ_HAZ_TEXTUALREF,137,1)&lt;&gt;"",INDEX(OHZ_HAZ_TOTAMOUNT,137,1)&lt;&gt;""))</f>
        <v>1</v>
      </c>
      <c r="K144" t="str">
        <f t="shared" si="5"/>
        <v>Row 137 - All mandatory fields must be given</v>
      </c>
      <c r="L144" t="s">
        <v>33308</v>
      </c>
      <c r="T144" t="s">
        <v>33655</v>
      </c>
    </row>
    <row r="145" spans="6:20" x14ac:dyDescent="0.2">
      <c r="F145" t="s">
        <v>33308</v>
      </c>
      <c r="G145" t="b">
        <f>IF(OR(INDEX(IHZ_HAZ_CONSIGNMENT,138,1)="",AND(INDEX(IHZ_HAZ_DPGREF,138,1)&lt;&gt;"",INDEX(IHZ_HAZ_CONSIGNMENT,138,1)=INDEX(IHZ_HAZ_CONSIGNMENT,137,1),INDEX(IHZ_HAZ_DPGREF,138,1)=INDEX(IHZ_HAZ_DPGREF,137,1))),TRUE,AND(INDEX(IHZ_HAZ_DGCLASSIFI,138,1)&lt;&gt;"",INDEX(IHZ_HAZ_TEXTUALREF,138,1)&lt;&gt;"",INDEX(IHZ_HAZ_TOTAMOUNT,138,1)&lt;&gt;""))</f>
        <v>1</v>
      </c>
      <c r="H145" t="str">
        <f t="shared" si="4"/>
        <v>Row 138 - All mandatory fields must be given</v>
      </c>
      <c r="I145" t="s">
        <v>33308</v>
      </c>
      <c r="J145" t="b">
        <f>IF(OR(INDEX(OHZ_HAZ_CONSIGNMENT,138,1)="",AND(INDEX(OHZ_HAZ_DPGREF,138,1)&lt;&gt;"",INDEX(OHZ_HAZ_CONSIGNMENT,138,1)=INDEX(OHZ_HAZ_CONSIGNMENT,137,1),INDEX(OHZ_HAZ_DPGREF,138,1)=INDEX(OHZ_HAZ_DPGREF,137,1))),TRUE,AND(INDEX(OHZ_HAZ_DGCLASSIFI,138,1)&lt;&gt;"",INDEX(OHZ_HAZ_TEXTUALREF,138,1)&lt;&gt;"",INDEX(OHZ_HAZ_TOTAMOUNT,138,1)&lt;&gt;""))</f>
        <v>1</v>
      </c>
      <c r="K145" t="str">
        <f t="shared" si="5"/>
        <v>Row 138 - All mandatory fields must be given</v>
      </c>
      <c r="L145" t="s">
        <v>33308</v>
      </c>
      <c r="T145" t="s">
        <v>33656</v>
      </c>
    </row>
    <row r="146" spans="6:20" x14ac:dyDescent="0.2">
      <c r="F146" t="s">
        <v>33308</v>
      </c>
      <c r="G146" t="b">
        <f>IF(OR(INDEX(IHZ_HAZ_CONSIGNMENT,139,1)="",AND(INDEX(IHZ_HAZ_DPGREF,139,1)&lt;&gt;"",INDEX(IHZ_HAZ_CONSIGNMENT,139,1)=INDEX(IHZ_HAZ_CONSIGNMENT,138,1),INDEX(IHZ_HAZ_DPGREF,139,1)=INDEX(IHZ_HAZ_DPGREF,138,1))),TRUE,AND(INDEX(IHZ_HAZ_DGCLASSIFI,139,1)&lt;&gt;"",INDEX(IHZ_HAZ_TEXTUALREF,139,1)&lt;&gt;"",INDEX(IHZ_HAZ_TOTAMOUNT,139,1)&lt;&gt;""))</f>
        <v>1</v>
      </c>
      <c r="H146" t="str">
        <f t="shared" si="4"/>
        <v>Row 139 - All mandatory fields must be given</v>
      </c>
      <c r="I146" t="s">
        <v>33308</v>
      </c>
      <c r="J146" t="b">
        <f>IF(OR(INDEX(OHZ_HAZ_CONSIGNMENT,139,1)="",AND(INDEX(OHZ_HAZ_DPGREF,139,1)&lt;&gt;"",INDEX(OHZ_HAZ_CONSIGNMENT,139,1)=INDEX(OHZ_HAZ_CONSIGNMENT,138,1),INDEX(OHZ_HAZ_DPGREF,139,1)=INDEX(OHZ_HAZ_DPGREF,138,1))),TRUE,AND(INDEX(OHZ_HAZ_DGCLASSIFI,139,1)&lt;&gt;"",INDEX(OHZ_HAZ_TEXTUALREF,139,1)&lt;&gt;"",INDEX(OHZ_HAZ_TOTAMOUNT,139,1)&lt;&gt;""))</f>
        <v>1</v>
      </c>
      <c r="K146" t="str">
        <f t="shared" si="5"/>
        <v>Row 139 - All mandatory fields must be given</v>
      </c>
      <c r="L146" t="s">
        <v>33308</v>
      </c>
      <c r="T146" t="s">
        <v>33657</v>
      </c>
    </row>
    <row r="147" spans="6:20" x14ac:dyDescent="0.2">
      <c r="F147" t="s">
        <v>33308</v>
      </c>
      <c r="G147" t="b">
        <f>IF(OR(INDEX(IHZ_HAZ_CONSIGNMENT,140,1)="",AND(INDEX(IHZ_HAZ_DPGREF,140,1)&lt;&gt;"",INDEX(IHZ_HAZ_CONSIGNMENT,140,1)=INDEX(IHZ_HAZ_CONSIGNMENT,139,1),INDEX(IHZ_HAZ_DPGREF,140,1)=INDEX(IHZ_HAZ_DPGREF,139,1))),TRUE,AND(INDEX(IHZ_HAZ_DGCLASSIFI,140,1)&lt;&gt;"",INDEX(IHZ_HAZ_TEXTUALREF,140,1)&lt;&gt;"",INDEX(IHZ_HAZ_TOTAMOUNT,140,1)&lt;&gt;""))</f>
        <v>1</v>
      </c>
      <c r="H147" t="str">
        <f t="shared" si="4"/>
        <v>Row 140 - All mandatory fields must be given</v>
      </c>
      <c r="I147" t="s">
        <v>33308</v>
      </c>
      <c r="J147" t="b">
        <f>IF(OR(INDEX(OHZ_HAZ_CONSIGNMENT,140,1)="",AND(INDEX(OHZ_HAZ_DPGREF,140,1)&lt;&gt;"",INDEX(OHZ_HAZ_CONSIGNMENT,140,1)=INDEX(OHZ_HAZ_CONSIGNMENT,139,1),INDEX(OHZ_HAZ_DPGREF,140,1)=INDEX(OHZ_HAZ_DPGREF,139,1))),TRUE,AND(INDEX(OHZ_HAZ_DGCLASSIFI,140,1)&lt;&gt;"",INDEX(OHZ_HAZ_TEXTUALREF,140,1)&lt;&gt;"",INDEX(OHZ_HAZ_TOTAMOUNT,140,1)&lt;&gt;""))</f>
        <v>1</v>
      </c>
      <c r="K147" t="str">
        <f t="shared" si="5"/>
        <v>Row 140 - All mandatory fields must be given</v>
      </c>
      <c r="L147" t="s">
        <v>33308</v>
      </c>
      <c r="T147" t="s">
        <v>33658</v>
      </c>
    </row>
    <row r="148" spans="6:20" x14ac:dyDescent="0.2">
      <c r="F148" t="s">
        <v>33308</v>
      </c>
      <c r="G148" t="b">
        <f>IF(OR(INDEX(IHZ_HAZ_CONSIGNMENT,141,1)="",AND(INDEX(IHZ_HAZ_DPGREF,141,1)&lt;&gt;"",INDEX(IHZ_HAZ_CONSIGNMENT,141,1)=INDEX(IHZ_HAZ_CONSIGNMENT,140,1),INDEX(IHZ_HAZ_DPGREF,141,1)=INDEX(IHZ_HAZ_DPGREF,140,1))),TRUE,AND(INDEX(IHZ_HAZ_DGCLASSIFI,141,1)&lt;&gt;"",INDEX(IHZ_HAZ_TEXTUALREF,141,1)&lt;&gt;"",INDEX(IHZ_HAZ_TOTAMOUNT,141,1)&lt;&gt;""))</f>
        <v>1</v>
      </c>
      <c r="H148" t="str">
        <f t="shared" si="4"/>
        <v>Row 141 - All mandatory fields must be given</v>
      </c>
      <c r="I148" t="s">
        <v>33308</v>
      </c>
      <c r="J148" t="b">
        <f>IF(OR(INDEX(OHZ_HAZ_CONSIGNMENT,141,1)="",AND(INDEX(OHZ_HAZ_DPGREF,141,1)&lt;&gt;"",INDEX(OHZ_HAZ_CONSIGNMENT,141,1)=INDEX(OHZ_HAZ_CONSIGNMENT,140,1),INDEX(OHZ_HAZ_DPGREF,141,1)=INDEX(OHZ_HAZ_DPGREF,140,1))),TRUE,AND(INDEX(OHZ_HAZ_DGCLASSIFI,141,1)&lt;&gt;"",INDEX(OHZ_HAZ_TEXTUALREF,141,1)&lt;&gt;"",INDEX(OHZ_HAZ_TOTAMOUNT,141,1)&lt;&gt;""))</f>
        <v>1</v>
      </c>
      <c r="K148" t="str">
        <f t="shared" si="5"/>
        <v>Row 141 - All mandatory fields must be given</v>
      </c>
      <c r="L148" t="s">
        <v>33308</v>
      </c>
      <c r="T148" t="s">
        <v>33659</v>
      </c>
    </row>
    <row r="149" spans="6:20" x14ac:dyDescent="0.2">
      <c r="F149" t="s">
        <v>33308</v>
      </c>
      <c r="G149" t="b">
        <f>IF(OR(INDEX(IHZ_HAZ_CONSIGNMENT,142,1)="",AND(INDEX(IHZ_HAZ_DPGREF,142,1)&lt;&gt;"",INDEX(IHZ_HAZ_CONSIGNMENT,142,1)=INDEX(IHZ_HAZ_CONSIGNMENT,141,1),INDEX(IHZ_HAZ_DPGREF,142,1)=INDEX(IHZ_HAZ_DPGREF,141,1))),TRUE,AND(INDEX(IHZ_HAZ_DGCLASSIFI,142,1)&lt;&gt;"",INDEX(IHZ_HAZ_TEXTUALREF,142,1)&lt;&gt;"",INDEX(IHZ_HAZ_TOTAMOUNT,142,1)&lt;&gt;""))</f>
        <v>1</v>
      </c>
      <c r="H149" t="str">
        <f t="shared" si="4"/>
        <v>Row 142 - All mandatory fields must be given</v>
      </c>
      <c r="I149" t="s">
        <v>33308</v>
      </c>
      <c r="J149" t="b">
        <f>IF(OR(INDEX(OHZ_HAZ_CONSIGNMENT,142,1)="",AND(INDEX(OHZ_HAZ_DPGREF,142,1)&lt;&gt;"",INDEX(OHZ_HAZ_CONSIGNMENT,142,1)=INDEX(OHZ_HAZ_CONSIGNMENT,141,1),INDEX(OHZ_HAZ_DPGREF,142,1)=INDEX(OHZ_HAZ_DPGREF,141,1))),TRUE,AND(INDEX(OHZ_HAZ_DGCLASSIFI,142,1)&lt;&gt;"",INDEX(OHZ_HAZ_TEXTUALREF,142,1)&lt;&gt;"",INDEX(OHZ_HAZ_TOTAMOUNT,142,1)&lt;&gt;""))</f>
        <v>1</v>
      </c>
      <c r="K149" t="str">
        <f t="shared" si="5"/>
        <v>Row 142 - All mandatory fields must be given</v>
      </c>
      <c r="L149" t="s">
        <v>33308</v>
      </c>
      <c r="T149" t="s">
        <v>33660</v>
      </c>
    </row>
    <row r="150" spans="6:20" x14ac:dyDescent="0.2">
      <c r="F150" t="s">
        <v>33308</v>
      </c>
      <c r="G150" t="b">
        <f>IF(OR(INDEX(IHZ_HAZ_CONSIGNMENT,143,1)="",AND(INDEX(IHZ_HAZ_DPGREF,143,1)&lt;&gt;"",INDEX(IHZ_HAZ_CONSIGNMENT,143,1)=INDEX(IHZ_HAZ_CONSIGNMENT,142,1),INDEX(IHZ_HAZ_DPGREF,143,1)=INDEX(IHZ_HAZ_DPGREF,142,1))),TRUE,AND(INDEX(IHZ_HAZ_DGCLASSIFI,143,1)&lt;&gt;"",INDEX(IHZ_HAZ_TEXTUALREF,143,1)&lt;&gt;"",INDEX(IHZ_HAZ_TOTAMOUNT,143,1)&lt;&gt;""))</f>
        <v>1</v>
      </c>
      <c r="H150" t="str">
        <f t="shared" si="4"/>
        <v>Row 143 - All mandatory fields must be given</v>
      </c>
      <c r="I150" t="s">
        <v>33308</v>
      </c>
      <c r="J150" t="b">
        <f>IF(OR(INDEX(OHZ_HAZ_CONSIGNMENT,143,1)="",AND(INDEX(OHZ_HAZ_DPGREF,143,1)&lt;&gt;"",INDEX(OHZ_HAZ_CONSIGNMENT,143,1)=INDEX(OHZ_HAZ_CONSIGNMENT,142,1),INDEX(OHZ_HAZ_DPGREF,143,1)=INDEX(OHZ_HAZ_DPGREF,142,1))),TRUE,AND(INDEX(OHZ_HAZ_DGCLASSIFI,143,1)&lt;&gt;"",INDEX(OHZ_HAZ_TEXTUALREF,143,1)&lt;&gt;"",INDEX(OHZ_HAZ_TOTAMOUNT,143,1)&lt;&gt;""))</f>
        <v>1</v>
      </c>
      <c r="K150" t="str">
        <f t="shared" si="5"/>
        <v>Row 143 - All mandatory fields must be given</v>
      </c>
      <c r="L150" t="s">
        <v>33308</v>
      </c>
      <c r="T150" t="s">
        <v>33661</v>
      </c>
    </row>
    <row r="151" spans="6:20" x14ac:dyDescent="0.2">
      <c r="F151" t="s">
        <v>33308</v>
      </c>
      <c r="G151" t="b">
        <f>IF(OR(INDEX(IHZ_HAZ_CONSIGNMENT,144,1)="",AND(INDEX(IHZ_HAZ_DPGREF,144,1)&lt;&gt;"",INDEX(IHZ_HAZ_CONSIGNMENT,144,1)=INDEX(IHZ_HAZ_CONSIGNMENT,143,1),INDEX(IHZ_HAZ_DPGREF,144,1)=INDEX(IHZ_HAZ_DPGREF,143,1))),TRUE,AND(INDEX(IHZ_HAZ_DGCLASSIFI,144,1)&lt;&gt;"",INDEX(IHZ_HAZ_TEXTUALREF,144,1)&lt;&gt;"",INDEX(IHZ_HAZ_TOTAMOUNT,144,1)&lt;&gt;""))</f>
        <v>1</v>
      </c>
      <c r="H151" t="str">
        <f t="shared" si="4"/>
        <v>Row 144 - All mandatory fields must be given</v>
      </c>
      <c r="I151" t="s">
        <v>33308</v>
      </c>
      <c r="J151" t="b">
        <f>IF(OR(INDEX(OHZ_HAZ_CONSIGNMENT,144,1)="",AND(INDEX(OHZ_HAZ_DPGREF,144,1)&lt;&gt;"",INDEX(OHZ_HAZ_CONSIGNMENT,144,1)=INDEX(OHZ_HAZ_CONSIGNMENT,143,1),INDEX(OHZ_HAZ_DPGREF,144,1)=INDEX(OHZ_HAZ_DPGREF,143,1))),TRUE,AND(INDEX(OHZ_HAZ_DGCLASSIFI,144,1)&lt;&gt;"",INDEX(OHZ_HAZ_TEXTUALREF,144,1)&lt;&gt;"",INDEX(OHZ_HAZ_TOTAMOUNT,144,1)&lt;&gt;""))</f>
        <v>1</v>
      </c>
      <c r="K151" t="str">
        <f t="shared" si="5"/>
        <v>Row 144 - All mandatory fields must be given</v>
      </c>
      <c r="L151" t="s">
        <v>33308</v>
      </c>
      <c r="T151" t="s">
        <v>33662</v>
      </c>
    </row>
    <row r="152" spans="6:20" x14ac:dyDescent="0.2">
      <c r="F152" t="s">
        <v>33308</v>
      </c>
      <c r="G152" t="b">
        <f>IF(OR(INDEX(IHZ_HAZ_CONSIGNMENT,145,1)="",AND(INDEX(IHZ_HAZ_DPGREF,145,1)&lt;&gt;"",INDEX(IHZ_HAZ_CONSIGNMENT,145,1)=INDEX(IHZ_HAZ_CONSIGNMENT,144,1),INDEX(IHZ_HAZ_DPGREF,145,1)=INDEX(IHZ_HAZ_DPGREF,144,1))),TRUE,AND(INDEX(IHZ_HAZ_DGCLASSIFI,145,1)&lt;&gt;"",INDEX(IHZ_HAZ_TEXTUALREF,145,1)&lt;&gt;"",INDEX(IHZ_HAZ_TOTAMOUNT,145,1)&lt;&gt;""))</f>
        <v>1</v>
      </c>
      <c r="H152" t="str">
        <f t="shared" si="4"/>
        <v>Row 145 - All mandatory fields must be given</v>
      </c>
      <c r="I152" t="s">
        <v>33308</v>
      </c>
      <c r="J152" t="b">
        <f>IF(OR(INDEX(OHZ_HAZ_CONSIGNMENT,145,1)="",AND(INDEX(OHZ_HAZ_DPGREF,145,1)&lt;&gt;"",INDEX(OHZ_HAZ_CONSIGNMENT,145,1)=INDEX(OHZ_HAZ_CONSIGNMENT,144,1),INDEX(OHZ_HAZ_DPGREF,145,1)=INDEX(OHZ_HAZ_DPGREF,144,1))),TRUE,AND(INDEX(OHZ_HAZ_DGCLASSIFI,145,1)&lt;&gt;"",INDEX(OHZ_HAZ_TEXTUALREF,145,1)&lt;&gt;"",INDEX(OHZ_HAZ_TOTAMOUNT,145,1)&lt;&gt;""))</f>
        <v>1</v>
      </c>
      <c r="K152" t="str">
        <f t="shared" si="5"/>
        <v>Row 145 - All mandatory fields must be given</v>
      </c>
      <c r="L152" t="s">
        <v>33308</v>
      </c>
      <c r="T152" t="s">
        <v>33663</v>
      </c>
    </row>
    <row r="153" spans="6:20" x14ac:dyDescent="0.2">
      <c r="F153" t="s">
        <v>33308</v>
      </c>
      <c r="G153" t="b">
        <f>IF(OR(INDEX(IHZ_HAZ_CONSIGNMENT,146,1)="",AND(INDEX(IHZ_HAZ_DPGREF,146,1)&lt;&gt;"",INDEX(IHZ_HAZ_CONSIGNMENT,146,1)=INDEX(IHZ_HAZ_CONSIGNMENT,145,1),INDEX(IHZ_HAZ_DPGREF,146,1)=INDEX(IHZ_HAZ_DPGREF,145,1))),TRUE,AND(INDEX(IHZ_HAZ_DGCLASSIFI,146,1)&lt;&gt;"",INDEX(IHZ_HAZ_TEXTUALREF,146,1)&lt;&gt;"",INDEX(IHZ_HAZ_TOTAMOUNT,146,1)&lt;&gt;""))</f>
        <v>1</v>
      </c>
      <c r="H153" t="str">
        <f t="shared" si="4"/>
        <v>Row 146 - All mandatory fields must be given</v>
      </c>
      <c r="I153" t="s">
        <v>33308</v>
      </c>
      <c r="J153" t="b">
        <f>IF(OR(INDEX(OHZ_HAZ_CONSIGNMENT,146,1)="",AND(INDEX(OHZ_HAZ_DPGREF,146,1)&lt;&gt;"",INDEX(OHZ_HAZ_CONSIGNMENT,146,1)=INDEX(OHZ_HAZ_CONSIGNMENT,145,1),INDEX(OHZ_HAZ_DPGREF,146,1)=INDEX(OHZ_HAZ_DPGREF,145,1))),TRUE,AND(INDEX(OHZ_HAZ_DGCLASSIFI,146,1)&lt;&gt;"",INDEX(OHZ_HAZ_TEXTUALREF,146,1)&lt;&gt;"",INDEX(OHZ_HAZ_TOTAMOUNT,146,1)&lt;&gt;""))</f>
        <v>1</v>
      </c>
      <c r="K153" t="str">
        <f t="shared" si="5"/>
        <v>Row 146 - All mandatory fields must be given</v>
      </c>
      <c r="L153" t="s">
        <v>33308</v>
      </c>
      <c r="T153" t="s">
        <v>33664</v>
      </c>
    </row>
    <row r="154" spans="6:20" x14ac:dyDescent="0.2">
      <c r="F154" t="s">
        <v>33308</v>
      </c>
      <c r="G154" t="b">
        <f>IF(OR(INDEX(IHZ_HAZ_CONSIGNMENT,147,1)="",AND(INDEX(IHZ_HAZ_DPGREF,147,1)&lt;&gt;"",INDEX(IHZ_HAZ_CONSIGNMENT,147,1)=INDEX(IHZ_HAZ_CONSIGNMENT,146,1),INDEX(IHZ_HAZ_DPGREF,147,1)=INDEX(IHZ_HAZ_DPGREF,146,1))),TRUE,AND(INDEX(IHZ_HAZ_DGCLASSIFI,147,1)&lt;&gt;"",INDEX(IHZ_HAZ_TEXTUALREF,147,1)&lt;&gt;"",INDEX(IHZ_HAZ_TOTAMOUNT,147,1)&lt;&gt;""))</f>
        <v>1</v>
      </c>
      <c r="H154" t="str">
        <f t="shared" si="4"/>
        <v>Row 147 - All mandatory fields must be given</v>
      </c>
      <c r="I154" t="s">
        <v>33308</v>
      </c>
      <c r="J154" t="b">
        <f>IF(OR(INDEX(OHZ_HAZ_CONSIGNMENT,147,1)="",AND(INDEX(OHZ_HAZ_DPGREF,147,1)&lt;&gt;"",INDEX(OHZ_HAZ_CONSIGNMENT,147,1)=INDEX(OHZ_HAZ_CONSIGNMENT,146,1),INDEX(OHZ_HAZ_DPGREF,147,1)=INDEX(OHZ_HAZ_DPGREF,146,1))),TRUE,AND(INDEX(OHZ_HAZ_DGCLASSIFI,147,1)&lt;&gt;"",INDEX(OHZ_HAZ_TEXTUALREF,147,1)&lt;&gt;"",INDEX(OHZ_HAZ_TOTAMOUNT,147,1)&lt;&gt;""))</f>
        <v>1</v>
      </c>
      <c r="K154" t="str">
        <f t="shared" si="5"/>
        <v>Row 147 - All mandatory fields must be given</v>
      </c>
      <c r="L154" t="s">
        <v>33308</v>
      </c>
      <c r="T154" t="s">
        <v>33665</v>
      </c>
    </row>
    <row r="155" spans="6:20" x14ac:dyDescent="0.2">
      <c r="F155" t="s">
        <v>33308</v>
      </c>
      <c r="G155" t="b">
        <f>IF(OR(INDEX(IHZ_HAZ_CONSIGNMENT,148,1)="",AND(INDEX(IHZ_HAZ_DPGREF,148,1)&lt;&gt;"",INDEX(IHZ_HAZ_CONSIGNMENT,148,1)=INDEX(IHZ_HAZ_CONSIGNMENT,147,1),INDEX(IHZ_HAZ_DPGREF,148,1)=INDEX(IHZ_HAZ_DPGREF,147,1))),TRUE,AND(INDEX(IHZ_HAZ_DGCLASSIFI,148,1)&lt;&gt;"",INDEX(IHZ_HAZ_TEXTUALREF,148,1)&lt;&gt;"",INDEX(IHZ_HAZ_TOTAMOUNT,148,1)&lt;&gt;""))</f>
        <v>1</v>
      </c>
      <c r="H155" t="str">
        <f t="shared" si="4"/>
        <v>Row 148 - All mandatory fields must be given</v>
      </c>
      <c r="I155" t="s">
        <v>33308</v>
      </c>
      <c r="J155" t="b">
        <f>IF(OR(INDEX(OHZ_HAZ_CONSIGNMENT,148,1)="",AND(INDEX(OHZ_HAZ_DPGREF,148,1)&lt;&gt;"",INDEX(OHZ_HAZ_CONSIGNMENT,148,1)=INDEX(OHZ_HAZ_CONSIGNMENT,147,1),INDEX(OHZ_HAZ_DPGREF,148,1)=INDEX(OHZ_HAZ_DPGREF,147,1))),TRUE,AND(INDEX(OHZ_HAZ_DGCLASSIFI,148,1)&lt;&gt;"",INDEX(OHZ_HAZ_TEXTUALREF,148,1)&lt;&gt;"",INDEX(OHZ_HAZ_TOTAMOUNT,148,1)&lt;&gt;""))</f>
        <v>1</v>
      </c>
      <c r="K155" t="str">
        <f t="shared" si="5"/>
        <v>Row 148 - All mandatory fields must be given</v>
      </c>
      <c r="L155" t="s">
        <v>33308</v>
      </c>
      <c r="T155" t="s">
        <v>33666</v>
      </c>
    </row>
    <row r="156" spans="6:20" x14ac:dyDescent="0.2">
      <c r="F156" t="s">
        <v>33308</v>
      </c>
      <c r="G156" t="b">
        <f>IF(OR(INDEX(IHZ_HAZ_CONSIGNMENT,149,1)="",AND(INDEX(IHZ_HAZ_DPGREF,149,1)&lt;&gt;"",INDEX(IHZ_HAZ_CONSIGNMENT,149,1)=INDEX(IHZ_HAZ_CONSIGNMENT,148,1),INDEX(IHZ_HAZ_DPGREF,149,1)=INDEX(IHZ_HAZ_DPGREF,148,1))),TRUE,AND(INDEX(IHZ_HAZ_DGCLASSIFI,149,1)&lt;&gt;"",INDEX(IHZ_HAZ_TEXTUALREF,149,1)&lt;&gt;"",INDEX(IHZ_HAZ_TOTAMOUNT,149,1)&lt;&gt;""))</f>
        <v>1</v>
      </c>
      <c r="H156" t="str">
        <f t="shared" si="4"/>
        <v>Row 149 - All mandatory fields must be given</v>
      </c>
      <c r="I156" t="s">
        <v>33308</v>
      </c>
      <c r="J156" t="b">
        <f>IF(OR(INDEX(OHZ_HAZ_CONSIGNMENT,149,1)="",AND(INDEX(OHZ_HAZ_DPGREF,149,1)&lt;&gt;"",INDEX(OHZ_HAZ_CONSIGNMENT,149,1)=INDEX(OHZ_HAZ_CONSIGNMENT,148,1),INDEX(OHZ_HAZ_DPGREF,149,1)=INDEX(OHZ_HAZ_DPGREF,148,1))),TRUE,AND(INDEX(OHZ_HAZ_DGCLASSIFI,149,1)&lt;&gt;"",INDEX(OHZ_HAZ_TEXTUALREF,149,1)&lt;&gt;"",INDEX(OHZ_HAZ_TOTAMOUNT,149,1)&lt;&gt;""))</f>
        <v>1</v>
      </c>
      <c r="K156" t="str">
        <f t="shared" si="5"/>
        <v>Row 149 - All mandatory fields must be given</v>
      </c>
      <c r="L156" t="s">
        <v>33308</v>
      </c>
      <c r="T156" t="s">
        <v>33667</v>
      </c>
    </row>
    <row r="157" spans="6:20" x14ac:dyDescent="0.2">
      <c r="F157" t="s">
        <v>33308</v>
      </c>
      <c r="G157" t="b">
        <f>IF(OR(INDEX(IHZ_HAZ_CONSIGNMENT,150,1)="",AND(INDEX(IHZ_HAZ_DPGREF,150,1)&lt;&gt;"",INDEX(IHZ_HAZ_CONSIGNMENT,150,1)=INDEX(IHZ_HAZ_CONSIGNMENT,149,1),INDEX(IHZ_HAZ_DPGREF,150,1)=INDEX(IHZ_HAZ_DPGREF,149,1))),TRUE,AND(INDEX(IHZ_HAZ_DGCLASSIFI,150,1)&lt;&gt;"",INDEX(IHZ_HAZ_TEXTUALREF,150,1)&lt;&gt;"",INDEX(IHZ_HAZ_TOTAMOUNT,150,1)&lt;&gt;""))</f>
        <v>1</v>
      </c>
      <c r="H157" t="str">
        <f t="shared" si="4"/>
        <v>Row 150 - All mandatory fields must be given</v>
      </c>
      <c r="I157" t="s">
        <v>33308</v>
      </c>
      <c r="J157" t="b">
        <f>IF(OR(INDEX(OHZ_HAZ_CONSIGNMENT,150,1)="",AND(INDEX(OHZ_HAZ_DPGREF,150,1)&lt;&gt;"",INDEX(OHZ_HAZ_CONSIGNMENT,150,1)=INDEX(OHZ_HAZ_CONSIGNMENT,149,1),INDEX(OHZ_HAZ_DPGREF,150,1)=INDEX(OHZ_HAZ_DPGREF,149,1))),TRUE,AND(INDEX(OHZ_HAZ_DGCLASSIFI,150,1)&lt;&gt;"",INDEX(OHZ_HAZ_TEXTUALREF,150,1)&lt;&gt;"",INDEX(OHZ_HAZ_TOTAMOUNT,150,1)&lt;&gt;""))</f>
        <v>1</v>
      </c>
      <c r="K157" t="str">
        <f t="shared" si="5"/>
        <v>Row 150 - All mandatory fields must be given</v>
      </c>
      <c r="L157" t="s">
        <v>33308</v>
      </c>
      <c r="T157" t="s">
        <v>33668</v>
      </c>
    </row>
    <row r="158" spans="6:20" x14ac:dyDescent="0.2">
      <c r="F158" t="s">
        <v>33308</v>
      </c>
      <c r="G158" t="b">
        <f>IF(OR(INDEX(IHZ_HAZ_CONSIGNMENT,151,1)="",AND(INDEX(IHZ_HAZ_DPGREF,151,1)&lt;&gt;"",INDEX(IHZ_HAZ_CONSIGNMENT,151,1)=INDEX(IHZ_HAZ_CONSIGNMENT,150,1),INDEX(IHZ_HAZ_DPGREF,151,1)=INDEX(IHZ_HAZ_DPGREF,150,1))),TRUE,AND(INDEX(IHZ_HAZ_DGCLASSIFI,151,1)&lt;&gt;"",INDEX(IHZ_HAZ_TEXTUALREF,151,1)&lt;&gt;"",INDEX(IHZ_HAZ_TOTAMOUNT,151,1)&lt;&gt;""))</f>
        <v>1</v>
      </c>
      <c r="H158" t="str">
        <f t="shared" si="4"/>
        <v>Row 151 - All mandatory fields must be given</v>
      </c>
      <c r="I158" t="s">
        <v>33308</v>
      </c>
      <c r="J158" t="b">
        <f>IF(OR(INDEX(OHZ_HAZ_CONSIGNMENT,151,1)="",AND(INDEX(OHZ_HAZ_DPGREF,151,1)&lt;&gt;"",INDEX(OHZ_HAZ_CONSIGNMENT,151,1)=INDEX(OHZ_HAZ_CONSIGNMENT,150,1),INDEX(OHZ_HAZ_DPGREF,151,1)=INDEX(OHZ_HAZ_DPGREF,150,1))),TRUE,AND(INDEX(OHZ_HAZ_DGCLASSIFI,151,1)&lt;&gt;"",INDEX(OHZ_HAZ_TEXTUALREF,151,1)&lt;&gt;"",INDEX(OHZ_HAZ_TOTAMOUNT,151,1)&lt;&gt;""))</f>
        <v>1</v>
      </c>
      <c r="K158" t="str">
        <f t="shared" si="5"/>
        <v>Row 151 - All mandatory fields must be given</v>
      </c>
      <c r="L158" t="s">
        <v>33308</v>
      </c>
      <c r="T158" t="s">
        <v>33669</v>
      </c>
    </row>
    <row r="159" spans="6:20" x14ac:dyDescent="0.2">
      <c r="F159" t="s">
        <v>33308</v>
      </c>
      <c r="G159" t="b">
        <f>IF(OR(INDEX(IHZ_HAZ_CONSIGNMENT,152,1)="",AND(INDEX(IHZ_HAZ_DPGREF,152,1)&lt;&gt;"",INDEX(IHZ_HAZ_CONSIGNMENT,152,1)=INDEX(IHZ_HAZ_CONSIGNMENT,151,1),INDEX(IHZ_HAZ_DPGREF,152,1)=INDEX(IHZ_HAZ_DPGREF,151,1))),TRUE,AND(INDEX(IHZ_HAZ_DGCLASSIFI,152,1)&lt;&gt;"",INDEX(IHZ_HAZ_TEXTUALREF,152,1)&lt;&gt;"",INDEX(IHZ_HAZ_TOTAMOUNT,152,1)&lt;&gt;""))</f>
        <v>1</v>
      </c>
      <c r="H159" t="str">
        <f t="shared" si="4"/>
        <v>Row 152 - All mandatory fields must be given</v>
      </c>
      <c r="I159" t="s">
        <v>33308</v>
      </c>
      <c r="J159" t="b">
        <f>IF(OR(INDEX(OHZ_HAZ_CONSIGNMENT,152,1)="",AND(INDEX(OHZ_HAZ_DPGREF,152,1)&lt;&gt;"",INDEX(OHZ_HAZ_CONSIGNMENT,152,1)=INDEX(OHZ_HAZ_CONSIGNMENT,151,1),INDEX(OHZ_HAZ_DPGREF,152,1)=INDEX(OHZ_HAZ_DPGREF,151,1))),TRUE,AND(INDEX(OHZ_HAZ_DGCLASSIFI,152,1)&lt;&gt;"",INDEX(OHZ_HAZ_TEXTUALREF,152,1)&lt;&gt;"",INDEX(OHZ_HAZ_TOTAMOUNT,152,1)&lt;&gt;""))</f>
        <v>1</v>
      </c>
      <c r="K159" t="str">
        <f t="shared" si="5"/>
        <v>Row 152 - All mandatory fields must be given</v>
      </c>
      <c r="L159" t="s">
        <v>33308</v>
      </c>
      <c r="T159" t="s">
        <v>33670</v>
      </c>
    </row>
    <row r="160" spans="6:20" x14ac:dyDescent="0.2">
      <c r="F160" t="s">
        <v>33308</v>
      </c>
      <c r="G160" t="b">
        <f>IF(OR(INDEX(IHZ_HAZ_CONSIGNMENT,153,1)="",AND(INDEX(IHZ_HAZ_DPGREF,153,1)&lt;&gt;"",INDEX(IHZ_HAZ_CONSIGNMENT,153,1)=INDEX(IHZ_HAZ_CONSIGNMENT,152,1),INDEX(IHZ_HAZ_DPGREF,153,1)=INDEX(IHZ_HAZ_DPGREF,152,1))),TRUE,AND(INDEX(IHZ_HAZ_DGCLASSIFI,153,1)&lt;&gt;"",INDEX(IHZ_HAZ_TEXTUALREF,153,1)&lt;&gt;"",INDEX(IHZ_HAZ_TOTAMOUNT,153,1)&lt;&gt;""))</f>
        <v>1</v>
      </c>
      <c r="H160" t="str">
        <f t="shared" si="4"/>
        <v>Row 153 - All mandatory fields must be given</v>
      </c>
      <c r="I160" t="s">
        <v>33308</v>
      </c>
      <c r="J160" t="b">
        <f>IF(OR(INDEX(OHZ_HAZ_CONSIGNMENT,153,1)="",AND(INDEX(OHZ_HAZ_DPGREF,153,1)&lt;&gt;"",INDEX(OHZ_HAZ_CONSIGNMENT,153,1)=INDEX(OHZ_HAZ_CONSIGNMENT,152,1),INDEX(OHZ_HAZ_DPGREF,153,1)=INDEX(OHZ_HAZ_DPGREF,152,1))),TRUE,AND(INDEX(OHZ_HAZ_DGCLASSIFI,153,1)&lt;&gt;"",INDEX(OHZ_HAZ_TEXTUALREF,153,1)&lt;&gt;"",INDEX(OHZ_HAZ_TOTAMOUNT,153,1)&lt;&gt;""))</f>
        <v>1</v>
      </c>
      <c r="K160" t="str">
        <f t="shared" si="5"/>
        <v>Row 153 - All mandatory fields must be given</v>
      </c>
      <c r="L160" t="s">
        <v>33308</v>
      </c>
      <c r="T160" t="s">
        <v>33671</v>
      </c>
    </row>
    <row r="161" spans="6:20" x14ac:dyDescent="0.2">
      <c r="F161" t="s">
        <v>33308</v>
      </c>
      <c r="G161" t="b">
        <f>IF(OR(INDEX(IHZ_HAZ_CONSIGNMENT,154,1)="",AND(INDEX(IHZ_HAZ_DPGREF,154,1)&lt;&gt;"",INDEX(IHZ_HAZ_CONSIGNMENT,154,1)=INDEX(IHZ_HAZ_CONSIGNMENT,153,1),INDEX(IHZ_HAZ_DPGREF,154,1)=INDEX(IHZ_HAZ_DPGREF,153,1))),TRUE,AND(INDEX(IHZ_HAZ_DGCLASSIFI,154,1)&lt;&gt;"",INDEX(IHZ_HAZ_TEXTUALREF,154,1)&lt;&gt;"",INDEX(IHZ_HAZ_TOTAMOUNT,154,1)&lt;&gt;""))</f>
        <v>1</v>
      </c>
      <c r="H161" t="str">
        <f t="shared" si="4"/>
        <v>Row 154 - All mandatory fields must be given</v>
      </c>
      <c r="I161" t="s">
        <v>33308</v>
      </c>
      <c r="J161" t="b">
        <f>IF(OR(INDEX(OHZ_HAZ_CONSIGNMENT,154,1)="",AND(INDEX(OHZ_HAZ_DPGREF,154,1)&lt;&gt;"",INDEX(OHZ_HAZ_CONSIGNMENT,154,1)=INDEX(OHZ_HAZ_CONSIGNMENT,153,1),INDEX(OHZ_HAZ_DPGREF,154,1)=INDEX(OHZ_HAZ_DPGREF,153,1))),TRUE,AND(INDEX(OHZ_HAZ_DGCLASSIFI,154,1)&lt;&gt;"",INDEX(OHZ_HAZ_TEXTUALREF,154,1)&lt;&gt;"",INDEX(OHZ_HAZ_TOTAMOUNT,154,1)&lt;&gt;""))</f>
        <v>1</v>
      </c>
      <c r="K161" t="str">
        <f t="shared" si="5"/>
        <v>Row 154 - All mandatory fields must be given</v>
      </c>
      <c r="L161" t="s">
        <v>33308</v>
      </c>
      <c r="T161" t="s">
        <v>33672</v>
      </c>
    </row>
    <row r="162" spans="6:20" x14ac:dyDescent="0.2">
      <c r="F162" t="s">
        <v>33308</v>
      </c>
      <c r="G162" t="b">
        <f>IF(OR(INDEX(IHZ_HAZ_CONSIGNMENT,155,1)="",AND(INDEX(IHZ_HAZ_DPGREF,155,1)&lt;&gt;"",INDEX(IHZ_HAZ_CONSIGNMENT,155,1)=INDEX(IHZ_HAZ_CONSIGNMENT,154,1),INDEX(IHZ_HAZ_DPGREF,155,1)=INDEX(IHZ_HAZ_DPGREF,154,1))),TRUE,AND(INDEX(IHZ_HAZ_DGCLASSIFI,155,1)&lt;&gt;"",INDEX(IHZ_HAZ_TEXTUALREF,155,1)&lt;&gt;"",INDEX(IHZ_HAZ_TOTAMOUNT,155,1)&lt;&gt;""))</f>
        <v>1</v>
      </c>
      <c r="H162" t="str">
        <f t="shared" si="4"/>
        <v>Row 155 - All mandatory fields must be given</v>
      </c>
      <c r="I162" t="s">
        <v>33308</v>
      </c>
      <c r="J162" t="b">
        <f>IF(OR(INDEX(OHZ_HAZ_CONSIGNMENT,155,1)="",AND(INDEX(OHZ_HAZ_DPGREF,155,1)&lt;&gt;"",INDEX(OHZ_HAZ_CONSIGNMENT,155,1)=INDEX(OHZ_HAZ_CONSIGNMENT,154,1),INDEX(OHZ_HAZ_DPGREF,155,1)=INDEX(OHZ_HAZ_DPGREF,154,1))),TRUE,AND(INDEX(OHZ_HAZ_DGCLASSIFI,155,1)&lt;&gt;"",INDEX(OHZ_HAZ_TEXTUALREF,155,1)&lt;&gt;"",INDEX(OHZ_HAZ_TOTAMOUNT,155,1)&lt;&gt;""))</f>
        <v>1</v>
      </c>
      <c r="K162" t="str">
        <f t="shared" si="5"/>
        <v>Row 155 - All mandatory fields must be given</v>
      </c>
      <c r="L162" t="s">
        <v>33308</v>
      </c>
      <c r="T162" t="s">
        <v>33673</v>
      </c>
    </row>
    <row r="163" spans="6:20" x14ac:dyDescent="0.2">
      <c r="F163" t="s">
        <v>33308</v>
      </c>
      <c r="G163" t="b">
        <f>IF(OR(INDEX(IHZ_HAZ_CONSIGNMENT,156,1)="",AND(INDEX(IHZ_HAZ_DPGREF,156,1)&lt;&gt;"",INDEX(IHZ_HAZ_CONSIGNMENT,156,1)=INDEX(IHZ_HAZ_CONSIGNMENT,155,1),INDEX(IHZ_HAZ_DPGREF,156,1)=INDEX(IHZ_HAZ_DPGREF,155,1))),TRUE,AND(INDEX(IHZ_HAZ_DGCLASSIFI,156,1)&lt;&gt;"",INDEX(IHZ_HAZ_TEXTUALREF,156,1)&lt;&gt;"",INDEX(IHZ_HAZ_TOTAMOUNT,156,1)&lt;&gt;""))</f>
        <v>1</v>
      </c>
      <c r="H163" t="str">
        <f t="shared" si="4"/>
        <v>Row 156 - All mandatory fields must be given</v>
      </c>
      <c r="I163" t="s">
        <v>33308</v>
      </c>
      <c r="J163" t="b">
        <f>IF(OR(INDEX(OHZ_HAZ_CONSIGNMENT,156,1)="",AND(INDEX(OHZ_HAZ_DPGREF,156,1)&lt;&gt;"",INDEX(OHZ_HAZ_CONSIGNMENT,156,1)=INDEX(OHZ_HAZ_CONSIGNMENT,155,1),INDEX(OHZ_HAZ_DPGREF,156,1)=INDEX(OHZ_HAZ_DPGREF,155,1))),TRUE,AND(INDEX(OHZ_HAZ_DGCLASSIFI,156,1)&lt;&gt;"",INDEX(OHZ_HAZ_TEXTUALREF,156,1)&lt;&gt;"",INDEX(OHZ_HAZ_TOTAMOUNT,156,1)&lt;&gt;""))</f>
        <v>1</v>
      </c>
      <c r="K163" t="str">
        <f t="shared" si="5"/>
        <v>Row 156 - All mandatory fields must be given</v>
      </c>
      <c r="L163" t="s">
        <v>33308</v>
      </c>
      <c r="T163" t="s">
        <v>33674</v>
      </c>
    </row>
    <row r="164" spans="6:20" x14ac:dyDescent="0.2">
      <c r="F164" t="s">
        <v>33308</v>
      </c>
      <c r="G164" t="b">
        <f>IF(OR(INDEX(IHZ_HAZ_CONSIGNMENT,157,1)="",AND(INDEX(IHZ_HAZ_DPGREF,157,1)&lt;&gt;"",INDEX(IHZ_HAZ_CONSIGNMENT,157,1)=INDEX(IHZ_HAZ_CONSIGNMENT,156,1),INDEX(IHZ_HAZ_DPGREF,157,1)=INDEX(IHZ_HAZ_DPGREF,156,1))),TRUE,AND(INDEX(IHZ_HAZ_DGCLASSIFI,157,1)&lt;&gt;"",INDEX(IHZ_HAZ_TEXTUALREF,157,1)&lt;&gt;"",INDEX(IHZ_HAZ_TOTAMOUNT,157,1)&lt;&gt;""))</f>
        <v>1</v>
      </c>
      <c r="H164" t="str">
        <f t="shared" si="4"/>
        <v>Row 157 - All mandatory fields must be given</v>
      </c>
      <c r="I164" t="s">
        <v>33308</v>
      </c>
      <c r="J164" t="b">
        <f>IF(OR(INDEX(OHZ_HAZ_CONSIGNMENT,157,1)="",AND(INDEX(OHZ_HAZ_DPGREF,157,1)&lt;&gt;"",INDEX(OHZ_HAZ_CONSIGNMENT,157,1)=INDEX(OHZ_HAZ_CONSIGNMENT,156,1),INDEX(OHZ_HAZ_DPGREF,157,1)=INDEX(OHZ_HAZ_DPGREF,156,1))),TRUE,AND(INDEX(OHZ_HAZ_DGCLASSIFI,157,1)&lt;&gt;"",INDEX(OHZ_HAZ_TEXTUALREF,157,1)&lt;&gt;"",INDEX(OHZ_HAZ_TOTAMOUNT,157,1)&lt;&gt;""))</f>
        <v>1</v>
      </c>
      <c r="K164" t="str">
        <f t="shared" si="5"/>
        <v>Row 157 - All mandatory fields must be given</v>
      </c>
      <c r="L164" t="s">
        <v>33308</v>
      </c>
      <c r="T164" t="s">
        <v>33675</v>
      </c>
    </row>
    <row r="165" spans="6:20" x14ac:dyDescent="0.2">
      <c r="F165" t="s">
        <v>33308</v>
      </c>
      <c r="G165" t="b">
        <f>IF(OR(INDEX(IHZ_HAZ_CONSIGNMENT,158,1)="",AND(INDEX(IHZ_HAZ_DPGREF,158,1)&lt;&gt;"",INDEX(IHZ_HAZ_CONSIGNMENT,158,1)=INDEX(IHZ_HAZ_CONSIGNMENT,157,1),INDEX(IHZ_HAZ_DPGREF,158,1)=INDEX(IHZ_HAZ_DPGREF,157,1))),TRUE,AND(INDEX(IHZ_HAZ_DGCLASSIFI,158,1)&lt;&gt;"",INDEX(IHZ_HAZ_TEXTUALREF,158,1)&lt;&gt;"",INDEX(IHZ_HAZ_TOTAMOUNT,158,1)&lt;&gt;""))</f>
        <v>1</v>
      </c>
      <c r="H165" t="str">
        <f t="shared" si="4"/>
        <v>Row 158 - All mandatory fields must be given</v>
      </c>
      <c r="I165" t="s">
        <v>33308</v>
      </c>
      <c r="J165" t="b">
        <f>IF(OR(INDEX(OHZ_HAZ_CONSIGNMENT,158,1)="",AND(INDEX(OHZ_HAZ_DPGREF,158,1)&lt;&gt;"",INDEX(OHZ_HAZ_CONSIGNMENT,158,1)=INDEX(OHZ_HAZ_CONSIGNMENT,157,1),INDEX(OHZ_HAZ_DPGREF,158,1)=INDEX(OHZ_HAZ_DPGREF,157,1))),TRUE,AND(INDEX(OHZ_HAZ_DGCLASSIFI,158,1)&lt;&gt;"",INDEX(OHZ_HAZ_TEXTUALREF,158,1)&lt;&gt;"",INDEX(OHZ_HAZ_TOTAMOUNT,158,1)&lt;&gt;""))</f>
        <v>1</v>
      </c>
      <c r="K165" t="str">
        <f t="shared" si="5"/>
        <v>Row 158 - All mandatory fields must be given</v>
      </c>
      <c r="L165" t="s">
        <v>33308</v>
      </c>
      <c r="T165" t="s">
        <v>33676</v>
      </c>
    </row>
    <row r="166" spans="6:20" x14ac:dyDescent="0.2">
      <c r="F166" t="s">
        <v>33308</v>
      </c>
      <c r="G166" t="b">
        <f>IF(OR(INDEX(IHZ_HAZ_CONSIGNMENT,159,1)="",AND(INDEX(IHZ_HAZ_DPGREF,159,1)&lt;&gt;"",INDEX(IHZ_HAZ_CONSIGNMENT,159,1)=INDEX(IHZ_HAZ_CONSIGNMENT,158,1),INDEX(IHZ_HAZ_DPGREF,159,1)=INDEX(IHZ_HAZ_DPGREF,158,1))),TRUE,AND(INDEX(IHZ_HAZ_DGCLASSIFI,159,1)&lt;&gt;"",INDEX(IHZ_HAZ_TEXTUALREF,159,1)&lt;&gt;"",INDEX(IHZ_HAZ_TOTAMOUNT,159,1)&lt;&gt;""))</f>
        <v>1</v>
      </c>
      <c r="H166" t="str">
        <f t="shared" si="4"/>
        <v>Row 159 - All mandatory fields must be given</v>
      </c>
      <c r="I166" t="s">
        <v>33308</v>
      </c>
      <c r="J166" t="b">
        <f>IF(OR(INDEX(OHZ_HAZ_CONSIGNMENT,159,1)="",AND(INDEX(OHZ_HAZ_DPGREF,159,1)&lt;&gt;"",INDEX(OHZ_HAZ_CONSIGNMENT,159,1)=INDEX(OHZ_HAZ_CONSIGNMENT,158,1),INDEX(OHZ_HAZ_DPGREF,159,1)=INDEX(OHZ_HAZ_DPGREF,158,1))),TRUE,AND(INDEX(OHZ_HAZ_DGCLASSIFI,159,1)&lt;&gt;"",INDEX(OHZ_HAZ_TEXTUALREF,159,1)&lt;&gt;"",INDEX(OHZ_HAZ_TOTAMOUNT,159,1)&lt;&gt;""))</f>
        <v>1</v>
      </c>
      <c r="K166" t="str">
        <f t="shared" si="5"/>
        <v>Row 159 - All mandatory fields must be given</v>
      </c>
      <c r="L166" t="s">
        <v>33308</v>
      </c>
      <c r="T166" t="s">
        <v>33677</v>
      </c>
    </row>
    <row r="167" spans="6:20" x14ac:dyDescent="0.2">
      <c r="F167" t="s">
        <v>33308</v>
      </c>
      <c r="G167" t="b">
        <f>IF(OR(INDEX(IHZ_HAZ_CONSIGNMENT,160,1)="",AND(INDEX(IHZ_HAZ_DPGREF,160,1)&lt;&gt;"",INDEX(IHZ_HAZ_CONSIGNMENT,160,1)=INDEX(IHZ_HAZ_CONSIGNMENT,159,1),INDEX(IHZ_HAZ_DPGREF,160,1)=INDEX(IHZ_HAZ_DPGREF,159,1))),TRUE,AND(INDEX(IHZ_HAZ_DGCLASSIFI,160,1)&lt;&gt;"",INDEX(IHZ_HAZ_TEXTUALREF,160,1)&lt;&gt;"",INDEX(IHZ_HAZ_TOTAMOUNT,160,1)&lt;&gt;""))</f>
        <v>1</v>
      </c>
      <c r="H167" t="str">
        <f t="shared" si="4"/>
        <v>Row 160 - All mandatory fields must be given</v>
      </c>
      <c r="I167" t="s">
        <v>33308</v>
      </c>
      <c r="J167" t="b">
        <f>IF(OR(INDEX(OHZ_HAZ_CONSIGNMENT,160,1)="",AND(INDEX(OHZ_HAZ_DPGREF,160,1)&lt;&gt;"",INDEX(OHZ_HAZ_CONSIGNMENT,160,1)=INDEX(OHZ_HAZ_CONSIGNMENT,159,1),INDEX(OHZ_HAZ_DPGREF,160,1)=INDEX(OHZ_HAZ_DPGREF,159,1))),TRUE,AND(INDEX(OHZ_HAZ_DGCLASSIFI,160,1)&lt;&gt;"",INDEX(OHZ_HAZ_TEXTUALREF,160,1)&lt;&gt;"",INDEX(OHZ_HAZ_TOTAMOUNT,160,1)&lt;&gt;""))</f>
        <v>1</v>
      </c>
      <c r="K167" t="str">
        <f t="shared" si="5"/>
        <v>Row 160 - All mandatory fields must be given</v>
      </c>
      <c r="L167" t="s">
        <v>33308</v>
      </c>
      <c r="T167" t="s">
        <v>33678</v>
      </c>
    </row>
    <row r="168" spans="6:20" x14ac:dyDescent="0.2">
      <c r="F168" t="s">
        <v>33308</v>
      </c>
      <c r="G168" t="b">
        <f>IF(OR(INDEX(IHZ_HAZ_CONSIGNMENT,161,1)="",AND(INDEX(IHZ_HAZ_DPGREF,161,1)&lt;&gt;"",INDEX(IHZ_HAZ_CONSIGNMENT,161,1)=INDEX(IHZ_HAZ_CONSIGNMENT,160,1),INDEX(IHZ_HAZ_DPGREF,161,1)=INDEX(IHZ_HAZ_DPGREF,160,1))),TRUE,AND(INDEX(IHZ_HAZ_DGCLASSIFI,161,1)&lt;&gt;"",INDEX(IHZ_HAZ_TEXTUALREF,161,1)&lt;&gt;"",INDEX(IHZ_HAZ_TOTAMOUNT,161,1)&lt;&gt;""))</f>
        <v>1</v>
      </c>
      <c r="H168" t="str">
        <f t="shared" si="4"/>
        <v>Row 161 - All mandatory fields must be given</v>
      </c>
      <c r="I168" t="s">
        <v>33308</v>
      </c>
      <c r="J168" t="b">
        <f>IF(OR(INDEX(OHZ_HAZ_CONSIGNMENT,161,1)="",AND(INDEX(OHZ_HAZ_DPGREF,161,1)&lt;&gt;"",INDEX(OHZ_HAZ_CONSIGNMENT,161,1)=INDEX(OHZ_HAZ_CONSIGNMENT,160,1),INDEX(OHZ_HAZ_DPGREF,161,1)=INDEX(OHZ_HAZ_DPGREF,160,1))),TRUE,AND(INDEX(OHZ_HAZ_DGCLASSIFI,161,1)&lt;&gt;"",INDEX(OHZ_HAZ_TEXTUALREF,161,1)&lt;&gt;"",INDEX(OHZ_HAZ_TOTAMOUNT,161,1)&lt;&gt;""))</f>
        <v>1</v>
      </c>
      <c r="K168" t="str">
        <f t="shared" si="5"/>
        <v>Row 161 - All mandatory fields must be given</v>
      </c>
      <c r="L168" t="s">
        <v>33308</v>
      </c>
      <c r="T168" t="s">
        <v>33679</v>
      </c>
    </row>
    <row r="169" spans="6:20" x14ac:dyDescent="0.2">
      <c r="F169" t="s">
        <v>33308</v>
      </c>
      <c r="G169" t="b">
        <f>IF(OR(INDEX(IHZ_HAZ_CONSIGNMENT,162,1)="",AND(INDEX(IHZ_HAZ_DPGREF,162,1)&lt;&gt;"",INDEX(IHZ_HAZ_CONSIGNMENT,162,1)=INDEX(IHZ_HAZ_CONSIGNMENT,161,1),INDEX(IHZ_HAZ_DPGREF,162,1)=INDEX(IHZ_HAZ_DPGREF,161,1))),TRUE,AND(INDEX(IHZ_HAZ_DGCLASSIFI,162,1)&lt;&gt;"",INDEX(IHZ_HAZ_TEXTUALREF,162,1)&lt;&gt;"",INDEX(IHZ_HAZ_TOTAMOUNT,162,1)&lt;&gt;""))</f>
        <v>1</v>
      </c>
      <c r="H169" t="str">
        <f t="shared" si="4"/>
        <v>Row 162 - All mandatory fields must be given</v>
      </c>
      <c r="I169" t="s">
        <v>33308</v>
      </c>
      <c r="J169" t="b">
        <f>IF(OR(INDEX(OHZ_HAZ_CONSIGNMENT,162,1)="",AND(INDEX(OHZ_HAZ_DPGREF,162,1)&lt;&gt;"",INDEX(OHZ_HAZ_CONSIGNMENT,162,1)=INDEX(OHZ_HAZ_CONSIGNMENT,161,1),INDEX(OHZ_HAZ_DPGREF,162,1)=INDEX(OHZ_HAZ_DPGREF,161,1))),TRUE,AND(INDEX(OHZ_HAZ_DGCLASSIFI,162,1)&lt;&gt;"",INDEX(OHZ_HAZ_TEXTUALREF,162,1)&lt;&gt;"",INDEX(OHZ_HAZ_TOTAMOUNT,162,1)&lt;&gt;""))</f>
        <v>1</v>
      </c>
      <c r="K169" t="str">
        <f t="shared" si="5"/>
        <v>Row 162 - All mandatory fields must be given</v>
      </c>
      <c r="L169" t="s">
        <v>33308</v>
      </c>
      <c r="T169" t="s">
        <v>33680</v>
      </c>
    </row>
    <row r="170" spans="6:20" x14ac:dyDescent="0.2">
      <c r="F170" t="s">
        <v>33308</v>
      </c>
      <c r="G170" t="b">
        <f>IF(OR(INDEX(IHZ_HAZ_CONSIGNMENT,163,1)="",AND(INDEX(IHZ_HAZ_DPGREF,163,1)&lt;&gt;"",INDEX(IHZ_HAZ_CONSIGNMENT,163,1)=INDEX(IHZ_HAZ_CONSIGNMENT,162,1),INDEX(IHZ_HAZ_DPGREF,163,1)=INDEX(IHZ_HAZ_DPGREF,162,1))),TRUE,AND(INDEX(IHZ_HAZ_DGCLASSIFI,163,1)&lt;&gt;"",INDEX(IHZ_HAZ_TEXTUALREF,163,1)&lt;&gt;"",INDEX(IHZ_HAZ_TOTAMOUNT,163,1)&lt;&gt;""))</f>
        <v>1</v>
      </c>
      <c r="H170" t="str">
        <f t="shared" si="4"/>
        <v>Row 163 - All mandatory fields must be given</v>
      </c>
      <c r="I170" t="s">
        <v>33308</v>
      </c>
      <c r="J170" t="b">
        <f>IF(OR(INDEX(OHZ_HAZ_CONSIGNMENT,163,1)="",AND(INDEX(OHZ_HAZ_DPGREF,163,1)&lt;&gt;"",INDEX(OHZ_HAZ_CONSIGNMENT,163,1)=INDEX(OHZ_HAZ_CONSIGNMENT,162,1),INDEX(OHZ_HAZ_DPGREF,163,1)=INDEX(OHZ_HAZ_DPGREF,162,1))),TRUE,AND(INDEX(OHZ_HAZ_DGCLASSIFI,163,1)&lt;&gt;"",INDEX(OHZ_HAZ_TEXTUALREF,163,1)&lt;&gt;"",INDEX(OHZ_HAZ_TOTAMOUNT,163,1)&lt;&gt;""))</f>
        <v>1</v>
      </c>
      <c r="K170" t="str">
        <f t="shared" si="5"/>
        <v>Row 163 - All mandatory fields must be given</v>
      </c>
      <c r="L170" t="s">
        <v>33308</v>
      </c>
      <c r="T170" t="s">
        <v>33681</v>
      </c>
    </row>
    <row r="171" spans="6:20" x14ac:dyDescent="0.2">
      <c r="F171" t="s">
        <v>33308</v>
      </c>
      <c r="G171" t="b">
        <f>IF(OR(INDEX(IHZ_HAZ_CONSIGNMENT,164,1)="",AND(INDEX(IHZ_HAZ_DPGREF,164,1)&lt;&gt;"",INDEX(IHZ_HAZ_CONSIGNMENT,164,1)=INDEX(IHZ_HAZ_CONSIGNMENT,163,1),INDEX(IHZ_HAZ_DPGREF,164,1)=INDEX(IHZ_HAZ_DPGREF,163,1))),TRUE,AND(INDEX(IHZ_HAZ_DGCLASSIFI,164,1)&lt;&gt;"",INDEX(IHZ_HAZ_TEXTUALREF,164,1)&lt;&gt;"",INDEX(IHZ_HAZ_TOTAMOUNT,164,1)&lt;&gt;""))</f>
        <v>1</v>
      </c>
      <c r="H171" t="str">
        <f t="shared" si="4"/>
        <v>Row 164 - All mandatory fields must be given</v>
      </c>
      <c r="I171" t="s">
        <v>33308</v>
      </c>
      <c r="J171" t="b">
        <f>IF(OR(INDEX(OHZ_HAZ_CONSIGNMENT,164,1)="",AND(INDEX(OHZ_HAZ_DPGREF,164,1)&lt;&gt;"",INDEX(OHZ_HAZ_CONSIGNMENT,164,1)=INDEX(OHZ_HAZ_CONSIGNMENT,163,1),INDEX(OHZ_HAZ_DPGREF,164,1)=INDEX(OHZ_HAZ_DPGREF,163,1))),TRUE,AND(INDEX(OHZ_HAZ_DGCLASSIFI,164,1)&lt;&gt;"",INDEX(OHZ_HAZ_TEXTUALREF,164,1)&lt;&gt;"",INDEX(OHZ_HAZ_TOTAMOUNT,164,1)&lt;&gt;""))</f>
        <v>1</v>
      </c>
      <c r="K171" t="str">
        <f t="shared" si="5"/>
        <v>Row 164 - All mandatory fields must be given</v>
      </c>
      <c r="L171" t="s">
        <v>33308</v>
      </c>
      <c r="T171" t="s">
        <v>33682</v>
      </c>
    </row>
    <row r="172" spans="6:20" x14ac:dyDescent="0.2">
      <c r="F172" t="s">
        <v>33308</v>
      </c>
      <c r="G172" t="b">
        <f>IF(OR(INDEX(IHZ_HAZ_CONSIGNMENT,165,1)="",AND(INDEX(IHZ_HAZ_DPGREF,165,1)&lt;&gt;"",INDEX(IHZ_HAZ_CONSIGNMENT,165,1)=INDEX(IHZ_HAZ_CONSIGNMENT,164,1),INDEX(IHZ_HAZ_DPGREF,165,1)=INDEX(IHZ_HAZ_DPGREF,164,1))),TRUE,AND(INDEX(IHZ_HAZ_DGCLASSIFI,165,1)&lt;&gt;"",INDEX(IHZ_HAZ_TEXTUALREF,165,1)&lt;&gt;"",INDEX(IHZ_HAZ_TOTAMOUNT,165,1)&lt;&gt;""))</f>
        <v>1</v>
      </c>
      <c r="H172" t="str">
        <f t="shared" si="4"/>
        <v>Row 165 - All mandatory fields must be given</v>
      </c>
      <c r="J172" t="b">
        <f>IF(OR(INDEX(OHZ_HAZ_CONSIGNMENT,165,1)="",AND(INDEX(OHZ_HAZ_DPGREF,165,1)&lt;&gt;"",INDEX(OHZ_HAZ_CONSIGNMENT,165,1)=INDEX(OHZ_HAZ_CONSIGNMENT,164,1),INDEX(OHZ_HAZ_DPGREF,165,1)=INDEX(OHZ_HAZ_DPGREF,164,1))),TRUE,AND(INDEX(OHZ_HAZ_DGCLASSIFI,165,1)&lt;&gt;"",INDEX(OHZ_HAZ_TEXTUALREF,165,1)&lt;&gt;"",INDEX(OHZ_HAZ_TOTAMOUNT,165,1)&lt;&gt;""))</f>
        <v>1</v>
      </c>
      <c r="K172" t="str">
        <f t="shared" si="5"/>
        <v>Row 165 - All mandatory fields must be given</v>
      </c>
      <c r="L172" t="s">
        <v>33308</v>
      </c>
      <c r="T172" t="s">
        <v>33683</v>
      </c>
    </row>
    <row r="173" spans="6:20" x14ac:dyDescent="0.2">
      <c r="F173" t="s">
        <v>33308</v>
      </c>
      <c r="G173" t="b">
        <f>IF(OR(INDEX(IHZ_HAZ_CONSIGNMENT,166,1)="",AND(INDEX(IHZ_HAZ_DPGREF,166,1)&lt;&gt;"",INDEX(IHZ_HAZ_CONSIGNMENT,166,1)=INDEX(IHZ_HAZ_CONSIGNMENT,165,1),INDEX(IHZ_HAZ_DPGREF,166,1)=INDEX(IHZ_HAZ_DPGREF,165,1))),TRUE,AND(INDEX(IHZ_HAZ_DGCLASSIFI,166,1)&lt;&gt;"",INDEX(IHZ_HAZ_TEXTUALREF,166,1)&lt;&gt;"",INDEX(IHZ_HAZ_TOTAMOUNT,166,1)&lt;&gt;""))</f>
        <v>1</v>
      </c>
      <c r="H173" t="str">
        <f t="shared" si="4"/>
        <v>Row 166 - All mandatory fields must be given</v>
      </c>
      <c r="J173" t="b">
        <f>IF(OR(INDEX(OHZ_HAZ_CONSIGNMENT,166,1)="",AND(INDEX(OHZ_HAZ_DPGREF,166,1)&lt;&gt;"",INDEX(OHZ_HAZ_CONSIGNMENT,166,1)=INDEX(OHZ_HAZ_CONSIGNMENT,165,1),INDEX(OHZ_HAZ_DPGREF,166,1)=INDEX(OHZ_HAZ_DPGREF,165,1))),TRUE,AND(INDEX(OHZ_HAZ_DGCLASSIFI,166,1)&lt;&gt;"",INDEX(OHZ_HAZ_TEXTUALREF,166,1)&lt;&gt;"",INDEX(OHZ_HAZ_TOTAMOUNT,166,1)&lt;&gt;""))</f>
        <v>1</v>
      </c>
      <c r="K173" t="str">
        <f t="shared" si="5"/>
        <v>Row 166 - All mandatory fields must be given</v>
      </c>
      <c r="L173" t="s">
        <v>33308</v>
      </c>
      <c r="T173" t="s">
        <v>33684</v>
      </c>
    </row>
    <row r="174" spans="6:20" x14ac:dyDescent="0.2">
      <c r="F174" t="s">
        <v>33308</v>
      </c>
      <c r="G174" t="b">
        <f>IF(OR(INDEX(IHZ_HAZ_CONSIGNMENT,167,1)="",AND(INDEX(IHZ_HAZ_DPGREF,167,1)&lt;&gt;"",INDEX(IHZ_HAZ_CONSIGNMENT,167,1)=INDEX(IHZ_HAZ_CONSIGNMENT,166,1),INDEX(IHZ_HAZ_DPGREF,167,1)=INDEX(IHZ_HAZ_DPGREF,166,1))),TRUE,AND(INDEX(IHZ_HAZ_DGCLASSIFI,167,1)&lt;&gt;"",INDEX(IHZ_HAZ_TEXTUALREF,167,1)&lt;&gt;"",INDEX(IHZ_HAZ_TOTAMOUNT,167,1)&lt;&gt;""))</f>
        <v>1</v>
      </c>
      <c r="H174" t="str">
        <f t="shared" si="4"/>
        <v>Row 167 - All mandatory fields must be given</v>
      </c>
      <c r="J174" t="b">
        <f>IF(OR(INDEX(OHZ_HAZ_CONSIGNMENT,167,1)="",AND(INDEX(OHZ_HAZ_DPGREF,167,1)&lt;&gt;"",INDEX(OHZ_HAZ_CONSIGNMENT,167,1)=INDEX(OHZ_HAZ_CONSIGNMENT,166,1),INDEX(OHZ_HAZ_DPGREF,167,1)=INDEX(OHZ_HAZ_DPGREF,166,1))),TRUE,AND(INDEX(OHZ_HAZ_DGCLASSIFI,167,1)&lt;&gt;"",INDEX(OHZ_HAZ_TEXTUALREF,167,1)&lt;&gt;"",INDEX(OHZ_HAZ_TOTAMOUNT,167,1)&lt;&gt;""))</f>
        <v>1</v>
      </c>
      <c r="K174" t="str">
        <f t="shared" si="5"/>
        <v>Row 167 - All mandatory fields must be given</v>
      </c>
      <c r="L174" t="s">
        <v>33308</v>
      </c>
      <c r="T174" t="s">
        <v>33685</v>
      </c>
    </row>
    <row r="175" spans="6:20" x14ac:dyDescent="0.2">
      <c r="F175" t="s">
        <v>33308</v>
      </c>
      <c r="G175" t="b">
        <f>IF(OR(INDEX(IHZ_HAZ_CONSIGNMENT,168,1)="",AND(INDEX(IHZ_HAZ_DPGREF,168,1)&lt;&gt;"",INDEX(IHZ_HAZ_CONSIGNMENT,168,1)=INDEX(IHZ_HAZ_CONSIGNMENT,167,1),INDEX(IHZ_HAZ_DPGREF,168,1)=INDEX(IHZ_HAZ_DPGREF,167,1))),TRUE,AND(INDEX(IHZ_HAZ_DGCLASSIFI,168,1)&lt;&gt;"",INDEX(IHZ_HAZ_TEXTUALREF,168,1)&lt;&gt;"",INDEX(IHZ_HAZ_TOTAMOUNT,168,1)&lt;&gt;""))</f>
        <v>1</v>
      </c>
      <c r="H175" t="str">
        <f t="shared" si="4"/>
        <v>Row 168 - All mandatory fields must be given</v>
      </c>
      <c r="J175" t="b">
        <f>IF(OR(INDEX(OHZ_HAZ_CONSIGNMENT,168,1)="",AND(INDEX(OHZ_HAZ_DPGREF,168,1)&lt;&gt;"",INDEX(OHZ_HAZ_CONSIGNMENT,168,1)=INDEX(OHZ_HAZ_CONSIGNMENT,167,1),INDEX(OHZ_HAZ_DPGREF,168,1)=INDEX(OHZ_HAZ_DPGREF,167,1))),TRUE,AND(INDEX(OHZ_HAZ_DGCLASSIFI,168,1)&lt;&gt;"",INDEX(OHZ_HAZ_TEXTUALREF,168,1)&lt;&gt;"",INDEX(OHZ_HAZ_TOTAMOUNT,168,1)&lt;&gt;""))</f>
        <v>1</v>
      </c>
      <c r="K175" t="str">
        <f t="shared" si="5"/>
        <v>Row 168 - All mandatory fields must be given</v>
      </c>
      <c r="L175" t="s">
        <v>33308</v>
      </c>
      <c r="T175" t="s">
        <v>33686</v>
      </c>
    </row>
    <row r="176" spans="6:20" x14ac:dyDescent="0.2">
      <c r="F176" t="s">
        <v>33308</v>
      </c>
      <c r="G176" t="b">
        <f>IF(OR(INDEX(IHZ_HAZ_CONSIGNMENT,169,1)="",AND(INDEX(IHZ_HAZ_DPGREF,169,1)&lt;&gt;"",INDEX(IHZ_HAZ_CONSIGNMENT,169,1)=INDEX(IHZ_HAZ_CONSIGNMENT,168,1),INDEX(IHZ_HAZ_DPGREF,169,1)=INDEX(IHZ_HAZ_DPGREF,168,1))),TRUE,AND(INDEX(IHZ_HAZ_DGCLASSIFI,169,1)&lt;&gt;"",INDEX(IHZ_HAZ_TEXTUALREF,169,1)&lt;&gt;"",INDEX(IHZ_HAZ_TOTAMOUNT,169,1)&lt;&gt;""))</f>
        <v>1</v>
      </c>
      <c r="H176" t="str">
        <f t="shared" si="4"/>
        <v>Row 169 - All mandatory fields must be given</v>
      </c>
      <c r="J176" t="b">
        <f>IF(OR(INDEX(OHZ_HAZ_CONSIGNMENT,169,1)="",AND(INDEX(OHZ_HAZ_DPGREF,169,1)&lt;&gt;"",INDEX(OHZ_HAZ_CONSIGNMENT,169,1)=INDEX(OHZ_HAZ_CONSIGNMENT,168,1),INDEX(OHZ_HAZ_DPGREF,169,1)=INDEX(OHZ_HAZ_DPGREF,168,1))),TRUE,AND(INDEX(OHZ_HAZ_DGCLASSIFI,169,1)&lt;&gt;"",INDEX(OHZ_HAZ_TEXTUALREF,169,1)&lt;&gt;"",INDEX(OHZ_HAZ_TOTAMOUNT,169,1)&lt;&gt;""))</f>
        <v>1</v>
      </c>
      <c r="K176" t="str">
        <f t="shared" si="5"/>
        <v>Row 169 - All mandatory fields must be given</v>
      </c>
      <c r="L176" t="s">
        <v>33308</v>
      </c>
      <c r="T176" t="s">
        <v>33687</v>
      </c>
    </row>
    <row r="177" spans="6:20" x14ac:dyDescent="0.2">
      <c r="F177" t="s">
        <v>33308</v>
      </c>
      <c r="G177" t="b">
        <f>IF(OR(INDEX(IHZ_HAZ_CONSIGNMENT,170,1)="",AND(INDEX(IHZ_HAZ_DPGREF,170,1)&lt;&gt;"",INDEX(IHZ_HAZ_CONSIGNMENT,170,1)=INDEX(IHZ_HAZ_CONSIGNMENT,169,1),INDEX(IHZ_HAZ_DPGREF,170,1)=INDEX(IHZ_HAZ_DPGREF,169,1))),TRUE,AND(INDEX(IHZ_HAZ_DGCLASSIFI,170,1)&lt;&gt;"",INDEX(IHZ_HAZ_TEXTUALREF,170,1)&lt;&gt;"",INDEX(IHZ_HAZ_TOTAMOUNT,170,1)&lt;&gt;""))</f>
        <v>1</v>
      </c>
      <c r="H177" t="str">
        <f t="shared" si="4"/>
        <v>Row 170 - All mandatory fields must be given</v>
      </c>
      <c r="J177" t="b">
        <f>IF(OR(INDEX(OHZ_HAZ_CONSIGNMENT,170,1)="",AND(INDEX(OHZ_HAZ_DPGREF,170,1)&lt;&gt;"",INDEX(OHZ_HAZ_CONSIGNMENT,170,1)=INDEX(OHZ_HAZ_CONSIGNMENT,169,1),INDEX(OHZ_HAZ_DPGREF,170,1)=INDEX(OHZ_HAZ_DPGREF,169,1))),TRUE,AND(INDEX(OHZ_HAZ_DGCLASSIFI,170,1)&lt;&gt;"",INDEX(OHZ_HAZ_TEXTUALREF,170,1)&lt;&gt;"",INDEX(OHZ_HAZ_TOTAMOUNT,170,1)&lt;&gt;""))</f>
        <v>1</v>
      </c>
      <c r="K177" t="str">
        <f t="shared" si="5"/>
        <v>Row 170 - All mandatory fields must be given</v>
      </c>
      <c r="L177" t="s">
        <v>33308</v>
      </c>
      <c r="T177" t="s">
        <v>33688</v>
      </c>
    </row>
    <row r="178" spans="6:20" x14ac:dyDescent="0.2">
      <c r="F178" t="s">
        <v>33308</v>
      </c>
      <c r="G178" t="b">
        <f>IF(OR(INDEX(IHZ_HAZ_CONSIGNMENT,171,1)="",AND(INDEX(IHZ_HAZ_DPGREF,171,1)&lt;&gt;"",INDEX(IHZ_HAZ_CONSIGNMENT,171,1)=INDEX(IHZ_HAZ_CONSIGNMENT,170,1),INDEX(IHZ_HAZ_DPGREF,171,1)=INDEX(IHZ_HAZ_DPGREF,170,1))),TRUE,AND(INDEX(IHZ_HAZ_DGCLASSIFI,171,1)&lt;&gt;"",INDEX(IHZ_HAZ_TEXTUALREF,171,1)&lt;&gt;"",INDEX(IHZ_HAZ_TOTAMOUNT,171,1)&lt;&gt;""))</f>
        <v>1</v>
      </c>
      <c r="H178" t="str">
        <f t="shared" si="4"/>
        <v>Row 171 - All mandatory fields must be given</v>
      </c>
      <c r="J178" t="b">
        <f>IF(OR(INDEX(OHZ_HAZ_CONSIGNMENT,171,1)="",AND(INDEX(OHZ_HAZ_DPGREF,171,1)&lt;&gt;"",INDEX(OHZ_HAZ_CONSIGNMENT,171,1)=INDEX(OHZ_HAZ_CONSIGNMENT,170,1),INDEX(OHZ_HAZ_DPGREF,171,1)=INDEX(OHZ_HAZ_DPGREF,170,1))),TRUE,AND(INDEX(OHZ_HAZ_DGCLASSIFI,171,1)&lt;&gt;"",INDEX(OHZ_HAZ_TEXTUALREF,171,1)&lt;&gt;"",INDEX(OHZ_HAZ_TOTAMOUNT,171,1)&lt;&gt;""))</f>
        <v>1</v>
      </c>
      <c r="K178" t="str">
        <f t="shared" si="5"/>
        <v>Row 171 - All mandatory fields must be given</v>
      </c>
      <c r="L178" t="s">
        <v>33308</v>
      </c>
      <c r="T178" t="s">
        <v>33689</v>
      </c>
    </row>
    <row r="179" spans="6:20" x14ac:dyDescent="0.2">
      <c r="F179" t="s">
        <v>33308</v>
      </c>
      <c r="G179" t="b">
        <f>IF(OR(INDEX(IHZ_HAZ_CONSIGNMENT,172,1)="",AND(INDEX(IHZ_HAZ_DPGREF,172,1)&lt;&gt;"",INDEX(IHZ_HAZ_CONSIGNMENT,172,1)=INDEX(IHZ_HAZ_CONSIGNMENT,171,1),INDEX(IHZ_HAZ_DPGREF,172,1)=INDEX(IHZ_HAZ_DPGREF,171,1))),TRUE,AND(INDEX(IHZ_HAZ_DGCLASSIFI,172,1)&lt;&gt;"",INDEX(IHZ_HAZ_TEXTUALREF,172,1)&lt;&gt;"",INDEX(IHZ_HAZ_TOTAMOUNT,172,1)&lt;&gt;""))</f>
        <v>1</v>
      </c>
      <c r="H179" t="str">
        <f t="shared" si="4"/>
        <v>Row 172 - All mandatory fields must be given</v>
      </c>
      <c r="J179" t="b">
        <f>IF(OR(INDEX(OHZ_HAZ_CONSIGNMENT,172,1)="",AND(INDEX(OHZ_HAZ_DPGREF,172,1)&lt;&gt;"",INDEX(OHZ_HAZ_CONSIGNMENT,172,1)=INDEX(OHZ_HAZ_CONSIGNMENT,171,1),INDEX(OHZ_HAZ_DPGREF,172,1)=INDEX(OHZ_HAZ_DPGREF,171,1))),TRUE,AND(INDEX(OHZ_HAZ_DGCLASSIFI,172,1)&lt;&gt;"",INDEX(OHZ_HAZ_TEXTUALREF,172,1)&lt;&gt;"",INDEX(OHZ_HAZ_TOTAMOUNT,172,1)&lt;&gt;""))</f>
        <v>1</v>
      </c>
      <c r="K179" t="str">
        <f t="shared" si="5"/>
        <v>Row 172 - All mandatory fields must be given</v>
      </c>
      <c r="L179" t="s">
        <v>33308</v>
      </c>
      <c r="T179" t="s">
        <v>33690</v>
      </c>
    </row>
    <row r="180" spans="6:20" x14ac:dyDescent="0.2">
      <c r="F180" t="s">
        <v>33308</v>
      </c>
      <c r="G180" t="b">
        <f>IF(OR(INDEX(IHZ_HAZ_CONSIGNMENT,173,1)="",AND(INDEX(IHZ_HAZ_DPGREF,173,1)&lt;&gt;"",INDEX(IHZ_HAZ_CONSIGNMENT,173,1)=INDEX(IHZ_HAZ_CONSIGNMENT,172,1),INDEX(IHZ_HAZ_DPGREF,173,1)=INDEX(IHZ_HAZ_DPGREF,172,1))),TRUE,AND(INDEX(IHZ_HAZ_DGCLASSIFI,173,1)&lt;&gt;"",INDEX(IHZ_HAZ_TEXTUALREF,173,1)&lt;&gt;"",INDEX(IHZ_HAZ_TOTAMOUNT,173,1)&lt;&gt;""))</f>
        <v>1</v>
      </c>
      <c r="H180" t="str">
        <f t="shared" si="4"/>
        <v>Row 173 - All mandatory fields must be given</v>
      </c>
      <c r="J180" t="b">
        <f>IF(OR(INDEX(OHZ_HAZ_CONSIGNMENT,173,1)="",AND(INDEX(OHZ_HAZ_DPGREF,173,1)&lt;&gt;"",INDEX(OHZ_HAZ_CONSIGNMENT,173,1)=INDEX(OHZ_HAZ_CONSIGNMENT,172,1),INDEX(OHZ_HAZ_DPGREF,173,1)=INDEX(OHZ_HAZ_DPGREF,172,1))),TRUE,AND(INDEX(OHZ_HAZ_DGCLASSIFI,173,1)&lt;&gt;"",INDEX(OHZ_HAZ_TEXTUALREF,173,1)&lt;&gt;"",INDEX(OHZ_HAZ_TOTAMOUNT,173,1)&lt;&gt;""))</f>
        <v>1</v>
      </c>
      <c r="K180" t="str">
        <f t="shared" si="5"/>
        <v>Row 173 - All mandatory fields must be given</v>
      </c>
      <c r="L180" t="s">
        <v>33308</v>
      </c>
      <c r="T180" t="s">
        <v>33691</v>
      </c>
    </row>
    <row r="181" spans="6:20" x14ac:dyDescent="0.2">
      <c r="F181" t="s">
        <v>33308</v>
      </c>
      <c r="G181" t="b">
        <f>IF(OR(INDEX(IHZ_HAZ_CONSIGNMENT,174,1)="",AND(INDEX(IHZ_HAZ_DPGREF,174,1)&lt;&gt;"",INDEX(IHZ_HAZ_CONSIGNMENT,174,1)=INDEX(IHZ_HAZ_CONSIGNMENT,173,1),INDEX(IHZ_HAZ_DPGREF,174,1)=INDEX(IHZ_HAZ_DPGREF,173,1))),TRUE,AND(INDEX(IHZ_HAZ_DGCLASSIFI,174,1)&lt;&gt;"",INDEX(IHZ_HAZ_TEXTUALREF,174,1)&lt;&gt;"",INDEX(IHZ_HAZ_TOTAMOUNT,174,1)&lt;&gt;""))</f>
        <v>1</v>
      </c>
      <c r="H181" t="str">
        <f t="shared" si="4"/>
        <v>Row 174 - All mandatory fields must be given</v>
      </c>
      <c r="J181" t="b">
        <f>IF(OR(INDEX(OHZ_HAZ_CONSIGNMENT,174,1)="",AND(INDEX(OHZ_HAZ_DPGREF,174,1)&lt;&gt;"",INDEX(OHZ_HAZ_CONSIGNMENT,174,1)=INDEX(OHZ_HAZ_CONSIGNMENT,173,1),INDEX(OHZ_HAZ_DPGREF,174,1)=INDEX(OHZ_HAZ_DPGREF,173,1))),TRUE,AND(INDEX(OHZ_HAZ_DGCLASSIFI,174,1)&lt;&gt;"",INDEX(OHZ_HAZ_TEXTUALREF,174,1)&lt;&gt;"",INDEX(OHZ_HAZ_TOTAMOUNT,174,1)&lt;&gt;""))</f>
        <v>1</v>
      </c>
      <c r="K181" t="str">
        <f t="shared" si="5"/>
        <v>Row 174 - All mandatory fields must be given</v>
      </c>
      <c r="L181" t="s">
        <v>33308</v>
      </c>
      <c r="T181" t="s">
        <v>33692</v>
      </c>
    </row>
    <row r="182" spans="6:20" x14ac:dyDescent="0.2">
      <c r="F182" t="s">
        <v>33308</v>
      </c>
      <c r="G182" t="b">
        <f>IF(OR(INDEX(IHZ_HAZ_CONSIGNMENT,175,1)="",AND(INDEX(IHZ_HAZ_DPGREF,175,1)&lt;&gt;"",INDEX(IHZ_HAZ_CONSIGNMENT,175,1)=INDEX(IHZ_HAZ_CONSIGNMENT,174,1),INDEX(IHZ_HAZ_DPGREF,175,1)=INDEX(IHZ_HAZ_DPGREF,174,1))),TRUE,AND(INDEX(IHZ_HAZ_DGCLASSIFI,175,1)&lt;&gt;"",INDEX(IHZ_HAZ_TEXTUALREF,175,1)&lt;&gt;"",INDEX(IHZ_HAZ_TOTAMOUNT,175,1)&lt;&gt;""))</f>
        <v>1</v>
      </c>
      <c r="H182" t="str">
        <f t="shared" si="4"/>
        <v>Row 175 - All mandatory fields must be given</v>
      </c>
      <c r="J182" t="b">
        <f>IF(OR(INDEX(OHZ_HAZ_CONSIGNMENT,175,1)="",AND(INDEX(OHZ_HAZ_DPGREF,175,1)&lt;&gt;"",INDEX(OHZ_HAZ_CONSIGNMENT,175,1)=INDEX(OHZ_HAZ_CONSIGNMENT,174,1),INDEX(OHZ_HAZ_DPGREF,175,1)=INDEX(OHZ_HAZ_DPGREF,174,1))),TRUE,AND(INDEX(OHZ_HAZ_DGCLASSIFI,175,1)&lt;&gt;"",INDEX(OHZ_HAZ_TEXTUALREF,175,1)&lt;&gt;"",INDEX(OHZ_HAZ_TOTAMOUNT,175,1)&lt;&gt;""))</f>
        <v>1</v>
      </c>
      <c r="K182" t="str">
        <f t="shared" si="5"/>
        <v>Row 175 - All mandatory fields must be given</v>
      </c>
      <c r="L182" t="s">
        <v>33308</v>
      </c>
      <c r="T182" t="s">
        <v>33693</v>
      </c>
    </row>
    <row r="183" spans="6:20" x14ac:dyDescent="0.2">
      <c r="F183" t="s">
        <v>33308</v>
      </c>
      <c r="G183" t="b">
        <f>IF(OR(INDEX(IHZ_HAZ_CONSIGNMENT,176,1)="",AND(INDEX(IHZ_HAZ_DPGREF,176,1)&lt;&gt;"",INDEX(IHZ_HAZ_CONSIGNMENT,176,1)=INDEX(IHZ_HAZ_CONSIGNMENT,175,1),INDEX(IHZ_HAZ_DPGREF,176,1)=INDEX(IHZ_HAZ_DPGREF,175,1))),TRUE,AND(INDEX(IHZ_HAZ_DGCLASSIFI,176,1)&lt;&gt;"",INDEX(IHZ_HAZ_TEXTUALREF,176,1)&lt;&gt;"",INDEX(IHZ_HAZ_TOTAMOUNT,176,1)&lt;&gt;""))</f>
        <v>1</v>
      </c>
      <c r="H183" t="str">
        <f t="shared" si="4"/>
        <v>Row 176 - All mandatory fields must be given</v>
      </c>
      <c r="J183" t="b">
        <f>IF(OR(INDEX(OHZ_HAZ_CONSIGNMENT,176,1)="",AND(INDEX(OHZ_HAZ_DPGREF,176,1)&lt;&gt;"",INDEX(OHZ_HAZ_CONSIGNMENT,176,1)=INDEX(OHZ_HAZ_CONSIGNMENT,175,1),INDEX(OHZ_HAZ_DPGREF,176,1)=INDEX(OHZ_HAZ_DPGREF,175,1))),TRUE,AND(INDEX(OHZ_HAZ_DGCLASSIFI,176,1)&lt;&gt;"",INDEX(OHZ_HAZ_TEXTUALREF,176,1)&lt;&gt;"",INDEX(OHZ_HAZ_TOTAMOUNT,176,1)&lt;&gt;""))</f>
        <v>1</v>
      </c>
      <c r="K183" t="str">
        <f t="shared" si="5"/>
        <v>Row 176 - All mandatory fields must be given</v>
      </c>
      <c r="L183" t="s">
        <v>33308</v>
      </c>
      <c r="T183" t="s">
        <v>33694</v>
      </c>
    </row>
    <row r="184" spans="6:20" x14ac:dyDescent="0.2">
      <c r="F184" t="s">
        <v>33308</v>
      </c>
      <c r="G184" t="b">
        <f>IF(OR(INDEX(IHZ_HAZ_CONSIGNMENT,177,1)="",AND(INDEX(IHZ_HAZ_DPGREF,177,1)&lt;&gt;"",INDEX(IHZ_HAZ_CONSIGNMENT,177,1)=INDEX(IHZ_HAZ_CONSIGNMENT,176,1),INDEX(IHZ_HAZ_DPGREF,177,1)=INDEX(IHZ_HAZ_DPGREF,176,1))),TRUE,AND(INDEX(IHZ_HAZ_DGCLASSIFI,177,1)&lt;&gt;"",INDEX(IHZ_HAZ_TEXTUALREF,177,1)&lt;&gt;"",INDEX(IHZ_HAZ_TOTAMOUNT,177,1)&lt;&gt;""))</f>
        <v>1</v>
      </c>
      <c r="H184" t="str">
        <f t="shared" si="4"/>
        <v>Row 177 - All mandatory fields must be given</v>
      </c>
      <c r="J184" t="b">
        <f>IF(OR(INDEX(OHZ_HAZ_CONSIGNMENT,177,1)="",AND(INDEX(OHZ_HAZ_DPGREF,177,1)&lt;&gt;"",INDEX(OHZ_HAZ_CONSIGNMENT,177,1)=INDEX(OHZ_HAZ_CONSIGNMENT,176,1),INDEX(OHZ_HAZ_DPGREF,177,1)=INDEX(OHZ_HAZ_DPGREF,176,1))),TRUE,AND(INDEX(OHZ_HAZ_DGCLASSIFI,177,1)&lt;&gt;"",INDEX(OHZ_HAZ_TEXTUALREF,177,1)&lt;&gt;"",INDEX(OHZ_HAZ_TOTAMOUNT,177,1)&lt;&gt;""))</f>
        <v>1</v>
      </c>
      <c r="K184" t="str">
        <f t="shared" si="5"/>
        <v>Row 177 - All mandatory fields must be given</v>
      </c>
      <c r="L184" t="s">
        <v>33308</v>
      </c>
      <c r="T184" t="s">
        <v>33695</v>
      </c>
    </row>
    <row r="185" spans="6:20" x14ac:dyDescent="0.2">
      <c r="F185" t="s">
        <v>33308</v>
      </c>
      <c r="G185" t="b">
        <f>IF(OR(INDEX(IHZ_HAZ_CONSIGNMENT,178,1)="",AND(INDEX(IHZ_HAZ_DPGREF,178,1)&lt;&gt;"",INDEX(IHZ_HAZ_CONSIGNMENT,178,1)=INDEX(IHZ_HAZ_CONSIGNMENT,177,1),INDEX(IHZ_HAZ_DPGREF,178,1)=INDEX(IHZ_HAZ_DPGREF,177,1))),TRUE,AND(INDEX(IHZ_HAZ_DGCLASSIFI,178,1)&lt;&gt;"",INDEX(IHZ_HAZ_TEXTUALREF,178,1)&lt;&gt;"",INDEX(IHZ_HAZ_TOTAMOUNT,178,1)&lt;&gt;""))</f>
        <v>1</v>
      </c>
      <c r="H185" t="str">
        <f t="shared" si="4"/>
        <v>Row 178 - All mandatory fields must be given</v>
      </c>
      <c r="J185" t="b">
        <f>IF(OR(INDEX(OHZ_HAZ_CONSIGNMENT,178,1)="",AND(INDEX(OHZ_HAZ_DPGREF,178,1)&lt;&gt;"",INDEX(OHZ_HAZ_CONSIGNMENT,178,1)=INDEX(OHZ_HAZ_CONSIGNMENT,177,1),INDEX(OHZ_HAZ_DPGREF,178,1)=INDEX(OHZ_HAZ_DPGREF,177,1))),TRUE,AND(INDEX(OHZ_HAZ_DGCLASSIFI,178,1)&lt;&gt;"",INDEX(OHZ_HAZ_TEXTUALREF,178,1)&lt;&gt;"",INDEX(OHZ_HAZ_TOTAMOUNT,178,1)&lt;&gt;""))</f>
        <v>1</v>
      </c>
      <c r="K185" t="str">
        <f t="shared" si="5"/>
        <v>Row 178 - All mandatory fields must be given</v>
      </c>
      <c r="L185" t="s">
        <v>33308</v>
      </c>
      <c r="T185" t="s">
        <v>33696</v>
      </c>
    </row>
    <row r="186" spans="6:20" x14ac:dyDescent="0.2">
      <c r="F186" t="s">
        <v>33308</v>
      </c>
      <c r="G186" t="b">
        <f>IF(OR(INDEX(IHZ_HAZ_CONSIGNMENT,179,1)="",AND(INDEX(IHZ_HAZ_DPGREF,179,1)&lt;&gt;"",INDEX(IHZ_HAZ_CONSIGNMENT,179,1)=INDEX(IHZ_HAZ_CONSIGNMENT,178,1),INDEX(IHZ_HAZ_DPGREF,179,1)=INDEX(IHZ_HAZ_DPGREF,178,1))),TRUE,AND(INDEX(IHZ_HAZ_DGCLASSIFI,179,1)&lt;&gt;"",INDEX(IHZ_HAZ_TEXTUALREF,179,1)&lt;&gt;"",INDEX(IHZ_HAZ_TOTAMOUNT,179,1)&lt;&gt;""))</f>
        <v>1</v>
      </c>
      <c r="H186" t="str">
        <f t="shared" si="4"/>
        <v>Row 179 - All mandatory fields must be given</v>
      </c>
      <c r="J186" t="b">
        <f>IF(OR(INDEX(OHZ_HAZ_CONSIGNMENT,179,1)="",AND(INDEX(OHZ_HAZ_DPGREF,179,1)&lt;&gt;"",INDEX(OHZ_HAZ_CONSIGNMENT,179,1)=INDEX(OHZ_HAZ_CONSIGNMENT,178,1),INDEX(OHZ_HAZ_DPGREF,179,1)=INDEX(OHZ_HAZ_DPGREF,178,1))),TRUE,AND(INDEX(OHZ_HAZ_DGCLASSIFI,179,1)&lt;&gt;"",INDEX(OHZ_HAZ_TEXTUALREF,179,1)&lt;&gt;"",INDEX(OHZ_HAZ_TOTAMOUNT,179,1)&lt;&gt;""))</f>
        <v>1</v>
      </c>
      <c r="K186" t="str">
        <f t="shared" si="5"/>
        <v>Row 179 - All mandatory fields must be given</v>
      </c>
      <c r="L186" t="s">
        <v>33308</v>
      </c>
      <c r="T186" t="s">
        <v>33697</v>
      </c>
    </row>
    <row r="187" spans="6:20" x14ac:dyDescent="0.2">
      <c r="F187" t="s">
        <v>33308</v>
      </c>
      <c r="G187" t="b">
        <f>IF(OR(INDEX(IHZ_HAZ_CONSIGNMENT,180,1)="",AND(INDEX(IHZ_HAZ_DPGREF,180,1)&lt;&gt;"",INDEX(IHZ_HAZ_CONSIGNMENT,180,1)=INDEX(IHZ_HAZ_CONSIGNMENT,179,1),INDEX(IHZ_HAZ_DPGREF,180,1)=INDEX(IHZ_HAZ_DPGREF,179,1))),TRUE,AND(INDEX(IHZ_HAZ_DGCLASSIFI,180,1)&lt;&gt;"",INDEX(IHZ_HAZ_TEXTUALREF,180,1)&lt;&gt;"",INDEX(IHZ_HAZ_TOTAMOUNT,180,1)&lt;&gt;""))</f>
        <v>1</v>
      </c>
      <c r="H187" t="str">
        <f t="shared" si="4"/>
        <v>Row 180 - All mandatory fields must be given</v>
      </c>
      <c r="J187" t="b">
        <f>IF(OR(INDEX(OHZ_HAZ_CONSIGNMENT,180,1)="",AND(INDEX(OHZ_HAZ_DPGREF,180,1)&lt;&gt;"",INDEX(OHZ_HAZ_CONSIGNMENT,180,1)=INDEX(OHZ_HAZ_CONSIGNMENT,179,1),INDEX(OHZ_HAZ_DPGREF,180,1)=INDEX(OHZ_HAZ_DPGREF,179,1))),TRUE,AND(INDEX(OHZ_HAZ_DGCLASSIFI,180,1)&lt;&gt;"",INDEX(OHZ_HAZ_TEXTUALREF,180,1)&lt;&gt;"",INDEX(OHZ_HAZ_TOTAMOUNT,180,1)&lt;&gt;""))</f>
        <v>1</v>
      </c>
      <c r="K187" t="str">
        <f t="shared" si="5"/>
        <v>Row 180 - All mandatory fields must be given</v>
      </c>
      <c r="L187" t="s">
        <v>33308</v>
      </c>
      <c r="T187" t="s">
        <v>33698</v>
      </c>
    </row>
    <row r="188" spans="6:20" x14ac:dyDescent="0.2">
      <c r="F188" t="s">
        <v>33308</v>
      </c>
      <c r="G188" t="b">
        <f>IF(OR(INDEX(IHZ_HAZ_CONSIGNMENT,181,1)="",AND(INDEX(IHZ_HAZ_DPGREF,181,1)&lt;&gt;"",INDEX(IHZ_HAZ_CONSIGNMENT,181,1)=INDEX(IHZ_HAZ_CONSIGNMENT,180,1),INDEX(IHZ_HAZ_DPGREF,181,1)=INDEX(IHZ_HAZ_DPGREF,180,1))),TRUE,AND(INDEX(IHZ_HAZ_DGCLASSIFI,181,1)&lt;&gt;"",INDEX(IHZ_HAZ_TEXTUALREF,181,1)&lt;&gt;"",INDEX(IHZ_HAZ_TOTAMOUNT,181,1)&lt;&gt;""))</f>
        <v>1</v>
      </c>
      <c r="H188" t="str">
        <f t="shared" si="4"/>
        <v>Row 181 - All mandatory fields must be given</v>
      </c>
      <c r="J188" t="b">
        <f>IF(OR(INDEX(OHZ_HAZ_CONSIGNMENT,181,1)="",AND(INDEX(OHZ_HAZ_DPGREF,181,1)&lt;&gt;"",INDEX(OHZ_HAZ_CONSIGNMENT,181,1)=INDEX(OHZ_HAZ_CONSIGNMENT,180,1),INDEX(OHZ_HAZ_DPGREF,181,1)=INDEX(OHZ_HAZ_DPGREF,180,1))),TRUE,AND(INDEX(OHZ_HAZ_DGCLASSIFI,181,1)&lt;&gt;"",INDEX(OHZ_HAZ_TEXTUALREF,181,1)&lt;&gt;"",INDEX(OHZ_HAZ_TOTAMOUNT,181,1)&lt;&gt;""))</f>
        <v>1</v>
      </c>
      <c r="K188" t="str">
        <f t="shared" si="5"/>
        <v>Row 181 - All mandatory fields must be given</v>
      </c>
      <c r="L188" t="s">
        <v>33308</v>
      </c>
      <c r="T188" t="s">
        <v>33699</v>
      </c>
    </row>
    <row r="189" spans="6:20" x14ac:dyDescent="0.2">
      <c r="F189" t="s">
        <v>33308</v>
      </c>
      <c r="G189" t="b">
        <f>IF(OR(INDEX(IHZ_HAZ_CONSIGNMENT,182,1)="",AND(INDEX(IHZ_HAZ_DPGREF,182,1)&lt;&gt;"",INDEX(IHZ_HAZ_CONSIGNMENT,182,1)=INDEX(IHZ_HAZ_CONSIGNMENT,181,1),INDEX(IHZ_HAZ_DPGREF,182,1)=INDEX(IHZ_HAZ_DPGREF,181,1))),TRUE,AND(INDEX(IHZ_HAZ_DGCLASSIFI,182,1)&lt;&gt;"",INDEX(IHZ_HAZ_TEXTUALREF,182,1)&lt;&gt;"",INDEX(IHZ_HAZ_TOTAMOUNT,182,1)&lt;&gt;""))</f>
        <v>1</v>
      </c>
      <c r="H189" t="str">
        <f t="shared" si="4"/>
        <v>Row 182 - All mandatory fields must be given</v>
      </c>
      <c r="J189" t="b">
        <f>IF(OR(INDEX(OHZ_HAZ_CONSIGNMENT,182,1)="",AND(INDEX(OHZ_HAZ_DPGREF,182,1)&lt;&gt;"",INDEX(OHZ_HAZ_CONSIGNMENT,182,1)=INDEX(OHZ_HAZ_CONSIGNMENT,181,1),INDEX(OHZ_HAZ_DPGREF,182,1)=INDEX(OHZ_HAZ_DPGREF,181,1))),TRUE,AND(INDEX(OHZ_HAZ_DGCLASSIFI,182,1)&lt;&gt;"",INDEX(OHZ_HAZ_TEXTUALREF,182,1)&lt;&gt;"",INDEX(OHZ_HAZ_TOTAMOUNT,182,1)&lt;&gt;""))</f>
        <v>1</v>
      </c>
      <c r="K189" t="str">
        <f t="shared" si="5"/>
        <v>Row 182 - All mandatory fields must be given</v>
      </c>
      <c r="L189" t="s">
        <v>33308</v>
      </c>
      <c r="T189" t="s">
        <v>33700</v>
      </c>
    </row>
    <row r="190" spans="6:20" x14ac:dyDescent="0.2">
      <c r="F190" t="s">
        <v>33308</v>
      </c>
      <c r="G190" t="b">
        <f>IF(OR(INDEX(IHZ_HAZ_CONSIGNMENT,183,1)="",AND(INDEX(IHZ_HAZ_DPGREF,183,1)&lt;&gt;"",INDEX(IHZ_HAZ_CONSIGNMENT,183,1)=INDEX(IHZ_HAZ_CONSIGNMENT,182,1),INDEX(IHZ_HAZ_DPGREF,183,1)=INDEX(IHZ_HAZ_DPGREF,182,1))),TRUE,AND(INDEX(IHZ_HAZ_DGCLASSIFI,183,1)&lt;&gt;"",INDEX(IHZ_HAZ_TEXTUALREF,183,1)&lt;&gt;"",INDEX(IHZ_HAZ_TOTAMOUNT,183,1)&lt;&gt;""))</f>
        <v>1</v>
      </c>
      <c r="H190" t="str">
        <f t="shared" si="4"/>
        <v>Row 183 - All mandatory fields must be given</v>
      </c>
      <c r="J190" t="b">
        <f>IF(OR(INDEX(OHZ_HAZ_CONSIGNMENT,183,1)="",AND(INDEX(OHZ_HAZ_DPGREF,183,1)&lt;&gt;"",INDEX(OHZ_HAZ_CONSIGNMENT,183,1)=INDEX(OHZ_HAZ_CONSIGNMENT,182,1),INDEX(OHZ_HAZ_DPGREF,183,1)=INDEX(OHZ_HAZ_DPGREF,182,1))),TRUE,AND(INDEX(OHZ_HAZ_DGCLASSIFI,183,1)&lt;&gt;"",INDEX(OHZ_HAZ_TEXTUALREF,183,1)&lt;&gt;"",INDEX(OHZ_HAZ_TOTAMOUNT,183,1)&lt;&gt;""))</f>
        <v>1</v>
      </c>
      <c r="K190" t="str">
        <f t="shared" si="5"/>
        <v>Row 183 - All mandatory fields must be given</v>
      </c>
      <c r="L190" t="s">
        <v>33308</v>
      </c>
      <c r="T190" t="s">
        <v>33701</v>
      </c>
    </row>
    <row r="191" spans="6:20" x14ac:dyDescent="0.2">
      <c r="F191" t="s">
        <v>33308</v>
      </c>
      <c r="G191" t="b">
        <f>IF(OR(INDEX(IHZ_HAZ_CONSIGNMENT,184,1)="",AND(INDEX(IHZ_HAZ_DPGREF,184,1)&lt;&gt;"",INDEX(IHZ_HAZ_CONSIGNMENT,184,1)=INDEX(IHZ_HAZ_CONSIGNMENT,183,1),INDEX(IHZ_HAZ_DPGREF,184,1)=INDEX(IHZ_HAZ_DPGREF,183,1))),TRUE,AND(INDEX(IHZ_HAZ_DGCLASSIFI,184,1)&lt;&gt;"",INDEX(IHZ_HAZ_TEXTUALREF,184,1)&lt;&gt;"",INDEX(IHZ_HAZ_TOTAMOUNT,184,1)&lt;&gt;""))</f>
        <v>1</v>
      </c>
      <c r="H191" t="str">
        <f t="shared" si="4"/>
        <v>Row 184 - All mandatory fields must be given</v>
      </c>
      <c r="J191" t="b">
        <f>IF(OR(INDEX(OHZ_HAZ_CONSIGNMENT,184,1)="",AND(INDEX(OHZ_HAZ_DPGREF,184,1)&lt;&gt;"",INDEX(OHZ_HAZ_CONSIGNMENT,184,1)=INDEX(OHZ_HAZ_CONSIGNMENT,183,1),INDEX(OHZ_HAZ_DPGREF,184,1)=INDEX(OHZ_HAZ_DPGREF,183,1))),TRUE,AND(INDEX(OHZ_HAZ_DGCLASSIFI,184,1)&lt;&gt;"",INDEX(OHZ_HAZ_TEXTUALREF,184,1)&lt;&gt;"",INDEX(OHZ_HAZ_TOTAMOUNT,184,1)&lt;&gt;""))</f>
        <v>1</v>
      </c>
      <c r="K191" t="str">
        <f t="shared" si="5"/>
        <v>Row 184 - All mandatory fields must be given</v>
      </c>
      <c r="L191" t="s">
        <v>33308</v>
      </c>
      <c r="T191" t="s">
        <v>33702</v>
      </c>
    </row>
    <row r="192" spans="6:20" x14ac:dyDescent="0.2">
      <c r="F192" t="s">
        <v>33308</v>
      </c>
      <c r="G192" t="b">
        <f>IF(OR(INDEX(IHZ_HAZ_CONSIGNMENT,185,1)="",AND(INDEX(IHZ_HAZ_DPGREF,185,1)&lt;&gt;"",INDEX(IHZ_HAZ_CONSIGNMENT,185,1)=INDEX(IHZ_HAZ_CONSIGNMENT,184,1),INDEX(IHZ_HAZ_DPGREF,185,1)=INDEX(IHZ_HAZ_DPGREF,184,1))),TRUE,AND(INDEX(IHZ_HAZ_DGCLASSIFI,185,1)&lt;&gt;"",INDEX(IHZ_HAZ_TEXTUALREF,185,1)&lt;&gt;"",INDEX(IHZ_HAZ_TOTAMOUNT,185,1)&lt;&gt;""))</f>
        <v>1</v>
      </c>
      <c r="H192" t="str">
        <f t="shared" si="4"/>
        <v>Row 185 - All mandatory fields must be given</v>
      </c>
      <c r="J192" t="b">
        <f>IF(OR(INDEX(OHZ_HAZ_CONSIGNMENT,185,1)="",AND(INDEX(OHZ_HAZ_DPGREF,185,1)&lt;&gt;"",INDEX(OHZ_HAZ_CONSIGNMENT,185,1)=INDEX(OHZ_HAZ_CONSIGNMENT,184,1),INDEX(OHZ_HAZ_DPGREF,185,1)=INDEX(OHZ_HAZ_DPGREF,184,1))),TRUE,AND(INDEX(OHZ_HAZ_DGCLASSIFI,185,1)&lt;&gt;"",INDEX(OHZ_HAZ_TEXTUALREF,185,1)&lt;&gt;"",INDEX(OHZ_HAZ_TOTAMOUNT,185,1)&lt;&gt;""))</f>
        <v>1</v>
      </c>
      <c r="K192" t="str">
        <f t="shared" si="5"/>
        <v>Row 185 - All mandatory fields must be given</v>
      </c>
      <c r="L192" t="s">
        <v>33308</v>
      </c>
      <c r="T192" t="s">
        <v>33703</v>
      </c>
    </row>
    <row r="193" spans="6:20" x14ac:dyDescent="0.2">
      <c r="F193" t="s">
        <v>33308</v>
      </c>
      <c r="G193" t="b">
        <f>IF(OR(INDEX(IHZ_HAZ_CONSIGNMENT,186,1)="",AND(INDEX(IHZ_HAZ_DPGREF,186,1)&lt;&gt;"",INDEX(IHZ_HAZ_CONSIGNMENT,186,1)=INDEX(IHZ_HAZ_CONSIGNMENT,185,1),INDEX(IHZ_HAZ_DPGREF,186,1)=INDEX(IHZ_HAZ_DPGREF,185,1))),TRUE,AND(INDEX(IHZ_HAZ_DGCLASSIFI,186,1)&lt;&gt;"",INDEX(IHZ_HAZ_TEXTUALREF,186,1)&lt;&gt;"",INDEX(IHZ_HAZ_TOTAMOUNT,186,1)&lt;&gt;""))</f>
        <v>1</v>
      </c>
      <c r="H193" t="str">
        <f t="shared" si="4"/>
        <v>Row 186 - All mandatory fields must be given</v>
      </c>
      <c r="J193" t="b">
        <f>IF(OR(INDEX(OHZ_HAZ_CONSIGNMENT,186,1)="",AND(INDEX(OHZ_HAZ_DPGREF,186,1)&lt;&gt;"",INDEX(OHZ_HAZ_CONSIGNMENT,186,1)=INDEX(OHZ_HAZ_CONSIGNMENT,185,1),INDEX(OHZ_HAZ_DPGREF,186,1)=INDEX(OHZ_HAZ_DPGREF,185,1))),TRUE,AND(INDEX(OHZ_HAZ_DGCLASSIFI,186,1)&lt;&gt;"",INDEX(OHZ_HAZ_TEXTUALREF,186,1)&lt;&gt;"",INDEX(OHZ_HAZ_TOTAMOUNT,186,1)&lt;&gt;""))</f>
        <v>1</v>
      </c>
      <c r="K193" t="str">
        <f t="shared" si="5"/>
        <v>Row 186 - All mandatory fields must be given</v>
      </c>
      <c r="L193" t="s">
        <v>33308</v>
      </c>
      <c r="T193" t="s">
        <v>33704</v>
      </c>
    </row>
    <row r="194" spans="6:20" x14ac:dyDescent="0.2">
      <c r="F194" t="s">
        <v>33308</v>
      </c>
      <c r="G194" t="b">
        <f>IF(OR(INDEX(IHZ_HAZ_CONSIGNMENT,187,1)="",AND(INDEX(IHZ_HAZ_DPGREF,187,1)&lt;&gt;"",INDEX(IHZ_HAZ_CONSIGNMENT,187,1)=INDEX(IHZ_HAZ_CONSIGNMENT,186,1),INDEX(IHZ_HAZ_DPGREF,187,1)=INDEX(IHZ_HAZ_DPGREF,186,1))),TRUE,AND(INDEX(IHZ_HAZ_DGCLASSIFI,187,1)&lt;&gt;"",INDEX(IHZ_HAZ_TEXTUALREF,187,1)&lt;&gt;"",INDEX(IHZ_HAZ_TOTAMOUNT,187,1)&lt;&gt;""))</f>
        <v>1</v>
      </c>
      <c r="H194" t="str">
        <f t="shared" si="4"/>
        <v>Row 187 - All mandatory fields must be given</v>
      </c>
      <c r="J194" t="b">
        <f>IF(OR(INDEX(OHZ_HAZ_CONSIGNMENT,187,1)="",AND(INDEX(OHZ_HAZ_DPGREF,187,1)&lt;&gt;"",INDEX(OHZ_HAZ_CONSIGNMENT,187,1)=INDEX(OHZ_HAZ_CONSIGNMENT,186,1),INDEX(OHZ_HAZ_DPGREF,187,1)=INDEX(OHZ_HAZ_DPGREF,186,1))),TRUE,AND(INDEX(OHZ_HAZ_DGCLASSIFI,187,1)&lt;&gt;"",INDEX(OHZ_HAZ_TEXTUALREF,187,1)&lt;&gt;"",INDEX(OHZ_HAZ_TOTAMOUNT,187,1)&lt;&gt;""))</f>
        <v>1</v>
      </c>
      <c r="K194" t="str">
        <f t="shared" si="5"/>
        <v>Row 187 - All mandatory fields must be given</v>
      </c>
      <c r="L194" t="s">
        <v>33308</v>
      </c>
      <c r="T194" t="s">
        <v>33705</v>
      </c>
    </row>
    <row r="195" spans="6:20" x14ac:dyDescent="0.2">
      <c r="F195" t="s">
        <v>33308</v>
      </c>
      <c r="G195" t="b">
        <f>IF(OR(INDEX(IHZ_HAZ_CONSIGNMENT,188,1)="",AND(INDEX(IHZ_HAZ_DPGREF,188,1)&lt;&gt;"",INDEX(IHZ_HAZ_CONSIGNMENT,188,1)=INDEX(IHZ_HAZ_CONSIGNMENT,187,1),INDEX(IHZ_HAZ_DPGREF,188,1)=INDEX(IHZ_HAZ_DPGREF,187,1))),TRUE,AND(INDEX(IHZ_HAZ_DGCLASSIFI,188,1)&lt;&gt;"",INDEX(IHZ_HAZ_TEXTUALREF,188,1)&lt;&gt;"",INDEX(IHZ_HAZ_TOTAMOUNT,188,1)&lt;&gt;""))</f>
        <v>1</v>
      </c>
      <c r="H195" t="str">
        <f t="shared" si="4"/>
        <v>Row 188 - All mandatory fields must be given</v>
      </c>
      <c r="J195" t="b">
        <f>IF(OR(INDEX(OHZ_HAZ_CONSIGNMENT,188,1)="",AND(INDEX(OHZ_HAZ_DPGREF,188,1)&lt;&gt;"",INDEX(OHZ_HAZ_CONSIGNMENT,188,1)=INDEX(OHZ_HAZ_CONSIGNMENT,187,1),INDEX(OHZ_HAZ_DPGREF,188,1)=INDEX(OHZ_HAZ_DPGREF,187,1))),TRUE,AND(INDEX(OHZ_HAZ_DGCLASSIFI,188,1)&lt;&gt;"",INDEX(OHZ_HAZ_TEXTUALREF,188,1)&lt;&gt;"",INDEX(OHZ_HAZ_TOTAMOUNT,188,1)&lt;&gt;""))</f>
        <v>1</v>
      </c>
      <c r="K195" t="str">
        <f t="shared" si="5"/>
        <v>Row 188 - All mandatory fields must be given</v>
      </c>
      <c r="L195" t="s">
        <v>33308</v>
      </c>
      <c r="T195" t="s">
        <v>33706</v>
      </c>
    </row>
    <row r="196" spans="6:20" x14ac:dyDescent="0.2">
      <c r="F196" t="s">
        <v>33308</v>
      </c>
      <c r="G196" t="b">
        <f>IF(OR(INDEX(IHZ_HAZ_CONSIGNMENT,189,1)="",AND(INDEX(IHZ_HAZ_DPGREF,189,1)&lt;&gt;"",INDEX(IHZ_HAZ_CONSIGNMENT,189,1)=INDEX(IHZ_HAZ_CONSIGNMENT,188,1),INDEX(IHZ_HAZ_DPGREF,189,1)=INDEX(IHZ_HAZ_DPGREF,188,1))),TRUE,AND(INDEX(IHZ_HAZ_DGCLASSIFI,189,1)&lt;&gt;"",INDEX(IHZ_HAZ_TEXTUALREF,189,1)&lt;&gt;"",INDEX(IHZ_HAZ_TOTAMOUNT,189,1)&lt;&gt;""))</f>
        <v>1</v>
      </c>
      <c r="H196" t="str">
        <f t="shared" si="4"/>
        <v>Row 189 - All mandatory fields must be given</v>
      </c>
      <c r="J196" t="b">
        <f>IF(OR(INDEX(OHZ_HAZ_CONSIGNMENT,189,1)="",AND(INDEX(OHZ_HAZ_DPGREF,189,1)&lt;&gt;"",INDEX(OHZ_HAZ_CONSIGNMENT,189,1)=INDEX(OHZ_HAZ_CONSIGNMENT,188,1),INDEX(OHZ_HAZ_DPGREF,189,1)=INDEX(OHZ_HAZ_DPGREF,188,1))),TRUE,AND(INDEX(OHZ_HAZ_DGCLASSIFI,189,1)&lt;&gt;"",INDEX(OHZ_HAZ_TEXTUALREF,189,1)&lt;&gt;"",INDEX(OHZ_HAZ_TOTAMOUNT,189,1)&lt;&gt;""))</f>
        <v>1</v>
      </c>
      <c r="K196" t="str">
        <f t="shared" si="5"/>
        <v>Row 189 - All mandatory fields must be given</v>
      </c>
      <c r="L196" t="s">
        <v>33308</v>
      </c>
      <c r="T196" t="s">
        <v>33707</v>
      </c>
    </row>
    <row r="197" spans="6:20" x14ac:dyDescent="0.2">
      <c r="F197" t="s">
        <v>33308</v>
      </c>
      <c r="G197" t="b">
        <f>IF(OR(INDEX(IHZ_HAZ_CONSIGNMENT,190,1)="",AND(INDEX(IHZ_HAZ_DPGREF,190,1)&lt;&gt;"",INDEX(IHZ_HAZ_CONSIGNMENT,190,1)=INDEX(IHZ_HAZ_CONSIGNMENT,189,1),INDEX(IHZ_HAZ_DPGREF,190,1)=INDEX(IHZ_HAZ_DPGREF,189,1))),TRUE,AND(INDEX(IHZ_HAZ_DGCLASSIFI,190,1)&lt;&gt;"",INDEX(IHZ_HAZ_TEXTUALREF,190,1)&lt;&gt;"",INDEX(IHZ_HAZ_TOTAMOUNT,190,1)&lt;&gt;""))</f>
        <v>1</v>
      </c>
      <c r="H197" t="str">
        <f t="shared" si="4"/>
        <v>Row 190 - All mandatory fields must be given</v>
      </c>
      <c r="J197" t="b">
        <f>IF(OR(INDEX(OHZ_HAZ_CONSIGNMENT,190,1)="",AND(INDEX(OHZ_HAZ_DPGREF,190,1)&lt;&gt;"",INDEX(OHZ_HAZ_CONSIGNMENT,190,1)=INDEX(OHZ_HAZ_CONSIGNMENT,189,1),INDEX(OHZ_HAZ_DPGREF,190,1)=INDEX(OHZ_HAZ_DPGREF,189,1))),TRUE,AND(INDEX(OHZ_HAZ_DGCLASSIFI,190,1)&lt;&gt;"",INDEX(OHZ_HAZ_TEXTUALREF,190,1)&lt;&gt;"",INDEX(OHZ_HAZ_TOTAMOUNT,190,1)&lt;&gt;""))</f>
        <v>1</v>
      </c>
      <c r="K197" t="str">
        <f t="shared" si="5"/>
        <v>Row 190 - All mandatory fields must be given</v>
      </c>
      <c r="L197" t="s">
        <v>33308</v>
      </c>
      <c r="T197" t="s">
        <v>33708</v>
      </c>
    </row>
    <row r="198" spans="6:20" x14ac:dyDescent="0.2">
      <c r="F198" t="s">
        <v>33308</v>
      </c>
      <c r="G198" t="b">
        <f>IF(OR(INDEX(IHZ_HAZ_CONSIGNMENT,191,1)="",AND(INDEX(IHZ_HAZ_DPGREF,191,1)&lt;&gt;"",INDEX(IHZ_HAZ_CONSIGNMENT,191,1)=INDEX(IHZ_HAZ_CONSIGNMENT,190,1),INDEX(IHZ_HAZ_DPGREF,191,1)=INDEX(IHZ_HAZ_DPGREF,190,1))),TRUE,AND(INDEX(IHZ_HAZ_DGCLASSIFI,191,1)&lt;&gt;"",INDEX(IHZ_HAZ_TEXTUALREF,191,1)&lt;&gt;"",INDEX(IHZ_HAZ_TOTAMOUNT,191,1)&lt;&gt;""))</f>
        <v>1</v>
      </c>
      <c r="H198" t="str">
        <f t="shared" si="4"/>
        <v>Row 191 - All mandatory fields must be given</v>
      </c>
      <c r="J198" t="b">
        <f>IF(OR(INDEX(OHZ_HAZ_CONSIGNMENT,191,1)="",AND(INDEX(OHZ_HAZ_DPGREF,191,1)&lt;&gt;"",INDEX(OHZ_HAZ_CONSIGNMENT,191,1)=INDEX(OHZ_HAZ_CONSIGNMENT,190,1),INDEX(OHZ_HAZ_DPGREF,191,1)=INDEX(OHZ_HAZ_DPGREF,190,1))),TRUE,AND(INDEX(OHZ_HAZ_DGCLASSIFI,191,1)&lt;&gt;"",INDEX(OHZ_HAZ_TEXTUALREF,191,1)&lt;&gt;"",INDEX(OHZ_HAZ_TOTAMOUNT,191,1)&lt;&gt;""))</f>
        <v>1</v>
      </c>
      <c r="K198" t="str">
        <f t="shared" si="5"/>
        <v>Row 191 - All mandatory fields must be given</v>
      </c>
      <c r="L198" t="s">
        <v>33308</v>
      </c>
      <c r="T198" t="s">
        <v>33709</v>
      </c>
    </row>
    <row r="199" spans="6:20" x14ac:dyDescent="0.2">
      <c r="F199" t="s">
        <v>33308</v>
      </c>
      <c r="G199" t="b">
        <f>IF(OR(INDEX(IHZ_HAZ_CONSIGNMENT,192,1)="",AND(INDEX(IHZ_HAZ_DPGREF,192,1)&lt;&gt;"",INDEX(IHZ_HAZ_CONSIGNMENT,192,1)=INDEX(IHZ_HAZ_CONSIGNMENT,191,1),INDEX(IHZ_HAZ_DPGREF,192,1)=INDEX(IHZ_HAZ_DPGREF,191,1))),TRUE,AND(INDEX(IHZ_HAZ_DGCLASSIFI,192,1)&lt;&gt;"",INDEX(IHZ_HAZ_TEXTUALREF,192,1)&lt;&gt;"",INDEX(IHZ_HAZ_TOTAMOUNT,192,1)&lt;&gt;""))</f>
        <v>1</v>
      </c>
      <c r="H199" t="str">
        <f t="shared" si="4"/>
        <v>Row 192 - All mandatory fields must be given</v>
      </c>
      <c r="J199" t="b">
        <f>IF(OR(INDEX(OHZ_HAZ_CONSIGNMENT,192,1)="",AND(INDEX(OHZ_HAZ_DPGREF,192,1)&lt;&gt;"",INDEX(OHZ_HAZ_CONSIGNMENT,192,1)=INDEX(OHZ_HAZ_CONSIGNMENT,191,1),INDEX(OHZ_HAZ_DPGREF,192,1)=INDEX(OHZ_HAZ_DPGREF,191,1))),TRUE,AND(INDEX(OHZ_HAZ_DGCLASSIFI,192,1)&lt;&gt;"",INDEX(OHZ_HAZ_TEXTUALREF,192,1)&lt;&gt;"",INDEX(OHZ_HAZ_TOTAMOUNT,192,1)&lt;&gt;""))</f>
        <v>1</v>
      </c>
      <c r="K199" t="str">
        <f t="shared" si="5"/>
        <v>Row 192 - All mandatory fields must be given</v>
      </c>
      <c r="L199" t="s">
        <v>33308</v>
      </c>
      <c r="T199" t="s">
        <v>33710</v>
      </c>
    </row>
    <row r="200" spans="6:20" x14ac:dyDescent="0.2">
      <c r="F200" t="s">
        <v>33308</v>
      </c>
      <c r="G200" t="b">
        <f>IF(OR(INDEX(IHZ_HAZ_CONSIGNMENT,193,1)="",AND(INDEX(IHZ_HAZ_DPGREF,193,1)&lt;&gt;"",INDEX(IHZ_HAZ_CONSIGNMENT,193,1)=INDEX(IHZ_HAZ_CONSIGNMENT,192,1),INDEX(IHZ_HAZ_DPGREF,193,1)=INDEX(IHZ_HAZ_DPGREF,192,1))),TRUE,AND(INDEX(IHZ_HAZ_DGCLASSIFI,193,1)&lt;&gt;"",INDEX(IHZ_HAZ_TEXTUALREF,193,1)&lt;&gt;"",INDEX(IHZ_HAZ_TOTAMOUNT,193,1)&lt;&gt;""))</f>
        <v>1</v>
      </c>
      <c r="H200" t="str">
        <f t="shared" si="4"/>
        <v>Row 193 - All mandatory fields must be given</v>
      </c>
      <c r="J200" t="b">
        <f>IF(OR(INDEX(OHZ_HAZ_CONSIGNMENT,193,1)="",AND(INDEX(OHZ_HAZ_DPGREF,193,1)&lt;&gt;"",INDEX(OHZ_HAZ_CONSIGNMENT,193,1)=INDEX(OHZ_HAZ_CONSIGNMENT,192,1),INDEX(OHZ_HAZ_DPGREF,193,1)=INDEX(OHZ_HAZ_DPGREF,192,1))),TRUE,AND(INDEX(OHZ_HAZ_DGCLASSIFI,193,1)&lt;&gt;"",INDEX(OHZ_HAZ_TEXTUALREF,193,1)&lt;&gt;"",INDEX(OHZ_HAZ_TOTAMOUNT,193,1)&lt;&gt;""))</f>
        <v>1</v>
      </c>
      <c r="K200" t="str">
        <f t="shared" si="5"/>
        <v>Row 193 - All mandatory fields must be given</v>
      </c>
      <c r="L200" t="s">
        <v>33308</v>
      </c>
      <c r="T200" t="s">
        <v>33711</v>
      </c>
    </row>
    <row r="201" spans="6:20" x14ac:dyDescent="0.2">
      <c r="F201" t="s">
        <v>33308</v>
      </c>
      <c r="G201" t="b">
        <f>IF(OR(INDEX(IHZ_HAZ_CONSIGNMENT,194,1)="",AND(INDEX(IHZ_HAZ_DPGREF,194,1)&lt;&gt;"",INDEX(IHZ_HAZ_CONSIGNMENT,194,1)=INDEX(IHZ_HAZ_CONSIGNMENT,193,1),INDEX(IHZ_HAZ_DPGREF,194,1)=INDEX(IHZ_HAZ_DPGREF,193,1))),TRUE,AND(INDEX(IHZ_HAZ_DGCLASSIFI,194,1)&lt;&gt;"",INDEX(IHZ_HAZ_TEXTUALREF,194,1)&lt;&gt;"",INDEX(IHZ_HAZ_TOTAMOUNT,194,1)&lt;&gt;""))</f>
        <v>1</v>
      </c>
      <c r="H201" t="str">
        <f t="shared" ref="H201:H257" si="6">T194&amp;$V$1</f>
        <v>Row 194 - All mandatory fields must be given</v>
      </c>
      <c r="J201" t="b">
        <f>IF(OR(INDEX(OHZ_HAZ_CONSIGNMENT,194,1)="",AND(INDEX(OHZ_HAZ_DPGREF,194,1)&lt;&gt;"",INDEX(OHZ_HAZ_CONSIGNMENT,194,1)=INDEX(OHZ_HAZ_CONSIGNMENT,193,1),INDEX(OHZ_HAZ_DPGREF,194,1)=INDEX(OHZ_HAZ_DPGREF,193,1))),TRUE,AND(INDEX(OHZ_HAZ_DGCLASSIFI,194,1)&lt;&gt;"",INDEX(OHZ_HAZ_TEXTUALREF,194,1)&lt;&gt;"",INDEX(OHZ_HAZ_TOTAMOUNT,194,1)&lt;&gt;""))</f>
        <v>1</v>
      </c>
      <c r="K201" t="str">
        <f t="shared" ref="K201:K257" si="7">T194&amp;$V$1</f>
        <v>Row 194 - All mandatory fields must be given</v>
      </c>
      <c r="L201" t="s">
        <v>33308</v>
      </c>
      <c r="T201" t="s">
        <v>33712</v>
      </c>
    </row>
    <row r="202" spans="6:20" x14ac:dyDescent="0.2">
      <c r="F202" t="s">
        <v>33308</v>
      </c>
      <c r="G202" t="b">
        <f>IF(OR(INDEX(IHZ_HAZ_CONSIGNMENT,195,1)="",AND(INDEX(IHZ_HAZ_DPGREF,195,1)&lt;&gt;"",INDEX(IHZ_HAZ_CONSIGNMENT,195,1)=INDEX(IHZ_HAZ_CONSIGNMENT,194,1),INDEX(IHZ_HAZ_DPGREF,195,1)=INDEX(IHZ_HAZ_DPGREF,194,1))),TRUE,AND(INDEX(IHZ_HAZ_DGCLASSIFI,195,1)&lt;&gt;"",INDEX(IHZ_HAZ_TEXTUALREF,195,1)&lt;&gt;"",INDEX(IHZ_HAZ_TOTAMOUNT,195,1)&lt;&gt;""))</f>
        <v>1</v>
      </c>
      <c r="H202" t="str">
        <f t="shared" si="6"/>
        <v>Row 195 - All mandatory fields must be given</v>
      </c>
      <c r="J202" t="b">
        <f>IF(OR(INDEX(OHZ_HAZ_CONSIGNMENT,195,1)="",AND(INDEX(OHZ_HAZ_DPGREF,195,1)&lt;&gt;"",INDEX(OHZ_HAZ_CONSIGNMENT,195,1)=INDEX(OHZ_HAZ_CONSIGNMENT,194,1),INDEX(OHZ_HAZ_DPGREF,195,1)=INDEX(OHZ_HAZ_DPGREF,194,1))),TRUE,AND(INDEX(OHZ_HAZ_DGCLASSIFI,195,1)&lt;&gt;"",INDEX(OHZ_HAZ_TEXTUALREF,195,1)&lt;&gt;"",INDEX(OHZ_HAZ_TOTAMOUNT,195,1)&lt;&gt;""))</f>
        <v>1</v>
      </c>
      <c r="K202" t="str">
        <f t="shared" si="7"/>
        <v>Row 195 - All mandatory fields must be given</v>
      </c>
      <c r="L202" t="s">
        <v>33308</v>
      </c>
      <c r="T202" t="s">
        <v>33713</v>
      </c>
    </row>
    <row r="203" spans="6:20" x14ac:dyDescent="0.2">
      <c r="F203" t="s">
        <v>33308</v>
      </c>
      <c r="G203" t="b">
        <f>IF(OR(INDEX(IHZ_HAZ_CONSIGNMENT,196,1)="",AND(INDEX(IHZ_HAZ_DPGREF,196,1)&lt;&gt;"",INDEX(IHZ_HAZ_CONSIGNMENT,196,1)=INDEX(IHZ_HAZ_CONSIGNMENT,195,1),INDEX(IHZ_HAZ_DPGREF,196,1)=INDEX(IHZ_HAZ_DPGREF,195,1))),TRUE,AND(INDEX(IHZ_HAZ_DGCLASSIFI,196,1)&lt;&gt;"",INDEX(IHZ_HAZ_TEXTUALREF,196,1)&lt;&gt;"",INDEX(IHZ_HAZ_TOTAMOUNT,196,1)&lt;&gt;""))</f>
        <v>1</v>
      </c>
      <c r="H203" t="str">
        <f t="shared" si="6"/>
        <v>Row 196 - All mandatory fields must be given</v>
      </c>
      <c r="J203" t="b">
        <f>IF(OR(INDEX(OHZ_HAZ_CONSIGNMENT,196,1)="",AND(INDEX(OHZ_HAZ_DPGREF,196,1)&lt;&gt;"",INDEX(OHZ_HAZ_CONSIGNMENT,196,1)=INDEX(OHZ_HAZ_CONSIGNMENT,195,1),INDEX(OHZ_HAZ_DPGREF,196,1)=INDEX(OHZ_HAZ_DPGREF,195,1))),TRUE,AND(INDEX(OHZ_HAZ_DGCLASSIFI,196,1)&lt;&gt;"",INDEX(OHZ_HAZ_TEXTUALREF,196,1)&lt;&gt;"",INDEX(OHZ_HAZ_TOTAMOUNT,196,1)&lt;&gt;""))</f>
        <v>1</v>
      </c>
      <c r="K203" t="str">
        <f t="shared" si="7"/>
        <v>Row 196 - All mandatory fields must be given</v>
      </c>
      <c r="L203" t="s">
        <v>33308</v>
      </c>
      <c r="T203" t="s">
        <v>33714</v>
      </c>
    </row>
    <row r="204" spans="6:20" x14ac:dyDescent="0.2">
      <c r="F204" t="s">
        <v>33308</v>
      </c>
      <c r="G204" t="b">
        <f>IF(OR(INDEX(IHZ_HAZ_CONSIGNMENT,197,1)="",AND(INDEX(IHZ_HAZ_DPGREF,197,1)&lt;&gt;"",INDEX(IHZ_HAZ_CONSIGNMENT,197,1)=INDEX(IHZ_HAZ_CONSIGNMENT,196,1),INDEX(IHZ_HAZ_DPGREF,197,1)=INDEX(IHZ_HAZ_DPGREF,196,1))),TRUE,AND(INDEX(IHZ_HAZ_DGCLASSIFI,197,1)&lt;&gt;"",INDEX(IHZ_HAZ_TEXTUALREF,197,1)&lt;&gt;"",INDEX(IHZ_HAZ_TOTAMOUNT,197,1)&lt;&gt;""))</f>
        <v>1</v>
      </c>
      <c r="H204" t="str">
        <f t="shared" si="6"/>
        <v>Row 197 - All mandatory fields must be given</v>
      </c>
      <c r="J204" t="b">
        <f>IF(OR(INDEX(OHZ_HAZ_CONSIGNMENT,197,1)="",AND(INDEX(OHZ_HAZ_DPGREF,197,1)&lt;&gt;"",INDEX(OHZ_HAZ_CONSIGNMENT,197,1)=INDEX(OHZ_HAZ_CONSIGNMENT,196,1),INDEX(OHZ_HAZ_DPGREF,197,1)=INDEX(OHZ_HAZ_DPGREF,196,1))),TRUE,AND(INDEX(OHZ_HAZ_DGCLASSIFI,197,1)&lt;&gt;"",INDEX(OHZ_HAZ_TEXTUALREF,197,1)&lt;&gt;"",INDEX(OHZ_HAZ_TOTAMOUNT,197,1)&lt;&gt;""))</f>
        <v>1</v>
      </c>
      <c r="K204" t="str">
        <f t="shared" si="7"/>
        <v>Row 197 - All mandatory fields must be given</v>
      </c>
      <c r="L204" t="s">
        <v>33308</v>
      </c>
      <c r="T204" t="s">
        <v>33715</v>
      </c>
    </row>
    <row r="205" spans="6:20" x14ac:dyDescent="0.2">
      <c r="F205" t="s">
        <v>33308</v>
      </c>
      <c r="G205" t="b">
        <f>IF(OR(INDEX(IHZ_HAZ_CONSIGNMENT,198,1)="",AND(INDEX(IHZ_HAZ_DPGREF,198,1)&lt;&gt;"",INDEX(IHZ_HAZ_CONSIGNMENT,198,1)=INDEX(IHZ_HAZ_CONSIGNMENT,197,1),INDEX(IHZ_HAZ_DPGREF,198,1)=INDEX(IHZ_HAZ_DPGREF,197,1))),TRUE,AND(INDEX(IHZ_HAZ_DGCLASSIFI,198,1)&lt;&gt;"",INDEX(IHZ_HAZ_TEXTUALREF,198,1)&lt;&gt;"",INDEX(IHZ_HAZ_TOTAMOUNT,198,1)&lt;&gt;""))</f>
        <v>1</v>
      </c>
      <c r="H205" t="str">
        <f t="shared" si="6"/>
        <v>Row 198 - All mandatory fields must be given</v>
      </c>
      <c r="J205" t="b">
        <f>IF(OR(INDEX(OHZ_HAZ_CONSIGNMENT,198,1)="",AND(INDEX(OHZ_HAZ_DPGREF,198,1)&lt;&gt;"",INDEX(OHZ_HAZ_CONSIGNMENT,198,1)=INDEX(OHZ_HAZ_CONSIGNMENT,197,1),INDEX(OHZ_HAZ_DPGREF,198,1)=INDEX(OHZ_HAZ_DPGREF,197,1))),TRUE,AND(INDEX(OHZ_HAZ_DGCLASSIFI,198,1)&lt;&gt;"",INDEX(OHZ_HAZ_TEXTUALREF,198,1)&lt;&gt;"",INDEX(OHZ_HAZ_TOTAMOUNT,198,1)&lt;&gt;""))</f>
        <v>1</v>
      </c>
      <c r="K205" t="str">
        <f t="shared" si="7"/>
        <v>Row 198 - All mandatory fields must be given</v>
      </c>
      <c r="L205" t="s">
        <v>33308</v>
      </c>
      <c r="T205" t="s">
        <v>33716</v>
      </c>
    </row>
    <row r="206" spans="6:20" x14ac:dyDescent="0.2">
      <c r="F206" t="s">
        <v>33308</v>
      </c>
      <c r="G206" t="b">
        <f>IF(OR(INDEX(IHZ_HAZ_CONSIGNMENT,199,1)="",AND(INDEX(IHZ_HAZ_DPGREF,199,1)&lt;&gt;"",INDEX(IHZ_HAZ_CONSIGNMENT,199,1)=INDEX(IHZ_HAZ_CONSIGNMENT,198,1),INDEX(IHZ_HAZ_DPGREF,199,1)=INDEX(IHZ_HAZ_DPGREF,198,1))),TRUE,AND(INDEX(IHZ_HAZ_DGCLASSIFI,199,1)&lt;&gt;"",INDEX(IHZ_HAZ_TEXTUALREF,199,1)&lt;&gt;"",INDEX(IHZ_HAZ_TOTAMOUNT,199,1)&lt;&gt;""))</f>
        <v>1</v>
      </c>
      <c r="H206" t="str">
        <f t="shared" si="6"/>
        <v>Row 199 - All mandatory fields must be given</v>
      </c>
      <c r="J206" t="b">
        <f>IF(OR(INDEX(OHZ_HAZ_CONSIGNMENT,199,1)="",AND(INDEX(OHZ_HAZ_DPGREF,199,1)&lt;&gt;"",INDEX(OHZ_HAZ_CONSIGNMENT,199,1)=INDEX(OHZ_HAZ_CONSIGNMENT,198,1),INDEX(OHZ_HAZ_DPGREF,199,1)=INDEX(OHZ_HAZ_DPGREF,198,1))),TRUE,AND(INDEX(OHZ_HAZ_DGCLASSIFI,199,1)&lt;&gt;"",INDEX(OHZ_HAZ_TEXTUALREF,199,1)&lt;&gt;"",INDEX(OHZ_HAZ_TOTAMOUNT,199,1)&lt;&gt;""))</f>
        <v>1</v>
      </c>
      <c r="K206" t="str">
        <f t="shared" si="7"/>
        <v>Row 199 - All mandatory fields must be given</v>
      </c>
      <c r="L206" t="s">
        <v>33308</v>
      </c>
      <c r="T206" t="s">
        <v>33717</v>
      </c>
    </row>
    <row r="207" spans="6:20" x14ac:dyDescent="0.2">
      <c r="F207" t="s">
        <v>33308</v>
      </c>
      <c r="G207" t="b">
        <f>IF(OR(INDEX(IHZ_HAZ_CONSIGNMENT,200,1)="",AND(INDEX(IHZ_HAZ_DPGREF,200,1)&lt;&gt;"",INDEX(IHZ_HAZ_CONSIGNMENT,200,1)=INDEX(IHZ_HAZ_CONSIGNMENT,199,1),INDEX(IHZ_HAZ_DPGREF,200,1)=INDEX(IHZ_HAZ_DPGREF,199,1))),TRUE,AND(INDEX(IHZ_HAZ_DGCLASSIFI,200,1)&lt;&gt;"",INDEX(IHZ_HAZ_TEXTUALREF,200,1)&lt;&gt;"",INDEX(IHZ_HAZ_TOTAMOUNT,200,1)&lt;&gt;""))</f>
        <v>1</v>
      </c>
      <c r="H207" t="str">
        <f t="shared" si="6"/>
        <v>Row 200 - All mandatory fields must be given</v>
      </c>
      <c r="J207" t="b">
        <f>IF(OR(INDEX(OHZ_HAZ_CONSIGNMENT,200,1)="",AND(INDEX(OHZ_HAZ_DPGREF,200,1)&lt;&gt;"",INDEX(OHZ_HAZ_CONSIGNMENT,200,1)=INDEX(OHZ_HAZ_CONSIGNMENT,199,1),INDEX(OHZ_HAZ_DPGREF,200,1)=INDEX(OHZ_HAZ_DPGREF,199,1))),TRUE,AND(INDEX(OHZ_HAZ_DGCLASSIFI,200,1)&lt;&gt;"",INDEX(OHZ_HAZ_TEXTUALREF,200,1)&lt;&gt;"",INDEX(OHZ_HAZ_TOTAMOUNT,200,1)&lt;&gt;""))</f>
        <v>1</v>
      </c>
      <c r="K207" t="str">
        <f t="shared" si="7"/>
        <v>Row 200 - All mandatory fields must be given</v>
      </c>
      <c r="L207" t="s">
        <v>33308</v>
      </c>
      <c r="T207" t="s">
        <v>33718</v>
      </c>
    </row>
    <row r="208" spans="6:20" x14ac:dyDescent="0.2">
      <c r="F208" t="s">
        <v>33308</v>
      </c>
      <c r="G208" t="b">
        <f>IF(OR(INDEX(IHZ_HAZ_CONSIGNMENT,201,1)="",AND(INDEX(IHZ_HAZ_DPGREF,201,1)&lt;&gt;"",INDEX(IHZ_HAZ_CONSIGNMENT,201,1)=INDEX(IHZ_HAZ_CONSIGNMENT,200,1),INDEX(IHZ_HAZ_DPGREF,201,1)=INDEX(IHZ_HAZ_DPGREF,200,1))),TRUE,AND(INDEX(IHZ_HAZ_DGCLASSIFI,201,1)&lt;&gt;"",INDEX(IHZ_HAZ_TEXTUALREF,201,1)&lt;&gt;"",INDEX(IHZ_HAZ_TOTAMOUNT,201,1)&lt;&gt;""))</f>
        <v>1</v>
      </c>
      <c r="H208" t="str">
        <f t="shared" si="6"/>
        <v>Row 201 - All mandatory fields must be given</v>
      </c>
      <c r="J208" t="b">
        <f>IF(OR(INDEX(OHZ_HAZ_CONSIGNMENT,201,1)="",AND(INDEX(OHZ_HAZ_DPGREF,201,1)&lt;&gt;"",INDEX(OHZ_HAZ_CONSIGNMENT,201,1)=INDEX(OHZ_HAZ_CONSIGNMENT,200,1),INDEX(OHZ_HAZ_DPGREF,201,1)=INDEX(OHZ_HAZ_DPGREF,200,1))),TRUE,AND(INDEX(OHZ_HAZ_DGCLASSIFI,201,1)&lt;&gt;"",INDEX(OHZ_HAZ_TEXTUALREF,201,1)&lt;&gt;"",INDEX(OHZ_HAZ_TOTAMOUNT,201,1)&lt;&gt;""))</f>
        <v>1</v>
      </c>
      <c r="K208" t="str">
        <f t="shared" si="7"/>
        <v>Row 201 - All mandatory fields must be given</v>
      </c>
      <c r="L208" t="s">
        <v>33308</v>
      </c>
      <c r="T208" t="s">
        <v>33719</v>
      </c>
    </row>
    <row r="209" spans="6:20" x14ac:dyDescent="0.2">
      <c r="F209" t="s">
        <v>33308</v>
      </c>
      <c r="G209" t="b">
        <f>IF(OR(INDEX(IHZ_HAZ_CONSIGNMENT,202,1)="",AND(INDEX(IHZ_HAZ_DPGREF,202,1)&lt;&gt;"",INDEX(IHZ_HAZ_CONSIGNMENT,202,1)=INDEX(IHZ_HAZ_CONSIGNMENT,201,1),INDEX(IHZ_HAZ_DPGREF,202,1)=INDEX(IHZ_HAZ_DPGREF,201,1))),TRUE,AND(INDEX(IHZ_HAZ_DGCLASSIFI,202,1)&lt;&gt;"",INDEX(IHZ_HAZ_TEXTUALREF,202,1)&lt;&gt;"",INDEX(IHZ_HAZ_TOTAMOUNT,202,1)&lt;&gt;""))</f>
        <v>1</v>
      </c>
      <c r="H209" t="str">
        <f t="shared" si="6"/>
        <v>Row 202 - All mandatory fields must be given</v>
      </c>
      <c r="J209" t="b">
        <f>IF(OR(INDEX(OHZ_HAZ_CONSIGNMENT,202,1)="",AND(INDEX(OHZ_HAZ_DPGREF,202,1)&lt;&gt;"",INDEX(OHZ_HAZ_CONSIGNMENT,202,1)=INDEX(OHZ_HAZ_CONSIGNMENT,201,1),INDEX(OHZ_HAZ_DPGREF,202,1)=INDEX(OHZ_HAZ_DPGREF,201,1))),TRUE,AND(INDEX(OHZ_HAZ_DGCLASSIFI,202,1)&lt;&gt;"",INDEX(OHZ_HAZ_TEXTUALREF,202,1)&lt;&gt;"",INDEX(OHZ_HAZ_TOTAMOUNT,202,1)&lt;&gt;""))</f>
        <v>1</v>
      </c>
      <c r="K209" t="str">
        <f t="shared" si="7"/>
        <v>Row 202 - All mandatory fields must be given</v>
      </c>
      <c r="L209" t="s">
        <v>33308</v>
      </c>
      <c r="T209" t="s">
        <v>33720</v>
      </c>
    </row>
    <row r="210" spans="6:20" x14ac:dyDescent="0.2">
      <c r="F210" t="s">
        <v>33308</v>
      </c>
      <c r="G210" t="b">
        <f>IF(OR(INDEX(IHZ_HAZ_CONSIGNMENT,203,1)="",AND(INDEX(IHZ_HAZ_DPGREF,203,1)&lt;&gt;"",INDEX(IHZ_HAZ_CONSIGNMENT,203,1)=INDEX(IHZ_HAZ_CONSIGNMENT,202,1),INDEX(IHZ_HAZ_DPGREF,203,1)=INDEX(IHZ_HAZ_DPGREF,202,1))),TRUE,AND(INDEX(IHZ_HAZ_DGCLASSIFI,203,1)&lt;&gt;"",INDEX(IHZ_HAZ_TEXTUALREF,203,1)&lt;&gt;"",INDEX(IHZ_HAZ_TOTAMOUNT,203,1)&lt;&gt;""))</f>
        <v>1</v>
      </c>
      <c r="H210" t="str">
        <f t="shared" si="6"/>
        <v>Row 203 - All mandatory fields must be given</v>
      </c>
      <c r="J210" t="b">
        <f>IF(OR(INDEX(OHZ_HAZ_CONSIGNMENT,203,1)="",AND(INDEX(OHZ_HAZ_DPGREF,203,1)&lt;&gt;"",INDEX(OHZ_HAZ_CONSIGNMENT,203,1)=INDEX(OHZ_HAZ_CONSIGNMENT,202,1),INDEX(OHZ_HAZ_DPGREF,203,1)=INDEX(OHZ_HAZ_DPGREF,202,1))),TRUE,AND(INDEX(OHZ_HAZ_DGCLASSIFI,203,1)&lt;&gt;"",INDEX(OHZ_HAZ_TEXTUALREF,203,1)&lt;&gt;"",INDEX(OHZ_HAZ_TOTAMOUNT,203,1)&lt;&gt;""))</f>
        <v>1</v>
      </c>
      <c r="K210" t="str">
        <f t="shared" si="7"/>
        <v>Row 203 - All mandatory fields must be given</v>
      </c>
      <c r="L210" t="s">
        <v>33308</v>
      </c>
      <c r="T210" t="s">
        <v>33721</v>
      </c>
    </row>
    <row r="211" spans="6:20" x14ac:dyDescent="0.2">
      <c r="F211" t="s">
        <v>33308</v>
      </c>
      <c r="G211" t="b">
        <f>IF(OR(INDEX(IHZ_HAZ_CONSIGNMENT,204,1)="",AND(INDEX(IHZ_HAZ_DPGREF,204,1)&lt;&gt;"",INDEX(IHZ_HAZ_CONSIGNMENT,204,1)=INDEX(IHZ_HAZ_CONSIGNMENT,203,1),INDEX(IHZ_HAZ_DPGREF,204,1)=INDEX(IHZ_HAZ_DPGREF,203,1))),TRUE,AND(INDEX(IHZ_HAZ_DGCLASSIFI,204,1)&lt;&gt;"",INDEX(IHZ_HAZ_TEXTUALREF,204,1)&lt;&gt;"",INDEX(IHZ_HAZ_TOTAMOUNT,204,1)&lt;&gt;""))</f>
        <v>1</v>
      </c>
      <c r="H211" t="str">
        <f t="shared" si="6"/>
        <v>Row 204 - All mandatory fields must be given</v>
      </c>
      <c r="J211" t="b">
        <f>IF(OR(INDEX(OHZ_HAZ_CONSIGNMENT,204,1)="",AND(INDEX(OHZ_HAZ_DPGREF,204,1)&lt;&gt;"",INDEX(OHZ_HAZ_CONSIGNMENT,204,1)=INDEX(OHZ_HAZ_CONSIGNMENT,203,1),INDEX(OHZ_HAZ_DPGREF,204,1)=INDEX(OHZ_HAZ_DPGREF,203,1))),TRUE,AND(INDEX(OHZ_HAZ_DGCLASSIFI,204,1)&lt;&gt;"",INDEX(OHZ_HAZ_TEXTUALREF,204,1)&lt;&gt;"",INDEX(OHZ_HAZ_TOTAMOUNT,204,1)&lt;&gt;""))</f>
        <v>1</v>
      </c>
      <c r="K211" t="str">
        <f t="shared" si="7"/>
        <v>Row 204 - All mandatory fields must be given</v>
      </c>
      <c r="L211" t="s">
        <v>33308</v>
      </c>
      <c r="T211" t="s">
        <v>33722</v>
      </c>
    </row>
    <row r="212" spans="6:20" x14ac:dyDescent="0.2">
      <c r="F212" t="s">
        <v>33308</v>
      </c>
      <c r="G212" t="b">
        <f>IF(OR(INDEX(IHZ_HAZ_CONSIGNMENT,205,1)="",AND(INDEX(IHZ_HAZ_DPGREF,205,1)&lt;&gt;"",INDEX(IHZ_HAZ_CONSIGNMENT,205,1)=INDEX(IHZ_HAZ_CONSIGNMENT,204,1),INDEX(IHZ_HAZ_DPGREF,205,1)=INDEX(IHZ_HAZ_DPGREF,204,1))),TRUE,AND(INDEX(IHZ_HAZ_DGCLASSIFI,205,1)&lt;&gt;"",INDEX(IHZ_HAZ_TEXTUALREF,205,1)&lt;&gt;"",INDEX(IHZ_HAZ_TOTAMOUNT,205,1)&lt;&gt;""))</f>
        <v>1</v>
      </c>
      <c r="H212" t="str">
        <f t="shared" si="6"/>
        <v>Row 205 - All mandatory fields must be given</v>
      </c>
      <c r="J212" t="b">
        <f>IF(OR(INDEX(OHZ_HAZ_CONSIGNMENT,205,1)="",AND(INDEX(OHZ_HAZ_DPGREF,205,1)&lt;&gt;"",INDEX(OHZ_HAZ_CONSIGNMENT,205,1)=INDEX(OHZ_HAZ_CONSIGNMENT,204,1),INDEX(OHZ_HAZ_DPGREF,205,1)=INDEX(OHZ_HAZ_DPGREF,204,1))),TRUE,AND(INDEX(OHZ_HAZ_DGCLASSIFI,205,1)&lt;&gt;"",INDEX(OHZ_HAZ_TEXTUALREF,205,1)&lt;&gt;"",INDEX(OHZ_HAZ_TOTAMOUNT,205,1)&lt;&gt;""))</f>
        <v>1</v>
      </c>
      <c r="K212" t="str">
        <f t="shared" si="7"/>
        <v>Row 205 - All mandatory fields must be given</v>
      </c>
      <c r="L212" t="s">
        <v>33308</v>
      </c>
      <c r="T212" t="s">
        <v>33723</v>
      </c>
    </row>
    <row r="213" spans="6:20" x14ac:dyDescent="0.2">
      <c r="F213" t="s">
        <v>33308</v>
      </c>
      <c r="G213" t="b">
        <f>IF(OR(INDEX(IHZ_HAZ_CONSIGNMENT,206,1)="",AND(INDEX(IHZ_HAZ_DPGREF,206,1)&lt;&gt;"",INDEX(IHZ_HAZ_CONSIGNMENT,206,1)=INDEX(IHZ_HAZ_CONSIGNMENT,205,1),INDEX(IHZ_HAZ_DPGREF,206,1)=INDEX(IHZ_HAZ_DPGREF,205,1))),TRUE,AND(INDEX(IHZ_HAZ_DGCLASSIFI,206,1)&lt;&gt;"",INDEX(IHZ_HAZ_TEXTUALREF,206,1)&lt;&gt;"",INDEX(IHZ_HAZ_TOTAMOUNT,206,1)&lt;&gt;""))</f>
        <v>1</v>
      </c>
      <c r="H213" t="str">
        <f t="shared" si="6"/>
        <v>Row 206 - All mandatory fields must be given</v>
      </c>
      <c r="J213" t="b">
        <f>IF(OR(INDEX(OHZ_HAZ_CONSIGNMENT,206,1)="",AND(INDEX(OHZ_HAZ_DPGREF,206,1)&lt;&gt;"",INDEX(OHZ_HAZ_CONSIGNMENT,206,1)=INDEX(OHZ_HAZ_CONSIGNMENT,205,1),INDEX(OHZ_HAZ_DPGREF,206,1)=INDEX(OHZ_HAZ_DPGREF,205,1))),TRUE,AND(INDEX(OHZ_HAZ_DGCLASSIFI,206,1)&lt;&gt;"",INDEX(OHZ_HAZ_TEXTUALREF,206,1)&lt;&gt;"",INDEX(OHZ_HAZ_TOTAMOUNT,206,1)&lt;&gt;""))</f>
        <v>1</v>
      </c>
      <c r="K213" t="str">
        <f t="shared" si="7"/>
        <v>Row 206 - All mandatory fields must be given</v>
      </c>
      <c r="L213" t="s">
        <v>33308</v>
      </c>
      <c r="T213" t="s">
        <v>33724</v>
      </c>
    </row>
    <row r="214" spans="6:20" x14ac:dyDescent="0.2">
      <c r="F214" t="s">
        <v>33308</v>
      </c>
      <c r="G214" t="b">
        <f>IF(OR(INDEX(IHZ_HAZ_CONSIGNMENT,207,1)="",AND(INDEX(IHZ_HAZ_DPGREF,207,1)&lt;&gt;"",INDEX(IHZ_HAZ_CONSIGNMENT,207,1)=INDEX(IHZ_HAZ_CONSIGNMENT,206,1),INDEX(IHZ_HAZ_DPGREF,207,1)=INDEX(IHZ_HAZ_DPGREF,206,1))),TRUE,AND(INDEX(IHZ_HAZ_DGCLASSIFI,207,1)&lt;&gt;"",INDEX(IHZ_HAZ_TEXTUALREF,207,1)&lt;&gt;"",INDEX(IHZ_HAZ_TOTAMOUNT,207,1)&lt;&gt;""))</f>
        <v>1</v>
      </c>
      <c r="H214" t="str">
        <f t="shared" si="6"/>
        <v>Row 207 - All mandatory fields must be given</v>
      </c>
      <c r="J214" t="b">
        <f>IF(OR(INDEX(OHZ_HAZ_CONSIGNMENT,207,1)="",AND(INDEX(OHZ_HAZ_DPGREF,207,1)&lt;&gt;"",INDEX(OHZ_HAZ_CONSIGNMENT,207,1)=INDEX(OHZ_HAZ_CONSIGNMENT,206,1),INDEX(OHZ_HAZ_DPGREF,207,1)=INDEX(OHZ_HAZ_DPGREF,206,1))),TRUE,AND(INDEX(OHZ_HAZ_DGCLASSIFI,207,1)&lt;&gt;"",INDEX(OHZ_HAZ_TEXTUALREF,207,1)&lt;&gt;"",INDEX(OHZ_HAZ_TOTAMOUNT,207,1)&lt;&gt;""))</f>
        <v>1</v>
      </c>
      <c r="K214" t="str">
        <f t="shared" si="7"/>
        <v>Row 207 - All mandatory fields must be given</v>
      </c>
      <c r="L214" t="s">
        <v>33308</v>
      </c>
      <c r="T214" t="s">
        <v>33725</v>
      </c>
    </row>
    <row r="215" spans="6:20" x14ac:dyDescent="0.2">
      <c r="F215" t="s">
        <v>33308</v>
      </c>
      <c r="G215" t="b">
        <f>IF(OR(INDEX(IHZ_HAZ_CONSIGNMENT,208,1)="",AND(INDEX(IHZ_HAZ_DPGREF,208,1)&lt;&gt;"",INDEX(IHZ_HAZ_CONSIGNMENT,208,1)=INDEX(IHZ_HAZ_CONSIGNMENT,207,1),INDEX(IHZ_HAZ_DPGREF,208,1)=INDEX(IHZ_HAZ_DPGREF,207,1))),TRUE,AND(INDEX(IHZ_HAZ_DGCLASSIFI,208,1)&lt;&gt;"",INDEX(IHZ_HAZ_TEXTUALREF,208,1)&lt;&gt;"",INDEX(IHZ_HAZ_TOTAMOUNT,208,1)&lt;&gt;""))</f>
        <v>1</v>
      </c>
      <c r="H215" t="str">
        <f t="shared" si="6"/>
        <v>Row 208 - All mandatory fields must be given</v>
      </c>
      <c r="J215" t="b">
        <f>IF(OR(INDEX(OHZ_HAZ_CONSIGNMENT,208,1)="",AND(INDEX(OHZ_HAZ_DPGREF,208,1)&lt;&gt;"",INDEX(OHZ_HAZ_CONSIGNMENT,208,1)=INDEX(OHZ_HAZ_CONSIGNMENT,207,1),INDEX(OHZ_HAZ_DPGREF,208,1)=INDEX(OHZ_HAZ_DPGREF,207,1))),TRUE,AND(INDEX(OHZ_HAZ_DGCLASSIFI,208,1)&lt;&gt;"",INDEX(OHZ_HAZ_TEXTUALREF,208,1)&lt;&gt;"",INDEX(OHZ_HAZ_TOTAMOUNT,208,1)&lt;&gt;""))</f>
        <v>1</v>
      </c>
      <c r="K215" t="str">
        <f t="shared" si="7"/>
        <v>Row 208 - All mandatory fields must be given</v>
      </c>
      <c r="L215" t="s">
        <v>33308</v>
      </c>
      <c r="T215" t="s">
        <v>33726</v>
      </c>
    </row>
    <row r="216" spans="6:20" x14ac:dyDescent="0.2">
      <c r="F216" t="s">
        <v>33308</v>
      </c>
      <c r="G216" t="b">
        <f>IF(OR(INDEX(IHZ_HAZ_CONSIGNMENT,209,1)="",AND(INDEX(IHZ_HAZ_DPGREF,209,1)&lt;&gt;"",INDEX(IHZ_HAZ_CONSIGNMENT,209,1)=INDEX(IHZ_HAZ_CONSIGNMENT,208,1),INDEX(IHZ_HAZ_DPGREF,209,1)=INDEX(IHZ_HAZ_DPGREF,208,1))),TRUE,AND(INDEX(IHZ_HAZ_DGCLASSIFI,209,1)&lt;&gt;"",INDEX(IHZ_HAZ_TEXTUALREF,209,1)&lt;&gt;"",INDEX(IHZ_HAZ_TOTAMOUNT,209,1)&lt;&gt;""))</f>
        <v>1</v>
      </c>
      <c r="H216" t="str">
        <f t="shared" si="6"/>
        <v>Row 209 - All mandatory fields must be given</v>
      </c>
      <c r="J216" t="b">
        <f>IF(OR(INDEX(OHZ_HAZ_CONSIGNMENT,209,1)="",AND(INDEX(OHZ_HAZ_DPGREF,209,1)&lt;&gt;"",INDEX(OHZ_HAZ_CONSIGNMENT,209,1)=INDEX(OHZ_HAZ_CONSIGNMENT,208,1),INDEX(OHZ_HAZ_DPGREF,209,1)=INDEX(OHZ_HAZ_DPGREF,208,1))),TRUE,AND(INDEX(OHZ_HAZ_DGCLASSIFI,209,1)&lt;&gt;"",INDEX(OHZ_HAZ_TEXTUALREF,209,1)&lt;&gt;"",INDEX(OHZ_HAZ_TOTAMOUNT,209,1)&lt;&gt;""))</f>
        <v>1</v>
      </c>
      <c r="K216" t="str">
        <f t="shared" si="7"/>
        <v>Row 209 - All mandatory fields must be given</v>
      </c>
      <c r="L216" t="s">
        <v>33308</v>
      </c>
      <c r="T216" t="s">
        <v>33727</v>
      </c>
    </row>
    <row r="217" spans="6:20" x14ac:dyDescent="0.2">
      <c r="F217" t="s">
        <v>33308</v>
      </c>
      <c r="G217" t="b">
        <f>IF(OR(INDEX(IHZ_HAZ_CONSIGNMENT,210,1)="",AND(INDEX(IHZ_HAZ_DPGREF,210,1)&lt;&gt;"",INDEX(IHZ_HAZ_CONSIGNMENT,210,1)=INDEX(IHZ_HAZ_CONSIGNMENT,209,1),INDEX(IHZ_HAZ_DPGREF,210,1)=INDEX(IHZ_HAZ_DPGREF,209,1))),TRUE,AND(INDEX(IHZ_HAZ_DGCLASSIFI,210,1)&lt;&gt;"",INDEX(IHZ_HAZ_TEXTUALREF,210,1)&lt;&gt;"",INDEX(IHZ_HAZ_TOTAMOUNT,210,1)&lt;&gt;""))</f>
        <v>1</v>
      </c>
      <c r="H217" t="str">
        <f t="shared" si="6"/>
        <v>Row 210 - All mandatory fields must be given</v>
      </c>
      <c r="J217" t="b">
        <f>IF(OR(INDEX(OHZ_HAZ_CONSIGNMENT,210,1)="",AND(INDEX(OHZ_HAZ_DPGREF,210,1)&lt;&gt;"",INDEX(OHZ_HAZ_CONSIGNMENT,210,1)=INDEX(OHZ_HAZ_CONSIGNMENT,209,1),INDEX(OHZ_HAZ_DPGREF,210,1)=INDEX(OHZ_HAZ_DPGREF,209,1))),TRUE,AND(INDEX(OHZ_HAZ_DGCLASSIFI,210,1)&lt;&gt;"",INDEX(OHZ_HAZ_TEXTUALREF,210,1)&lt;&gt;"",INDEX(OHZ_HAZ_TOTAMOUNT,210,1)&lt;&gt;""))</f>
        <v>1</v>
      </c>
      <c r="K217" t="str">
        <f t="shared" si="7"/>
        <v>Row 210 - All mandatory fields must be given</v>
      </c>
      <c r="L217" t="s">
        <v>33308</v>
      </c>
      <c r="T217" t="s">
        <v>33728</v>
      </c>
    </row>
    <row r="218" spans="6:20" x14ac:dyDescent="0.2">
      <c r="F218" t="s">
        <v>33308</v>
      </c>
      <c r="G218" t="b">
        <f>IF(OR(INDEX(IHZ_HAZ_CONSIGNMENT,211,1)="",AND(INDEX(IHZ_HAZ_DPGREF,211,1)&lt;&gt;"",INDEX(IHZ_HAZ_CONSIGNMENT,211,1)=INDEX(IHZ_HAZ_CONSIGNMENT,210,1),INDEX(IHZ_HAZ_DPGREF,211,1)=INDEX(IHZ_HAZ_DPGREF,210,1))),TRUE,AND(INDEX(IHZ_HAZ_DGCLASSIFI,211,1)&lt;&gt;"",INDEX(IHZ_HAZ_TEXTUALREF,211,1)&lt;&gt;"",INDEX(IHZ_HAZ_TOTAMOUNT,211,1)&lt;&gt;""))</f>
        <v>1</v>
      </c>
      <c r="H218" t="str">
        <f t="shared" si="6"/>
        <v>Row 211 - All mandatory fields must be given</v>
      </c>
      <c r="J218" t="b">
        <f>IF(OR(INDEX(OHZ_HAZ_CONSIGNMENT,211,1)="",AND(INDEX(OHZ_HAZ_DPGREF,211,1)&lt;&gt;"",INDEX(OHZ_HAZ_CONSIGNMENT,211,1)=INDEX(OHZ_HAZ_CONSIGNMENT,210,1),INDEX(OHZ_HAZ_DPGREF,211,1)=INDEX(OHZ_HAZ_DPGREF,210,1))),TRUE,AND(INDEX(OHZ_HAZ_DGCLASSIFI,211,1)&lt;&gt;"",INDEX(OHZ_HAZ_TEXTUALREF,211,1)&lt;&gt;"",INDEX(OHZ_HAZ_TOTAMOUNT,211,1)&lt;&gt;""))</f>
        <v>1</v>
      </c>
      <c r="K218" t="str">
        <f t="shared" si="7"/>
        <v>Row 211 - All mandatory fields must be given</v>
      </c>
      <c r="L218" t="s">
        <v>33308</v>
      </c>
      <c r="T218" t="s">
        <v>33729</v>
      </c>
    </row>
    <row r="219" spans="6:20" x14ac:dyDescent="0.2">
      <c r="F219" t="s">
        <v>33308</v>
      </c>
      <c r="G219" t="b">
        <f>IF(OR(INDEX(IHZ_HAZ_CONSIGNMENT,212,1)="",AND(INDEX(IHZ_HAZ_DPGREF,212,1)&lt;&gt;"",INDEX(IHZ_HAZ_CONSIGNMENT,212,1)=INDEX(IHZ_HAZ_CONSIGNMENT,211,1),INDEX(IHZ_HAZ_DPGREF,212,1)=INDEX(IHZ_HAZ_DPGREF,211,1))),TRUE,AND(INDEX(IHZ_HAZ_DGCLASSIFI,212,1)&lt;&gt;"",INDEX(IHZ_HAZ_TEXTUALREF,212,1)&lt;&gt;"",INDEX(IHZ_HAZ_TOTAMOUNT,212,1)&lt;&gt;""))</f>
        <v>1</v>
      </c>
      <c r="H219" t="str">
        <f t="shared" si="6"/>
        <v>Row 212 - All mandatory fields must be given</v>
      </c>
      <c r="J219" t="b">
        <f>IF(OR(INDEX(OHZ_HAZ_CONSIGNMENT,212,1)="",AND(INDEX(OHZ_HAZ_DPGREF,212,1)&lt;&gt;"",INDEX(OHZ_HAZ_CONSIGNMENT,212,1)=INDEX(OHZ_HAZ_CONSIGNMENT,211,1),INDEX(OHZ_HAZ_DPGREF,212,1)=INDEX(OHZ_HAZ_DPGREF,211,1))),TRUE,AND(INDEX(OHZ_HAZ_DGCLASSIFI,212,1)&lt;&gt;"",INDEX(OHZ_HAZ_TEXTUALREF,212,1)&lt;&gt;"",INDEX(OHZ_HAZ_TOTAMOUNT,212,1)&lt;&gt;""))</f>
        <v>1</v>
      </c>
      <c r="K219" t="str">
        <f t="shared" si="7"/>
        <v>Row 212 - All mandatory fields must be given</v>
      </c>
      <c r="L219" t="s">
        <v>33308</v>
      </c>
      <c r="T219" t="s">
        <v>33730</v>
      </c>
    </row>
    <row r="220" spans="6:20" x14ac:dyDescent="0.2">
      <c r="F220" t="s">
        <v>33308</v>
      </c>
      <c r="G220" t="b">
        <f>IF(OR(INDEX(IHZ_HAZ_CONSIGNMENT,213,1)="",AND(INDEX(IHZ_HAZ_DPGREF,213,1)&lt;&gt;"",INDEX(IHZ_HAZ_CONSIGNMENT,213,1)=INDEX(IHZ_HAZ_CONSIGNMENT,212,1),INDEX(IHZ_HAZ_DPGREF,213,1)=INDEX(IHZ_HAZ_DPGREF,212,1))),TRUE,AND(INDEX(IHZ_HAZ_DGCLASSIFI,213,1)&lt;&gt;"",INDEX(IHZ_HAZ_TEXTUALREF,213,1)&lt;&gt;"",INDEX(IHZ_HAZ_TOTAMOUNT,213,1)&lt;&gt;""))</f>
        <v>1</v>
      </c>
      <c r="H220" t="str">
        <f t="shared" si="6"/>
        <v>Row 213 - All mandatory fields must be given</v>
      </c>
      <c r="J220" t="b">
        <f>IF(OR(INDEX(OHZ_HAZ_CONSIGNMENT,213,1)="",AND(INDEX(OHZ_HAZ_DPGREF,213,1)&lt;&gt;"",INDEX(OHZ_HAZ_CONSIGNMENT,213,1)=INDEX(OHZ_HAZ_CONSIGNMENT,212,1),INDEX(OHZ_HAZ_DPGREF,213,1)=INDEX(OHZ_HAZ_DPGREF,212,1))),TRUE,AND(INDEX(OHZ_HAZ_DGCLASSIFI,213,1)&lt;&gt;"",INDEX(OHZ_HAZ_TEXTUALREF,213,1)&lt;&gt;"",INDEX(OHZ_HAZ_TOTAMOUNT,213,1)&lt;&gt;""))</f>
        <v>1</v>
      </c>
      <c r="K220" t="str">
        <f t="shared" si="7"/>
        <v>Row 213 - All mandatory fields must be given</v>
      </c>
      <c r="L220" t="s">
        <v>33308</v>
      </c>
      <c r="T220" t="s">
        <v>33731</v>
      </c>
    </row>
    <row r="221" spans="6:20" x14ac:dyDescent="0.2">
      <c r="F221" t="s">
        <v>33308</v>
      </c>
      <c r="G221" t="b">
        <f>IF(OR(INDEX(IHZ_HAZ_CONSIGNMENT,214,1)="",AND(INDEX(IHZ_HAZ_DPGREF,214,1)&lt;&gt;"",INDEX(IHZ_HAZ_CONSIGNMENT,214,1)=INDEX(IHZ_HAZ_CONSIGNMENT,213,1),INDEX(IHZ_HAZ_DPGREF,214,1)=INDEX(IHZ_HAZ_DPGREF,213,1))),TRUE,AND(INDEX(IHZ_HAZ_DGCLASSIFI,214,1)&lt;&gt;"",INDEX(IHZ_HAZ_TEXTUALREF,214,1)&lt;&gt;"",INDEX(IHZ_HAZ_TOTAMOUNT,214,1)&lt;&gt;""))</f>
        <v>1</v>
      </c>
      <c r="H221" t="str">
        <f t="shared" si="6"/>
        <v>Row 214 - All mandatory fields must be given</v>
      </c>
      <c r="J221" t="b">
        <f>IF(OR(INDEX(OHZ_HAZ_CONSIGNMENT,214,1)="",AND(INDEX(OHZ_HAZ_DPGREF,214,1)&lt;&gt;"",INDEX(OHZ_HAZ_CONSIGNMENT,214,1)=INDEX(OHZ_HAZ_CONSIGNMENT,213,1),INDEX(OHZ_HAZ_DPGREF,214,1)=INDEX(OHZ_HAZ_DPGREF,213,1))),TRUE,AND(INDEX(OHZ_HAZ_DGCLASSIFI,214,1)&lt;&gt;"",INDEX(OHZ_HAZ_TEXTUALREF,214,1)&lt;&gt;"",INDEX(OHZ_HAZ_TOTAMOUNT,214,1)&lt;&gt;""))</f>
        <v>1</v>
      </c>
      <c r="K221" t="str">
        <f t="shared" si="7"/>
        <v>Row 214 - All mandatory fields must be given</v>
      </c>
      <c r="L221" t="s">
        <v>33308</v>
      </c>
      <c r="T221" t="s">
        <v>33732</v>
      </c>
    </row>
    <row r="222" spans="6:20" x14ac:dyDescent="0.2">
      <c r="F222" t="s">
        <v>33308</v>
      </c>
      <c r="G222" t="b">
        <f>IF(OR(INDEX(IHZ_HAZ_CONSIGNMENT,215,1)="",AND(INDEX(IHZ_HAZ_DPGREF,215,1)&lt;&gt;"",INDEX(IHZ_HAZ_CONSIGNMENT,215,1)=INDEX(IHZ_HAZ_CONSIGNMENT,214,1),INDEX(IHZ_HAZ_DPGREF,215,1)=INDEX(IHZ_HAZ_DPGREF,214,1))),TRUE,AND(INDEX(IHZ_HAZ_DGCLASSIFI,215,1)&lt;&gt;"",INDEX(IHZ_HAZ_TEXTUALREF,215,1)&lt;&gt;"",INDEX(IHZ_HAZ_TOTAMOUNT,215,1)&lt;&gt;""))</f>
        <v>1</v>
      </c>
      <c r="H222" t="str">
        <f t="shared" si="6"/>
        <v>Row 215 - All mandatory fields must be given</v>
      </c>
      <c r="J222" t="b">
        <f>IF(OR(INDEX(OHZ_HAZ_CONSIGNMENT,215,1)="",AND(INDEX(OHZ_HAZ_DPGREF,215,1)&lt;&gt;"",INDEX(OHZ_HAZ_CONSIGNMENT,215,1)=INDEX(OHZ_HAZ_CONSIGNMENT,214,1),INDEX(OHZ_HAZ_DPGREF,215,1)=INDEX(OHZ_HAZ_DPGREF,214,1))),TRUE,AND(INDEX(OHZ_HAZ_DGCLASSIFI,215,1)&lt;&gt;"",INDEX(OHZ_HAZ_TEXTUALREF,215,1)&lt;&gt;"",INDEX(OHZ_HAZ_TOTAMOUNT,215,1)&lt;&gt;""))</f>
        <v>1</v>
      </c>
      <c r="K222" t="str">
        <f t="shared" si="7"/>
        <v>Row 215 - All mandatory fields must be given</v>
      </c>
      <c r="L222" t="s">
        <v>33308</v>
      </c>
      <c r="T222" t="s">
        <v>33733</v>
      </c>
    </row>
    <row r="223" spans="6:20" x14ac:dyDescent="0.2">
      <c r="F223" t="s">
        <v>33308</v>
      </c>
      <c r="G223" t="b">
        <f>IF(OR(INDEX(IHZ_HAZ_CONSIGNMENT,216,1)="",AND(INDEX(IHZ_HAZ_DPGREF,216,1)&lt;&gt;"",INDEX(IHZ_HAZ_CONSIGNMENT,216,1)=INDEX(IHZ_HAZ_CONSIGNMENT,215,1),INDEX(IHZ_HAZ_DPGREF,216,1)=INDEX(IHZ_HAZ_DPGREF,215,1))),TRUE,AND(INDEX(IHZ_HAZ_DGCLASSIFI,216,1)&lt;&gt;"",INDEX(IHZ_HAZ_TEXTUALREF,216,1)&lt;&gt;"",INDEX(IHZ_HAZ_TOTAMOUNT,216,1)&lt;&gt;""))</f>
        <v>1</v>
      </c>
      <c r="H223" t="str">
        <f t="shared" si="6"/>
        <v>Row 216 - All mandatory fields must be given</v>
      </c>
      <c r="J223" t="b">
        <f>IF(OR(INDEX(OHZ_HAZ_CONSIGNMENT,216,1)="",AND(INDEX(OHZ_HAZ_DPGREF,216,1)&lt;&gt;"",INDEX(OHZ_HAZ_CONSIGNMENT,216,1)=INDEX(OHZ_HAZ_CONSIGNMENT,215,1),INDEX(OHZ_HAZ_DPGREF,216,1)=INDEX(OHZ_HAZ_DPGREF,215,1))),TRUE,AND(INDEX(OHZ_HAZ_DGCLASSIFI,216,1)&lt;&gt;"",INDEX(OHZ_HAZ_TEXTUALREF,216,1)&lt;&gt;"",INDEX(OHZ_HAZ_TOTAMOUNT,216,1)&lt;&gt;""))</f>
        <v>1</v>
      </c>
      <c r="K223" t="str">
        <f t="shared" si="7"/>
        <v>Row 216 - All mandatory fields must be given</v>
      </c>
      <c r="L223" t="s">
        <v>33308</v>
      </c>
      <c r="T223" t="s">
        <v>33734</v>
      </c>
    </row>
    <row r="224" spans="6:20" x14ac:dyDescent="0.2">
      <c r="F224" t="s">
        <v>33308</v>
      </c>
      <c r="G224" t="b">
        <f>IF(OR(INDEX(IHZ_HAZ_CONSIGNMENT,217,1)="",AND(INDEX(IHZ_HAZ_DPGREF,217,1)&lt;&gt;"",INDEX(IHZ_HAZ_CONSIGNMENT,217,1)=INDEX(IHZ_HAZ_CONSIGNMENT,216,1),INDEX(IHZ_HAZ_DPGREF,217,1)=INDEX(IHZ_HAZ_DPGREF,216,1))),TRUE,AND(INDEX(IHZ_HAZ_DGCLASSIFI,217,1)&lt;&gt;"",INDEX(IHZ_HAZ_TEXTUALREF,217,1)&lt;&gt;"",INDEX(IHZ_HAZ_TOTAMOUNT,217,1)&lt;&gt;""))</f>
        <v>1</v>
      </c>
      <c r="H224" t="str">
        <f t="shared" si="6"/>
        <v>Row 217 - All mandatory fields must be given</v>
      </c>
      <c r="J224" t="b">
        <f>IF(OR(INDEX(OHZ_HAZ_CONSIGNMENT,217,1)="",AND(INDEX(OHZ_HAZ_DPGREF,217,1)&lt;&gt;"",INDEX(OHZ_HAZ_CONSIGNMENT,217,1)=INDEX(OHZ_HAZ_CONSIGNMENT,216,1),INDEX(OHZ_HAZ_DPGREF,217,1)=INDEX(OHZ_HAZ_DPGREF,216,1))),TRUE,AND(INDEX(OHZ_HAZ_DGCLASSIFI,217,1)&lt;&gt;"",INDEX(OHZ_HAZ_TEXTUALREF,217,1)&lt;&gt;"",INDEX(OHZ_HAZ_TOTAMOUNT,217,1)&lt;&gt;""))</f>
        <v>1</v>
      </c>
      <c r="K224" t="str">
        <f t="shared" si="7"/>
        <v>Row 217 - All mandatory fields must be given</v>
      </c>
      <c r="L224" t="s">
        <v>33308</v>
      </c>
      <c r="T224" t="s">
        <v>33735</v>
      </c>
    </row>
    <row r="225" spans="6:20" x14ac:dyDescent="0.2">
      <c r="F225" t="s">
        <v>33308</v>
      </c>
      <c r="G225" t="b">
        <f>IF(OR(INDEX(IHZ_HAZ_CONSIGNMENT,218,1)="",AND(INDEX(IHZ_HAZ_DPGREF,218,1)&lt;&gt;"",INDEX(IHZ_HAZ_CONSIGNMENT,218,1)=INDEX(IHZ_HAZ_CONSIGNMENT,217,1),INDEX(IHZ_HAZ_DPGREF,218,1)=INDEX(IHZ_HAZ_DPGREF,217,1))),TRUE,AND(INDEX(IHZ_HAZ_DGCLASSIFI,218,1)&lt;&gt;"",INDEX(IHZ_HAZ_TEXTUALREF,218,1)&lt;&gt;"",INDEX(IHZ_HAZ_TOTAMOUNT,218,1)&lt;&gt;""))</f>
        <v>1</v>
      </c>
      <c r="H225" t="str">
        <f t="shared" si="6"/>
        <v>Row 218 - All mandatory fields must be given</v>
      </c>
      <c r="J225" t="b">
        <f>IF(OR(INDEX(OHZ_HAZ_CONSIGNMENT,218,1)="",AND(INDEX(OHZ_HAZ_DPGREF,218,1)&lt;&gt;"",INDEX(OHZ_HAZ_CONSIGNMENT,218,1)=INDEX(OHZ_HAZ_CONSIGNMENT,217,1),INDEX(OHZ_HAZ_DPGREF,218,1)=INDEX(OHZ_HAZ_DPGREF,217,1))),TRUE,AND(INDEX(OHZ_HAZ_DGCLASSIFI,218,1)&lt;&gt;"",INDEX(OHZ_HAZ_TEXTUALREF,218,1)&lt;&gt;"",INDEX(OHZ_HAZ_TOTAMOUNT,218,1)&lt;&gt;""))</f>
        <v>1</v>
      </c>
      <c r="K225" t="str">
        <f t="shared" si="7"/>
        <v>Row 218 - All mandatory fields must be given</v>
      </c>
      <c r="L225" t="s">
        <v>33308</v>
      </c>
      <c r="T225" t="s">
        <v>33736</v>
      </c>
    </row>
    <row r="226" spans="6:20" x14ac:dyDescent="0.2">
      <c r="F226" t="s">
        <v>33308</v>
      </c>
      <c r="G226" t="b">
        <f>IF(OR(INDEX(IHZ_HAZ_CONSIGNMENT,219,1)="",AND(INDEX(IHZ_HAZ_DPGREF,219,1)&lt;&gt;"",INDEX(IHZ_HAZ_CONSIGNMENT,219,1)=INDEX(IHZ_HAZ_CONSIGNMENT,218,1),INDEX(IHZ_HAZ_DPGREF,219,1)=INDEX(IHZ_HAZ_DPGREF,218,1))),TRUE,AND(INDEX(IHZ_HAZ_DGCLASSIFI,219,1)&lt;&gt;"",INDEX(IHZ_HAZ_TEXTUALREF,219,1)&lt;&gt;"",INDEX(IHZ_HAZ_TOTAMOUNT,219,1)&lt;&gt;""))</f>
        <v>1</v>
      </c>
      <c r="H226" t="str">
        <f t="shared" si="6"/>
        <v>Row 219 - All mandatory fields must be given</v>
      </c>
      <c r="J226" t="b">
        <f>IF(OR(INDEX(OHZ_HAZ_CONSIGNMENT,219,1)="",AND(INDEX(OHZ_HAZ_DPGREF,219,1)&lt;&gt;"",INDEX(OHZ_HAZ_CONSIGNMENT,219,1)=INDEX(OHZ_HAZ_CONSIGNMENT,218,1),INDEX(OHZ_HAZ_DPGREF,219,1)=INDEX(OHZ_HAZ_DPGREF,218,1))),TRUE,AND(INDEX(OHZ_HAZ_DGCLASSIFI,219,1)&lt;&gt;"",INDEX(OHZ_HAZ_TEXTUALREF,219,1)&lt;&gt;"",INDEX(OHZ_HAZ_TOTAMOUNT,219,1)&lt;&gt;""))</f>
        <v>1</v>
      </c>
      <c r="K226" t="str">
        <f t="shared" si="7"/>
        <v>Row 219 - All mandatory fields must be given</v>
      </c>
      <c r="L226" t="s">
        <v>33308</v>
      </c>
      <c r="T226" t="s">
        <v>33737</v>
      </c>
    </row>
    <row r="227" spans="6:20" x14ac:dyDescent="0.2">
      <c r="F227" t="s">
        <v>33308</v>
      </c>
      <c r="G227" t="b">
        <f>IF(OR(INDEX(IHZ_HAZ_CONSIGNMENT,220,1)="",AND(INDEX(IHZ_HAZ_DPGREF,220,1)&lt;&gt;"",INDEX(IHZ_HAZ_CONSIGNMENT,220,1)=INDEX(IHZ_HAZ_CONSIGNMENT,219,1),INDEX(IHZ_HAZ_DPGREF,220,1)=INDEX(IHZ_HAZ_DPGREF,219,1))),TRUE,AND(INDEX(IHZ_HAZ_DGCLASSIFI,220,1)&lt;&gt;"",INDEX(IHZ_HAZ_TEXTUALREF,220,1)&lt;&gt;"",INDEX(IHZ_HAZ_TOTAMOUNT,220,1)&lt;&gt;""))</f>
        <v>1</v>
      </c>
      <c r="H227" t="str">
        <f t="shared" si="6"/>
        <v>Row 220 - All mandatory fields must be given</v>
      </c>
      <c r="J227" t="b">
        <f>IF(OR(INDEX(OHZ_HAZ_CONSIGNMENT,220,1)="",AND(INDEX(OHZ_HAZ_DPGREF,220,1)&lt;&gt;"",INDEX(OHZ_HAZ_CONSIGNMENT,220,1)=INDEX(OHZ_HAZ_CONSIGNMENT,219,1),INDEX(OHZ_HAZ_DPGREF,220,1)=INDEX(OHZ_HAZ_DPGREF,219,1))),TRUE,AND(INDEX(OHZ_HAZ_DGCLASSIFI,220,1)&lt;&gt;"",INDEX(OHZ_HAZ_TEXTUALREF,220,1)&lt;&gt;"",INDEX(OHZ_HAZ_TOTAMOUNT,220,1)&lt;&gt;""))</f>
        <v>1</v>
      </c>
      <c r="K227" t="str">
        <f t="shared" si="7"/>
        <v>Row 220 - All mandatory fields must be given</v>
      </c>
      <c r="L227" t="s">
        <v>33308</v>
      </c>
      <c r="T227" t="s">
        <v>33738</v>
      </c>
    </row>
    <row r="228" spans="6:20" x14ac:dyDescent="0.2">
      <c r="F228" t="s">
        <v>33308</v>
      </c>
      <c r="G228" t="b">
        <f>IF(OR(INDEX(IHZ_HAZ_CONSIGNMENT,221,1)="",AND(INDEX(IHZ_HAZ_DPGREF,221,1)&lt;&gt;"",INDEX(IHZ_HAZ_CONSIGNMENT,221,1)=INDEX(IHZ_HAZ_CONSIGNMENT,220,1),INDEX(IHZ_HAZ_DPGREF,221,1)=INDEX(IHZ_HAZ_DPGREF,220,1))),TRUE,AND(INDEX(IHZ_HAZ_DGCLASSIFI,221,1)&lt;&gt;"",INDEX(IHZ_HAZ_TEXTUALREF,221,1)&lt;&gt;"",INDEX(IHZ_HAZ_TOTAMOUNT,221,1)&lt;&gt;""))</f>
        <v>1</v>
      </c>
      <c r="H228" t="str">
        <f t="shared" si="6"/>
        <v>Row 221 - All mandatory fields must be given</v>
      </c>
      <c r="J228" t="b">
        <f>IF(OR(INDEX(OHZ_HAZ_CONSIGNMENT,221,1)="",AND(INDEX(OHZ_HAZ_DPGREF,221,1)&lt;&gt;"",INDEX(OHZ_HAZ_CONSIGNMENT,221,1)=INDEX(OHZ_HAZ_CONSIGNMENT,220,1),INDEX(OHZ_HAZ_DPGREF,221,1)=INDEX(OHZ_HAZ_DPGREF,220,1))),TRUE,AND(INDEX(OHZ_HAZ_DGCLASSIFI,221,1)&lt;&gt;"",INDEX(OHZ_HAZ_TEXTUALREF,221,1)&lt;&gt;"",INDEX(OHZ_HAZ_TOTAMOUNT,221,1)&lt;&gt;""))</f>
        <v>1</v>
      </c>
      <c r="K228" t="str">
        <f t="shared" si="7"/>
        <v>Row 221 - All mandatory fields must be given</v>
      </c>
      <c r="L228" t="s">
        <v>33308</v>
      </c>
      <c r="T228" t="s">
        <v>33739</v>
      </c>
    </row>
    <row r="229" spans="6:20" x14ac:dyDescent="0.2">
      <c r="F229" t="s">
        <v>33308</v>
      </c>
      <c r="G229" t="b">
        <f>IF(OR(INDEX(IHZ_HAZ_CONSIGNMENT,222,1)="",AND(INDEX(IHZ_HAZ_DPGREF,222,1)&lt;&gt;"",INDEX(IHZ_HAZ_CONSIGNMENT,222,1)=INDEX(IHZ_HAZ_CONSIGNMENT,221,1),INDEX(IHZ_HAZ_DPGREF,222,1)=INDEX(IHZ_HAZ_DPGREF,221,1))),TRUE,AND(INDEX(IHZ_HAZ_DGCLASSIFI,222,1)&lt;&gt;"",INDEX(IHZ_HAZ_TEXTUALREF,222,1)&lt;&gt;"",INDEX(IHZ_HAZ_TOTAMOUNT,222,1)&lt;&gt;""))</f>
        <v>1</v>
      </c>
      <c r="H229" t="str">
        <f t="shared" si="6"/>
        <v>Row 222 - All mandatory fields must be given</v>
      </c>
      <c r="J229" t="b">
        <f>IF(OR(INDEX(OHZ_HAZ_CONSIGNMENT,222,1)="",AND(INDEX(OHZ_HAZ_DPGREF,222,1)&lt;&gt;"",INDEX(OHZ_HAZ_CONSIGNMENT,222,1)=INDEX(OHZ_HAZ_CONSIGNMENT,221,1),INDEX(OHZ_HAZ_DPGREF,222,1)=INDEX(OHZ_HAZ_DPGREF,221,1))),TRUE,AND(INDEX(OHZ_HAZ_DGCLASSIFI,222,1)&lt;&gt;"",INDEX(OHZ_HAZ_TEXTUALREF,222,1)&lt;&gt;"",INDEX(OHZ_HAZ_TOTAMOUNT,222,1)&lt;&gt;""))</f>
        <v>1</v>
      </c>
      <c r="K229" t="str">
        <f t="shared" si="7"/>
        <v>Row 222 - All mandatory fields must be given</v>
      </c>
      <c r="L229" t="s">
        <v>33308</v>
      </c>
      <c r="T229" t="s">
        <v>33740</v>
      </c>
    </row>
    <row r="230" spans="6:20" x14ac:dyDescent="0.2">
      <c r="F230" t="s">
        <v>33308</v>
      </c>
      <c r="G230" t="b">
        <f>IF(OR(INDEX(IHZ_HAZ_CONSIGNMENT,223,1)="",AND(INDEX(IHZ_HAZ_DPGREF,223,1)&lt;&gt;"",INDEX(IHZ_HAZ_CONSIGNMENT,223,1)=INDEX(IHZ_HAZ_CONSIGNMENT,222,1),INDEX(IHZ_HAZ_DPGREF,223,1)=INDEX(IHZ_HAZ_DPGREF,222,1))),TRUE,AND(INDEX(IHZ_HAZ_DGCLASSIFI,223,1)&lt;&gt;"",INDEX(IHZ_HAZ_TEXTUALREF,223,1)&lt;&gt;"",INDEX(IHZ_HAZ_TOTAMOUNT,223,1)&lt;&gt;""))</f>
        <v>1</v>
      </c>
      <c r="H230" t="str">
        <f t="shared" si="6"/>
        <v>Row 223 - All mandatory fields must be given</v>
      </c>
      <c r="J230" t="b">
        <f>IF(OR(INDEX(OHZ_HAZ_CONSIGNMENT,223,1)="",AND(INDEX(OHZ_HAZ_DPGREF,223,1)&lt;&gt;"",INDEX(OHZ_HAZ_CONSIGNMENT,223,1)=INDEX(OHZ_HAZ_CONSIGNMENT,222,1),INDEX(OHZ_HAZ_DPGREF,223,1)=INDEX(OHZ_HAZ_DPGREF,222,1))),TRUE,AND(INDEX(OHZ_HAZ_DGCLASSIFI,223,1)&lt;&gt;"",INDEX(OHZ_HAZ_TEXTUALREF,223,1)&lt;&gt;"",INDEX(OHZ_HAZ_TOTAMOUNT,223,1)&lt;&gt;""))</f>
        <v>1</v>
      </c>
      <c r="K230" t="str">
        <f t="shared" si="7"/>
        <v>Row 223 - All mandatory fields must be given</v>
      </c>
      <c r="L230" t="s">
        <v>33308</v>
      </c>
      <c r="T230" t="s">
        <v>33741</v>
      </c>
    </row>
    <row r="231" spans="6:20" x14ac:dyDescent="0.2">
      <c r="F231" t="s">
        <v>33308</v>
      </c>
      <c r="G231" t="b">
        <f>IF(OR(INDEX(IHZ_HAZ_CONSIGNMENT,224,1)="",AND(INDEX(IHZ_HAZ_DPGREF,224,1)&lt;&gt;"",INDEX(IHZ_HAZ_CONSIGNMENT,224,1)=INDEX(IHZ_HAZ_CONSIGNMENT,223,1),INDEX(IHZ_HAZ_DPGREF,224,1)=INDEX(IHZ_HAZ_DPGREF,223,1))),TRUE,AND(INDEX(IHZ_HAZ_DGCLASSIFI,224,1)&lt;&gt;"",INDEX(IHZ_HAZ_TEXTUALREF,224,1)&lt;&gt;"",INDEX(IHZ_HAZ_TOTAMOUNT,224,1)&lt;&gt;""))</f>
        <v>1</v>
      </c>
      <c r="H231" t="str">
        <f t="shared" si="6"/>
        <v>Row 224 - All mandatory fields must be given</v>
      </c>
      <c r="J231" t="b">
        <f>IF(OR(INDEX(OHZ_HAZ_CONSIGNMENT,224,1)="",AND(INDEX(OHZ_HAZ_DPGREF,224,1)&lt;&gt;"",INDEX(OHZ_HAZ_CONSIGNMENT,224,1)=INDEX(OHZ_HAZ_CONSIGNMENT,223,1),INDEX(OHZ_HAZ_DPGREF,224,1)=INDEX(OHZ_HAZ_DPGREF,223,1))),TRUE,AND(INDEX(OHZ_HAZ_DGCLASSIFI,224,1)&lt;&gt;"",INDEX(OHZ_HAZ_TEXTUALREF,224,1)&lt;&gt;"",INDEX(OHZ_HAZ_TOTAMOUNT,224,1)&lt;&gt;""))</f>
        <v>1</v>
      </c>
      <c r="K231" t="str">
        <f t="shared" si="7"/>
        <v>Row 224 - All mandatory fields must be given</v>
      </c>
      <c r="L231" t="s">
        <v>33308</v>
      </c>
      <c r="T231" t="s">
        <v>33742</v>
      </c>
    </row>
    <row r="232" spans="6:20" x14ac:dyDescent="0.2">
      <c r="F232" t="s">
        <v>33308</v>
      </c>
      <c r="G232" t="b">
        <f>IF(OR(INDEX(IHZ_HAZ_CONSIGNMENT,225,1)="",AND(INDEX(IHZ_HAZ_DPGREF,225,1)&lt;&gt;"",INDEX(IHZ_HAZ_CONSIGNMENT,225,1)=INDEX(IHZ_HAZ_CONSIGNMENT,224,1),INDEX(IHZ_HAZ_DPGREF,225,1)=INDEX(IHZ_HAZ_DPGREF,224,1))),TRUE,AND(INDEX(IHZ_HAZ_DGCLASSIFI,225,1)&lt;&gt;"",INDEX(IHZ_HAZ_TEXTUALREF,225,1)&lt;&gt;"",INDEX(IHZ_HAZ_TOTAMOUNT,225,1)&lt;&gt;""))</f>
        <v>1</v>
      </c>
      <c r="H232" t="str">
        <f t="shared" si="6"/>
        <v>Row 225 - All mandatory fields must be given</v>
      </c>
      <c r="J232" t="b">
        <f>IF(OR(INDEX(OHZ_HAZ_CONSIGNMENT,225,1)="",AND(INDEX(OHZ_HAZ_DPGREF,225,1)&lt;&gt;"",INDEX(OHZ_HAZ_CONSIGNMENT,225,1)=INDEX(OHZ_HAZ_CONSIGNMENT,224,1),INDEX(OHZ_HAZ_DPGREF,225,1)=INDEX(OHZ_HAZ_DPGREF,224,1))),TRUE,AND(INDEX(OHZ_HAZ_DGCLASSIFI,225,1)&lt;&gt;"",INDEX(OHZ_HAZ_TEXTUALREF,225,1)&lt;&gt;"",INDEX(OHZ_HAZ_TOTAMOUNT,225,1)&lt;&gt;""))</f>
        <v>1</v>
      </c>
      <c r="K232" t="str">
        <f t="shared" si="7"/>
        <v>Row 225 - All mandatory fields must be given</v>
      </c>
      <c r="L232" t="s">
        <v>33308</v>
      </c>
      <c r="T232" t="s">
        <v>33743</v>
      </c>
    </row>
    <row r="233" spans="6:20" x14ac:dyDescent="0.2">
      <c r="F233" t="s">
        <v>33308</v>
      </c>
      <c r="G233" t="b">
        <f>IF(OR(INDEX(IHZ_HAZ_CONSIGNMENT,226,1)="",AND(INDEX(IHZ_HAZ_DPGREF,226,1)&lt;&gt;"",INDEX(IHZ_HAZ_CONSIGNMENT,226,1)=INDEX(IHZ_HAZ_CONSIGNMENT,225,1),INDEX(IHZ_HAZ_DPGREF,226,1)=INDEX(IHZ_HAZ_DPGREF,225,1))),TRUE,AND(INDEX(IHZ_HAZ_DGCLASSIFI,226,1)&lt;&gt;"",INDEX(IHZ_HAZ_TEXTUALREF,226,1)&lt;&gt;"",INDEX(IHZ_HAZ_TOTAMOUNT,226,1)&lt;&gt;""))</f>
        <v>1</v>
      </c>
      <c r="H233" t="str">
        <f t="shared" si="6"/>
        <v>Row 226 - All mandatory fields must be given</v>
      </c>
      <c r="J233" t="b">
        <f>IF(OR(INDEX(OHZ_HAZ_CONSIGNMENT,226,1)="",AND(INDEX(OHZ_HAZ_DPGREF,226,1)&lt;&gt;"",INDEX(OHZ_HAZ_CONSIGNMENT,226,1)=INDEX(OHZ_HAZ_CONSIGNMENT,225,1),INDEX(OHZ_HAZ_DPGREF,226,1)=INDEX(OHZ_HAZ_DPGREF,225,1))),TRUE,AND(INDEX(OHZ_HAZ_DGCLASSIFI,226,1)&lt;&gt;"",INDEX(OHZ_HAZ_TEXTUALREF,226,1)&lt;&gt;"",INDEX(OHZ_HAZ_TOTAMOUNT,226,1)&lt;&gt;""))</f>
        <v>1</v>
      </c>
      <c r="K233" t="str">
        <f t="shared" si="7"/>
        <v>Row 226 - All mandatory fields must be given</v>
      </c>
      <c r="L233" t="s">
        <v>33308</v>
      </c>
      <c r="T233" t="s">
        <v>33744</v>
      </c>
    </row>
    <row r="234" spans="6:20" x14ac:dyDescent="0.2">
      <c r="F234" t="s">
        <v>33308</v>
      </c>
      <c r="G234" t="b">
        <f>IF(OR(INDEX(IHZ_HAZ_CONSIGNMENT,227,1)="",AND(INDEX(IHZ_HAZ_DPGREF,227,1)&lt;&gt;"",INDEX(IHZ_HAZ_CONSIGNMENT,227,1)=INDEX(IHZ_HAZ_CONSIGNMENT,226,1),INDEX(IHZ_HAZ_DPGREF,227,1)=INDEX(IHZ_HAZ_DPGREF,226,1))),TRUE,AND(INDEX(IHZ_HAZ_DGCLASSIFI,227,1)&lt;&gt;"",INDEX(IHZ_HAZ_TEXTUALREF,227,1)&lt;&gt;"",INDEX(IHZ_HAZ_TOTAMOUNT,227,1)&lt;&gt;""))</f>
        <v>1</v>
      </c>
      <c r="H234" t="str">
        <f t="shared" si="6"/>
        <v>Row 227 - All mandatory fields must be given</v>
      </c>
      <c r="J234" t="b">
        <f>IF(OR(INDEX(OHZ_HAZ_CONSIGNMENT,227,1)="",AND(INDEX(OHZ_HAZ_DPGREF,227,1)&lt;&gt;"",INDEX(OHZ_HAZ_CONSIGNMENT,227,1)=INDEX(OHZ_HAZ_CONSIGNMENT,226,1),INDEX(OHZ_HAZ_DPGREF,227,1)=INDEX(OHZ_HAZ_DPGREF,226,1))),TRUE,AND(INDEX(OHZ_HAZ_DGCLASSIFI,227,1)&lt;&gt;"",INDEX(OHZ_HAZ_TEXTUALREF,227,1)&lt;&gt;"",INDEX(OHZ_HAZ_TOTAMOUNT,227,1)&lt;&gt;""))</f>
        <v>1</v>
      </c>
      <c r="K234" t="str">
        <f t="shared" si="7"/>
        <v>Row 227 - All mandatory fields must be given</v>
      </c>
      <c r="L234" t="s">
        <v>33308</v>
      </c>
      <c r="T234" t="s">
        <v>33745</v>
      </c>
    </row>
    <row r="235" spans="6:20" x14ac:dyDescent="0.2">
      <c r="F235" t="s">
        <v>33308</v>
      </c>
      <c r="G235" t="b">
        <f>IF(OR(INDEX(IHZ_HAZ_CONSIGNMENT,228,1)="",AND(INDEX(IHZ_HAZ_DPGREF,228,1)&lt;&gt;"",INDEX(IHZ_HAZ_CONSIGNMENT,228,1)=INDEX(IHZ_HAZ_CONSIGNMENT,227,1),INDEX(IHZ_HAZ_DPGREF,228,1)=INDEX(IHZ_HAZ_DPGREF,227,1))),TRUE,AND(INDEX(IHZ_HAZ_DGCLASSIFI,228,1)&lt;&gt;"",INDEX(IHZ_HAZ_TEXTUALREF,228,1)&lt;&gt;"",INDEX(IHZ_HAZ_TOTAMOUNT,228,1)&lt;&gt;""))</f>
        <v>1</v>
      </c>
      <c r="H235" t="str">
        <f t="shared" si="6"/>
        <v>Row 228 - All mandatory fields must be given</v>
      </c>
      <c r="J235" t="b">
        <f>IF(OR(INDEX(OHZ_HAZ_CONSIGNMENT,228,1)="",AND(INDEX(OHZ_HAZ_DPGREF,228,1)&lt;&gt;"",INDEX(OHZ_HAZ_CONSIGNMENT,228,1)=INDEX(OHZ_HAZ_CONSIGNMENT,227,1),INDEX(OHZ_HAZ_DPGREF,228,1)=INDEX(OHZ_HAZ_DPGREF,227,1))),TRUE,AND(INDEX(OHZ_HAZ_DGCLASSIFI,228,1)&lt;&gt;"",INDEX(OHZ_HAZ_TEXTUALREF,228,1)&lt;&gt;"",INDEX(OHZ_HAZ_TOTAMOUNT,228,1)&lt;&gt;""))</f>
        <v>1</v>
      </c>
      <c r="K235" t="str">
        <f t="shared" si="7"/>
        <v>Row 228 - All mandatory fields must be given</v>
      </c>
      <c r="L235" t="s">
        <v>33308</v>
      </c>
      <c r="T235" t="s">
        <v>33746</v>
      </c>
    </row>
    <row r="236" spans="6:20" x14ac:dyDescent="0.2">
      <c r="F236" t="s">
        <v>33308</v>
      </c>
      <c r="G236" t="b">
        <f>IF(OR(INDEX(IHZ_HAZ_CONSIGNMENT,229,1)="",AND(INDEX(IHZ_HAZ_DPGREF,229,1)&lt;&gt;"",INDEX(IHZ_HAZ_CONSIGNMENT,229,1)=INDEX(IHZ_HAZ_CONSIGNMENT,228,1),INDEX(IHZ_HAZ_DPGREF,229,1)=INDEX(IHZ_HAZ_DPGREF,228,1))),TRUE,AND(INDEX(IHZ_HAZ_DGCLASSIFI,229,1)&lt;&gt;"",INDEX(IHZ_HAZ_TEXTUALREF,229,1)&lt;&gt;"",INDEX(IHZ_HAZ_TOTAMOUNT,229,1)&lt;&gt;""))</f>
        <v>1</v>
      </c>
      <c r="H236" t="str">
        <f t="shared" si="6"/>
        <v>Row 229 - All mandatory fields must be given</v>
      </c>
      <c r="J236" t="b">
        <f>IF(OR(INDEX(OHZ_HAZ_CONSIGNMENT,229,1)="",AND(INDEX(OHZ_HAZ_DPGREF,229,1)&lt;&gt;"",INDEX(OHZ_HAZ_CONSIGNMENT,229,1)=INDEX(OHZ_HAZ_CONSIGNMENT,228,1),INDEX(OHZ_HAZ_DPGREF,229,1)=INDEX(OHZ_HAZ_DPGREF,228,1))),TRUE,AND(INDEX(OHZ_HAZ_DGCLASSIFI,229,1)&lt;&gt;"",INDEX(OHZ_HAZ_TEXTUALREF,229,1)&lt;&gt;"",INDEX(OHZ_HAZ_TOTAMOUNT,229,1)&lt;&gt;""))</f>
        <v>1</v>
      </c>
      <c r="K236" t="str">
        <f t="shared" si="7"/>
        <v>Row 229 - All mandatory fields must be given</v>
      </c>
      <c r="L236" t="s">
        <v>33308</v>
      </c>
      <c r="T236" t="s">
        <v>33747</v>
      </c>
    </row>
    <row r="237" spans="6:20" x14ac:dyDescent="0.2">
      <c r="F237" t="s">
        <v>33308</v>
      </c>
      <c r="G237" t="b">
        <f>IF(OR(INDEX(IHZ_HAZ_CONSIGNMENT,230,1)="",AND(INDEX(IHZ_HAZ_DPGREF,230,1)&lt;&gt;"",INDEX(IHZ_HAZ_CONSIGNMENT,230,1)=INDEX(IHZ_HAZ_CONSIGNMENT,229,1),INDEX(IHZ_HAZ_DPGREF,230,1)=INDEX(IHZ_HAZ_DPGREF,229,1))),TRUE,AND(INDEX(IHZ_HAZ_DGCLASSIFI,230,1)&lt;&gt;"",INDEX(IHZ_HAZ_TEXTUALREF,230,1)&lt;&gt;"",INDEX(IHZ_HAZ_TOTAMOUNT,230,1)&lt;&gt;""))</f>
        <v>1</v>
      </c>
      <c r="H237" t="str">
        <f t="shared" si="6"/>
        <v>Row 230 - All mandatory fields must be given</v>
      </c>
      <c r="J237" t="b">
        <f>IF(OR(INDEX(OHZ_HAZ_CONSIGNMENT,230,1)="",AND(INDEX(OHZ_HAZ_DPGREF,230,1)&lt;&gt;"",INDEX(OHZ_HAZ_CONSIGNMENT,230,1)=INDEX(OHZ_HAZ_CONSIGNMENT,229,1),INDEX(OHZ_HAZ_DPGREF,230,1)=INDEX(OHZ_HAZ_DPGREF,229,1))),TRUE,AND(INDEX(OHZ_HAZ_DGCLASSIFI,230,1)&lt;&gt;"",INDEX(OHZ_HAZ_TEXTUALREF,230,1)&lt;&gt;"",INDEX(OHZ_HAZ_TOTAMOUNT,230,1)&lt;&gt;""))</f>
        <v>1</v>
      </c>
      <c r="K237" t="str">
        <f t="shared" si="7"/>
        <v>Row 230 - All mandatory fields must be given</v>
      </c>
      <c r="L237" t="s">
        <v>33308</v>
      </c>
      <c r="T237" t="s">
        <v>33748</v>
      </c>
    </row>
    <row r="238" spans="6:20" x14ac:dyDescent="0.2">
      <c r="F238" t="s">
        <v>33308</v>
      </c>
      <c r="G238" t="b">
        <f>IF(OR(INDEX(IHZ_HAZ_CONSIGNMENT,231,1)="",AND(INDEX(IHZ_HAZ_DPGREF,231,1)&lt;&gt;"",INDEX(IHZ_HAZ_CONSIGNMENT,231,1)=INDEX(IHZ_HAZ_CONSIGNMENT,230,1),INDEX(IHZ_HAZ_DPGREF,231,1)=INDEX(IHZ_HAZ_DPGREF,230,1))),TRUE,AND(INDEX(IHZ_HAZ_DGCLASSIFI,231,1)&lt;&gt;"",INDEX(IHZ_HAZ_TEXTUALREF,231,1)&lt;&gt;"",INDEX(IHZ_HAZ_TOTAMOUNT,231,1)&lt;&gt;""))</f>
        <v>1</v>
      </c>
      <c r="H238" t="str">
        <f t="shared" si="6"/>
        <v>Row 231 - All mandatory fields must be given</v>
      </c>
      <c r="J238" t="b">
        <f>IF(OR(INDEX(OHZ_HAZ_CONSIGNMENT,231,1)="",AND(INDEX(OHZ_HAZ_DPGREF,231,1)&lt;&gt;"",INDEX(OHZ_HAZ_CONSIGNMENT,231,1)=INDEX(OHZ_HAZ_CONSIGNMENT,230,1),INDEX(OHZ_HAZ_DPGREF,231,1)=INDEX(OHZ_HAZ_DPGREF,230,1))),TRUE,AND(INDEX(OHZ_HAZ_DGCLASSIFI,231,1)&lt;&gt;"",INDEX(OHZ_HAZ_TEXTUALREF,231,1)&lt;&gt;"",INDEX(OHZ_HAZ_TOTAMOUNT,231,1)&lt;&gt;""))</f>
        <v>1</v>
      </c>
      <c r="K238" t="str">
        <f t="shared" si="7"/>
        <v>Row 231 - All mandatory fields must be given</v>
      </c>
      <c r="L238" t="s">
        <v>33308</v>
      </c>
      <c r="T238" t="s">
        <v>33749</v>
      </c>
    </row>
    <row r="239" spans="6:20" x14ac:dyDescent="0.2">
      <c r="F239" t="s">
        <v>33308</v>
      </c>
      <c r="G239" t="b">
        <f>IF(OR(INDEX(IHZ_HAZ_CONSIGNMENT,232,1)="",AND(INDEX(IHZ_HAZ_DPGREF,232,1)&lt;&gt;"",INDEX(IHZ_HAZ_CONSIGNMENT,232,1)=INDEX(IHZ_HAZ_CONSIGNMENT,231,1),INDEX(IHZ_HAZ_DPGREF,232,1)=INDEX(IHZ_HAZ_DPGREF,231,1))),TRUE,AND(INDEX(IHZ_HAZ_DGCLASSIFI,232,1)&lt;&gt;"",INDEX(IHZ_HAZ_TEXTUALREF,232,1)&lt;&gt;"",INDEX(IHZ_HAZ_TOTAMOUNT,232,1)&lt;&gt;""))</f>
        <v>1</v>
      </c>
      <c r="H239" t="str">
        <f t="shared" si="6"/>
        <v>Row 232 - All mandatory fields must be given</v>
      </c>
      <c r="J239" t="b">
        <f>IF(OR(INDEX(OHZ_HAZ_CONSIGNMENT,232,1)="",AND(INDEX(OHZ_HAZ_DPGREF,232,1)&lt;&gt;"",INDEX(OHZ_HAZ_CONSIGNMENT,232,1)=INDEX(OHZ_HAZ_CONSIGNMENT,231,1),INDEX(OHZ_HAZ_DPGREF,232,1)=INDEX(OHZ_HAZ_DPGREF,231,1))),TRUE,AND(INDEX(OHZ_HAZ_DGCLASSIFI,232,1)&lt;&gt;"",INDEX(OHZ_HAZ_TEXTUALREF,232,1)&lt;&gt;"",INDEX(OHZ_HAZ_TOTAMOUNT,232,1)&lt;&gt;""))</f>
        <v>1</v>
      </c>
      <c r="K239" t="str">
        <f t="shared" si="7"/>
        <v>Row 232 - All mandatory fields must be given</v>
      </c>
      <c r="L239" t="s">
        <v>33308</v>
      </c>
      <c r="T239" t="s">
        <v>33750</v>
      </c>
    </row>
    <row r="240" spans="6:20" x14ac:dyDescent="0.2">
      <c r="F240" t="s">
        <v>33308</v>
      </c>
      <c r="G240" t="b">
        <f>IF(OR(INDEX(IHZ_HAZ_CONSIGNMENT,233,1)="",AND(INDEX(IHZ_HAZ_DPGREF,233,1)&lt;&gt;"",INDEX(IHZ_HAZ_CONSIGNMENT,233,1)=INDEX(IHZ_HAZ_CONSIGNMENT,232,1),INDEX(IHZ_HAZ_DPGREF,233,1)=INDEX(IHZ_HAZ_DPGREF,232,1))),TRUE,AND(INDEX(IHZ_HAZ_DGCLASSIFI,233,1)&lt;&gt;"",INDEX(IHZ_HAZ_TEXTUALREF,233,1)&lt;&gt;"",INDEX(IHZ_HAZ_TOTAMOUNT,233,1)&lt;&gt;""))</f>
        <v>1</v>
      </c>
      <c r="H240" t="str">
        <f t="shared" si="6"/>
        <v>Row 233 - All mandatory fields must be given</v>
      </c>
      <c r="J240" t="b">
        <f>IF(OR(INDEX(OHZ_HAZ_CONSIGNMENT,233,1)="",AND(INDEX(OHZ_HAZ_DPGREF,233,1)&lt;&gt;"",INDEX(OHZ_HAZ_CONSIGNMENT,233,1)=INDEX(OHZ_HAZ_CONSIGNMENT,232,1),INDEX(OHZ_HAZ_DPGREF,233,1)=INDEX(OHZ_HAZ_DPGREF,232,1))),TRUE,AND(INDEX(OHZ_HAZ_DGCLASSIFI,233,1)&lt;&gt;"",INDEX(OHZ_HAZ_TEXTUALREF,233,1)&lt;&gt;"",INDEX(OHZ_HAZ_TOTAMOUNT,233,1)&lt;&gt;""))</f>
        <v>1</v>
      </c>
      <c r="K240" t="str">
        <f t="shared" si="7"/>
        <v>Row 233 - All mandatory fields must be given</v>
      </c>
      <c r="L240" t="s">
        <v>33308</v>
      </c>
      <c r="T240" t="s">
        <v>33751</v>
      </c>
    </row>
    <row r="241" spans="6:20" x14ac:dyDescent="0.2">
      <c r="F241" t="s">
        <v>33308</v>
      </c>
      <c r="G241" t="b">
        <f>IF(OR(INDEX(IHZ_HAZ_CONSIGNMENT,234,1)="",AND(INDEX(IHZ_HAZ_DPGREF,234,1)&lt;&gt;"",INDEX(IHZ_HAZ_CONSIGNMENT,234,1)=INDEX(IHZ_HAZ_CONSIGNMENT,233,1),INDEX(IHZ_HAZ_DPGREF,234,1)=INDEX(IHZ_HAZ_DPGREF,233,1))),TRUE,AND(INDEX(IHZ_HAZ_DGCLASSIFI,234,1)&lt;&gt;"",INDEX(IHZ_HAZ_TEXTUALREF,234,1)&lt;&gt;"",INDEX(IHZ_HAZ_TOTAMOUNT,234,1)&lt;&gt;""))</f>
        <v>1</v>
      </c>
      <c r="H241" t="str">
        <f t="shared" si="6"/>
        <v>Row 234 - All mandatory fields must be given</v>
      </c>
      <c r="J241" t="b">
        <f>IF(OR(INDEX(OHZ_HAZ_CONSIGNMENT,234,1)="",AND(INDEX(OHZ_HAZ_DPGREF,234,1)&lt;&gt;"",INDEX(OHZ_HAZ_CONSIGNMENT,234,1)=INDEX(OHZ_HAZ_CONSIGNMENT,233,1),INDEX(OHZ_HAZ_DPGREF,234,1)=INDEX(OHZ_HAZ_DPGREF,233,1))),TRUE,AND(INDEX(OHZ_HAZ_DGCLASSIFI,234,1)&lt;&gt;"",INDEX(OHZ_HAZ_TEXTUALREF,234,1)&lt;&gt;"",INDEX(OHZ_HAZ_TOTAMOUNT,234,1)&lt;&gt;""))</f>
        <v>1</v>
      </c>
      <c r="K241" t="str">
        <f t="shared" si="7"/>
        <v>Row 234 - All mandatory fields must be given</v>
      </c>
      <c r="L241" t="s">
        <v>33308</v>
      </c>
      <c r="T241" t="s">
        <v>33752</v>
      </c>
    </row>
    <row r="242" spans="6:20" x14ac:dyDescent="0.2">
      <c r="F242" t="s">
        <v>33308</v>
      </c>
      <c r="G242" t="b">
        <f>IF(OR(INDEX(IHZ_HAZ_CONSIGNMENT,235,1)="",AND(INDEX(IHZ_HAZ_DPGREF,235,1)&lt;&gt;"",INDEX(IHZ_HAZ_CONSIGNMENT,235,1)=INDEX(IHZ_HAZ_CONSIGNMENT,234,1),INDEX(IHZ_HAZ_DPGREF,235,1)=INDEX(IHZ_HAZ_DPGREF,234,1))),TRUE,AND(INDEX(IHZ_HAZ_DGCLASSIFI,235,1)&lt;&gt;"",INDEX(IHZ_HAZ_TEXTUALREF,235,1)&lt;&gt;"",INDEX(IHZ_HAZ_TOTAMOUNT,235,1)&lt;&gt;""))</f>
        <v>1</v>
      </c>
      <c r="H242" t="str">
        <f t="shared" si="6"/>
        <v>Row 235 - All mandatory fields must be given</v>
      </c>
      <c r="J242" t="b">
        <f>IF(OR(INDEX(OHZ_HAZ_CONSIGNMENT,235,1)="",AND(INDEX(OHZ_HAZ_DPGREF,235,1)&lt;&gt;"",INDEX(OHZ_HAZ_CONSIGNMENT,235,1)=INDEX(OHZ_HAZ_CONSIGNMENT,234,1),INDEX(OHZ_HAZ_DPGREF,235,1)=INDEX(OHZ_HAZ_DPGREF,234,1))),TRUE,AND(INDEX(OHZ_HAZ_DGCLASSIFI,235,1)&lt;&gt;"",INDEX(OHZ_HAZ_TEXTUALREF,235,1)&lt;&gt;"",INDEX(OHZ_HAZ_TOTAMOUNT,235,1)&lt;&gt;""))</f>
        <v>1</v>
      </c>
      <c r="K242" t="str">
        <f t="shared" si="7"/>
        <v>Row 235 - All mandatory fields must be given</v>
      </c>
      <c r="L242" t="s">
        <v>33308</v>
      </c>
      <c r="T242" t="s">
        <v>33753</v>
      </c>
    </row>
    <row r="243" spans="6:20" x14ac:dyDescent="0.2">
      <c r="F243" t="s">
        <v>33308</v>
      </c>
      <c r="G243" t="b">
        <f>IF(OR(INDEX(IHZ_HAZ_CONSIGNMENT,236,1)="",AND(INDEX(IHZ_HAZ_DPGREF,236,1)&lt;&gt;"",INDEX(IHZ_HAZ_CONSIGNMENT,236,1)=INDEX(IHZ_HAZ_CONSIGNMENT,235,1),INDEX(IHZ_HAZ_DPGREF,236,1)=INDEX(IHZ_HAZ_DPGREF,235,1))),TRUE,AND(INDEX(IHZ_HAZ_DGCLASSIFI,236,1)&lt;&gt;"",INDEX(IHZ_HAZ_TEXTUALREF,236,1)&lt;&gt;"",INDEX(IHZ_HAZ_TOTAMOUNT,236,1)&lt;&gt;""))</f>
        <v>1</v>
      </c>
      <c r="H243" t="str">
        <f t="shared" si="6"/>
        <v>Row 236 - All mandatory fields must be given</v>
      </c>
      <c r="J243" t="b">
        <f>IF(OR(INDEX(OHZ_HAZ_CONSIGNMENT,236,1)="",AND(INDEX(OHZ_HAZ_DPGREF,236,1)&lt;&gt;"",INDEX(OHZ_HAZ_CONSIGNMENT,236,1)=INDEX(OHZ_HAZ_CONSIGNMENT,235,1),INDEX(OHZ_HAZ_DPGREF,236,1)=INDEX(OHZ_HAZ_DPGREF,235,1))),TRUE,AND(INDEX(OHZ_HAZ_DGCLASSIFI,236,1)&lt;&gt;"",INDEX(OHZ_HAZ_TEXTUALREF,236,1)&lt;&gt;"",INDEX(OHZ_HAZ_TOTAMOUNT,236,1)&lt;&gt;""))</f>
        <v>1</v>
      </c>
      <c r="K243" t="str">
        <f t="shared" si="7"/>
        <v>Row 236 - All mandatory fields must be given</v>
      </c>
      <c r="L243" t="s">
        <v>33308</v>
      </c>
      <c r="T243" t="s">
        <v>33754</v>
      </c>
    </row>
    <row r="244" spans="6:20" x14ac:dyDescent="0.2">
      <c r="F244" t="s">
        <v>33308</v>
      </c>
      <c r="G244" t="b">
        <f>IF(OR(INDEX(IHZ_HAZ_CONSIGNMENT,237,1)="",AND(INDEX(IHZ_HAZ_DPGREF,237,1)&lt;&gt;"",INDEX(IHZ_HAZ_CONSIGNMENT,237,1)=INDEX(IHZ_HAZ_CONSIGNMENT,236,1),INDEX(IHZ_HAZ_DPGREF,237,1)=INDEX(IHZ_HAZ_DPGREF,236,1))),TRUE,AND(INDEX(IHZ_HAZ_DGCLASSIFI,237,1)&lt;&gt;"",INDEX(IHZ_HAZ_TEXTUALREF,237,1)&lt;&gt;"",INDEX(IHZ_HAZ_TOTAMOUNT,237,1)&lt;&gt;""))</f>
        <v>1</v>
      </c>
      <c r="H244" t="str">
        <f t="shared" si="6"/>
        <v>Row 237 - All mandatory fields must be given</v>
      </c>
      <c r="J244" t="b">
        <f>IF(OR(INDEX(OHZ_HAZ_CONSIGNMENT,237,1)="",AND(INDEX(OHZ_HAZ_DPGREF,237,1)&lt;&gt;"",INDEX(OHZ_HAZ_CONSIGNMENT,237,1)=INDEX(OHZ_HAZ_CONSIGNMENT,236,1),INDEX(OHZ_HAZ_DPGREF,237,1)=INDEX(OHZ_HAZ_DPGREF,236,1))),TRUE,AND(INDEX(OHZ_HAZ_DGCLASSIFI,237,1)&lt;&gt;"",INDEX(OHZ_HAZ_TEXTUALREF,237,1)&lt;&gt;"",INDEX(OHZ_HAZ_TOTAMOUNT,237,1)&lt;&gt;""))</f>
        <v>1</v>
      </c>
      <c r="K244" t="str">
        <f t="shared" si="7"/>
        <v>Row 237 - All mandatory fields must be given</v>
      </c>
      <c r="L244" t="s">
        <v>33308</v>
      </c>
      <c r="T244" t="s">
        <v>33755</v>
      </c>
    </row>
    <row r="245" spans="6:20" x14ac:dyDescent="0.2">
      <c r="F245" t="s">
        <v>33308</v>
      </c>
      <c r="G245" t="b">
        <f>IF(OR(INDEX(IHZ_HAZ_CONSIGNMENT,238,1)="",AND(INDEX(IHZ_HAZ_DPGREF,238,1)&lt;&gt;"",INDEX(IHZ_HAZ_CONSIGNMENT,238,1)=INDEX(IHZ_HAZ_CONSIGNMENT,237,1),INDEX(IHZ_HAZ_DPGREF,238,1)=INDEX(IHZ_HAZ_DPGREF,237,1))),TRUE,AND(INDEX(IHZ_HAZ_DGCLASSIFI,238,1)&lt;&gt;"",INDEX(IHZ_HAZ_TEXTUALREF,238,1)&lt;&gt;"",INDEX(IHZ_HAZ_TOTAMOUNT,238,1)&lt;&gt;""))</f>
        <v>1</v>
      </c>
      <c r="H245" t="str">
        <f t="shared" si="6"/>
        <v>Row 238 - All mandatory fields must be given</v>
      </c>
      <c r="J245" t="b">
        <f>IF(OR(INDEX(OHZ_HAZ_CONSIGNMENT,238,1)="",AND(INDEX(OHZ_HAZ_DPGREF,238,1)&lt;&gt;"",INDEX(OHZ_HAZ_CONSIGNMENT,238,1)=INDEX(OHZ_HAZ_CONSIGNMENT,237,1),INDEX(OHZ_HAZ_DPGREF,238,1)=INDEX(OHZ_HAZ_DPGREF,237,1))),TRUE,AND(INDEX(OHZ_HAZ_DGCLASSIFI,238,1)&lt;&gt;"",INDEX(OHZ_HAZ_TEXTUALREF,238,1)&lt;&gt;"",INDEX(OHZ_HAZ_TOTAMOUNT,238,1)&lt;&gt;""))</f>
        <v>1</v>
      </c>
      <c r="K245" t="str">
        <f t="shared" si="7"/>
        <v>Row 238 - All mandatory fields must be given</v>
      </c>
      <c r="L245" t="s">
        <v>33308</v>
      </c>
      <c r="T245" t="s">
        <v>33756</v>
      </c>
    </row>
    <row r="246" spans="6:20" x14ac:dyDescent="0.2">
      <c r="F246" t="s">
        <v>33308</v>
      </c>
      <c r="G246" t="b">
        <f>IF(OR(INDEX(IHZ_HAZ_CONSIGNMENT,239,1)="",AND(INDEX(IHZ_HAZ_DPGREF,239,1)&lt;&gt;"",INDEX(IHZ_HAZ_CONSIGNMENT,239,1)=INDEX(IHZ_HAZ_CONSIGNMENT,238,1),INDEX(IHZ_HAZ_DPGREF,239,1)=INDEX(IHZ_HAZ_DPGREF,238,1))),TRUE,AND(INDEX(IHZ_HAZ_DGCLASSIFI,239,1)&lt;&gt;"",INDEX(IHZ_HAZ_TEXTUALREF,239,1)&lt;&gt;"",INDEX(IHZ_HAZ_TOTAMOUNT,239,1)&lt;&gt;""))</f>
        <v>1</v>
      </c>
      <c r="H246" t="str">
        <f t="shared" si="6"/>
        <v>Row 239 - All mandatory fields must be given</v>
      </c>
      <c r="J246" t="b">
        <f>IF(OR(INDEX(OHZ_HAZ_CONSIGNMENT,239,1)="",AND(INDEX(OHZ_HAZ_DPGREF,239,1)&lt;&gt;"",INDEX(OHZ_HAZ_CONSIGNMENT,239,1)=INDEX(OHZ_HAZ_CONSIGNMENT,238,1),INDEX(OHZ_HAZ_DPGREF,239,1)=INDEX(OHZ_HAZ_DPGREF,238,1))),TRUE,AND(INDEX(OHZ_HAZ_DGCLASSIFI,239,1)&lt;&gt;"",INDEX(OHZ_HAZ_TEXTUALREF,239,1)&lt;&gt;"",INDEX(OHZ_HAZ_TOTAMOUNT,239,1)&lt;&gt;""))</f>
        <v>1</v>
      </c>
      <c r="K246" t="str">
        <f t="shared" si="7"/>
        <v>Row 239 - All mandatory fields must be given</v>
      </c>
      <c r="L246" t="s">
        <v>33308</v>
      </c>
      <c r="T246" t="s">
        <v>33757</v>
      </c>
    </row>
    <row r="247" spans="6:20" x14ac:dyDescent="0.2">
      <c r="F247" t="s">
        <v>33308</v>
      </c>
      <c r="G247" t="b">
        <f>IF(OR(INDEX(IHZ_HAZ_CONSIGNMENT,240,1)="",AND(INDEX(IHZ_HAZ_DPGREF,240,1)&lt;&gt;"",INDEX(IHZ_HAZ_CONSIGNMENT,240,1)=INDEX(IHZ_HAZ_CONSIGNMENT,239,1),INDEX(IHZ_HAZ_DPGREF,240,1)=INDEX(IHZ_HAZ_DPGREF,239,1))),TRUE,AND(INDEX(IHZ_HAZ_DGCLASSIFI,240,1)&lt;&gt;"",INDEX(IHZ_HAZ_TEXTUALREF,240,1)&lt;&gt;"",INDEX(IHZ_HAZ_TOTAMOUNT,240,1)&lt;&gt;""))</f>
        <v>1</v>
      </c>
      <c r="H247" t="str">
        <f t="shared" si="6"/>
        <v>Row 240 - All mandatory fields must be given</v>
      </c>
      <c r="J247" t="b">
        <f>IF(OR(INDEX(OHZ_HAZ_CONSIGNMENT,240,1)="",AND(INDEX(OHZ_HAZ_DPGREF,240,1)&lt;&gt;"",INDEX(OHZ_HAZ_CONSIGNMENT,240,1)=INDEX(OHZ_HAZ_CONSIGNMENT,239,1),INDEX(OHZ_HAZ_DPGREF,240,1)=INDEX(OHZ_HAZ_DPGREF,239,1))),TRUE,AND(INDEX(OHZ_HAZ_DGCLASSIFI,240,1)&lt;&gt;"",INDEX(OHZ_HAZ_TEXTUALREF,240,1)&lt;&gt;"",INDEX(OHZ_HAZ_TOTAMOUNT,240,1)&lt;&gt;""))</f>
        <v>1</v>
      </c>
      <c r="K247" t="str">
        <f t="shared" si="7"/>
        <v>Row 240 - All mandatory fields must be given</v>
      </c>
      <c r="L247" t="s">
        <v>33308</v>
      </c>
      <c r="T247" t="s">
        <v>33758</v>
      </c>
    </row>
    <row r="248" spans="6:20" x14ac:dyDescent="0.2">
      <c r="F248" t="s">
        <v>33308</v>
      </c>
      <c r="G248" t="b">
        <f>IF(OR(INDEX(IHZ_HAZ_CONSIGNMENT,241,1)="",AND(INDEX(IHZ_HAZ_DPGREF,241,1)&lt;&gt;"",INDEX(IHZ_HAZ_CONSIGNMENT,241,1)=INDEX(IHZ_HAZ_CONSIGNMENT,240,1),INDEX(IHZ_HAZ_DPGREF,241,1)=INDEX(IHZ_HAZ_DPGREF,240,1))),TRUE,AND(INDEX(IHZ_HAZ_DGCLASSIFI,241,1)&lt;&gt;"",INDEX(IHZ_HAZ_TEXTUALREF,241,1)&lt;&gt;"",INDEX(IHZ_HAZ_TOTAMOUNT,241,1)&lt;&gt;""))</f>
        <v>1</v>
      </c>
      <c r="H248" t="str">
        <f t="shared" si="6"/>
        <v>Row 241 - All mandatory fields must be given</v>
      </c>
      <c r="J248" t="b">
        <f>IF(OR(INDEX(OHZ_HAZ_CONSIGNMENT,241,1)="",AND(INDEX(OHZ_HAZ_DPGREF,241,1)&lt;&gt;"",INDEX(OHZ_HAZ_CONSIGNMENT,241,1)=INDEX(OHZ_HAZ_CONSIGNMENT,240,1),INDEX(OHZ_HAZ_DPGREF,241,1)=INDEX(OHZ_HAZ_DPGREF,240,1))),TRUE,AND(INDEX(OHZ_HAZ_DGCLASSIFI,241,1)&lt;&gt;"",INDEX(OHZ_HAZ_TEXTUALREF,241,1)&lt;&gt;"",INDEX(OHZ_HAZ_TOTAMOUNT,241,1)&lt;&gt;""))</f>
        <v>1</v>
      </c>
      <c r="K248" t="str">
        <f t="shared" si="7"/>
        <v>Row 241 - All mandatory fields must be given</v>
      </c>
      <c r="L248" t="s">
        <v>33308</v>
      </c>
      <c r="T248" t="s">
        <v>33759</v>
      </c>
    </row>
    <row r="249" spans="6:20" x14ac:dyDescent="0.2">
      <c r="F249" t="s">
        <v>33308</v>
      </c>
      <c r="G249" t="b">
        <f>IF(OR(INDEX(IHZ_HAZ_CONSIGNMENT,242,1)="",AND(INDEX(IHZ_HAZ_DPGREF,242,1)&lt;&gt;"",INDEX(IHZ_HAZ_CONSIGNMENT,242,1)=INDEX(IHZ_HAZ_CONSIGNMENT,241,1),INDEX(IHZ_HAZ_DPGREF,242,1)=INDEX(IHZ_HAZ_DPGREF,241,1))),TRUE,AND(INDEX(IHZ_HAZ_DGCLASSIFI,242,1)&lt;&gt;"",INDEX(IHZ_HAZ_TEXTUALREF,242,1)&lt;&gt;"",INDEX(IHZ_HAZ_TOTAMOUNT,242,1)&lt;&gt;""))</f>
        <v>1</v>
      </c>
      <c r="H249" t="str">
        <f t="shared" si="6"/>
        <v>Row 242 - All mandatory fields must be given</v>
      </c>
      <c r="J249" t="b">
        <f>IF(OR(INDEX(OHZ_HAZ_CONSIGNMENT,242,1)="",AND(INDEX(OHZ_HAZ_DPGREF,242,1)&lt;&gt;"",INDEX(OHZ_HAZ_CONSIGNMENT,242,1)=INDEX(OHZ_HAZ_CONSIGNMENT,241,1),INDEX(OHZ_HAZ_DPGREF,242,1)=INDEX(OHZ_HAZ_DPGREF,241,1))),TRUE,AND(INDEX(OHZ_HAZ_DGCLASSIFI,242,1)&lt;&gt;"",INDEX(OHZ_HAZ_TEXTUALREF,242,1)&lt;&gt;"",INDEX(OHZ_HAZ_TOTAMOUNT,242,1)&lt;&gt;""))</f>
        <v>1</v>
      </c>
      <c r="K249" t="str">
        <f t="shared" si="7"/>
        <v>Row 242 - All mandatory fields must be given</v>
      </c>
      <c r="L249" t="s">
        <v>33308</v>
      </c>
      <c r="T249" t="s">
        <v>33760</v>
      </c>
    </row>
    <row r="250" spans="6:20" x14ac:dyDescent="0.2">
      <c r="F250" t="s">
        <v>33308</v>
      </c>
      <c r="G250" t="b">
        <f>IF(OR(INDEX(IHZ_HAZ_CONSIGNMENT,243,1)="",AND(INDEX(IHZ_HAZ_DPGREF,243,1)&lt;&gt;"",INDEX(IHZ_HAZ_CONSIGNMENT,243,1)=INDEX(IHZ_HAZ_CONSIGNMENT,242,1),INDEX(IHZ_HAZ_DPGREF,243,1)=INDEX(IHZ_HAZ_DPGREF,242,1))),TRUE,AND(INDEX(IHZ_HAZ_DGCLASSIFI,243,1)&lt;&gt;"",INDEX(IHZ_HAZ_TEXTUALREF,243,1)&lt;&gt;"",INDEX(IHZ_HAZ_TOTAMOUNT,243,1)&lt;&gt;""))</f>
        <v>1</v>
      </c>
      <c r="H250" t="str">
        <f t="shared" si="6"/>
        <v>Row 243 - All mandatory fields must be given</v>
      </c>
      <c r="J250" t="b">
        <f>IF(OR(INDEX(OHZ_HAZ_CONSIGNMENT,243,1)="",AND(INDEX(OHZ_HAZ_DPGREF,243,1)&lt;&gt;"",INDEX(OHZ_HAZ_CONSIGNMENT,243,1)=INDEX(OHZ_HAZ_CONSIGNMENT,242,1),INDEX(OHZ_HAZ_DPGREF,243,1)=INDEX(OHZ_HAZ_DPGREF,242,1))),TRUE,AND(INDEX(OHZ_HAZ_DGCLASSIFI,243,1)&lt;&gt;"",INDEX(OHZ_HAZ_TEXTUALREF,243,1)&lt;&gt;"",INDEX(OHZ_HAZ_TOTAMOUNT,243,1)&lt;&gt;""))</f>
        <v>1</v>
      </c>
      <c r="K250" t="str">
        <f t="shared" si="7"/>
        <v>Row 243 - All mandatory fields must be given</v>
      </c>
      <c r="L250" t="s">
        <v>33308</v>
      </c>
      <c r="T250" t="s">
        <v>33761</v>
      </c>
    </row>
    <row r="251" spans="6:20" x14ac:dyDescent="0.2">
      <c r="F251" t="s">
        <v>33308</v>
      </c>
      <c r="G251" t="b">
        <f>IF(OR(INDEX(IHZ_HAZ_CONSIGNMENT,244,1)="",AND(INDEX(IHZ_HAZ_DPGREF,244,1)&lt;&gt;"",INDEX(IHZ_HAZ_CONSIGNMENT,244,1)=INDEX(IHZ_HAZ_CONSIGNMENT,243,1),INDEX(IHZ_HAZ_DPGREF,244,1)=INDEX(IHZ_HAZ_DPGREF,243,1))),TRUE,AND(INDEX(IHZ_HAZ_DGCLASSIFI,244,1)&lt;&gt;"",INDEX(IHZ_HAZ_TEXTUALREF,244,1)&lt;&gt;"",INDEX(IHZ_HAZ_TOTAMOUNT,244,1)&lt;&gt;""))</f>
        <v>1</v>
      </c>
      <c r="H251" t="str">
        <f t="shared" si="6"/>
        <v>Row 244 - All mandatory fields must be given</v>
      </c>
      <c r="J251" t="b">
        <f>IF(OR(INDEX(OHZ_HAZ_CONSIGNMENT,244,1)="",AND(INDEX(OHZ_HAZ_DPGREF,244,1)&lt;&gt;"",INDEX(OHZ_HAZ_CONSIGNMENT,244,1)=INDEX(OHZ_HAZ_CONSIGNMENT,243,1),INDEX(OHZ_HAZ_DPGREF,244,1)=INDEX(OHZ_HAZ_DPGREF,243,1))),TRUE,AND(INDEX(OHZ_HAZ_DGCLASSIFI,244,1)&lt;&gt;"",INDEX(OHZ_HAZ_TEXTUALREF,244,1)&lt;&gt;"",INDEX(OHZ_HAZ_TOTAMOUNT,244,1)&lt;&gt;""))</f>
        <v>1</v>
      </c>
      <c r="K251" t="str">
        <f t="shared" si="7"/>
        <v>Row 244 - All mandatory fields must be given</v>
      </c>
      <c r="L251" t="s">
        <v>33308</v>
      </c>
    </row>
    <row r="252" spans="6:20" x14ac:dyDescent="0.2">
      <c r="F252" t="s">
        <v>33308</v>
      </c>
      <c r="G252" t="b">
        <f>IF(OR(INDEX(IHZ_HAZ_CONSIGNMENT,245,1)="",AND(INDEX(IHZ_HAZ_DPGREF,245,1)&lt;&gt;"",INDEX(IHZ_HAZ_CONSIGNMENT,245,1)=INDEX(IHZ_HAZ_CONSIGNMENT,244,1),INDEX(IHZ_HAZ_DPGREF,245,1)=INDEX(IHZ_HAZ_DPGREF,244,1))),TRUE,AND(INDEX(IHZ_HAZ_DGCLASSIFI,245,1)&lt;&gt;"",INDEX(IHZ_HAZ_TEXTUALREF,245,1)&lt;&gt;"",INDEX(IHZ_HAZ_TOTAMOUNT,245,1)&lt;&gt;""))</f>
        <v>1</v>
      </c>
      <c r="H252" t="str">
        <f t="shared" si="6"/>
        <v>Row 245 - All mandatory fields must be given</v>
      </c>
      <c r="J252" t="b">
        <f>IF(OR(INDEX(OHZ_HAZ_CONSIGNMENT,245,1)="",AND(INDEX(OHZ_HAZ_DPGREF,245,1)&lt;&gt;"",INDEX(OHZ_HAZ_CONSIGNMENT,245,1)=INDEX(OHZ_HAZ_CONSIGNMENT,244,1),INDEX(OHZ_HAZ_DPGREF,245,1)=INDEX(OHZ_HAZ_DPGREF,244,1))),TRUE,AND(INDEX(OHZ_HAZ_DGCLASSIFI,245,1)&lt;&gt;"",INDEX(OHZ_HAZ_TEXTUALREF,245,1)&lt;&gt;"",INDEX(OHZ_HAZ_TOTAMOUNT,245,1)&lt;&gt;""))</f>
        <v>1</v>
      </c>
      <c r="K252" t="str">
        <f t="shared" si="7"/>
        <v>Row 245 - All mandatory fields must be given</v>
      </c>
      <c r="L252" t="s">
        <v>33308</v>
      </c>
    </row>
    <row r="253" spans="6:20" x14ac:dyDescent="0.2">
      <c r="F253" t="s">
        <v>33308</v>
      </c>
      <c r="G253" t="b">
        <f>IF(OR(INDEX(IHZ_HAZ_CONSIGNMENT,246,1)="",AND(INDEX(IHZ_HAZ_DPGREF,246,1)&lt;&gt;"",INDEX(IHZ_HAZ_CONSIGNMENT,246,1)=INDEX(IHZ_HAZ_CONSIGNMENT,245,1),INDEX(IHZ_HAZ_DPGREF,246,1)=INDEX(IHZ_HAZ_DPGREF,245,1))),TRUE,AND(INDEX(IHZ_HAZ_DGCLASSIFI,246,1)&lt;&gt;"",INDEX(IHZ_HAZ_TEXTUALREF,246,1)&lt;&gt;"",INDEX(IHZ_HAZ_TOTAMOUNT,246,1)&lt;&gt;""))</f>
        <v>1</v>
      </c>
      <c r="H253" t="str">
        <f t="shared" si="6"/>
        <v>Row 246 - All mandatory fields must be given</v>
      </c>
      <c r="J253" t="b">
        <f>IF(OR(INDEX(OHZ_HAZ_CONSIGNMENT,246,1)="",AND(INDEX(OHZ_HAZ_DPGREF,246,1)&lt;&gt;"",INDEX(OHZ_HAZ_CONSIGNMENT,246,1)=INDEX(OHZ_HAZ_CONSIGNMENT,245,1),INDEX(OHZ_HAZ_DPGREF,246,1)=INDEX(OHZ_HAZ_DPGREF,245,1))),TRUE,AND(INDEX(OHZ_HAZ_DGCLASSIFI,246,1)&lt;&gt;"",INDEX(OHZ_HAZ_TEXTUALREF,246,1)&lt;&gt;"",INDEX(OHZ_HAZ_TOTAMOUNT,246,1)&lt;&gt;""))</f>
        <v>1</v>
      </c>
      <c r="K253" t="str">
        <f t="shared" si="7"/>
        <v>Row 246 - All mandatory fields must be given</v>
      </c>
      <c r="L253" t="s">
        <v>33308</v>
      </c>
    </row>
    <row r="254" spans="6:20" x14ac:dyDescent="0.2">
      <c r="F254" t="s">
        <v>33308</v>
      </c>
      <c r="G254" t="b">
        <f>IF(OR(INDEX(IHZ_HAZ_CONSIGNMENT,247,1)="",AND(INDEX(IHZ_HAZ_DPGREF,247,1)&lt;&gt;"",INDEX(IHZ_HAZ_CONSIGNMENT,247,1)=INDEX(IHZ_HAZ_CONSIGNMENT,246,1),INDEX(IHZ_HAZ_DPGREF,247,1)=INDEX(IHZ_HAZ_DPGREF,246,1))),TRUE,AND(INDEX(IHZ_HAZ_DGCLASSIFI,247,1)&lt;&gt;"",INDEX(IHZ_HAZ_TEXTUALREF,247,1)&lt;&gt;"",INDEX(IHZ_HAZ_TOTAMOUNT,247,1)&lt;&gt;""))</f>
        <v>1</v>
      </c>
      <c r="H254" t="str">
        <f t="shared" si="6"/>
        <v>Row 247 - All mandatory fields must be given</v>
      </c>
      <c r="J254" t="b">
        <f>IF(OR(INDEX(OHZ_HAZ_CONSIGNMENT,247,1)="",AND(INDEX(OHZ_HAZ_DPGREF,247,1)&lt;&gt;"",INDEX(OHZ_HAZ_CONSIGNMENT,247,1)=INDEX(OHZ_HAZ_CONSIGNMENT,246,1),INDEX(OHZ_HAZ_DPGREF,247,1)=INDEX(OHZ_HAZ_DPGREF,246,1))),TRUE,AND(INDEX(OHZ_HAZ_DGCLASSIFI,247,1)&lt;&gt;"",INDEX(OHZ_HAZ_TEXTUALREF,247,1)&lt;&gt;"",INDEX(OHZ_HAZ_TOTAMOUNT,247,1)&lt;&gt;""))</f>
        <v>1</v>
      </c>
      <c r="K254" t="str">
        <f t="shared" si="7"/>
        <v>Row 247 - All mandatory fields must be given</v>
      </c>
      <c r="L254" t="s">
        <v>33308</v>
      </c>
    </row>
    <row r="255" spans="6:20" x14ac:dyDescent="0.2">
      <c r="F255" t="s">
        <v>33308</v>
      </c>
      <c r="G255" t="b">
        <f>IF(OR(INDEX(IHZ_HAZ_CONSIGNMENT,248,1)="",AND(INDEX(IHZ_HAZ_DPGREF,248,1)&lt;&gt;"",INDEX(IHZ_HAZ_CONSIGNMENT,248,1)=INDEX(IHZ_HAZ_CONSIGNMENT,247,1),INDEX(IHZ_HAZ_DPGREF,248,1)=INDEX(IHZ_HAZ_DPGREF,247,1))),TRUE,AND(INDEX(IHZ_HAZ_DGCLASSIFI,248,1)&lt;&gt;"",INDEX(IHZ_HAZ_TEXTUALREF,248,1)&lt;&gt;"",INDEX(IHZ_HAZ_TOTAMOUNT,248,1)&lt;&gt;""))</f>
        <v>1</v>
      </c>
      <c r="H255" t="str">
        <f t="shared" si="6"/>
        <v>Row 248 - All mandatory fields must be given</v>
      </c>
      <c r="J255" t="b">
        <f>IF(OR(INDEX(OHZ_HAZ_CONSIGNMENT,248,1)="",AND(INDEX(OHZ_HAZ_DPGREF,248,1)&lt;&gt;"",INDEX(OHZ_HAZ_CONSIGNMENT,248,1)=INDEX(OHZ_HAZ_CONSIGNMENT,247,1),INDEX(OHZ_HAZ_DPGREF,248,1)=INDEX(OHZ_HAZ_DPGREF,247,1))),TRUE,AND(INDEX(OHZ_HAZ_DGCLASSIFI,248,1)&lt;&gt;"",INDEX(OHZ_HAZ_TEXTUALREF,248,1)&lt;&gt;"",INDEX(OHZ_HAZ_TOTAMOUNT,248,1)&lt;&gt;""))</f>
        <v>1</v>
      </c>
      <c r="K255" t="str">
        <f t="shared" si="7"/>
        <v>Row 248 - All mandatory fields must be given</v>
      </c>
      <c r="L255" t="s">
        <v>33308</v>
      </c>
    </row>
    <row r="256" spans="6:20" x14ac:dyDescent="0.2">
      <c r="F256" t="s">
        <v>33308</v>
      </c>
      <c r="G256" t="b">
        <f>IF(OR(INDEX(IHZ_HAZ_CONSIGNMENT,249,1)="",AND(INDEX(IHZ_HAZ_DPGREF,249,1)&lt;&gt;"",INDEX(IHZ_HAZ_CONSIGNMENT,249,1)=INDEX(IHZ_HAZ_CONSIGNMENT,248,1),INDEX(IHZ_HAZ_DPGREF,249,1)=INDEX(IHZ_HAZ_DPGREF,248,1))),TRUE,AND(INDEX(IHZ_HAZ_DGCLASSIFI,249,1)&lt;&gt;"",INDEX(IHZ_HAZ_TEXTUALREF,249,1)&lt;&gt;"",INDEX(IHZ_HAZ_TOTAMOUNT,249,1)&lt;&gt;""))</f>
        <v>1</v>
      </c>
      <c r="H256" t="str">
        <f t="shared" si="6"/>
        <v>Row 249 - All mandatory fields must be given</v>
      </c>
      <c r="J256" t="b">
        <f>IF(OR(INDEX(OHZ_HAZ_CONSIGNMENT,249,1)="",AND(INDEX(OHZ_HAZ_DPGREF,249,1)&lt;&gt;"",INDEX(OHZ_HAZ_CONSIGNMENT,249,1)=INDEX(OHZ_HAZ_CONSIGNMENT,248,1),INDEX(OHZ_HAZ_DPGREF,249,1)=INDEX(OHZ_HAZ_DPGREF,248,1))),TRUE,AND(INDEX(OHZ_HAZ_DGCLASSIFI,249,1)&lt;&gt;"",INDEX(OHZ_HAZ_TEXTUALREF,249,1)&lt;&gt;"",INDEX(OHZ_HAZ_TOTAMOUNT,249,1)&lt;&gt;""))</f>
        <v>1</v>
      </c>
      <c r="K256" t="str">
        <f t="shared" si="7"/>
        <v>Row 249 - All mandatory fields must be given</v>
      </c>
      <c r="L256" t="s">
        <v>33308</v>
      </c>
    </row>
    <row r="257" spans="6:12" x14ac:dyDescent="0.2">
      <c r="F257" t="s">
        <v>33308</v>
      </c>
      <c r="G257" t="b">
        <f>IF(OR(INDEX(IHZ_HAZ_CONSIGNMENT,250,1)="",AND(INDEX(IHZ_HAZ_DPGREF,250,1)&lt;&gt;"",INDEX(IHZ_HAZ_CONSIGNMENT,250,1)=INDEX(IHZ_HAZ_CONSIGNMENT,249,1),INDEX(IHZ_HAZ_DPGREF,250,1)=INDEX(IHZ_HAZ_DPGREF,249,1))),TRUE,AND(INDEX(IHZ_HAZ_DGCLASSIFI,250,1)&lt;&gt;"",INDEX(IHZ_HAZ_TEXTUALREF,250,1)&lt;&gt;"",INDEX(IHZ_HAZ_TOTAMOUNT,250,1)&lt;&gt;""))</f>
        <v>1</v>
      </c>
      <c r="H257" t="str">
        <f t="shared" si="6"/>
        <v>Row 250 - All mandatory fields must be given</v>
      </c>
      <c r="J257" t="b">
        <f>IF(OR(INDEX(OHZ_HAZ_CONSIGNMENT,250,1)="",AND(INDEX(OHZ_HAZ_DPGREF,250,1)&lt;&gt;"",INDEX(OHZ_HAZ_CONSIGNMENT,250,1)=INDEX(OHZ_HAZ_CONSIGNMENT,249,1),INDEX(OHZ_HAZ_DPGREF,250,1)=INDEX(OHZ_HAZ_DPGREF,249,1))),TRUE,AND(INDEX(OHZ_HAZ_DGCLASSIFI,250,1)&lt;&gt;"",INDEX(OHZ_HAZ_TEXTUALREF,250,1)&lt;&gt;"",INDEX(OHZ_HAZ_TOTAMOUNT,250,1)&lt;&gt;""))</f>
        <v>1</v>
      </c>
      <c r="K257" t="str">
        <f t="shared" si="7"/>
        <v>Row 250 - All mandatory fields must be given</v>
      </c>
      <c r="L257" t="s">
        <v>33308</v>
      </c>
    </row>
    <row r="258" spans="6:12" x14ac:dyDescent="0.2">
      <c r="F258" t="s">
        <v>33308</v>
      </c>
      <c r="G258" t="b">
        <f>IF(OR(INDEX(IHZ_HAZ_TOTAMOUNT,1,1)&lt;&gt;"",),IF(OR(INDEX(IHZ_HAZ_TOTNETGROSS,1,1)="",INDEX(IHZ_HAZ_TOTUNIT,1,1)="",),FALSE,TRUE),TRUE)</f>
        <v>1</v>
      </c>
      <c r="H258" t="str">
        <f>T1&amp;$V$2</f>
        <v xml:space="preserve">Row 1 - If ‘Total amount’ is given, then ‘Net / Gross’ and ‘Total amount unit’ are required </v>
      </c>
      <c r="I258" t="s">
        <v>33308</v>
      </c>
      <c r="J258" t="b">
        <f>IF(OR(INDEX(OHZ_HAZ_CONSIGNMENT,250,1)="",AND(INDEX(OHZ_HAZ_DPGREF,250,1)&lt;&gt;"",,1)="",AND(INDEX(OHZ_HAZ_CONSIGNMENT,250,1)=INDEX(OHZ_HAZ_CONSIGNMENT,249,1),INDEX(OHZ_HAZ_DPGREF,250,1)=INDEX(OHZ_HAZ_DPGREF,249,1))),TRUE,AND(INDEX(OHZ_HAZ_DGCLASSIFI,250,1)&lt;&gt;"",INDEX(OHZ_HAZ_TEXTUALREF,250,1)&lt;&gt;"",INDEX(OHZ_HAZ_TOTAMOUNT,250,1)&lt;&gt;"",INDEX(OHZ_HAZ_DPGREF,250,1)&lt;&gt;""))</f>
        <v>1</v>
      </c>
      <c r="K258" t="str">
        <f>T1&amp;$V$2</f>
        <v xml:space="preserve">Row 1 - If ‘Total amount’ is given, then ‘Net / Gross’ and ‘Total amount unit’ are required </v>
      </c>
      <c r="L258" t="s">
        <v>33308</v>
      </c>
    </row>
    <row r="259" spans="6:12" x14ac:dyDescent="0.2">
      <c r="F259" t="s">
        <v>33308</v>
      </c>
      <c r="G259" t="b">
        <f>IF(OR(INDEX(IHZ_HAZ_TOTAMOUNT,2,1)&lt;&gt;"",),IF(OR(INDEX(IHZ_HAZ_TOTNETGROSS,2,1)="",INDEX(IHZ_HAZ_TOTUNIT,2,1)="",),FALSE,TRUE),TRUE)</f>
        <v>1</v>
      </c>
      <c r="H259" t="str">
        <f t="shared" ref="H259:H322" si="8">T2&amp;$V$2</f>
        <v xml:space="preserve">Row 2 - If ‘Total amount’ is given, then ‘Net / Gross’ and ‘Total amount unit’ are required </v>
      </c>
      <c r="I259" t="s">
        <v>33308</v>
      </c>
      <c r="J259" t="b">
        <f>IF(OR(INDEX(OHZ_HAZ_TOTAMOUNT,2,1)&lt;&gt;"",),IF(OR(INDEX(OHZ_HAZ_TOTNETGROSS,2,1)="",INDEX(OHZ_HAZ_TOTUNIT,2,1)="",),FALSE,TRUE),TRUE)</f>
        <v>1</v>
      </c>
      <c r="K259" t="str">
        <f t="shared" ref="K259:K322" si="9">T2&amp;$V$2</f>
        <v xml:space="preserve">Row 2 - If ‘Total amount’ is given, then ‘Net / Gross’ and ‘Total amount unit’ are required </v>
      </c>
      <c r="L259" t="s">
        <v>33308</v>
      </c>
    </row>
    <row r="260" spans="6:12" x14ac:dyDescent="0.2">
      <c r="F260" t="s">
        <v>33308</v>
      </c>
      <c r="G260" t="b">
        <f>IF(OR(INDEX(IHZ_HAZ_TOTAMOUNT,3,1)&lt;&gt;"",),IF(OR(INDEX(IHZ_HAZ_TOTNETGROSS,3,1)="",INDEX(IHZ_HAZ_TOTUNIT,3,1)="",),FALSE,TRUE),TRUE)</f>
        <v>1</v>
      </c>
      <c r="H260" t="str">
        <f t="shared" si="8"/>
        <v xml:space="preserve">Row 3 - If ‘Total amount’ is given, then ‘Net / Gross’ and ‘Total amount unit’ are required </v>
      </c>
      <c r="I260" t="s">
        <v>33308</v>
      </c>
      <c r="J260" t="b">
        <f>IF(OR(INDEX(OHZ_HAZ_TOTAMOUNT,3,1)&lt;&gt;"",),IF(OR(INDEX(OHZ_HAZ_TOTNETGROSS,3,1)="",INDEX(OHZ_HAZ_TOTUNIT,3,1)="",),FALSE,TRUE),TRUE)</f>
        <v>1</v>
      </c>
      <c r="K260" t="str">
        <f t="shared" si="9"/>
        <v xml:space="preserve">Row 3 - If ‘Total amount’ is given, then ‘Net / Gross’ and ‘Total amount unit’ are required </v>
      </c>
      <c r="L260" t="s">
        <v>33308</v>
      </c>
    </row>
    <row r="261" spans="6:12" x14ac:dyDescent="0.2">
      <c r="F261" t="s">
        <v>33308</v>
      </c>
      <c r="G261" t="b">
        <f>IF(OR(INDEX(IHZ_HAZ_TOTAMOUNT,4,1)&lt;&gt;"",),IF(OR(INDEX(IHZ_HAZ_TOTNETGROSS,4,1)="",INDEX(IHZ_HAZ_TOTUNIT,4,1)="",),FALSE,TRUE),TRUE)</f>
        <v>1</v>
      </c>
      <c r="H261" t="str">
        <f t="shared" si="8"/>
        <v xml:space="preserve">Row 4 - If ‘Total amount’ is given, then ‘Net / Gross’ and ‘Total amount unit’ are required </v>
      </c>
      <c r="I261" t="s">
        <v>33308</v>
      </c>
      <c r="J261" t="b">
        <f>IF(OR(INDEX(OHZ_HAZ_TOTAMOUNT,4,1)&lt;&gt;"",),IF(OR(INDEX(OHZ_HAZ_TOTNETGROSS,4,1)="",INDEX(OHZ_HAZ_TOTUNIT,4,1)="",),FALSE,TRUE),TRUE)</f>
        <v>1</v>
      </c>
      <c r="K261" t="str">
        <f t="shared" si="9"/>
        <v xml:space="preserve">Row 4 - If ‘Total amount’ is given, then ‘Net / Gross’ and ‘Total amount unit’ are required </v>
      </c>
      <c r="L261" t="s">
        <v>33308</v>
      </c>
    </row>
    <row r="262" spans="6:12" x14ac:dyDescent="0.2">
      <c r="F262" t="s">
        <v>33308</v>
      </c>
      <c r="G262" t="b">
        <f>IF(OR(INDEX(IHZ_HAZ_TOTAMOUNT,5,1)&lt;&gt;"",),IF(OR(INDEX(IHZ_HAZ_TOTNETGROSS,5,1)="",INDEX(IHZ_HAZ_TOTUNIT,5,1)="",),FALSE,TRUE),TRUE)</f>
        <v>1</v>
      </c>
      <c r="H262" t="str">
        <f t="shared" si="8"/>
        <v xml:space="preserve">Row 5 - If ‘Total amount’ is given, then ‘Net / Gross’ and ‘Total amount unit’ are required </v>
      </c>
      <c r="I262" t="s">
        <v>33308</v>
      </c>
      <c r="J262" t="b">
        <f>IF(OR(INDEX(OHZ_HAZ_TOTAMOUNT,5,1)&lt;&gt;"",),IF(OR(INDEX(OHZ_HAZ_TOTNETGROSS,5,1)="",INDEX(OHZ_HAZ_TOTUNIT,5,1)="",),FALSE,TRUE),TRUE)</f>
        <v>1</v>
      </c>
      <c r="K262" t="str">
        <f t="shared" si="9"/>
        <v xml:space="preserve">Row 5 - If ‘Total amount’ is given, then ‘Net / Gross’ and ‘Total amount unit’ are required </v>
      </c>
      <c r="L262" t="s">
        <v>33308</v>
      </c>
    </row>
    <row r="263" spans="6:12" x14ac:dyDescent="0.2">
      <c r="F263" t="s">
        <v>33308</v>
      </c>
      <c r="G263" t="b">
        <f>IF(OR(INDEX(IHZ_HAZ_TOTAMOUNT,6,1)&lt;&gt;"",),IF(OR(INDEX(IHZ_HAZ_TOTNETGROSS,6,1)="",INDEX(IHZ_HAZ_TOTUNIT,6,1)="",),FALSE,TRUE),TRUE)</f>
        <v>1</v>
      </c>
      <c r="H263" t="str">
        <f t="shared" si="8"/>
        <v xml:space="preserve">Row 6 - If ‘Total amount’ is given, then ‘Net / Gross’ and ‘Total amount unit’ are required </v>
      </c>
      <c r="I263" t="s">
        <v>33308</v>
      </c>
      <c r="J263" t="b">
        <f>IF(OR(INDEX(OHZ_HAZ_TOTAMOUNT,6,1)&lt;&gt;"",),IF(OR(INDEX(OHZ_HAZ_TOTNETGROSS,6,1)="",INDEX(OHZ_HAZ_TOTUNIT,6,1)="",),FALSE,TRUE),TRUE)</f>
        <v>1</v>
      </c>
      <c r="K263" t="str">
        <f t="shared" si="9"/>
        <v xml:space="preserve">Row 6 - If ‘Total amount’ is given, then ‘Net / Gross’ and ‘Total amount unit’ are required </v>
      </c>
      <c r="L263" t="s">
        <v>33308</v>
      </c>
    </row>
    <row r="264" spans="6:12" x14ac:dyDescent="0.2">
      <c r="F264" t="s">
        <v>33308</v>
      </c>
      <c r="G264" t="b">
        <f>IF(OR(INDEX(IHZ_HAZ_TOTAMOUNT,7,1)&lt;&gt;"",),IF(OR(INDEX(IHZ_HAZ_TOTNETGROSS,7,1)="",INDEX(IHZ_HAZ_TOTUNIT,7,1)="",),FALSE,TRUE),TRUE)</f>
        <v>1</v>
      </c>
      <c r="H264" t="str">
        <f t="shared" si="8"/>
        <v xml:space="preserve">Row 7 - If ‘Total amount’ is given, then ‘Net / Gross’ and ‘Total amount unit’ are required </v>
      </c>
      <c r="I264" t="s">
        <v>33308</v>
      </c>
      <c r="J264" t="b">
        <f>IF(OR(INDEX(OHZ_HAZ_TOTAMOUNT,7,1)&lt;&gt;"",),IF(OR(INDEX(OHZ_HAZ_TOTNETGROSS,7,1)="",INDEX(OHZ_HAZ_TOTUNIT,7,1)="",),FALSE,TRUE),TRUE)</f>
        <v>1</v>
      </c>
      <c r="K264" t="str">
        <f t="shared" si="9"/>
        <v xml:space="preserve">Row 7 - If ‘Total amount’ is given, then ‘Net / Gross’ and ‘Total amount unit’ are required </v>
      </c>
      <c r="L264" t="s">
        <v>33308</v>
      </c>
    </row>
    <row r="265" spans="6:12" x14ac:dyDescent="0.2">
      <c r="F265" t="s">
        <v>33308</v>
      </c>
      <c r="G265" t="b">
        <f>IF(OR(INDEX(IHZ_HAZ_TOTAMOUNT,8,1)&lt;&gt;"",),IF(OR(INDEX(IHZ_HAZ_TOTNETGROSS,8,1)="",INDEX(IHZ_HAZ_TOTUNIT,8,1)="",),FALSE,TRUE),TRUE)</f>
        <v>1</v>
      </c>
      <c r="H265" t="str">
        <f t="shared" si="8"/>
        <v xml:space="preserve">Row 8 - If ‘Total amount’ is given, then ‘Net / Gross’ and ‘Total amount unit’ are required </v>
      </c>
      <c r="I265" t="s">
        <v>33308</v>
      </c>
      <c r="J265" t="b">
        <f>IF(OR(INDEX(OHZ_HAZ_TOTAMOUNT,8,1)&lt;&gt;"",),IF(OR(INDEX(OHZ_HAZ_TOTNETGROSS,8,1)="",INDEX(OHZ_HAZ_TOTUNIT,8,1)="",),FALSE,TRUE),TRUE)</f>
        <v>1</v>
      </c>
      <c r="K265" t="str">
        <f t="shared" si="9"/>
        <v xml:space="preserve">Row 8 - If ‘Total amount’ is given, then ‘Net / Gross’ and ‘Total amount unit’ are required </v>
      </c>
      <c r="L265" t="s">
        <v>33308</v>
      </c>
    </row>
    <row r="266" spans="6:12" x14ac:dyDescent="0.2">
      <c r="F266" t="s">
        <v>33308</v>
      </c>
      <c r="G266" t="b">
        <f>IF(OR(INDEX(IHZ_HAZ_TOTAMOUNT,9,1)&lt;&gt;"",),IF(OR(INDEX(IHZ_HAZ_TOTNETGROSS,9,1)="",INDEX(IHZ_HAZ_TOTUNIT,9,1)="",),FALSE,TRUE),TRUE)</f>
        <v>1</v>
      </c>
      <c r="H266" t="str">
        <f t="shared" si="8"/>
        <v xml:space="preserve">Row 9 - If ‘Total amount’ is given, then ‘Net / Gross’ and ‘Total amount unit’ are required </v>
      </c>
      <c r="I266" t="s">
        <v>33308</v>
      </c>
      <c r="J266" t="b">
        <f>IF(OR(INDEX(OHZ_HAZ_TOTAMOUNT,9,1)&lt;&gt;"",),IF(OR(INDEX(OHZ_HAZ_TOTNETGROSS,9,1)="",INDEX(OHZ_HAZ_TOTUNIT,9,1)="",),FALSE,TRUE),TRUE)</f>
        <v>1</v>
      </c>
      <c r="K266" t="str">
        <f t="shared" si="9"/>
        <v xml:space="preserve">Row 9 - If ‘Total amount’ is given, then ‘Net / Gross’ and ‘Total amount unit’ are required </v>
      </c>
      <c r="L266" t="s">
        <v>33308</v>
      </c>
    </row>
    <row r="267" spans="6:12" x14ac:dyDescent="0.2">
      <c r="F267" t="s">
        <v>33308</v>
      </c>
      <c r="G267" t="b">
        <f>IF(OR(INDEX(IHZ_HAZ_TOTAMOUNT,10,1)&lt;&gt;"",),IF(OR(INDEX(IHZ_HAZ_TOTNETGROSS,10,1)="",INDEX(IHZ_HAZ_TOTUNIT,10,1)="",),FALSE,TRUE),TRUE)</f>
        <v>1</v>
      </c>
      <c r="H267" t="str">
        <f t="shared" si="8"/>
        <v xml:space="preserve">Row 10 - If ‘Total amount’ is given, then ‘Net / Gross’ and ‘Total amount unit’ are required </v>
      </c>
      <c r="I267" t="s">
        <v>33308</v>
      </c>
      <c r="J267" t="b">
        <f>IF(OR(INDEX(OHZ_HAZ_TOTAMOUNT,10,1)&lt;&gt;"",),IF(OR(INDEX(OHZ_HAZ_TOTNETGROSS,10,1)="",INDEX(OHZ_HAZ_TOTUNIT,10,1)="",),FALSE,TRUE),TRUE)</f>
        <v>1</v>
      </c>
      <c r="K267" t="str">
        <f t="shared" si="9"/>
        <v xml:space="preserve">Row 10 - If ‘Total amount’ is given, then ‘Net / Gross’ and ‘Total amount unit’ are required </v>
      </c>
      <c r="L267" t="s">
        <v>33308</v>
      </c>
    </row>
    <row r="268" spans="6:12" x14ac:dyDescent="0.2">
      <c r="F268" t="s">
        <v>33308</v>
      </c>
      <c r="G268" t="b">
        <f>IF(OR(INDEX(IHZ_HAZ_TOTAMOUNT,11,1)&lt;&gt;"",),IF(OR(INDEX(IHZ_HAZ_TOTNETGROSS,11,1)="",INDEX(IHZ_HAZ_TOTUNIT,11,1)="",),FALSE,TRUE),TRUE)</f>
        <v>1</v>
      </c>
      <c r="H268" t="str">
        <f t="shared" si="8"/>
        <v xml:space="preserve">Row 11 - If ‘Total amount’ is given, then ‘Net / Gross’ and ‘Total amount unit’ are required </v>
      </c>
      <c r="I268" t="s">
        <v>33308</v>
      </c>
      <c r="J268" t="b">
        <f>IF(OR(INDEX(OHZ_HAZ_TOTAMOUNT,11,1)&lt;&gt;"",),IF(OR(INDEX(OHZ_HAZ_TOTNETGROSS,11,1)="",INDEX(OHZ_HAZ_TOTUNIT,11,1)="",),FALSE,TRUE),TRUE)</f>
        <v>1</v>
      </c>
      <c r="K268" t="str">
        <f t="shared" si="9"/>
        <v xml:space="preserve">Row 11 - If ‘Total amount’ is given, then ‘Net / Gross’ and ‘Total amount unit’ are required </v>
      </c>
      <c r="L268" t="s">
        <v>33308</v>
      </c>
    </row>
    <row r="269" spans="6:12" x14ac:dyDescent="0.2">
      <c r="F269" t="s">
        <v>33308</v>
      </c>
      <c r="G269" t="b">
        <f>IF(OR(INDEX(IHZ_HAZ_TOTAMOUNT,12,1)&lt;&gt;"",),IF(OR(INDEX(IHZ_HAZ_TOTNETGROSS,12,1)="",INDEX(IHZ_HAZ_TOTUNIT,12,1)="",),FALSE,TRUE),TRUE)</f>
        <v>1</v>
      </c>
      <c r="H269" t="str">
        <f t="shared" si="8"/>
        <v xml:space="preserve">Row 12 - If ‘Total amount’ is given, then ‘Net / Gross’ and ‘Total amount unit’ are required </v>
      </c>
      <c r="I269" t="s">
        <v>33308</v>
      </c>
      <c r="J269" t="b">
        <f>IF(OR(INDEX(OHZ_HAZ_TOTAMOUNT,12,1)&lt;&gt;"",),IF(OR(INDEX(OHZ_HAZ_TOTNETGROSS,12,1)="",INDEX(OHZ_HAZ_TOTUNIT,12,1)="",),FALSE,TRUE),TRUE)</f>
        <v>1</v>
      </c>
      <c r="K269" t="str">
        <f t="shared" si="9"/>
        <v xml:space="preserve">Row 12 - If ‘Total amount’ is given, then ‘Net / Gross’ and ‘Total amount unit’ are required </v>
      </c>
      <c r="L269" t="s">
        <v>33308</v>
      </c>
    </row>
    <row r="270" spans="6:12" x14ac:dyDescent="0.2">
      <c r="F270" t="s">
        <v>33308</v>
      </c>
      <c r="G270" t="b">
        <f>IF(OR(INDEX(IHZ_HAZ_TOTAMOUNT,13,1)&lt;&gt;"",),IF(OR(INDEX(IHZ_HAZ_TOTNETGROSS,13,1)="",INDEX(IHZ_HAZ_TOTUNIT,13,1)="",),FALSE,TRUE),TRUE)</f>
        <v>1</v>
      </c>
      <c r="H270" t="str">
        <f t="shared" si="8"/>
        <v xml:space="preserve">Row 13 - If ‘Total amount’ is given, then ‘Net / Gross’ and ‘Total amount unit’ are required </v>
      </c>
      <c r="I270" t="s">
        <v>33308</v>
      </c>
      <c r="J270" t="b">
        <f>IF(OR(INDEX(OHZ_HAZ_TOTAMOUNT,13,1)&lt;&gt;"",),IF(OR(INDEX(OHZ_HAZ_TOTNETGROSS,13,1)="",INDEX(OHZ_HAZ_TOTUNIT,13,1)="",),FALSE,TRUE),TRUE)</f>
        <v>1</v>
      </c>
      <c r="K270" t="str">
        <f t="shared" si="9"/>
        <v xml:space="preserve">Row 13 - If ‘Total amount’ is given, then ‘Net / Gross’ and ‘Total amount unit’ are required </v>
      </c>
      <c r="L270" t="s">
        <v>33308</v>
      </c>
    </row>
    <row r="271" spans="6:12" x14ac:dyDescent="0.2">
      <c r="F271" t="s">
        <v>33308</v>
      </c>
      <c r="G271" t="b">
        <f>IF(OR(INDEX(IHZ_HAZ_TOTAMOUNT,14,1)&lt;&gt;"",),IF(OR(INDEX(IHZ_HAZ_TOTNETGROSS,14,1)="",INDEX(IHZ_HAZ_TOTUNIT,14,1)="",),FALSE,TRUE),TRUE)</f>
        <v>1</v>
      </c>
      <c r="H271" t="str">
        <f t="shared" si="8"/>
        <v xml:space="preserve">Row 14 - If ‘Total amount’ is given, then ‘Net / Gross’ and ‘Total amount unit’ are required </v>
      </c>
      <c r="I271" t="s">
        <v>33308</v>
      </c>
      <c r="J271" t="b">
        <f>IF(OR(INDEX(OHZ_HAZ_TOTAMOUNT,14,1)&lt;&gt;"",),IF(OR(INDEX(OHZ_HAZ_TOTNETGROSS,14,1)="",INDEX(OHZ_HAZ_TOTUNIT,14,1)="",),FALSE,TRUE),TRUE)</f>
        <v>1</v>
      </c>
      <c r="K271" t="str">
        <f t="shared" si="9"/>
        <v xml:space="preserve">Row 14 - If ‘Total amount’ is given, then ‘Net / Gross’ and ‘Total amount unit’ are required </v>
      </c>
      <c r="L271" t="s">
        <v>33308</v>
      </c>
    </row>
    <row r="272" spans="6:12" x14ac:dyDescent="0.2">
      <c r="F272" t="s">
        <v>33308</v>
      </c>
      <c r="G272" t="b">
        <f>IF(OR(INDEX(IHZ_HAZ_TOTAMOUNT,15,1)&lt;&gt;"",),IF(OR(INDEX(IHZ_HAZ_TOTNETGROSS,15,1)="",INDEX(IHZ_HAZ_TOTUNIT,15,1)="",),FALSE,TRUE),TRUE)</f>
        <v>1</v>
      </c>
      <c r="H272" t="str">
        <f t="shared" si="8"/>
        <v xml:space="preserve">Row 15 - If ‘Total amount’ is given, then ‘Net / Gross’ and ‘Total amount unit’ are required </v>
      </c>
      <c r="I272" t="s">
        <v>33308</v>
      </c>
      <c r="J272" t="b">
        <f>IF(OR(INDEX(OHZ_HAZ_TOTAMOUNT,15,1)&lt;&gt;"",),IF(OR(INDEX(OHZ_HAZ_TOTNETGROSS,15,1)="",INDEX(OHZ_HAZ_TOTUNIT,15,1)="",),FALSE,TRUE),TRUE)</f>
        <v>1</v>
      </c>
      <c r="K272" t="str">
        <f t="shared" si="9"/>
        <v xml:space="preserve">Row 15 - If ‘Total amount’ is given, then ‘Net / Gross’ and ‘Total amount unit’ are required </v>
      </c>
      <c r="L272" t="s">
        <v>33308</v>
      </c>
    </row>
    <row r="273" spans="6:12" x14ac:dyDescent="0.2">
      <c r="F273" t="s">
        <v>33308</v>
      </c>
      <c r="G273" t="b">
        <f>IF(OR(INDEX(IHZ_HAZ_TOTAMOUNT,16,1)&lt;&gt;"",),IF(OR(INDEX(IHZ_HAZ_TOTNETGROSS,16,1)="",INDEX(IHZ_HAZ_TOTUNIT,16,1)="",),FALSE,TRUE),TRUE)</f>
        <v>1</v>
      </c>
      <c r="H273" t="str">
        <f t="shared" si="8"/>
        <v xml:space="preserve">Row 16 - If ‘Total amount’ is given, then ‘Net / Gross’ and ‘Total amount unit’ are required </v>
      </c>
      <c r="I273" t="s">
        <v>33308</v>
      </c>
      <c r="J273" t="b">
        <f>IF(OR(INDEX(OHZ_HAZ_TOTAMOUNT,16,1)&lt;&gt;"",),IF(OR(INDEX(OHZ_HAZ_TOTNETGROSS,16,1)="",INDEX(OHZ_HAZ_TOTUNIT,16,1)="",),FALSE,TRUE),TRUE)</f>
        <v>1</v>
      </c>
      <c r="K273" t="str">
        <f t="shared" si="9"/>
        <v xml:space="preserve">Row 16 - If ‘Total amount’ is given, then ‘Net / Gross’ and ‘Total amount unit’ are required </v>
      </c>
      <c r="L273" t="s">
        <v>33308</v>
      </c>
    </row>
    <row r="274" spans="6:12" x14ac:dyDescent="0.2">
      <c r="F274" t="s">
        <v>33308</v>
      </c>
      <c r="G274" t="b">
        <f>IF(OR(INDEX(IHZ_HAZ_TOTAMOUNT,17,1)&lt;&gt;"",),IF(OR(INDEX(IHZ_HAZ_TOTNETGROSS,17,1)="",INDEX(IHZ_HAZ_TOTUNIT,17,1)="",),FALSE,TRUE),TRUE)</f>
        <v>1</v>
      </c>
      <c r="H274" t="str">
        <f t="shared" si="8"/>
        <v xml:space="preserve">Row 17 - If ‘Total amount’ is given, then ‘Net / Gross’ and ‘Total amount unit’ are required </v>
      </c>
      <c r="I274" t="s">
        <v>33308</v>
      </c>
      <c r="J274" t="b">
        <f>IF(OR(INDEX(OHZ_HAZ_TOTAMOUNT,17,1)&lt;&gt;"",),IF(OR(INDEX(OHZ_HAZ_TOTNETGROSS,17,1)="",INDEX(OHZ_HAZ_TOTUNIT,17,1)="",),FALSE,TRUE),TRUE)</f>
        <v>1</v>
      </c>
      <c r="K274" t="str">
        <f t="shared" si="9"/>
        <v xml:space="preserve">Row 17 - If ‘Total amount’ is given, then ‘Net / Gross’ and ‘Total amount unit’ are required </v>
      </c>
      <c r="L274" t="s">
        <v>33308</v>
      </c>
    </row>
    <row r="275" spans="6:12" x14ac:dyDescent="0.2">
      <c r="F275" t="s">
        <v>33308</v>
      </c>
      <c r="G275" t="b">
        <f>IF(OR(INDEX(IHZ_HAZ_TOTAMOUNT,18,1)&lt;&gt;"",),IF(OR(INDEX(IHZ_HAZ_TOTNETGROSS,18,1)="",INDEX(IHZ_HAZ_TOTUNIT,18,1)="",),FALSE,TRUE),TRUE)</f>
        <v>1</v>
      </c>
      <c r="H275" t="str">
        <f t="shared" si="8"/>
        <v xml:space="preserve">Row 18 - If ‘Total amount’ is given, then ‘Net / Gross’ and ‘Total amount unit’ are required </v>
      </c>
      <c r="I275" t="s">
        <v>33308</v>
      </c>
      <c r="J275" t="b">
        <f>IF(OR(INDEX(OHZ_HAZ_TOTAMOUNT,18,1)&lt;&gt;"",),IF(OR(INDEX(OHZ_HAZ_TOTNETGROSS,18,1)="",INDEX(OHZ_HAZ_TOTUNIT,18,1)="",),FALSE,TRUE),TRUE)</f>
        <v>1</v>
      </c>
      <c r="K275" t="str">
        <f t="shared" si="9"/>
        <v xml:space="preserve">Row 18 - If ‘Total amount’ is given, then ‘Net / Gross’ and ‘Total amount unit’ are required </v>
      </c>
      <c r="L275" t="s">
        <v>33308</v>
      </c>
    </row>
    <row r="276" spans="6:12" x14ac:dyDescent="0.2">
      <c r="F276" t="s">
        <v>33308</v>
      </c>
      <c r="G276" t="b">
        <f>IF(OR(INDEX(IHZ_HAZ_TOTAMOUNT,19,1)&lt;&gt;"",),IF(OR(INDEX(IHZ_HAZ_TOTNETGROSS,19,1)="",INDEX(IHZ_HAZ_TOTUNIT,19,1)="",),FALSE,TRUE),TRUE)</f>
        <v>1</v>
      </c>
      <c r="H276" t="str">
        <f t="shared" si="8"/>
        <v xml:space="preserve">Row 19 - If ‘Total amount’ is given, then ‘Net / Gross’ and ‘Total amount unit’ are required </v>
      </c>
      <c r="I276" t="s">
        <v>33308</v>
      </c>
      <c r="J276" t="b">
        <f>IF(OR(INDEX(OHZ_HAZ_TOTAMOUNT,19,1)&lt;&gt;"",),IF(OR(INDEX(OHZ_HAZ_TOTNETGROSS,19,1)="",INDEX(OHZ_HAZ_TOTUNIT,19,1)="",),FALSE,TRUE),TRUE)</f>
        <v>1</v>
      </c>
      <c r="K276" t="str">
        <f t="shared" si="9"/>
        <v xml:space="preserve">Row 19 - If ‘Total amount’ is given, then ‘Net / Gross’ and ‘Total amount unit’ are required </v>
      </c>
      <c r="L276" t="s">
        <v>33308</v>
      </c>
    </row>
    <row r="277" spans="6:12" x14ac:dyDescent="0.2">
      <c r="F277" t="s">
        <v>33308</v>
      </c>
      <c r="G277" t="b">
        <f>IF(OR(INDEX(IHZ_HAZ_TOTAMOUNT,20,1)&lt;&gt;"",),IF(OR(INDEX(IHZ_HAZ_TOTNETGROSS,20,1)="",INDEX(IHZ_HAZ_TOTUNIT,20,1)="",),FALSE,TRUE),TRUE)</f>
        <v>1</v>
      </c>
      <c r="H277" t="str">
        <f t="shared" si="8"/>
        <v xml:space="preserve">Row 20 - If ‘Total amount’ is given, then ‘Net / Gross’ and ‘Total amount unit’ are required </v>
      </c>
      <c r="I277" t="s">
        <v>33308</v>
      </c>
      <c r="J277" t="b">
        <f>IF(OR(INDEX(OHZ_HAZ_TOTAMOUNT,20,1)&lt;&gt;"",),IF(OR(INDEX(OHZ_HAZ_TOTNETGROSS,20,1)="",INDEX(OHZ_HAZ_TOTUNIT,20,1)="",),FALSE,TRUE),TRUE)</f>
        <v>1</v>
      </c>
      <c r="K277" t="str">
        <f t="shared" si="9"/>
        <v xml:space="preserve">Row 20 - If ‘Total amount’ is given, then ‘Net / Gross’ and ‘Total amount unit’ are required </v>
      </c>
      <c r="L277" t="s">
        <v>33308</v>
      </c>
    </row>
    <row r="278" spans="6:12" x14ac:dyDescent="0.2">
      <c r="F278" t="s">
        <v>33308</v>
      </c>
      <c r="G278" t="b">
        <f>IF(OR(INDEX(IHZ_HAZ_TOTAMOUNT,21,1)&lt;&gt;"",),IF(OR(INDEX(IHZ_HAZ_TOTNETGROSS,21,1)="",INDEX(IHZ_HAZ_TOTUNIT,21,1)="",),FALSE,TRUE),TRUE)</f>
        <v>1</v>
      </c>
      <c r="H278" t="str">
        <f t="shared" si="8"/>
        <v xml:space="preserve">Row 21 - If ‘Total amount’ is given, then ‘Net / Gross’ and ‘Total amount unit’ are required </v>
      </c>
      <c r="I278" t="s">
        <v>33308</v>
      </c>
      <c r="J278" t="b">
        <f>IF(OR(INDEX(OHZ_HAZ_TOTAMOUNT,21,1)&lt;&gt;"",),IF(OR(INDEX(OHZ_HAZ_TOTNETGROSS,21,1)="",INDEX(OHZ_HAZ_TOTUNIT,21,1)="",),FALSE,TRUE),TRUE)</f>
        <v>1</v>
      </c>
      <c r="K278" t="str">
        <f t="shared" si="9"/>
        <v xml:space="preserve">Row 21 - If ‘Total amount’ is given, then ‘Net / Gross’ and ‘Total amount unit’ are required </v>
      </c>
      <c r="L278" t="s">
        <v>33308</v>
      </c>
    </row>
    <row r="279" spans="6:12" x14ac:dyDescent="0.2">
      <c r="F279" t="s">
        <v>33308</v>
      </c>
      <c r="G279" t="b">
        <f>IF(OR(INDEX(IHZ_HAZ_TOTAMOUNT,22,1)&lt;&gt;"",),IF(OR(INDEX(IHZ_HAZ_TOTNETGROSS,22,1)="",INDEX(IHZ_HAZ_TOTUNIT,22,1)="",),FALSE,TRUE),TRUE)</f>
        <v>1</v>
      </c>
      <c r="H279" t="str">
        <f t="shared" si="8"/>
        <v xml:space="preserve">Row 22 - If ‘Total amount’ is given, then ‘Net / Gross’ and ‘Total amount unit’ are required </v>
      </c>
      <c r="I279" t="s">
        <v>33308</v>
      </c>
      <c r="J279" t="b">
        <f>IF(OR(INDEX(OHZ_HAZ_TOTAMOUNT,22,1)&lt;&gt;"",),IF(OR(INDEX(OHZ_HAZ_TOTNETGROSS,22,1)="",INDEX(OHZ_HAZ_TOTUNIT,22,1)="",),FALSE,TRUE),TRUE)</f>
        <v>1</v>
      </c>
      <c r="K279" t="str">
        <f t="shared" si="9"/>
        <v xml:space="preserve">Row 22 - If ‘Total amount’ is given, then ‘Net / Gross’ and ‘Total amount unit’ are required </v>
      </c>
      <c r="L279" t="s">
        <v>33308</v>
      </c>
    </row>
    <row r="280" spans="6:12" x14ac:dyDescent="0.2">
      <c r="F280" t="s">
        <v>33308</v>
      </c>
      <c r="G280" t="b">
        <f>IF(OR(INDEX(IHZ_HAZ_TOTAMOUNT,23,1)&lt;&gt;"",),IF(OR(INDEX(IHZ_HAZ_TOTNETGROSS,23,1)="",INDEX(IHZ_HAZ_TOTUNIT,23,1)="",),FALSE,TRUE),TRUE)</f>
        <v>1</v>
      </c>
      <c r="H280" t="str">
        <f t="shared" si="8"/>
        <v xml:space="preserve">Row 23 - If ‘Total amount’ is given, then ‘Net / Gross’ and ‘Total amount unit’ are required </v>
      </c>
      <c r="I280" t="s">
        <v>33308</v>
      </c>
      <c r="J280" t="b">
        <f>IF(OR(INDEX(OHZ_HAZ_TOTAMOUNT,23,1)&lt;&gt;"",),IF(OR(INDEX(OHZ_HAZ_TOTNETGROSS,23,1)="",INDEX(OHZ_HAZ_TOTUNIT,23,1)="",),FALSE,TRUE),TRUE)</f>
        <v>1</v>
      </c>
      <c r="K280" t="str">
        <f t="shared" si="9"/>
        <v xml:space="preserve">Row 23 - If ‘Total amount’ is given, then ‘Net / Gross’ and ‘Total amount unit’ are required </v>
      </c>
      <c r="L280" t="s">
        <v>33308</v>
      </c>
    </row>
    <row r="281" spans="6:12" x14ac:dyDescent="0.2">
      <c r="F281" t="s">
        <v>33308</v>
      </c>
      <c r="G281" t="b">
        <f>IF(OR(INDEX(IHZ_HAZ_TOTAMOUNT,24,1)&lt;&gt;"",),IF(OR(INDEX(IHZ_HAZ_TOTNETGROSS,24,1)="",INDEX(IHZ_HAZ_TOTUNIT,24,1)="",),FALSE,TRUE),TRUE)</f>
        <v>1</v>
      </c>
      <c r="H281" t="str">
        <f t="shared" si="8"/>
        <v xml:space="preserve">Row 24 - If ‘Total amount’ is given, then ‘Net / Gross’ and ‘Total amount unit’ are required </v>
      </c>
      <c r="I281" t="s">
        <v>33308</v>
      </c>
      <c r="J281" t="b">
        <f>IF(OR(INDEX(OHZ_HAZ_TOTAMOUNT,24,1)&lt;&gt;"",),IF(OR(INDEX(OHZ_HAZ_TOTNETGROSS,24,1)="",INDEX(OHZ_HAZ_TOTUNIT,24,1)="",),FALSE,TRUE),TRUE)</f>
        <v>1</v>
      </c>
      <c r="K281" t="str">
        <f t="shared" si="9"/>
        <v xml:space="preserve">Row 24 - If ‘Total amount’ is given, then ‘Net / Gross’ and ‘Total amount unit’ are required </v>
      </c>
      <c r="L281" t="s">
        <v>33308</v>
      </c>
    </row>
    <row r="282" spans="6:12" x14ac:dyDescent="0.2">
      <c r="F282" t="s">
        <v>33308</v>
      </c>
      <c r="G282" t="b">
        <f>IF(OR(INDEX(IHZ_HAZ_TOTAMOUNT,25,1)&lt;&gt;"",),IF(OR(INDEX(IHZ_HAZ_TOTNETGROSS,25,1)="",INDEX(IHZ_HAZ_TOTUNIT,25,1)="",),FALSE,TRUE),TRUE)</f>
        <v>1</v>
      </c>
      <c r="H282" t="str">
        <f t="shared" si="8"/>
        <v xml:space="preserve">Row 25 - If ‘Total amount’ is given, then ‘Net / Gross’ and ‘Total amount unit’ are required </v>
      </c>
      <c r="I282" t="s">
        <v>33308</v>
      </c>
      <c r="J282" t="b">
        <f>IF(OR(INDEX(OHZ_HAZ_TOTAMOUNT,25,1)&lt;&gt;"",),IF(OR(INDEX(OHZ_HAZ_TOTNETGROSS,25,1)="",INDEX(OHZ_HAZ_TOTUNIT,25,1)="",),FALSE,TRUE),TRUE)</f>
        <v>1</v>
      </c>
      <c r="K282" t="str">
        <f t="shared" si="9"/>
        <v xml:space="preserve">Row 25 - If ‘Total amount’ is given, then ‘Net / Gross’ and ‘Total amount unit’ are required </v>
      </c>
      <c r="L282" t="s">
        <v>33308</v>
      </c>
    </row>
    <row r="283" spans="6:12" x14ac:dyDescent="0.2">
      <c r="F283" t="s">
        <v>33308</v>
      </c>
      <c r="G283" t="b">
        <f>IF(OR(INDEX(IHZ_HAZ_TOTAMOUNT,26,1)&lt;&gt;"",),IF(OR(INDEX(IHZ_HAZ_TOTNETGROSS,26,1)="",INDEX(IHZ_HAZ_TOTUNIT,26,1)="",),FALSE,TRUE),TRUE)</f>
        <v>1</v>
      </c>
      <c r="H283" t="str">
        <f t="shared" si="8"/>
        <v xml:space="preserve">Row 26 - If ‘Total amount’ is given, then ‘Net / Gross’ and ‘Total amount unit’ are required </v>
      </c>
      <c r="I283" t="s">
        <v>33308</v>
      </c>
      <c r="J283" t="b">
        <f>IF(OR(INDEX(OHZ_HAZ_TOTAMOUNT,26,1)&lt;&gt;"",),IF(OR(INDEX(OHZ_HAZ_TOTNETGROSS,26,1)="",INDEX(OHZ_HAZ_TOTUNIT,26,1)="",),FALSE,TRUE),TRUE)</f>
        <v>1</v>
      </c>
      <c r="K283" t="str">
        <f t="shared" si="9"/>
        <v xml:space="preserve">Row 26 - If ‘Total amount’ is given, then ‘Net / Gross’ and ‘Total amount unit’ are required </v>
      </c>
      <c r="L283" t="s">
        <v>33308</v>
      </c>
    </row>
    <row r="284" spans="6:12" x14ac:dyDescent="0.2">
      <c r="F284" t="s">
        <v>33308</v>
      </c>
      <c r="G284" t="b">
        <f>IF(OR(INDEX(IHZ_HAZ_TOTAMOUNT,27,1)&lt;&gt;"",),IF(OR(INDEX(IHZ_HAZ_TOTNETGROSS,27,1)="",INDEX(IHZ_HAZ_TOTUNIT,27,1)="",),FALSE,TRUE),TRUE)</f>
        <v>1</v>
      </c>
      <c r="H284" t="str">
        <f t="shared" si="8"/>
        <v xml:space="preserve">Row 27 - If ‘Total amount’ is given, then ‘Net / Gross’ and ‘Total amount unit’ are required </v>
      </c>
      <c r="I284" t="s">
        <v>33308</v>
      </c>
      <c r="J284" t="b">
        <f>IF(OR(INDEX(OHZ_HAZ_TOTAMOUNT,27,1)&lt;&gt;"",),IF(OR(INDEX(OHZ_HAZ_TOTNETGROSS,27,1)="",INDEX(OHZ_HAZ_TOTUNIT,27,1)="",),FALSE,TRUE),TRUE)</f>
        <v>1</v>
      </c>
      <c r="K284" t="str">
        <f t="shared" si="9"/>
        <v xml:space="preserve">Row 27 - If ‘Total amount’ is given, then ‘Net / Gross’ and ‘Total amount unit’ are required </v>
      </c>
      <c r="L284" t="s">
        <v>33308</v>
      </c>
    </row>
    <row r="285" spans="6:12" x14ac:dyDescent="0.2">
      <c r="F285" t="s">
        <v>33308</v>
      </c>
      <c r="G285" t="b">
        <f>IF(OR(INDEX(IHZ_HAZ_TOTAMOUNT,28,1)&lt;&gt;"",),IF(OR(INDEX(IHZ_HAZ_TOTNETGROSS,28,1)="",INDEX(IHZ_HAZ_TOTUNIT,28,1)="",),FALSE,TRUE),TRUE)</f>
        <v>1</v>
      </c>
      <c r="H285" t="str">
        <f t="shared" si="8"/>
        <v xml:space="preserve">Row 28 - If ‘Total amount’ is given, then ‘Net / Gross’ and ‘Total amount unit’ are required </v>
      </c>
      <c r="I285" t="s">
        <v>33308</v>
      </c>
      <c r="J285" t="b">
        <f>IF(OR(INDEX(OHZ_HAZ_TOTAMOUNT,28,1)&lt;&gt;"",),IF(OR(INDEX(OHZ_HAZ_TOTNETGROSS,28,1)="",INDEX(OHZ_HAZ_TOTUNIT,28,1)="",),FALSE,TRUE),TRUE)</f>
        <v>1</v>
      </c>
      <c r="K285" t="str">
        <f t="shared" si="9"/>
        <v xml:space="preserve">Row 28 - If ‘Total amount’ is given, then ‘Net / Gross’ and ‘Total amount unit’ are required </v>
      </c>
      <c r="L285" t="s">
        <v>33308</v>
      </c>
    </row>
    <row r="286" spans="6:12" x14ac:dyDescent="0.2">
      <c r="F286" t="s">
        <v>33308</v>
      </c>
      <c r="G286" t="b">
        <f>IF(OR(INDEX(IHZ_HAZ_TOTAMOUNT,29,1)&lt;&gt;"",),IF(OR(INDEX(IHZ_HAZ_TOTNETGROSS,29,1)="",INDEX(IHZ_HAZ_TOTUNIT,29,1)="",),FALSE,TRUE),TRUE)</f>
        <v>1</v>
      </c>
      <c r="H286" t="str">
        <f t="shared" si="8"/>
        <v xml:space="preserve">Row 29 - If ‘Total amount’ is given, then ‘Net / Gross’ and ‘Total amount unit’ are required </v>
      </c>
      <c r="I286" t="s">
        <v>33308</v>
      </c>
      <c r="J286" t="b">
        <f>IF(OR(INDEX(OHZ_HAZ_TOTAMOUNT,29,1)&lt;&gt;"",),IF(OR(INDEX(OHZ_HAZ_TOTNETGROSS,29,1)="",INDEX(OHZ_HAZ_TOTUNIT,29,1)="",),FALSE,TRUE),TRUE)</f>
        <v>1</v>
      </c>
      <c r="K286" t="str">
        <f t="shared" si="9"/>
        <v xml:space="preserve">Row 29 - If ‘Total amount’ is given, then ‘Net / Gross’ and ‘Total amount unit’ are required </v>
      </c>
      <c r="L286" t="s">
        <v>33308</v>
      </c>
    </row>
    <row r="287" spans="6:12" x14ac:dyDescent="0.2">
      <c r="F287" t="s">
        <v>33308</v>
      </c>
      <c r="G287" t="b">
        <f>IF(OR(INDEX(IHZ_HAZ_TOTAMOUNT,30,1)&lt;&gt;"",),IF(OR(INDEX(IHZ_HAZ_TOTNETGROSS,30,1)="",INDEX(IHZ_HAZ_TOTUNIT,30,1)="",),FALSE,TRUE),TRUE)</f>
        <v>1</v>
      </c>
      <c r="H287" t="str">
        <f t="shared" si="8"/>
        <v xml:space="preserve">Row 30 - If ‘Total amount’ is given, then ‘Net / Gross’ and ‘Total amount unit’ are required </v>
      </c>
      <c r="I287" t="s">
        <v>33308</v>
      </c>
      <c r="J287" t="b">
        <f>IF(OR(INDEX(OHZ_HAZ_TOTAMOUNT,30,1)&lt;&gt;"",),IF(OR(INDEX(OHZ_HAZ_TOTNETGROSS,30,1)="",INDEX(OHZ_HAZ_TOTUNIT,30,1)="",),FALSE,TRUE),TRUE)</f>
        <v>1</v>
      </c>
      <c r="K287" t="str">
        <f t="shared" si="9"/>
        <v xml:space="preserve">Row 30 - If ‘Total amount’ is given, then ‘Net / Gross’ and ‘Total amount unit’ are required </v>
      </c>
      <c r="L287" t="s">
        <v>33308</v>
      </c>
    </row>
    <row r="288" spans="6:12" x14ac:dyDescent="0.2">
      <c r="F288" t="s">
        <v>33308</v>
      </c>
      <c r="G288" t="b">
        <f>IF(OR(INDEX(IHZ_HAZ_TOTAMOUNT,31,1)&lt;&gt;"",),IF(OR(INDEX(IHZ_HAZ_TOTNETGROSS,31,1)="",INDEX(IHZ_HAZ_TOTUNIT,31,1)="",),FALSE,TRUE),TRUE)</f>
        <v>1</v>
      </c>
      <c r="H288" t="str">
        <f t="shared" si="8"/>
        <v xml:space="preserve">Row 31 - If ‘Total amount’ is given, then ‘Net / Gross’ and ‘Total amount unit’ are required </v>
      </c>
      <c r="I288" t="s">
        <v>33308</v>
      </c>
      <c r="J288" t="b">
        <f>IF(OR(INDEX(OHZ_HAZ_TOTAMOUNT,31,1)&lt;&gt;"",),IF(OR(INDEX(OHZ_HAZ_TOTNETGROSS,31,1)="",INDEX(OHZ_HAZ_TOTUNIT,31,1)="",),FALSE,TRUE),TRUE)</f>
        <v>1</v>
      </c>
      <c r="K288" t="str">
        <f t="shared" si="9"/>
        <v xml:space="preserve">Row 31 - If ‘Total amount’ is given, then ‘Net / Gross’ and ‘Total amount unit’ are required </v>
      </c>
      <c r="L288" t="s">
        <v>33308</v>
      </c>
    </row>
    <row r="289" spans="6:12" x14ac:dyDescent="0.2">
      <c r="F289" t="s">
        <v>33308</v>
      </c>
      <c r="G289" t="b">
        <f>IF(OR(INDEX(IHZ_HAZ_TOTAMOUNT,32,1)&lt;&gt;"",),IF(OR(INDEX(IHZ_HAZ_TOTNETGROSS,32,1)="",INDEX(IHZ_HAZ_TOTUNIT,32,1)="",),FALSE,TRUE),TRUE)</f>
        <v>1</v>
      </c>
      <c r="H289" t="str">
        <f t="shared" si="8"/>
        <v xml:space="preserve">Row 32 - If ‘Total amount’ is given, then ‘Net / Gross’ and ‘Total amount unit’ are required </v>
      </c>
      <c r="I289" t="s">
        <v>33308</v>
      </c>
      <c r="J289" t="b">
        <f>IF(OR(INDEX(OHZ_HAZ_TOTAMOUNT,32,1)&lt;&gt;"",),IF(OR(INDEX(OHZ_HAZ_TOTNETGROSS,32,1)="",INDEX(OHZ_HAZ_TOTUNIT,32,1)="",),FALSE,TRUE),TRUE)</f>
        <v>1</v>
      </c>
      <c r="K289" t="str">
        <f t="shared" si="9"/>
        <v xml:space="preserve">Row 32 - If ‘Total amount’ is given, then ‘Net / Gross’ and ‘Total amount unit’ are required </v>
      </c>
      <c r="L289" t="s">
        <v>33308</v>
      </c>
    </row>
    <row r="290" spans="6:12" x14ac:dyDescent="0.2">
      <c r="F290" t="s">
        <v>33308</v>
      </c>
      <c r="G290" t="b">
        <f>IF(OR(INDEX(IHZ_HAZ_TOTAMOUNT,33,1)&lt;&gt;"",),IF(OR(INDEX(IHZ_HAZ_TOTNETGROSS,33,1)="",INDEX(IHZ_HAZ_TOTUNIT,33,1)="",),FALSE,TRUE),TRUE)</f>
        <v>1</v>
      </c>
      <c r="H290" t="str">
        <f t="shared" si="8"/>
        <v xml:space="preserve">Row 33 - If ‘Total amount’ is given, then ‘Net / Gross’ and ‘Total amount unit’ are required </v>
      </c>
      <c r="I290" t="s">
        <v>33308</v>
      </c>
      <c r="J290" t="b">
        <f>IF(OR(INDEX(OHZ_HAZ_TOTAMOUNT,33,1)&lt;&gt;"",),IF(OR(INDEX(OHZ_HAZ_TOTNETGROSS,33,1)="",INDEX(OHZ_HAZ_TOTUNIT,33,1)="",),FALSE,TRUE),TRUE)</f>
        <v>1</v>
      </c>
      <c r="K290" t="str">
        <f t="shared" si="9"/>
        <v xml:space="preserve">Row 33 - If ‘Total amount’ is given, then ‘Net / Gross’ and ‘Total amount unit’ are required </v>
      </c>
      <c r="L290" t="s">
        <v>33308</v>
      </c>
    </row>
    <row r="291" spans="6:12" x14ac:dyDescent="0.2">
      <c r="F291" t="s">
        <v>33308</v>
      </c>
      <c r="G291" t="b">
        <f>IF(OR(INDEX(IHZ_HAZ_TOTAMOUNT,34,1)&lt;&gt;"",),IF(OR(INDEX(IHZ_HAZ_TOTNETGROSS,34,1)="",INDEX(IHZ_HAZ_TOTUNIT,34,1)="",),FALSE,TRUE),TRUE)</f>
        <v>1</v>
      </c>
      <c r="H291" t="str">
        <f t="shared" si="8"/>
        <v xml:space="preserve">Row 34 - If ‘Total amount’ is given, then ‘Net / Gross’ and ‘Total amount unit’ are required </v>
      </c>
      <c r="I291" t="s">
        <v>33308</v>
      </c>
      <c r="J291" t="b">
        <f>IF(OR(INDEX(OHZ_HAZ_TOTAMOUNT,34,1)&lt;&gt;"",),IF(OR(INDEX(OHZ_HAZ_TOTNETGROSS,34,1)="",INDEX(OHZ_HAZ_TOTUNIT,34,1)="",),FALSE,TRUE),TRUE)</f>
        <v>1</v>
      </c>
      <c r="K291" t="str">
        <f t="shared" si="9"/>
        <v xml:space="preserve">Row 34 - If ‘Total amount’ is given, then ‘Net / Gross’ and ‘Total amount unit’ are required </v>
      </c>
      <c r="L291" t="s">
        <v>33308</v>
      </c>
    </row>
    <row r="292" spans="6:12" x14ac:dyDescent="0.2">
      <c r="F292" t="s">
        <v>33308</v>
      </c>
      <c r="G292" t="b">
        <f>IF(OR(INDEX(IHZ_HAZ_TOTAMOUNT,35,1)&lt;&gt;"",),IF(OR(INDEX(IHZ_HAZ_TOTNETGROSS,35,1)="",INDEX(IHZ_HAZ_TOTUNIT,35,1)="",),FALSE,TRUE),TRUE)</f>
        <v>1</v>
      </c>
      <c r="H292" t="str">
        <f t="shared" si="8"/>
        <v xml:space="preserve">Row 35 - If ‘Total amount’ is given, then ‘Net / Gross’ and ‘Total amount unit’ are required </v>
      </c>
      <c r="I292" t="s">
        <v>33308</v>
      </c>
      <c r="J292" t="b">
        <f>IF(OR(INDEX(OHZ_HAZ_TOTAMOUNT,35,1)&lt;&gt;"",),IF(OR(INDEX(OHZ_HAZ_TOTNETGROSS,35,1)="",INDEX(OHZ_HAZ_TOTUNIT,35,1)="",),FALSE,TRUE),TRUE)</f>
        <v>1</v>
      </c>
      <c r="K292" t="str">
        <f t="shared" si="9"/>
        <v xml:space="preserve">Row 35 - If ‘Total amount’ is given, then ‘Net / Gross’ and ‘Total amount unit’ are required </v>
      </c>
      <c r="L292" t="s">
        <v>33308</v>
      </c>
    </row>
    <row r="293" spans="6:12" x14ac:dyDescent="0.2">
      <c r="F293" t="s">
        <v>33308</v>
      </c>
      <c r="G293" t="b">
        <f>IF(OR(INDEX(IHZ_HAZ_TOTAMOUNT,36,1)&lt;&gt;"",),IF(OR(INDEX(IHZ_HAZ_TOTNETGROSS,36,1)="",INDEX(IHZ_HAZ_TOTUNIT,36,1)="",),FALSE,TRUE),TRUE)</f>
        <v>1</v>
      </c>
      <c r="H293" t="str">
        <f t="shared" si="8"/>
        <v xml:space="preserve">Row 36 - If ‘Total amount’ is given, then ‘Net / Gross’ and ‘Total amount unit’ are required </v>
      </c>
      <c r="I293" t="s">
        <v>33308</v>
      </c>
      <c r="J293" t="b">
        <f>IF(OR(INDEX(OHZ_HAZ_TOTAMOUNT,36,1)&lt;&gt;"",),IF(OR(INDEX(OHZ_HAZ_TOTNETGROSS,36,1)="",INDEX(OHZ_HAZ_TOTUNIT,36,1)="",),FALSE,TRUE),TRUE)</f>
        <v>1</v>
      </c>
      <c r="K293" t="str">
        <f t="shared" si="9"/>
        <v xml:space="preserve">Row 36 - If ‘Total amount’ is given, then ‘Net / Gross’ and ‘Total amount unit’ are required </v>
      </c>
      <c r="L293" t="s">
        <v>33308</v>
      </c>
    </row>
    <row r="294" spans="6:12" x14ac:dyDescent="0.2">
      <c r="F294" t="s">
        <v>33308</v>
      </c>
      <c r="G294" t="b">
        <f>IF(OR(INDEX(IHZ_HAZ_TOTAMOUNT,37,1)&lt;&gt;"",),IF(OR(INDEX(IHZ_HAZ_TOTNETGROSS,37,1)="",INDEX(IHZ_HAZ_TOTUNIT,37,1)="",),FALSE,TRUE),TRUE)</f>
        <v>1</v>
      </c>
      <c r="H294" t="str">
        <f t="shared" si="8"/>
        <v xml:space="preserve">Row 37 - If ‘Total amount’ is given, then ‘Net / Gross’ and ‘Total amount unit’ are required </v>
      </c>
      <c r="I294" t="s">
        <v>33308</v>
      </c>
      <c r="J294" t="b">
        <f>IF(OR(INDEX(OHZ_HAZ_TOTAMOUNT,37,1)&lt;&gt;"",),IF(OR(INDEX(OHZ_HAZ_TOTNETGROSS,37,1)="",INDEX(OHZ_HAZ_TOTUNIT,37,1)="",),FALSE,TRUE),TRUE)</f>
        <v>1</v>
      </c>
      <c r="K294" t="str">
        <f t="shared" si="9"/>
        <v xml:space="preserve">Row 37 - If ‘Total amount’ is given, then ‘Net / Gross’ and ‘Total amount unit’ are required </v>
      </c>
      <c r="L294" t="s">
        <v>33308</v>
      </c>
    </row>
    <row r="295" spans="6:12" x14ac:dyDescent="0.2">
      <c r="F295" t="s">
        <v>33308</v>
      </c>
      <c r="G295" t="b">
        <f>IF(OR(INDEX(IHZ_HAZ_TOTAMOUNT,38,1)&lt;&gt;"",),IF(OR(INDEX(IHZ_HAZ_TOTNETGROSS,38,1)="",INDEX(IHZ_HAZ_TOTUNIT,38,1)="",),FALSE,TRUE),TRUE)</f>
        <v>1</v>
      </c>
      <c r="H295" t="str">
        <f t="shared" si="8"/>
        <v xml:space="preserve">Row 38 - If ‘Total amount’ is given, then ‘Net / Gross’ and ‘Total amount unit’ are required </v>
      </c>
      <c r="I295" t="s">
        <v>33308</v>
      </c>
      <c r="J295" t="b">
        <f>IF(OR(INDEX(OHZ_HAZ_TOTAMOUNT,38,1)&lt;&gt;"",),IF(OR(INDEX(OHZ_HAZ_TOTNETGROSS,38,1)="",INDEX(OHZ_HAZ_TOTUNIT,38,1)="",),FALSE,TRUE),TRUE)</f>
        <v>1</v>
      </c>
      <c r="K295" t="str">
        <f t="shared" si="9"/>
        <v xml:space="preserve">Row 38 - If ‘Total amount’ is given, then ‘Net / Gross’ and ‘Total amount unit’ are required </v>
      </c>
      <c r="L295" t="s">
        <v>33308</v>
      </c>
    </row>
    <row r="296" spans="6:12" x14ac:dyDescent="0.2">
      <c r="F296" t="s">
        <v>33308</v>
      </c>
      <c r="G296" t="b">
        <f>IF(OR(INDEX(IHZ_HAZ_TOTAMOUNT,39,1)&lt;&gt;"",),IF(OR(INDEX(IHZ_HAZ_TOTNETGROSS,39,1)="",INDEX(IHZ_HAZ_TOTUNIT,39,1)="",),FALSE,TRUE),TRUE)</f>
        <v>1</v>
      </c>
      <c r="H296" t="str">
        <f t="shared" si="8"/>
        <v xml:space="preserve">Row 39 - If ‘Total amount’ is given, then ‘Net / Gross’ and ‘Total amount unit’ are required </v>
      </c>
      <c r="I296" t="s">
        <v>33308</v>
      </c>
      <c r="J296" t="b">
        <f>IF(OR(INDEX(OHZ_HAZ_TOTAMOUNT,39,1)&lt;&gt;"",),IF(OR(INDEX(OHZ_HAZ_TOTNETGROSS,39,1)="",INDEX(OHZ_HAZ_TOTUNIT,39,1)="",),FALSE,TRUE),TRUE)</f>
        <v>1</v>
      </c>
      <c r="K296" t="str">
        <f t="shared" si="9"/>
        <v xml:space="preserve">Row 39 - If ‘Total amount’ is given, then ‘Net / Gross’ and ‘Total amount unit’ are required </v>
      </c>
      <c r="L296" t="s">
        <v>33308</v>
      </c>
    </row>
    <row r="297" spans="6:12" x14ac:dyDescent="0.2">
      <c r="F297" t="s">
        <v>33308</v>
      </c>
      <c r="G297" t="b">
        <f>IF(OR(INDEX(IHZ_HAZ_TOTAMOUNT,40,1)&lt;&gt;"",),IF(OR(INDEX(IHZ_HAZ_TOTNETGROSS,40,1)="",INDEX(IHZ_HAZ_TOTUNIT,40,1)="",),FALSE,TRUE),TRUE)</f>
        <v>1</v>
      </c>
      <c r="H297" t="str">
        <f t="shared" si="8"/>
        <v xml:space="preserve">Row 40 - If ‘Total amount’ is given, then ‘Net / Gross’ and ‘Total amount unit’ are required </v>
      </c>
      <c r="I297" t="s">
        <v>33308</v>
      </c>
      <c r="J297" t="b">
        <f>IF(OR(INDEX(OHZ_HAZ_TOTAMOUNT,40,1)&lt;&gt;"",),IF(OR(INDEX(OHZ_HAZ_TOTNETGROSS,40,1)="",INDEX(OHZ_HAZ_TOTUNIT,40,1)="",),FALSE,TRUE),TRUE)</f>
        <v>1</v>
      </c>
      <c r="K297" t="str">
        <f t="shared" si="9"/>
        <v xml:space="preserve">Row 40 - If ‘Total amount’ is given, then ‘Net / Gross’ and ‘Total amount unit’ are required </v>
      </c>
      <c r="L297" t="s">
        <v>33308</v>
      </c>
    </row>
    <row r="298" spans="6:12" x14ac:dyDescent="0.2">
      <c r="F298" t="s">
        <v>33308</v>
      </c>
      <c r="G298" t="b">
        <f>IF(OR(INDEX(IHZ_HAZ_TOTAMOUNT,41,1)&lt;&gt;"",),IF(OR(INDEX(IHZ_HAZ_TOTNETGROSS,41,1)="",INDEX(IHZ_HAZ_TOTUNIT,41,1)="",),FALSE,TRUE),TRUE)</f>
        <v>1</v>
      </c>
      <c r="H298" t="str">
        <f t="shared" si="8"/>
        <v xml:space="preserve">Row 41 - If ‘Total amount’ is given, then ‘Net / Gross’ and ‘Total amount unit’ are required </v>
      </c>
      <c r="I298" t="s">
        <v>33308</v>
      </c>
      <c r="J298" t="b">
        <f>IF(OR(INDEX(OHZ_HAZ_TOTAMOUNT,41,1)&lt;&gt;"",),IF(OR(INDEX(OHZ_HAZ_TOTNETGROSS,41,1)="",INDEX(OHZ_HAZ_TOTUNIT,41,1)="",),FALSE,TRUE),TRUE)</f>
        <v>1</v>
      </c>
      <c r="K298" t="str">
        <f t="shared" si="9"/>
        <v xml:space="preserve">Row 41 - If ‘Total amount’ is given, then ‘Net / Gross’ and ‘Total amount unit’ are required </v>
      </c>
      <c r="L298" t="s">
        <v>33308</v>
      </c>
    </row>
    <row r="299" spans="6:12" x14ac:dyDescent="0.2">
      <c r="F299" t="s">
        <v>33308</v>
      </c>
      <c r="G299" t="b">
        <f>IF(OR(INDEX(IHZ_HAZ_TOTAMOUNT,42,1)&lt;&gt;"",),IF(OR(INDEX(IHZ_HAZ_TOTNETGROSS,42,1)="",INDEX(IHZ_HAZ_TOTUNIT,42,1)="",),FALSE,TRUE),TRUE)</f>
        <v>1</v>
      </c>
      <c r="H299" t="str">
        <f t="shared" si="8"/>
        <v xml:space="preserve">Row 42 - If ‘Total amount’ is given, then ‘Net / Gross’ and ‘Total amount unit’ are required </v>
      </c>
      <c r="I299" t="s">
        <v>33308</v>
      </c>
      <c r="J299" t="b">
        <f>IF(OR(INDEX(OHZ_HAZ_TOTAMOUNT,42,1)&lt;&gt;"",),IF(OR(INDEX(OHZ_HAZ_TOTNETGROSS,42,1)="",INDEX(OHZ_HAZ_TOTUNIT,42,1)="",),FALSE,TRUE),TRUE)</f>
        <v>1</v>
      </c>
      <c r="K299" t="str">
        <f t="shared" si="9"/>
        <v xml:space="preserve">Row 42 - If ‘Total amount’ is given, then ‘Net / Gross’ and ‘Total amount unit’ are required </v>
      </c>
      <c r="L299" t="s">
        <v>33308</v>
      </c>
    </row>
    <row r="300" spans="6:12" x14ac:dyDescent="0.2">
      <c r="F300" t="s">
        <v>33308</v>
      </c>
      <c r="G300" t="b">
        <f>IF(OR(INDEX(IHZ_HAZ_TOTAMOUNT,43,1)&lt;&gt;"",),IF(OR(INDEX(IHZ_HAZ_TOTNETGROSS,43,1)="",INDEX(IHZ_HAZ_TOTUNIT,43,1)="",),FALSE,TRUE),TRUE)</f>
        <v>1</v>
      </c>
      <c r="H300" t="str">
        <f t="shared" si="8"/>
        <v xml:space="preserve">Row 43 - If ‘Total amount’ is given, then ‘Net / Gross’ and ‘Total amount unit’ are required </v>
      </c>
      <c r="I300" t="s">
        <v>33308</v>
      </c>
      <c r="J300" t="b">
        <f>IF(OR(INDEX(OHZ_HAZ_TOTAMOUNT,43,1)&lt;&gt;"",),IF(OR(INDEX(OHZ_HAZ_TOTNETGROSS,43,1)="",INDEX(OHZ_HAZ_TOTUNIT,43,1)="",),FALSE,TRUE),TRUE)</f>
        <v>1</v>
      </c>
      <c r="K300" t="str">
        <f t="shared" si="9"/>
        <v xml:space="preserve">Row 43 - If ‘Total amount’ is given, then ‘Net / Gross’ and ‘Total amount unit’ are required </v>
      </c>
      <c r="L300" t="s">
        <v>33308</v>
      </c>
    </row>
    <row r="301" spans="6:12" x14ac:dyDescent="0.2">
      <c r="F301" t="s">
        <v>33308</v>
      </c>
      <c r="G301" t="b">
        <f>IF(OR(INDEX(IHZ_HAZ_TOTAMOUNT,44,1)&lt;&gt;"",),IF(OR(INDEX(IHZ_HAZ_TOTNETGROSS,44,1)="",INDEX(IHZ_HAZ_TOTUNIT,44,1)="",),FALSE,TRUE),TRUE)</f>
        <v>1</v>
      </c>
      <c r="H301" t="str">
        <f t="shared" si="8"/>
        <v xml:space="preserve">Row 44 - If ‘Total amount’ is given, then ‘Net / Gross’ and ‘Total amount unit’ are required </v>
      </c>
      <c r="I301" t="s">
        <v>33308</v>
      </c>
      <c r="J301" t="b">
        <f>IF(OR(INDEX(OHZ_HAZ_TOTAMOUNT,44,1)&lt;&gt;"",),IF(OR(INDEX(OHZ_HAZ_TOTNETGROSS,44,1)="",INDEX(OHZ_HAZ_TOTUNIT,44,1)="",),FALSE,TRUE),TRUE)</f>
        <v>1</v>
      </c>
      <c r="K301" t="str">
        <f t="shared" si="9"/>
        <v xml:space="preserve">Row 44 - If ‘Total amount’ is given, then ‘Net / Gross’ and ‘Total amount unit’ are required </v>
      </c>
      <c r="L301" t="s">
        <v>33308</v>
      </c>
    </row>
    <row r="302" spans="6:12" x14ac:dyDescent="0.2">
      <c r="F302" t="s">
        <v>33308</v>
      </c>
      <c r="G302" t="b">
        <f>IF(OR(INDEX(IHZ_HAZ_TOTAMOUNT,45,1)&lt;&gt;"",),IF(OR(INDEX(IHZ_HAZ_TOTNETGROSS,45,1)="",INDEX(IHZ_HAZ_TOTUNIT,45,1)="",),FALSE,TRUE),TRUE)</f>
        <v>1</v>
      </c>
      <c r="H302" t="str">
        <f t="shared" si="8"/>
        <v xml:space="preserve">Row 45 - If ‘Total amount’ is given, then ‘Net / Gross’ and ‘Total amount unit’ are required </v>
      </c>
      <c r="I302" t="s">
        <v>33308</v>
      </c>
      <c r="J302" t="b">
        <f>IF(OR(INDEX(OHZ_HAZ_TOTAMOUNT,45,1)&lt;&gt;"",),IF(OR(INDEX(OHZ_HAZ_TOTNETGROSS,45,1)="",INDEX(OHZ_HAZ_TOTUNIT,45,1)="",),FALSE,TRUE),TRUE)</f>
        <v>1</v>
      </c>
      <c r="K302" t="str">
        <f t="shared" si="9"/>
        <v xml:space="preserve">Row 45 - If ‘Total amount’ is given, then ‘Net / Gross’ and ‘Total amount unit’ are required </v>
      </c>
      <c r="L302" t="s">
        <v>33308</v>
      </c>
    </row>
    <row r="303" spans="6:12" x14ac:dyDescent="0.2">
      <c r="F303" t="s">
        <v>33308</v>
      </c>
      <c r="G303" t="b">
        <f>IF(OR(INDEX(IHZ_HAZ_TOTAMOUNT,46,1)&lt;&gt;"",),IF(OR(INDEX(IHZ_HAZ_TOTNETGROSS,46,1)="",INDEX(IHZ_HAZ_TOTUNIT,46,1)="",),FALSE,TRUE),TRUE)</f>
        <v>1</v>
      </c>
      <c r="H303" t="str">
        <f t="shared" si="8"/>
        <v xml:space="preserve">Row 46 - If ‘Total amount’ is given, then ‘Net / Gross’ and ‘Total amount unit’ are required </v>
      </c>
      <c r="I303" t="s">
        <v>33308</v>
      </c>
      <c r="J303" t="b">
        <f>IF(OR(INDEX(OHZ_HAZ_TOTAMOUNT,46,1)&lt;&gt;"",),IF(OR(INDEX(OHZ_HAZ_TOTNETGROSS,46,1)="",INDEX(OHZ_HAZ_TOTUNIT,46,1)="",),FALSE,TRUE),TRUE)</f>
        <v>1</v>
      </c>
      <c r="K303" t="str">
        <f t="shared" si="9"/>
        <v xml:space="preserve">Row 46 - If ‘Total amount’ is given, then ‘Net / Gross’ and ‘Total amount unit’ are required </v>
      </c>
      <c r="L303" t="s">
        <v>33308</v>
      </c>
    </row>
    <row r="304" spans="6:12" x14ac:dyDescent="0.2">
      <c r="F304" t="s">
        <v>33308</v>
      </c>
      <c r="G304" t="b">
        <f>IF(OR(INDEX(IHZ_HAZ_TOTAMOUNT,47,1)&lt;&gt;"",),IF(OR(INDEX(IHZ_HAZ_TOTNETGROSS,47,1)="",INDEX(IHZ_HAZ_TOTUNIT,47,1)="",),FALSE,TRUE),TRUE)</f>
        <v>1</v>
      </c>
      <c r="H304" t="str">
        <f t="shared" si="8"/>
        <v xml:space="preserve">Row 47 - If ‘Total amount’ is given, then ‘Net / Gross’ and ‘Total amount unit’ are required </v>
      </c>
      <c r="I304" t="s">
        <v>33308</v>
      </c>
      <c r="J304" t="b">
        <f>IF(OR(INDEX(OHZ_HAZ_TOTAMOUNT,47,1)&lt;&gt;"",),IF(OR(INDEX(OHZ_HAZ_TOTNETGROSS,47,1)="",INDEX(OHZ_HAZ_TOTUNIT,47,1)="",),FALSE,TRUE),TRUE)</f>
        <v>1</v>
      </c>
      <c r="K304" t="str">
        <f t="shared" si="9"/>
        <v xml:space="preserve">Row 47 - If ‘Total amount’ is given, then ‘Net / Gross’ and ‘Total amount unit’ are required </v>
      </c>
      <c r="L304" t="s">
        <v>33308</v>
      </c>
    </row>
    <row r="305" spans="6:12" x14ac:dyDescent="0.2">
      <c r="F305" t="s">
        <v>33308</v>
      </c>
      <c r="G305" t="b">
        <f>IF(OR(INDEX(IHZ_HAZ_TOTAMOUNT,48,1)&lt;&gt;"",),IF(OR(INDEX(IHZ_HAZ_TOTNETGROSS,48,1)="",INDEX(IHZ_HAZ_TOTUNIT,48,1)="",),FALSE,TRUE),TRUE)</f>
        <v>1</v>
      </c>
      <c r="H305" t="str">
        <f t="shared" si="8"/>
        <v xml:space="preserve">Row 48 - If ‘Total amount’ is given, then ‘Net / Gross’ and ‘Total amount unit’ are required </v>
      </c>
      <c r="I305" t="s">
        <v>33308</v>
      </c>
      <c r="J305" t="b">
        <f>IF(OR(INDEX(OHZ_HAZ_TOTAMOUNT,48,1)&lt;&gt;"",),IF(OR(INDEX(OHZ_HAZ_TOTNETGROSS,48,1)="",INDEX(OHZ_HAZ_TOTUNIT,48,1)="",),FALSE,TRUE),TRUE)</f>
        <v>1</v>
      </c>
      <c r="K305" t="str">
        <f t="shared" si="9"/>
        <v xml:space="preserve">Row 48 - If ‘Total amount’ is given, then ‘Net / Gross’ and ‘Total amount unit’ are required </v>
      </c>
      <c r="L305" t="s">
        <v>33308</v>
      </c>
    </row>
    <row r="306" spans="6:12" x14ac:dyDescent="0.2">
      <c r="F306" t="s">
        <v>33308</v>
      </c>
      <c r="G306" t="b">
        <f>IF(OR(INDEX(IHZ_HAZ_TOTAMOUNT,49,1)&lt;&gt;"",),IF(OR(INDEX(IHZ_HAZ_TOTNETGROSS,49,1)="",INDEX(IHZ_HAZ_TOTUNIT,49,1)="",),FALSE,TRUE),TRUE)</f>
        <v>1</v>
      </c>
      <c r="H306" t="str">
        <f t="shared" si="8"/>
        <v xml:space="preserve">Row 49 - If ‘Total amount’ is given, then ‘Net / Gross’ and ‘Total amount unit’ are required </v>
      </c>
      <c r="I306" t="s">
        <v>33308</v>
      </c>
      <c r="J306" t="b">
        <f>IF(OR(INDEX(OHZ_HAZ_TOTAMOUNT,49,1)&lt;&gt;"",),IF(OR(INDEX(OHZ_HAZ_TOTNETGROSS,49,1)="",INDEX(OHZ_HAZ_TOTUNIT,49,1)="",),FALSE,TRUE),TRUE)</f>
        <v>1</v>
      </c>
      <c r="K306" t="str">
        <f t="shared" si="9"/>
        <v xml:space="preserve">Row 49 - If ‘Total amount’ is given, then ‘Net / Gross’ and ‘Total amount unit’ are required </v>
      </c>
      <c r="L306" t="s">
        <v>33308</v>
      </c>
    </row>
    <row r="307" spans="6:12" x14ac:dyDescent="0.2">
      <c r="F307" t="s">
        <v>33308</v>
      </c>
      <c r="G307" t="b">
        <f>IF(OR(INDEX(IHZ_HAZ_TOTAMOUNT,50,1)&lt;&gt;"",),IF(OR(INDEX(IHZ_HAZ_TOTNETGROSS,50,1)="",INDEX(IHZ_HAZ_TOTUNIT,50,1)="",),FALSE,TRUE),TRUE)</f>
        <v>1</v>
      </c>
      <c r="H307" t="str">
        <f t="shared" si="8"/>
        <v xml:space="preserve">Row 50 - If ‘Total amount’ is given, then ‘Net / Gross’ and ‘Total amount unit’ are required </v>
      </c>
      <c r="I307" t="s">
        <v>33308</v>
      </c>
      <c r="J307" t="b">
        <f>IF(OR(INDEX(OHZ_HAZ_TOTAMOUNT,50,1)&lt;&gt;"",),IF(OR(INDEX(OHZ_HAZ_TOTNETGROSS,50,1)="",INDEX(OHZ_HAZ_TOTUNIT,50,1)="",),FALSE,TRUE),TRUE)</f>
        <v>1</v>
      </c>
      <c r="K307" t="str">
        <f t="shared" si="9"/>
        <v xml:space="preserve">Row 50 - If ‘Total amount’ is given, then ‘Net / Gross’ and ‘Total amount unit’ are required </v>
      </c>
      <c r="L307" t="s">
        <v>33308</v>
      </c>
    </row>
    <row r="308" spans="6:12" x14ac:dyDescent="0.2">
      <c r="F308" t="s">
        <v>33308</v>
      </c>
      <c r="G308" t="b">
        <f>IF(OR(INDEX(IHZ_HAZ_TOTAMOUNT,51,1)&lt;&gt;"",),IF(OR(INDEX(IHZ_HAZ_TOTNETGROSS,51,1)="",INDEX(IHZ_HAZ_TOTUNIT,51,1)="",),FALSE,TRUE),TRUE)</f>
        <v>1</v>
      </c>
      <c r="H308" t="str">
        <f t="shared" si="8"/>
        <v xml:space="preserve">Row 51 - If ‘Total amount’ is given, then ‘Net / Gross’ and ‘Total amount unit’ are required </v>
      </c>
      <c r="I308" t="s">
        <v>33308</v>
      </c>
      <c r="J308" t="b">
        <f>IF(OR(INDEX(OHZ_HAZ_TOTAMOUNT,51,1)&lt;&gt;"",),IF(OR(INDEX(OHZ_HAZ_TOTNETGROSS,51,1)="",INDEX(OHZ_HAZ_TOTUNIT,51,1)="",),FALSE,TRUE),TRUE)</f>
        <v>1</v>
      </c>
      <c r="K308" t="str">
        <f t="shared" si="9"/>
        <v xml:space="preserve">Row 51 - If ‘Total amount’ is given, then ‘Net / Gross’ and ‘Total amount unit’ are required </v>
      </c>
      <c r="L308" t="s">
        <v>33308</v>
      </c>
    </row>
    <row r="309" spans="6:12" x14ac:dyDescent="0.2">
      <c r="F309" t="s">
        <v>33308</v>
      </c>
      <c r="G309" t="b">
        <f>IF(OR(INDEX(IHZ_HAZ_TOTAMOUNT,52,1)&lt;&gt;"",),IF(OR(INDEX(IHZ_HAZ_TOTNETGROSS,52,1)="",INDEX(IHZ_HAZ_TOTUNIT,52,1)="",),FALSE,TRUE),TRUE)</f>
        <v>1</v>
      </c>
      <c r="H309" t="str">
        <f t="shared" si="8"/>
        <v xml:space="preserve">Row 52 - If ‘Total amount’ is given, then ‘Net / Gross’ and ‘Total amount unit’ are required </v>
      </c>
      <c r="I309" t="s">
        <v>33308</v>
      </c>
      <c r="J309" t="b">
        <f>IF(OR(INDEX(OHZ_HAZ_TOTAMOUNT,52,1)&lt;&gt;"",),IF(OR(INDEX(OHZ_HAZ_TOTNETGROSS,52,1)="",INDEX(OHZ_HAZ_TOTUNIT,52,1)="",),FALSE,TRUE),TRUE)</f>
        <v>1</v>
      </c>
      <c r="K309" t="str">
        <f t="shared" si="9"/>
        <v xml:space="preserve">Row 52 - If ‘Total amount’ is given, then ‘Net / Gross’ and ‘Total amount unit’ are required </v>
      </c>
      <c r="L309" t="s">
        <v>33308</v>
      </c>
    </row>
    <row r="310" spans="6:12" x14ac:dyDescent="0.2">
      <c r="F310" t="s">
        <v>33308</v>
      </c>
      <c r="G310" t="b">
        <f>IF(OR(INDEX(IHZ_HAZ_TOTAMOUNT,53,1)&lt;&gt;"",),IF(OR(INDEX(IHZ_HAZ_TOTNETGROSS,53,1)="",INDEX(IHZ_HAZ_TOTUNIT,53,1)="",),FALSE,TRUE),TRUE)</f>
        <v>1</v>
      </c>
      <c r="H310" t="str">
        <f t="shared" si="8"/>
        <v xml:space="preserve">Row 53 - If ‘Total amount’ is given, then ‘Net / Gross’ and ‘Total amount unit’ are required </v>
      </c>
      <c r="I310" t="s">
        <v>33308</v>
      </c>
      <c r="J310" t="b">
        <f>IF(OR(INDEX(OHZ_HAZ_TOTAMOUNT,53,1)&lt;&gt;"",),IF(OR(INDEX(OHZ_HAZ_TOTNETGROSS,53,1)="",INDEX(OHZ_HAZ_TOTUNIT,53,1)="",),FALSE,TRUE),TRUE)</f>
        <v>1</v>
      </c>
      <c r="K310" t="str">
        <f t="shared" si="9"/>
        <v xml:space="preserve">Row 53 - If ‘Total amount’ is given, then ‘Net / Gross’ and ‘Total amount unit’ are required </v>
      </c>
      <c r="L310" t="s">
        <v>33308</v>
      </c>
    </row>
    <row r="311" spans="6:12" x14ac:dyDescent="0.2">
      <c r="F311" t="s">
        <v>33308</v>
      </c>
      <c r="G311" t="b">
        <f>IF(OR(INDEX(IHZ_HAZ_TOTAMOUNT,54,1)&lt;&gt;"",),IF(OR(INDEX(IHZ_HAZ_TOTNETGROSS,54,1)="",INDEX(IHZ_HAZ_TOTUNIT,54,1)="",),FALSE,TRUE),TRUE)</f>
        <v>1</v>
      </c>
      <c r="H311" t="str">
        <f t="shared" si="8"/>
        <v xml:space="preserve">Row 54 - If ‘Total amount’ is given, then ‘Net / Gross’ and ‘Total amount unit’ are required </v>
      </c>
      <c r="I311" t="s">
        <v>33308</v>
      </c>
      <c r="J311" t="b">
        <f>IF(OR(INDEX(OHZ_HAZ_TOTAMOUNT,54,1)&lt;&gt;"",),IF(OR(INDEX(OHZ_HAZ_TOTNETGROSS,54,1)="",INDEX(OHZ_HAZ_TOTUNIT,54,1)="",),FALSE,TRUE),TRUE)</f>
        <v>1</v>
      </c>
      <c r="K311" t="str">
        <f t="shared" si="9"/>
        <v xml:space="preserve">Row 54 - If ‘Total amount’ is given, then ‘Net / Gross’ and ‘Total amount unit’ are required </v>
      </c>
      <c r="L311" t="s">
        <v>33308</v>
      </c>
    </row>
    <row r="312" spans="6:12" x14ac:dyDescent="0.2">
      <c r="F312" t="s">
        <v>33308</v>
      </c>
      <c r="G312" t="b">
        <f>IF(OR(INDEX(IHZ_HAZ_TOTAMOUNT,55,1)&lt;&gt;"",),IF(OR(INDEX(IHZ_HAZ_TOTNETGROSS,55,1)="",INDEX(IHZ_HAZ_TOTUNIT,55,1)="",),FALSE,TRUE),TRUE)</f>
        <v>1</v>
      </c>
      <c r="H312" t="str">
        <f t="shared" si="8"/>
        <v xml:space="preserve">Row 55 - If ‘Total amount’ is given, then ‘Net / Gross’ and ‘Total amount unit’ are required </v>
      </c>
      <c r="I312" t="s">
        <v>33308</v>
      </c>
      <c r="J312" t="b">
        <f>IF(OR(INDEX(OHZ_HAZ_TOTAMOUNT,55,1)&lt;&gt;"",),IF(OR(INDEX(OHZ_HAZ_TOTNETGROSS,55,1)="",INDEX(OHZ_HAZ_TOTUNIT,55,1)="",),FALSE,TRUE),TRUE)</f>
        <v>1</v>
      </c>
      <c r="K312" t="str">
        <f t="shared" si="9"/>
        <v xml:space="preserve">Row 55 - If ‘Total amount’ is given, then ‘Net / Gross’ and ‘Total amount unit’ are required </v>
      </c>
      <c r="L312" t="s">
        <v>33308</v>
      </c>
    </row>
    <row r="313" spans="6:12" x14ac:dyDescent="0.2">
      <c r="F313" t="s">
        <v>33308</v>
      </c>
      <c r="G313" t="b">
        <f>IF(OR(INDEX(IHZ_HAZ_TOTAMOUNT,56,1)&lt;&gt;"",),IF(OR(INDEX(IHZ_HAZ_TOTNETGROSS,56,1)="",INDEX(IHZ_HAZ_TOTUNIT,56,1)="",),FALSE,TRUE),TRUE)</f>
        <v>1</v>
      </c>
      <c r="H313" t="str">
        <f t="shared" si="8"/>
        <v xml:space="preserve">Row 56 - If ‘Total amount’ is given, then ‘Net / Gross’ and ‘Total amount unit’ are required </v>
      </c>
      <c r="I313" t="s">
        <v>33308</v>
      </c>
      <c r="J313" t="b">
        <f>IF(OR(INDEX(OHZ_HAZ_TOTAMOUNT,56,1)&lt;&gt;"",),IF(OR(INDEX(OHZ_HAZ_TOTNETGROSS,56,1)="",INDEX(OHZ_HAZ_TOTUNIT,56,1)="",),FALSE,TRUE),TRUE)</f>
        <v>1</v>
      </c>
      <c r="K313" t="str">
        <f t="shared" si="9"/>
        <v xml:space="preserve">Row 56 - If ‘Total amount’ is given, then ‘Net / Gross’ and ‘Total amount unit’ are required </v>
      </c>
      <c r="L313" t="s">
        <v>33308</v>
      </c>
    </row>
    <row r="314" spans="6:12" x14ac:dyDescent="0.2">
      <c r="F314" t="s">
        <v>33308</v>
      </c>
      <c r="G314" t="b">
        <f>IF(OR(INDEX(IHZ_HAZ_TOTAMOUNT,57,1)&lt;&gt;"",),IF(OR(INDEX(IHZ_HAZ_TOTNETGROSS,57,1)="",INDEX(IHZ_HAZ_TOTUNIT,57,1)="",),FALSE,TRUE),TRUE)</f>
        <v>1</v>
      </c>
      <c r="H314" t="str">
        <f t="shared" si="8"/>
        <v xml:space="preserve">Row 57 - If ‘Total amount’ is given, then ‘Net / Gross’ and ‘Total amount unit’ are required </v>
      </c>
      <c r="I314" t="s">
        <v>33308</v>
      </c>
      <c r="J314" t="b">
        <f>IF(OR(INDEX(OHZ_HAZ_TOTAMOUNT,57,1)&lt;&gt;"",),IF(OR(INDEX(OHZ_HAZ_TOTNETGROSS,57,1)="",INDEX(OHZ_HAZ_TOTUNIT,57,1)="",),FALSE,TRUE),TRUE)</f>
        <v>1</v>
      </c>
      <c r="K314" t="str">
        <f t="shared" si="9"/>
        <v xml:space="preserve">Row 57 - If ‘Total amount’ is given, then ‘Net / Gross’ and ‘Total amount unit’ are required </v>
      </c>
      <c r="L314" t="s">
        <v>33308</v>
      </c>
    </row>
    <row r="315" spans="6:12" x14ac:dyDescent="0.2">
      <c r="F315" t="s">
        <v>33308</v>
      </c>
      <c r="G315" t="b">
        <f>IF(OR(INDEX(IHZ_HAZ_TOTAMOUNT,58,1)&lt;&gt;"",),IF(OR(INDEX(IHZ_HAZ_TOTNETGROSS,58,1)="",INDEX(IHZ_HAZ_TOTUNIT,58,1)="",),FALSE,TRUE),TRUE)</f>
        <v>1</v>
      </c>
      <c r="H315" t="str">
        <f t="shared" si="8"/>
        <v xml:space="preserve">Row 58 - If ‘Total amount’ is given, then ‘Net / Gross’ and ‘Total amount unit’ are required </v>
      </c>
      <c r="I315" t="s">
        <v>33308</v>
      </c>
      <c r="J315" t="b">
        <f>IF(OR(INDEX(OHZ_HAZ_TOTAMOUNT,58,1)&lt;&gt;"",),IF(OR(INDEX(OHZ_HAZ_TOTNETGROSS,58,1)="",INDEX(OHZ_HAZ_TOTUNIT,58,1)="",),FALSE,TRUE),TRUE)</f>
        <v>1</v>
      </c>
      <c r="K315" t="str">
        <f t="shared" si="9"/>
        <v xml:space="preserve">Row 58 - If ‘Total amount’ is given, then ‘Net / Gross’ and ‘Total amount unit’ are required </v>
      </c>
      <c r="L315" t="s">
        <v>33308</v>
      </c>
    </row>
    <row r="316" spans="6:12" x14ac:dyDescent="0.2">
      <c r="F316" t="s">
        <v>33308</v>
      </c>
      <c r="G316" t="b">
        <f>IF(OR(INDEX(IHZ_HAZ_TOTAMOUNT,59,1)&lt;&gt;"",),IF(OR(INDEX(IHZ_HAZ_TOTNETGROSS,59,1)="",INDEX(IHZ_HAZ_TOTUNIT,59,1)="",),FALSE,TRUE),TRUE)</f>
        <v>1</v>
      </c>
      <c r="H316" t="str">
        <f t="shared" si="8"/>
        <v xml:space="preserve">Row 59 - If ‘Total amount’ is given, then ‘Net / Gross’ and ‘Total amount unit’ are required </v>
      </c>
      <c r="I316" t="s">
        <v>33308</v>
      </c>
      <c r="J316" t="b">
        <f>IF(OR(INDEX(OHZ_HAZ_TOTAMOUNT,59,1)&lt;&gt;"",),IF(OR(INDEX(OHZ_HAZ_TOTNETGROSS,59,1)="",INDEX(OHZ_HAZ_TOTUNIT,59,1)="",),FALSE,TRUE),TRUE)</f>
        <v>1</v>
      </c>
      <c r="K316" t="str">
        <f t="shared" si="9"/>
        <v xml:space="preserve">Row 59 - If ‘Total amount’ is given, then ‘Net / Gross’ and ‘Total amount unit’ are required </v>
      </c>
      <c r="L316" t="s">
        <v>33308</v>
      </c>
    </row>
    <row r="317" spans="6:12" x14ac:dyDescent="0.2">
      <c r="F317" t="s">
        <v>33308</v>
      </c>
      <c r="G317" t="b">
        <f>IF(OR(INDEX(IHZ_HAZ_TOTAMOUNT,60,1)&lt;&gt;"",),IF(OR(INDEX(IHZ_HAZ_TOTNETGROSS,60,1)="",INDEX(IHZ_HAZ_TOTUNIT,60,1)="",),FALSE,TRUE),TRUE)</f>
        <v>1</v>
      </c>
      <c r="H317" t="str">
        <f t="shared" si="8"/>
        <v xml:space="preserve">Row 60 - If ‘Total amount’ is given, then ‘Net / Gross’ and ‘Total amount unit’ are required </v>
      </c>
      <c r="I317" t="s">
        <v>33308</v>
      </c>
      <c r="J317" t="b">
        <f>IF(OR(INDEX(OHZ_HAZ_TOTAMOUNT,60,1)&lt;&gt;"",),IF(OR(INDEX(OHZ_HAZ_TOTNETGROSS,60,1)="",INDEX(OHZ_HAZ_TOTUNIT,60,1)="",),FALSE,TRUE),TRUE)</f>
        <v>1</v>
      </c>
      <c r="K317" t="str">
        <f t="shared" si="9"/>
        <v xml:space="preserve">Row 60 - If ‘Total amount’ is given, then ‘Net / Gross’ and ‘Total amount unit’ are required </v>
      </c>
      <c r="L317" t="s">
        <v>33308</v>
      </c>
    </row>
    <row r="318" spans="6:12" x14ac:dyDescent="0.2">
      <c r="F318" t="s">
        <v>33308</v>
      </c>
      <c r="G318" t="b">
        <f>IF(OR(INDEX(IHZ_HAZ_TOTAMOUNT,61,1)&lt;&gt;"",),IF(OR(INDEX(IHZ_HAZ_TOTNETGROSS,61,1)="",INDEX(IHZ_HAZ_TOTUNIT,61,1)="",),FALSE,TRUE),TRUE)</f>
        <v>1</v>
      </c>
      <c r="H318" t="str">
        <f t="shared" si="8"/>
        <v xml:space="preserve">Row 61 - If ‘Total amount’ is given, then ‘Net / Gross’ and ‘Total amount unit’ are required </v>
      </c>
      <c r="I318" t="s">
        <v>33308</v>
      </c>
      <c r="J318" t="b">
        <f>IF(OR(INDEX(OHZ_HAZ_TOTAMOUNT,61,1)&lt;&gt;"",),IF(OR(INDEX(OHZ_HAZ_TOTNETGROSS,61,1)="",INDEX(OHZ_HAZ_TOTUNIT,61,1)="",),FALSE,TRUE),TRUE)</f>
        <v>1</v>
      </c>
      <c r="K318" t="str">
        <f t="shared" si="9"/>
        <v xml:space="preserve">Row 61 - If ‘Total amount’ is given, then ‘Net / Gross’ and ‘Total amount unit’ are required </v>
      </c>
      <c r="L318" t="s">
        <v>33308</v>
      </c>
    </row>
    <row r="319" spans="6:12" x14ac:dyDescent="0.2">
      <c r="F319" t="s">
        <v>33308</v>
      </c>
      <c r="G319" t="b">
        <f>IF(OR(INDEX(IHZ_HAZ_TOTAMOUNT,62,1)&lt;&gt;"",),IF(OR(INDEX(IHZ_HAZ_TOTNETGROSS,62,1)="",INDEX(IHZ_HAZ_TOTUNIT,62,1)="",),FALSE,TRUE),TRUE)</f>
        <v>1</v>
      </c>
      <c r="H319" t="str">
        <f t="shared" si="8"/>
        <v xml:space="preserve">Row 62 - If ‘Total amount’ is given, then ‘Net / Gross’ and ‘Total amount unit’ are required </v>
      </c>
      <c r="I319" t="s">
        <v>33308</v>
      </c>
      <c r="J319" t="b">
        <f>IF(OR(INDEX(OHZ_HAZ_TOTAMOUNT,62,1)&lt;&gt;"",),IF(OR(INDEX(OHZ_HAZ_TOTNETGROSS,62,1)="",INDEX(OHZ_HAZ_TOTUNIT,62,1)="",),FALSE,TRUE),TRUE)</f>
        <v>1</v>
      </c>
      <c r="K319" t="str">
        <f t="shared" si="9"/>
        <v xml:space="preserve">Row 62 - If ‘Total amount’ is given, then ‘Net / Gross’ and ‘Total amount unit’ are required </v>
      </c>
      <c r="L319" t="s">
        <v>33308</v>
      </c>
    </row>
    <row r="320" spans="6:12" x14ac:dyDescent="0.2">
      <c r="F320" t="s">
        <v>33308</v>
      </c>
      <c r="G320" t="b">
        <f>IF(OR(INDEX(IHZ_HAZ_TOTAMOUNT,63,1)&lt;&gt;"",),IF(OR(INDEX(IHZ_HAZ_TOTNETGROSS,63,1)="",INDEX(IHZ_HAZ_TOTUNIT,63,1)="",),FALSE,TRUE),TRUE)</f>
        <v>1</v>
      </c>
      <c r="H320" t="str">
        <f t="shared" si="8"/>
        <v xml:space="preserve">Row 63 - If ‘Total amount’ is given, then ‘Net / Gross’ and ‘Total amount unit’ are required </v>
      </c>
      <c r="I320" t="s">
        <v>33308</v>
      </c>
      <c r="J320" t="b">
        <f>IF(OR(INDEX(OHZ_HAZ_TOTAMOUNT,63,1)&lt;&gt;"",),IF(OR(INDEX(OHZ_HAZ_TOTNETGROSS,63,1)="",INDEX(OHZ_HAZ_TOTUNIT,63,1)="",),FALSE,TRUE),TRUE)</f>
        <v>1</v>
      </c>
      <c r="K320" t="str">
        <f t="shared" si="9"/>
        <v xml:space="preserve">Row 63 - If ‘Total amount’ is given, then ‘Net / Gross’ and ‘Total amount unit’ are required </v>
      </c>
      <c r="L320" t="s">
        <v>33308</v>
      </c>
    </row>
    <row r="321" spans="6:12" x14ac:dyDescent="0.2">
      <c r="F321" t="s">
        <v>33308</v>
      </c>
      <c r="G321" t="b">
        <f>IF(OR(INDEX(IHZ_HAZ_TOTAMOUNT,64,1)&lt;&gt;"",),IF(OR(INDEX(IHZ_HAZ_TOTNETGROSS,64,1)="",INDEX(IHZ_HAZ_TOTUNIT,64,1)="",),FALSE,TRUE),TRUE)</f>
        <v>1</v>
      </c>
      <c r="H321" t="str">
        <f t="shared" si="8"/>
        <v xml:space="preserve">Row 64 - If ‘Total amount’ is given, then ‘Net / Gross’ and ‘Total amount unit’ are required </v>
      </c>
      <c r="I321" t="s">
        <v>33308</v>
      </c>
      <c r="J321" t="b">
        <f>IF(OR(INDEX(OHZ_HAZ_TOTAMOUNT,64,1)&lt;&gt;"",),IF(OR(INDEX(OHZ_HAZ_TOTNETGROSS,64,1)="",INDEX(OHZ_HAZ_TOTUNIT,64,1)="",),FALSE,TRUE),TRUE)</f>
        <v>1</v>
      </c>
      <c r="K321" t="str">
        <f t="shared" si="9"/>
        <v xml:space="preserve">Row 64 - If ‘Total amount’ is given, then ‘Net / Gross’ and ‘Total amount unit’ are required </v>
      </c>
      <c r="L321" t="s">
        <v>33308</v>
      </c>
    </row>
    <row r="322" spans="6:12" x14ac:dyDescent="0.2">
      <c r="F322" t="s">
        <v>33308</v>
      </c>
      <c r="G322" t="b">
        <f>IF(OR(INDEX(IHZ_HAZ_TOTAMOUNT,65,1)&lt;&gt;"",),IF(OR(INDEX(IHZ_HAZ_TOTNETGROSS,65,1)="",INDEX(IHZ_HAZ_TOTUNIT,65,1)="",),FALSE,TRUE),TRUE)</f>
        <v>1</v>
      </c>
      <c r="H322" t="str">
        <f t="shared" si="8"/>
        <v xml:space="preserve">Row 65 - If ‘Total amount’ is given, then ‘Net / Gross’ and ‘Total amount unit’ are required </v>
      </c>
      <c r="I322" t="s">
        <v>33308</v>
      </c>
      <c r="J322" t="b">
        <f>IF(OR(INDEX(OHZ_HAZ_TOTAMOUNT,65,1)&lt;&gt;"",),IF(OR(INDEX(OHZ_HAZ_TOTNETGROSS,65,1)="",INDEX(OHZ_HAZ_TOTUNIT,65,1)="",),FALSE,TRUE),TRUE)</f>
        <v>1</v>
      </c>
      <c r="K322" t="str">
        <f t="shared" si="9"/>
        <v xml:space="preserve">Row 65 - If ‘Total amount’ is given, then ‘Net / Gross’ and ‘Total amount unit’ are required </v>
      </c>
      <c r="L322" t="s">
        <v>33308</v>
      </c>
    </row>
    <row r="323" spans="6:12" x14ac:dyDescent="0.2">
      <c r="F323" t="s">
        <v>33308</v>
      </c>
      <c r="G323" t="b">
        <f>IF(OR(INDEX(IHZ_HAZ_TOTAMOUNT,66,1)&lt;&gt;"",),IF(OR(INDEX(IHZ_HAZ_TOTNETGROSS,66,1)="",INDEX(IHZ_HAZ_TOTUNIT,66,1)="",),FALSE,TRUE),TRUE)</f>
        <v>1</v>
      </c>
      <c r="H323" t="str">
        <f t="shared" ref="H323:H386" si="10">T66&amp;$V$2</f>
        <v xml:space="preserve">Row 66 - If ‘Total amount’ is given, then ‘Net / Gross’ and ‘Total amount unit’ are required </v>
      </c>
      <c r="I323" t="s">
        <v>33308</v>
      </c>
      <c r="J323" t="b">
        <f>IF(OR(INDEX(OHZ_HAZ_TOTAMOUNT,66,1)&lt;&gt;"",),IF(OR(INDEX(OHZ_HAZ_TOTNETGROSS,66,1)="",INDEX(OHZ_HAZ_TOTUNIT,66,1)="",),FALSE,TRUE),TRUE)</f>
        <v>1</v>
      </c>
      <c r="K323" t="str">
        <f t="shared" ref="K323:K386" si="11">T66&amp;$V$2</f>
        <v xml:space="preserve">Row 66 - If ‘Total amount’ is given, then ‘Net / Gross’ and ‘Total amount unit’ are required </v>
      </c>
      <c r="L323" t="s">
        <v>33308</v>
      </c>
    </row>
    <row r="324" spans="6:12" x14ac:dyDescent="0.2">
      <c r="F324" t="s">
        <v>33308</v>
      </c>
      <c r="G324" t="b">
        <f>IF(OR(INDEX(IHZ_HAZ_TOTAMOUNT,67,1)&lt;&gt;"",),IF(OR(INDEX(IHZ_HAZ_TOTNETGROSS,67,1)="",INDEX(IHZ_HAZ_TOTUNIT,67,1)="",),FALSE,TRUE),TRUE)</f>
        <v>1</v>
      </c>
      <c r="H324" t="str">
        <f t="shared" si="10"/>
        <v xml:space="preserve">Row 67 - If ‘Total amount’ is given, then ‘Net / Gross’ and ‘Total amount unit’ are required </v>
      </c>
      <c r="I324" t="s">
        <v>33308</v>
      </c>
      <c r="J324" t="b">
        <f>IF(OR(INDEX(OHZ_HAZ_TOTAMOUNT,67,1)&lt;&gt;"",),IF(OR(INDEX(OHZ_HAZ_TOTNETGROSS,67,1)="",INDEX(OHZ_HAZ_TOTUNIT,67,1)="",),FALSE,TRUE),TRUE)</f>
        <v>1</v>
      </c>
      <c r="K324" t="str">
        <f t="shared" si="11"/>
        <v xml:space="preserve">Row 67 - If ‘Total amount’ is given, then ‘Net / Gross’ and ‘Total amount unit’ are required </v>
      </c>
      <c r="L324" t="s">
        <v>33308</v>
      </c>
    </row>
    <row r="325" spans="6:12" x14ac:dyDescent="0.2">
      <c r="F325" t="s">
        <v>33308</v>
      </c>
      <c r="G325" t="b">
        <f>IF(OR(INDEX(IHZ_HAZ_TOTAMOUNT,68,1)&lt;&gt;"",),IF(OR(INDEX(IHZ_HAZ_TOTNETGROSS,68,1)="",INDEX(IHZ_HAZ_TOTUNIT,68,1)="",),FALSE,TRUE),TRUE)</f>
        <v>1</v>
      </c>
      <c r="H325" t="str">
        <f t="shared" si="10"/>
        <v xml:space="preserve">Row 68 - If ‘Total amount’ is given, then ‘Net / Gross’ and ‘Total amount unit’ are required </v>
      </c>
      <c r="I325" t="s">
        <v>33308</v>
      </c>
      <c r="J325" t="b">
        <f>IF(OR(INDEX(OHZ_HAZ_TOTAMOUNT,68,1)&lt;&gt;"",),IF(OR(INDEX(OHZ_HAZ_TOTNETGROSS,68,1)="",INDEX(OHZ_HAZ_TOTUNIT,68,1)="",),FALSE,TRUE),TRUE)</f>
        <v>1</v>
      </c>
      <c r="K325" t="str">
        <f t="shared" si="11"/>
        <v xml:space="preserve">Row 68 - If ‘Total amount’ is given, then ‘Net / Gross’ and ‘Total amount unit’ are required </v>
      </c>
      <c r="L325" t="s">
        <v>33308</v>
      </c>
    </row>
    <row r="326" spans="6:12" x14ac:dyDescent="0.2">
      <c r="F326" t="s">
        <v>33308</v>
      </c>
      <c r="G326" t="b">
        <f>IF(OR(INDEX(IHZ_HAZ_TOTAMOUNT,69,1)&lt;&gt;"",),IF(OR(INDEX(IHZ_HAZ_TOTNETGROSS,69,1)="",INDEX(IHZ_HAZ_TOTUNIT,69,1)="",),FALSE,TRUE),TRUE)</f>
        <v>1</v>
      </c>
      <c r="H326" t="str">
        <f t="shared" si="10"/>
        <v xml:space="preserve">Row 69 - If ‘Total amount’ is given, then ‘Net / Gross’ and ‘Total amount unit’ are required </v>
      </c>
      <c r="I326" t="s">
        <v>33308</v>
      </c>
      <c r="J326" t="b">
        <f>IF(OR(INDEX(OHZ_HAZ_TOTAMOUNT,69,1)&lt;&gt;"",),IF(OR(INDEX(OHZ_HAZ_TOTNETGROSS,69,1)="",INDEX(OHZ_HAZ_TOTUNIT,69,1)="",),FALSE,TRUE),TRUE)</f>
        <v>1</v>
      </c>
      <c r="K326" t="str">
        <f t="shared" si="11"/>
        <v xml:space="preserve">Row 69 - If ‘Total amount’ is given, then ‘Net / Gross’ and ‘Total amount unit’ are required </v>
      </c>
      <c r="L326" t="s">
        <v>33308</v>
      </c>
    </row>
    <row r="327" spans="6:12" x14ac:dyDescent="0.2">
      <c r="F327" t="s">
        <v>33308</v>
      </c>
      <c r="G327" t="b">
        <f>IF(OR(INDEX(IHZ_HAZ_TOTAMOUNT,70,1)&lt;&gt;"",),IF(OR(INDEX(IHZ_HAZ_TOTNETGROSS,70,1)="",INDEX(IHZ_HAZ_TOTUNIT,70,1)="",),FALSE,TRUE),TRUE)</f>
        <v>1</v>
      </c>
      <c r="H327" t="str">
        <f t="shared" si="10"/>
        <v xml:space="preserve">Row 70 - If ‘Total amount’ is given, then ‘Net / Gross’ and ‘Total amount unit’ are required </v>
      </c>
      <c r="I327" t="s">
        <v>33308</v>
      </c>
      <c r="J327" t="b">
        <f>IF(OR(INDEX(OHZ_HAZ_TOTAMOUNT,70,1)&lt;&gt;"",),IF(OR(INDEX(OHZ_HAZ_TOTNETGROSS,70,1)="",INDEX(OHZ_HAZ_TOTUNIT,70,1)="",),FALSE,TRUE),TRUE)</f>
        <v>1</v>
      </c>
      <c r="K327" t="str">
        <f t="shared" si="11"/>
        <v xml:space="preserve">Row 70 - If ‘Total amount’ is given, then ‘Net / Gross’ and ‘Total amount unit’ are required </v>
      </c>
      <c r="L327" t="s">
        <v>33308</v>
      </c>
    </row>
    <row r="328" spans="6:12" x14ac:dyDescent="0.2">
      <c r="F328" t="s">
        <v>33308</v>
      </c>
      <c r="G328" t="b">
        <f>IF(OR(INDEX(IHZ_HAZ_TOTAMOUNT,71,1)&lt;&gt;"",),IF(OR(INDEX(IHZ_HAZ_TOTNETGROSS,71,1)="",INDEX(IHZ_HAZ_TOTUNIT,71,1)="",),FALSE,TRUE),TRUE)</f>
        <v>1</v>
      </c>
      <c r="H328" t="str">
        <f t="shared" si="10"/>
        <v xml:space="preserve">Row 71 - If ‘Total amount’ is given, then ‘Net / Gross’ and ‘Total amount unit’ are required </v>
      </c>
      <c r="I328" t="s">
        <v>33308</v>
      </c>
      <c r="J328" t="b">
        <f>IF(OR(INDEX(OHZ_HAZ_TOTAMOUNT,71,1)&lt;&gt;"",),IF(OR(INDEX(OHZ_HAZ_TOTNETGROSS,71,1)="",INDEX(OHZ_HAZ_TOTUNIT,71,1)="",),FALSE,TRUE),TRUE)</f>
        <v>1</v>
      </c>
      <c r="K328" t="str">
        <f t="shared" si="11"/>
        <v xml:space="preserve">Row 71 - If ‘Total amount’ is given, then ‘Net / Gross’ and ‘Total amount unit’ are required </v>
      </c>
      <c r="L328" t="s">
        <v>33308</v>
      </c>
    </row>
    <row r="329" spans="6:12" x14ac:dyDescent="0.2">
      <c r="F329" t="s">
        <v>33308</v>
      </c>
      <c r="G329" t="b">
        <f>IF(OR(INDEX(IHZ_HAZ_TOTAMOUNT,72,1)&lt;&gt;"",),IF(OR(INDEX(IHZ_HAZ_TOTNETGROSS,72,1)="",INDEX(IHZ_HAZ_TOTUNIT,72,1)="",),FALSE,TRUE),TRUE)</f>
        <v>1</v>
      </c>
      <c r="H329" t="str">
        <f t="shared" si="10"/>
        <v xml:space="preserve">Row 72 - If ‘Total amount’ is given, then ‘Net / Gross’ and ‘Total amount unit’ are required </v>
      </c>
      <c r="I329" t="s">
        <v>33308</v>
      </c>
      <c r="J329" t="b">
        <f>IF(OR(INDEX(OHZ_HAZ_TOTAMOUNT,72,1)&lt;&gt;"",),IF(OR(INDEX(OHZ_HAZ_TOTNETGROSS,72,1)="",INDEX(OHZ_HAZ_TOTUNIT,72,1)="",),FALSE,TRUE),TRUE)</f>
        <v>1</v>
      </c>
      <c r="K329" t="str">
        <f t="shared" si="11"/>
        <v xml:space="preserve">Row 72 - If ‘Total amount’ is given, then ‘Net / Gross’ and ‘Total amount unit’ are required </v>
      </c>
      <c r="L329" t="s">
        <v>33308</v>
      </c>
    </row>
    <row r="330" spans="6:12" x14ac:dyDescent="0.2">
      <c r="F330" t="s">
        <v>33308</v>
      </c>
      <c r="G330" t="b">
        <f>IF(OR(INDEX(IHZ_HAZ_TOTAMOUNT,73,1)&lt;&gt;"",),IF(OR(INDEX(IHZ_HAZ_TOTNETGROSS,73,1)="",INDEX(IHZ_HAZ_TOTUNIT,73,1)="",),FALSE,TRUE),TRUE)</f>
        <v>1</v>
      </c>
      <c r="H330" t="str">
        <f t="shared" si="10"/>
        <v xml:space="preserve">Row 73 - If ‘Total amount’ is given, then ‘Net / Gross’ and ‘Total amount unit’ are required </v>
      </c>
      <c r="I330" t="s">
        <v>33308</v>
      </c>
      <c r="J330" t="b">
        <f>IF(OR(INDEX(OHZ_HAZ_TOTAMOUNT,73,1)&lt;&gt;"",),IF(OR(INDEX(OHZ_HAZ_TOTNETGROSS,73,1)="",INDEX(OHZ_HAZ_TOTUNIT,73,1)="",),FALSE,TRUE),TRUE)</f>
        <v>1</v>
      </c>
      <c r="K330" t="str">
        <f t="shared" si="11"/>
        <v xml:space="preserve">Row 73 - If ‘Total amount’ is given, then ‘Net / Gross’ and ‘Total amount unit’ are required </v>
      </c>
      <c r="L330" t="s">
        <v>33308</v>
      </c>
    </row>
    <row r="331" spans="6:12" x14ac:dyDescent="0.2">
      <c r="F331" t="s">
        <v>33308</v>
      </c>
      <c r="G331" t="b">
        <f>IF(OR(INDEX(IHZ_HAZ_TOTAMOUNT,74,1)&lt;&gt;"",),IF(OR(INDEX(IHZ_HAZ_TOTNETGROSS,74,1)="",INDEX(IHZ_HAZ_TOTUNIT,74,1)="",),FALSE,TRUE),TRUE)</f>
        <v>1</v>
      </c>
      <c r="H331" t="str">
        <f t="shared" si="10"/>
        <v xml:space="preserve">Row 74 - If ‘Total amount’ is given, then ‘Net / Gross’ and ‘Total amount unit’ are required </v>
      </c>
      <c r="I331" t="s">
        <v>33308</v>
      </c>
      <c r="J331" t="b">
        <f>IF(OR(INDEX(OHZ_HAZ_TOTAMOUNT,74,1)&lt;&gt;"",),IF(OR(INDEX(OHZ_HAZ_TOTNETGROSS,74,1)="",INDEX(OHZ_HAZ_TOTUNIT,74,1)="",),FALSE,TRUE),TRUE)</f>
        <v>1</v>
      </c>
      <c r="K331" t="str">
        <f t="shared" si="11"/>
        <v xml:space="preserve">Row 74 - If ‘Total amount’ is given, then ‘Net / Gross’ and ‘Total amount unit’ are required </v>
      </c>
      <c r="L331" t="s">
        <v>33308</v>
      </c>
    </row>
    <row r="332" spans="6:12" x14ac:dyDescent="0.2">
      <c r="F332" t="s">
        <v>33308</v>
      </c>
      <c r="G332" t="b">
        <f>IF(OR(INDEX(IHZ_HAZ_TOTAMOUNT,75,1)&lt;&gt;"",),IF(OR(INDEX(IHZ_HAZ_TOTNETGROSS,75,1)="",INDEX(IHZ_HAZ_TOTUNIT,75,1)="",),FALSE,TRUE),TRUE)</f>
        <v>1</v>
      </c>
      <c r="H332" t="str">
        <f t="shared" si="10"/>
        <v xml:space="preserve">Row 75 - If ‘Total amount’ is given, then ‘Net / Gross’ and ‘Total amount unit’ are required </v>
      </c>
      <c r="I332" t="s">
        <v>33308</v>
      </c>
      <c r="J332" t="b">
        <f>IF(OR(INDEX(OHZ_HAZ_TOTAMOUNT,75,1)&lt;&gt;"",),IF(OR(INDEX(OHZ_HAZ_TOTNETGROSS,75,1)="",INDEX(OHZ_HAZ_TOTUNIT,75,1)="",),FALSE,TRUE),TRUE)</f>
        <v>1</v>
      </c>
      <c r="K332" t="str">
        <f t="shared" si="11"/>
        <v xml:space="preserve">Row 75 - If ‘Total amount’ is given, then ‘Net / Gross’ and ‘Total amount unit’ are required </v>
      </c>
      <c r="L332" t="s">
        <v>33308</v>
      </c>
    </row>
    <row r="333" spans="6:12" x14ac:dyDescent="0.2">
      <c r="F333" t="s">
        <v>33308</v>
      </c>
      <c r="G333" t="b">
        <f>IF(OR(INDEX(IHZ_HAZ_TOTAMOUNT,76,1)&lt;&gt;"",),IF(OR(INDEX(IHZ_HAZ_TOTNETGROSS,76,1)="",INDEX(IHZ_HAZ_TOTUNIT,76,1)="",),FALSE,TRUE),TRUE)</f>
        <v>1</v>
      </c>
      <c r="H333" t="str">
        <f t="shared" si="10"/>
        <v xml:space="preserve">Row 76 - If ‘Total amount’ is given, then ‘Net / Gross’ and ‘Total amount unit’ are required </v>
      </c>
      <c r="I333" t="s">
        <v>33308</v>
      </c>
      <c r="J333" t="b">
        <f>IF(OR(INDEX(OHZ_HAZ_TOTAMOUNT,76,1)&lt;&gt;"",),IF(OR(INDEX(OHZ_HAZ_TOTNETGROSS,76,1)="",INDEX(OHZ_HAZ_TOTUNIT,76,1)="",),FALSE,TRUE),TRUE)</f>
        <v>1</v>
      </c>
      <c r="K333" t="str">
        <f t="shared" si="11"/>
        <v xml:space="preserve">Row 76 - If ‘Total amount’ is given, then ‘Net / Gross’ and ‘Total amount unit’ are required </v>
      </c>
      <c r="L333" t="s">
        <v>33308</v>
      </c>
    </row>
    <row r="334" spans="6:12" x14ac:dyDescent="0.2">
      <c r="F334" t="s">
        <v>33308</v>
      </c>
      <c r="G334" t="b">
        <f>IF(OR(INDEX(IHZ_HAZ_TOTAMOUNT,77,1)&lt;&gt;"",),IF(OR(INDEX(IHZ_HAZ_TOTNETGROSS,77,1)="",INDEX(IHZ_HAZ_TOTUNIT,77,1)="",),FALSE,TRUE),TRUE)</f>
        <v>1</v>
      </c>
      <c r="H334" t="str">
        <f t="shared" si="10"/>
        <v xml:space="preserve">Row 77 - If ‘Total amount’ is given, then ‘Net / Gross’ and ‘Total amount unit’ are required </v>
      </c>
      <c r="I334" t="s">
        <v>33308</v>
      </c>
      <c r="J334" t="b">
        <f>IF(OR(INDEX(OHZ_HAZ_TOTAMOUNT,77,1)&lt;&gt;"",),IF(OR(INDEX(OHZ_HAZ_TOTNETGROSS,77,1)="",INDEX(OHZ_HAZ_TOTUNIT,77,1)="",),FALSE,TRUE),TRUE)</f>
        <v>1</v>
      </c>
      <c r="K334" t="str">
        <f t="shared" si="11"/>
        <v xml:space="preserve">Row 77 - If ‘Total amount’ is given, then ‘Net / Gross’ and ‘Total amount unit’ are required </v>
      </c>
      <c r="L334" t="s">
        <v>33308</v>
      </c>
    </row>
    <row r="335" spans="6:12" x14ac:dyDescent="0.2">
      <c r="F335" t="s">
        <v>33308</v>
      </c>
      <c r="G335" t="b">
        <f>IF(OR(INDEX(IHZ_HAZ_TOTAMOUNT,78,1)&lt;&gt;"",),IF(OR(INDEX(IHZ_HAZ_TOTNETGROSS,78,1)="",INDEX(IHZ_HAZ_TOTUNIT,78,1)="",),FALSE,TRUE),TRUE)</f>
        <v>1</v>
      </c>
      <c r="H335" t="str">
        <f t="shared" si="10"/>
        <v xml:space="preserve">Row 78 - If ‘Total amount’ is given, then ‘Net / Gross’ and ‘Total amount unit’ are required </v>
      </c>
      <c r="I335" t="s">
        <v>33308</v>
      </c>
      <c r="J335" t="b">
        <f>IF(OR(INDEX(OHZ_HAZ_TOTAMOUNT,78,1)&lt;&gt;"",),IF(OR(INDEX(OHZ_HAZ_TOTNETGROSS,78,1)="",INDEX(OHZ_HAZ_TOTUNIT,78,1)="",),FALSE,TRUE),TRUE)</f>
        <v>1</v>
      </c>
      <c r="K335" t="str">
        <f t="shared" si="11"/>
        <v xml:space="preserve">Row 78 - If ‘Total amount’ is given, then ‘Net / Gross’ and ‘Total amount unit’ are required </v>
      </c>
      <c r="L335" t="s">
        <v>33308</v>
      </c>
    </row>
    <row r="336" spans="6:12" x14ac:dyDescent="0.2">
      <c r="F336" t="s">
        <v>33308</v>
      </c>
      <c r="G336" t="b">
        <f>IF(OR(INDEX(IHZ_HAZ_TOTAMOUNT,79,1)&lt;&gt;"",),IF(OR(INDEX(IHZ_HAZ_TOTNETGROSS,79,1)="",INDEX(IHZ_HAZ_TOTUNIT,79,1)="",),FALSE,TRUE),TRUE)</f>
        <v>1</v>
      </c>
      <c r="H336" t="str">
        <f t="shared" si="10"/>
        <v xml:space="preserve">Row 79 - If ‘Total amount’ is given, then ‘Net / Gross’ and ‘Total amount unit’ are required </v>
      </c>
      <c r="I336" t="s">
        <v>33308</v>
      </c>
      <c r="J336" t="b">
        <f>IF(OR(INDEX(OHZ_HAZ_TOTAMOUNT,79,1)&lt;&gt;"",),IF(OR(INDEX(OHZ_HAZ_TOTNETGROSS,79,1)="",INDEX(OHZ_HAZ_TOTUNIT,79,1)="",),FALSE,TRUE),TRUE)</f>
        <v>1</v>
      </c>
      <c r="K336" t="str">
        <f t="shared" si="11"/>
        <v xml:space="preserve">Row 79 - If ‘Total amount’ is given, then ‘Net / Gross’ and ‘Total amount unit’ are required </v>
      </c>
      <c r="L336" t="s">
        <v>33308</v>
      </c>
    </row>
    <row r="337" spans="6:12" x14ac:dyDescent="0.2">
      <c r="F337" t="s">
        <v>33308</v>
      </c>
      <c r="G337" t="b">
        <f>IF(OR(INDEX(IHZ_HAZ_TOTAMOUNT,80,1)&lt;&gt;"",),IF(OR(INDEX(IHZ_HAZ_TOTNETGROSS,80,1)="",INDEX(IHZ_HAZ_TOTUNIT,80,1)="",),FALSE,TRUE),TRUE)</f>
        <v>1</v>
      </c>
      <c r="H337" t="str">
        <f t="shared" si="10"/>
        <v xml:space="preserve">Row 80 - If ‘Total amount’ is given, then ‘Net / Gross’ and ‘Total amount unit’ are required </v>
      </c>
      <c r="I337" t="s">
        <v>33308</v>
      </c>
      <c r="J337" t="b">
        <f>IF(OR(INDEX(OHZ_HAZ_TOTAMOUNT,80,1)&lt;&gt;"",),IF(OR(INDEX(OHZ_HAZ_TOTNETGROSS,80,1)="",INDEX(OHZ_HAZ_TOTUNIT,80,1)="",),FALSE,TRUE),TRUE)</f>
        <v>1</v>
      </c>
      <c r="K337" t="str">
        <f t="shared" si="11"/>
        <v xml:space="preserve">Row 80 - If ‘Total amount’ is given, then ‘Net / Gross’ and ‘Total amount unit’ are required </v>
      </c>
      <c r="L337" t="s">
        <v>33308</v>
      </c>
    </row>
    <row r="338" spans="6:12" x14ac:dyDescent="0.2">
      <c r="F338" t="s">
        <v>33308</v>
      </c>
      <c r="G338" t="b">
        <f>IF(OR(INDEX(IHZ_HAZ_TOTAMOUNT,81,1)&lt;&gt;"",),IF(OR(INDEX(IHZ_HAZ_TOTNETGROSS,81,1)="",INDEX(IHZ_HAZ_TOTUNIT,81,1)="",),FALSE,TRUE),TRUE)</f>
        <v>1</v>
      </c>
      <c r="H338" t="str">
        <f t="shared" si="10"/>
        <v xml:space="preserve">Row 81 - If ‘Total amount’ is given, then ‘Net / Gross’ and ‘Total amount unit’ are required </v>
      </c>
      <c r="I338" t="s">
        <v>33308</v>
      </c>
      <c r="J338" t="b">
        <f>IF(OR(INDEX(OHZ_HAZ_TOTAMOUNT,81,1)&lt;&gt;"",),IF(OR(INDEX(OHZ_HAZ_TOTNETGROSS,81,1)="",INDEX(OHZ_HAZ_TOTUNIT,81,1)="",),FALSE,TRUE),TRUE)</f>
        <v>1</v>
      </c>
      <c r="K338" t="str">
        <f t="shared" si="11"/>
        <v xml:space="preserve">Row 81 - If ‘Total amount’ is given, then ‘Net / Gross’ and ‘Total amount unit’ are required </v>
      </c>
      <c r="L338" t="s">
        <v>33308</v>
      </c>
    </row>
    <row r="339" spans="6:12" x14ac:dyDescent="0.2">
      <c r="F339" t="s">
        <v>33308</v>
      </c>
      <c r="G339" t="b">
        <f>IF(OR(INDEX(IHZ_HAZ_TOTAMOUNT,82,1)&lt;&gt;"",),IF(OR(INDEX(IHZ_HAZ_TOTNETGROSS,82,1)="",INDEX(IHZ_HAZ_TOTUNIT,82,1)="",),FALSE,TRUE),TRUE)</f>
        <v>1</v>
      </c>
      <c r="H339" t="str">
        <f t="shared" si="10"/>
        <v xml:space="preserve">Row 82 - If ‘Total amount’ is given, then ‘Net / Gross’ and ‘Total amount unit’ are required </v>
      </c>
      <c r="I339" t="s">
        <v>33308</v>
      </c>
      <c r="J339" t="b">
        <f>IF(OR(INDEX(OHZ_HAZ_TOTAMOUNT,82,1)&lt;&gt;"",),IF(OR(INDEX(OHZ_HAZ_TOTNETGROSS,82,1)="",INDEX(OHZ_HAZ_TOTUNIT,82,1)="",),FALSE,TRUE),TRUE)</f>
        <v>1</v>
      </c>
      <c r="K339" t="str">
        <f t="shared" si="11"/>
        <v xml:space="preserve">Row 82 - If ‘Total amount’ is given, then ‘Net / Gross’ and ‘Total amount unit’ are required </v>
      </c>
      <c r="L339" t="s">
        <v>33308</v>
      </c>
    </row>
    <row r="340" spans="6:12" x14ac:dyDescent="0.2">
      <c r="F340" t="s">
        <v>33308</v>
      </c>
      <c r="G340" t="b">
        <f>IF(OR(INDEX(IHZ_HAZ_TOTAMOUNT,83,1)&lt;&gt;"",),IF(OR(INDEX(IHZ_HAZ_TOTNETGROSS,83,1)="",INDEX(IHZ_HAZ_TOTUNIT,83,1)="",),FALSE,TRUE),TRUE)</f>
        <v>1</v>
      </c>
      <c r="H340" t="str">
        <f t="shared" si="10"/>
        <v xml:space="preserve">Row 83 - If ‘Total amount’ is given, then ‘Net / Gross’ and ‘Total amount unit’ are required </v>
      </c>
      <c r="I340" t="s">
        <v>33308</v>
      </c>
      <c r="J340" t="b">
        <f>IF(OR(INDEX(OHZ_HAZ_TOTAMOUNT,83,1)&lt;&gt;"",),IF(OR(INDEX(OHZ_HAZ_TOTNETGROSS,83,1)="",INDEX(OHZ_HAZ_TOTUNIT,83,1)="",),FALSE,TRUE),TRUE)</f>
        <v>1</v>
      </c>
      <c r="K340" t="str">
        <f t="shared" si="11"/>
        <v xml:space="preserve">Row 83 - If ‘Total amount’ is given, then ‘Net / Gross’ and ‘Total amount unit’ are required </v>
      </c>
      <c r="L340" t="s">
        <v>33308</v>
      </c>
    </row>
    <row r="341" spans="6:12" x14ac:dyDescent="0.2">
      <c r="F341" t="s">
        <v>33308</v>
      </c>
      <c r="G341" t="b">
        <f>IF(OR(INDEX(IHZ_HAZ_TOTAMOUNT,84,1)&lt;&gt;"",),IF(OR(INDEX(IHZ_HAZ_TOTNETGROSS,84,1)="",INDEX(IHZ_HAZ_TOTUNIT,84,1)="",),FALSE,TRUE),TRUE)</f>
        <v>1</v>
      </c>
      <c r="H341" t="str">
        <f t="shared" si="10"/>
        <v xml:space="preserve">Row 84 - If ‘Total amount’ is given, then ‘Net / Gross’ and ‘Total amount unit’ are required </v>
      </c>
      <c r="I341" t="s">
        <v>33308</v>
      </c>
      <c r="J341" t="b">
        <f>IF(OR(INDEX(OHZ_HAZ_TOTAMOUNT,84,1)&lt;&gt;"",),IF(OR(INDEX(OHZ_HAZ_TOTNETGROSS,84,1)="",INDEX(OHZ_HAZ_TOTUNIT,84,1)="",),FALSE,TRUE),TRUE)</f>
        <v>1</v>
      </c>
      <c r="K341" t="str">
        <f t="shared" si="11"/>
        <v xml:space="preserve">Row 84 - If ‘Total amount’ is given, then ‘Net / Gross’ and ‘Total amount unit’ are required </v>
      </c>
      <c r="L341" t="s">
        <v>33308</v>
      </c>
    </row>
    <row r="342" spans="6:12" x14ac:dyDescent="0.2">
      <c r="F342" t="s">
        <v>33308</v>
      </c>
      <c r="G342" t="b">
        <f>IF(OR(INDEX(IHZ_HAZ_TOTAMOUNT,85,1)&lt;&gt;"",),IF(OR(INDEX(IHZ_HAZ_TOTNETGROSS,85,1)="",INDEX(IHZ_HAZ_TOTUNIT,85,1)="",),FALSE,TRUE),TRUE)</f>
        <v>1</v>
      </c>
      <c r="H342" t="str">
        <f t="shared" si="10"/>
        <v xml:space="preserve">Row 85 - If ‘Total amount’ is given, then ‘Net / Gross’ and ‘Total amount unit’ are required </v>
      </c>
      <c r="I342" t="s">
        <v>33308</v>
      </c>
      <c r="J342" t="b">
        <f>IF(OR(INDEX(OHZ_HAZ_TOTAMOUNT,85,1)&lt;&gt;"",),IF(OR(INDEX(OHZ_HAZ_TOTNETGROSS,85,1)="",INDEX(OHZ_HAZ_TOTUNIT,85,1)="",),FALSE,TRUE),TRUE)</f>
        <v>1</v>
      </c>
      <c r="K342" t="str">
        <f t="shared" si="11"/>
        <v xml:space="preserve">Row 85 - If ‘Total amount’ is given, then ‘Net / Gross’ and ‘Total amount unit’ are required </v>
      </c>
      <c r="L342" t="s">
        <v>33308</v>
      </c>
    </row>
    <row r="343" spans="6:12" x14ac:dyDescent="0.2">
      <c r="F343" t="s">
        <v>33308</v>
      </c>
      <c r="G343" t="b">
        <f>IF(OR(INDEX(IHZ_HAZ_TOTAMOUNT,86,1)&lt;&gt;"",),IF(OR(INDEX(IHZ_HAZ_TOTNETGROSS,86,1)="",INDEX(IHZ_HAZ_TOTUNIT,86,1)="",),FALSE,TRUE),TRUE)</f>
        <v>1</v>
      </c>
      <c r="H343" t="str">
        <f t="shared" si="10"/>
        <v xml:space="preserve">Row 86 - If ‘Total amount’ is given, then ‘Net / Gross’ and ‘Total amount unit’ are required </v>
      </c>
      <c r="I343" t="s">
        <v>33308</v>
      </c>
      <c r="J343" t="b">
        <f>IF(OR(INDEX(OHZ_HAZ_TOTAMOUNT,86,1)&lt;&gt;"",),IF(OR(INDEX(OHZ_HAZ_TOTNETGROSS,86,1)="",INDEX(OHZ_HAZ_TOTUNIT,86,1)="",),FALSE,TRUE),TRUE)</f>
        <v>1</v>
      </c>
      <c r="K343" t="str">
        <f t="shared" si="11"/>
        <v xml:space="preserve">Row 86 - If ‘Total amount’ is given, then ‘Net / Gross’ and ‘Total amount unit’ are required </v>
      </c>
      <c r="L343" t="s">
        <v>33308</v>
      </c>
    </row>
    <row r="344" spans="6:12" x14ac:dyDescent="0.2">
      <c r="F344" t="s">
        <v>33308</v>
      </c>
      <c r="G344" t="b">
        <f>IF(OR(INDEX(IHZ_HAZ_TOTAMOUNT,87,1)&lt;&gt;"",),IF(OR(INDEX(IHZ_HAZ_TOTNETGROSS,87,1)="",INDEX(IHZ_HAZ_TOTUNIT,87,1)="",),FALSE,TRUE),TRUE)</f>
        <v>1</v>
      </c>
      <c r="H344" t="str">
        <f t="shared" si="10"/>
        <v xml:space="preserve">Row 87 - If ‘Total amount’ is given, then ‘Net / Gross’ and ‘Total amount unit’ are required </v>
      </c>
      <c r="I344" t="s">
        <v>33308</v>
      </c>
      <c r="J344" t="b">
        <f>IF(OR(INDEX(OHZ_HAZ_TOTAMOUNT,87,1)&lt;&gt;"",),IF(OR(INDEX(OHZ_HAZ_TOTNETGROSS,87,1)="",INDEX(OHZ_HAZ_TOTUNIT,87,1)="",),FALSE,TRUE),TRUE)</f>
        <v>1</v>
      </c>
      <c r="K344" t="str">
        <f t="shared" si="11"/>
        <v xml:space="preserve">Row 87 - If ‘Total amount’ is given, then ‘Net / Gross’ and ‘Total amount unit’ are required </v>
      </c>
      <c r="L344" t="s">
        <v>33308</v>
      </c>
    </row>
    <row r="345" spans="6:12" x14ac:dyDescent="0.2">
      <c r="F345" t="s">
        <v>33308</v>
      </c>
      <c r="G345" t="b">
        <f>IF(OR(INDEX(IHZ_HAZ_TOTAMOUNT,88,1)&lt;&gt;"",),IF(OR(INDEX(IHZ_HAZ_TOTNETGROSS,88,1)="",INDEX(IHZ_HAZ_TOTUNIT,88,1)="",),FALSE,TRUE),TRUE)</f>
        <v>1</v>
      </c>
      <c r="H345" t="str">
        <f t="shared" si="10"/>
        <v xml:space="preserve">Row 88 - If ‘Total amount’ is given, then ‘Net / Gross’ and ‘Total amount unit’ are required </v>
      </c>
      <c r="I345" t="s">
        <v>33308</v>
      </c>
      <c r="J345" t="b">
        <f>IF(OR(INDEX(OHZ_HAZ_TOTAMOUNT,88,1)&lt;&gt;"",),IF(OR(INDEX(OHZ_HAZ_TOTNETGROSS,88,1)="",INDEX(OHZ_HAZ_TOTUNIT,88,1)="",),FALSE,TRUE),TRUE)</f>
        <v>1</v>
      </c>
      <c r="K345" t="str">
        <f t="shared" si="11"/>
        <v xml:space="preserve">Row 88 - If ‘Total amount’ is given, then ‘Net / Gross’ and ‘Total amount unit’ are required </v>
      </c>
      <c r="L345" t="s">
        <v>33308</v>
      </c>
    </row>
    <row r="346" spans="6:12" x14ac:dyDescent="0.2">
      <c r="F346" t="s">
        <v>33308</v>
      </c>
      <c r="G346" t="b">
        <f>IF(OR(INDEX(IHZ_HAZ_TOTAMOUNT,89,1)&lt;&gt;"",),IF(OR(INDEX(IHZ_HAZ_TOTNETGROSS,89,1)="",INDEX(IHZ_HAZ_TOTUNIT,89,1)="",),FALSE,TRUE),TRUE)</f>
        <v>1</v>
      </c>
      <c r="H346" t="str">
        <f t="shared" si="10"/>
        <v xml:space="preserve">Row 89 - If ‘Total amount’ is given, then ‘Net / Gross’ and ‘Total amount unit’ are required </v>
      </c>
      <c r="I346" t="s">
        <v>33308</v>
      </c>
      <c r="J346" t="b">
        <f>IF(OR(INDEX(OHZ_HAZ_TOTAMOUNT,89,1)&lt;&gt;"",),IF(OR(INDEX(OHZ_HAZ_TOTNETGROSS,89,1)="",INDEX(OHZ_HAZ_TOTUNIT,89,1)="",),FALSE,TRUE),TRUE)</f>
        <v>1</v>
      </c>
      <c r="K346" t="str">
        <f t="shared" si="11"/>
        <v xml:space="preserve">Row 89 - If ‘Total amount’ is given, then ‘Net / Gross’ and ‘Total amount unit’ are required </v>
      </c>
      <c r="L346" t="s">
        <v>33308</v>
      </c>
    </row>
    <row r="347" spans="6:12" x14ac:dyDescent="0.2">
      <c r="F347" t="s">
        <v>33308</v>
      </c>
      <c r="G347" t="b">
        <f>IF(OR(INDEX(IHZ_HAZ_TOTAMOUNT,90,1)&lt;&gt;"",),IF(OR(INDEX(IHZ_HAZ_TOTNETGROSS,90,1)="",INDEX(IHZ_HAZ_TOTUNIT,90,1)="",),FALSE,TRUE),TRUE)</f>
        <v>1</v>
      </c>
      <c r="H347" t="str">
        <f t="shared" si="10"/>
        <v xml:space="preserve">Row 90 - If ‘Total amount’ is given, then ‘Net / Gross’ and ‘Total amount unit’ are required </v>
      </c>
      <c r="I347" t="s">
        <v>33308</v>
      </c>
      <c r="J347" t="b">
        <f>IF(OR(INDEX(OHZ_HAZ_TOTAMOUNT,90,1)&lt;&gt;"",),IF(OR(INDEX(OHZ_HAZ_TOTNETGROSS,90,1)="",INDEX(OHZ_HAZ_TOTUNIT,90,1)="",),FALSE,TRUE),TRUE)</f>
        <v>1</v>
      </c>
      <c r="K347" t="str">
        <f t="shared" si="11"/>
        <v xml:space="preserve">Row 90 - If ‘Total amount’ is given, then ‘Net / Gross’ and ‘Total amount unit’ are required </v>
      </c>
      <c r="L347" t="s">
        <v>33308</v>
      </c>
    </row>
    <row r="348" spans="6:12" x14ac:dyDescent="0.2">
      <c r="F348" t="s">
        <v>33308</v>
      </c>
      <c r="G348" t="b">
        <f>IF(OR(INDEX(IHZ_HAZ_TOTAMOUNT,91,1)&lt;&gt;"",),IF(OR(INDEX(IHZ_HAZ_TOTNETGROSS,91,1)="",INDEX(IHZ_HAZ_TOTUNIT,91,1)="",),FALSE,TRUE),TRUE)</f>
        <v>1</v>
      </c>
      <c r="H348" t="str">
        <f t="shared" si="10"/>
        <v xml:space="preserve">Row 91 - If ‘Total amount’ is given, then ‘Net / Gross’ and ‘Total amount unit’ are required </v>
      </c>
      <c r="I348" t="s">
        <v>33308</v>
      </c>
      <c r="J348" t="b">
        <f>IF(OR(INDEX(OHZ_HAZ_TOTAMOUNT,91,1)&lt;&gt;"",),IF(OR(INDEX(OHZ_HAZ_TOTNETGROSS,91,1)="",INDEX(OHZ_HAZ_TOTUNIT,91,1)="",),FALSE,TRUE),TRUE)</f>
        <v>1</v>
      </c>
      <c r="K348" t="str">
        <f t="shared" si="11"/>
        <v xml:space="preserve">Row 91 - If ‘Total amount’ is given, then ‘Net / Gross’ and ‘Total amount unit’ are required </v>
      </c>
      <c r="L348" t="s">
        <v>33308</v>
      </c>
    </row>
    <row r="349" spans="6:12" x14ac:dyDescent="0.2">
      <c r="F349" t="s">
        <v>33308</v>
      </c>
      <c r="G349" t="b">
        <f>IF(OR(INDEX(IHZ_HAZ_TOTAMOUNT,92,1)&lt;&gt;"",),IF(OR(INDEX(IHZ_HAZ_TOTNETGROSS,92,1)="",INDEX(IHZ_HAZ_TOTUNIT,92,1)="",),FALSE,TRUE),TRUE)</f>
        <v>1</v>
      </c>
      <c r="H349" t="str">
        <f t="shared" si="10"/>
        <v xml:space="preserve">Row 92 - If ‘Total amount’ is given, then ‘Net / Gross’ and ‘Total amount unit’ are required </v>
      </c>
      <c r="I349" t="s">
        <v>33308</v>
      </c>
      <c r="J349" t="b">
        <f>IF(OR(INDEX(OHZ_HAZ_TOTAMOUNT,92,1)&lt;&gt;"",),IF(OR(INDEX(OHZ_HAZ_TOTNETGROSS,92,1)="",INDEX(OHZ_HAZ_TOTUNIT,92,1)="",),FALSE,TRUE),TRUE)</f>
        <v>1</v>
      </c>
      <c r="K349" t="str">
        <f t="shared" si="11"/>
        <v xml:space="preserve">Row 92 - If ‘Total amount’ is given, then ‘Net / Gross’ and ‘Total amount unit’ are required </v>
      </c>
      <c r="L349" t="s">
        <v>33308</v>
      </c>
    </row>
    <row r="350" spans="6:12" x14ac:dyDescent="0.2">
      <c r="F350" t="s">
        <v>33308</v>
      </c>
      <c r="G350" t="b">
        <f>IF(OR(INDEX(IHZ_HAZ_TOTAMOUNT,93,1)&lt;&gt;"",),IF(OR(INDEX(IHZ_HAZ_TOTNETGROSS,93,1)="",INDEX(IHZ_HAZ_TOTUNIT,93,1)="",),FALSE,TRUE),TRUE)</f>
        <v>1</v>
      </c>
      <c r="H350" t="str">
        <f t="shared" si="10"/>
        <v xml:space="preserve">Row 93 - If ‘Total amount’ is given, then ‘Net / Gross’ and ‘Total amount unit’ are required </v>
      </c>
      <c r="I350" t="s">
        <v>33308</v>
      </c>
      <c r="J350" t="b">
        <f>IF(OR(INDEX(OHZ_HAZ_TOTAMOUNT,93,1)&lt;&gt;"",),IF(OR(INDEX(OHZ_HAZ_TOTNETGROSS,93,1)="",INDEX(OHZ_HAZ_TOTUNIT,93,1)="",),FALSE,TRUE),TRUE)</f>
        <v>1</v>
      </c>
      <c r="K350" t="str">
        <f t="shared" si="11"/>
        <v xml:space="preserve">Row 93 - If ‘Total amount’ is given, then ‘Net / Gross’ and ‘Total amount unit’ are required </v>
      </c>
      <c r="L350" t="s">
        <v>33308</v>
      </c>
    </row>
    <row r="351" spans="6:12" x14ac:dyDescent="0.2">
      <c r="F351" t="s">
        <v>33308</v>
      </c>
      <c r="G351" t="b">
        <f>IF(OR(INDEX(IHZ_HAZ_TOTAMOUNT,94,1)&lt;&gt;"",),IF(OR(INDEX(IHZ_HAZ_TOTNETGROSS,94,1)="",INDEX(IHZ_HAZ_TOTUNIT,94,1)="",),FALSE,TRUE),TRUE)</f>
        <v>1</v>
      </c>
      <c r="H351" t="str">
        <f t="shared" si="10"/>
        <v xml:space="preserve">Row 94 - If ‘Total amount’ is given, then ‘Net / Gross’ and ‘Total amount unit’ are required </v>
      </c>
      <c r="I351" t="s">
        <v>33308</v>
      </c>
      <c r="J351" t="b">
        <f>IF(OR(INDEX(OHZ_HAZ_TOTAMOUNT,94,1)&lt;&gt;"",),IF(OR(INDEX(OHZ_HAZ_TOTNETGROSS,94,1)="",INDEX(OHZ_HAZ_TOTUNIT,94,1)="",),FALSE,TRUE),TRUE)</f>
        <v>1</v>
      </c>
      <c r="K351" t="str">
        <f t="shared" si="11"/>
        <v xml:space="preserve">Row 94 - If ‘Total amount’ is given, then ‘Net / Gross’ and ‘Total amount unit’ are required </v>
      </c>
      <c r="L351" t="s">
        <v>33308</v>
      </c>
    </row>
    <row r="352" spans="6:12" x14ac:dyDescent="0.2">
      <c r="F352" t="s">
        <v>33308</v>
      </c>
      <c r="G352" t="b">
        <f>IF(OR(INDEX(IHZ_HAZ_TOTAMOUNT,95,1)&lt;&gt;"",),IF(OR(INDEX(IHZ_HAZ_TOTNETGROSS,95,1)="",INDEX(IHZ_HAZ_TOTUNIT,95,1)="",),FALSE,TRUE),TRUE)</f>
        <v>1</v>
      </c>
      <c r="H352" t="str">
        <f t="shared" si="10"/>
        <v xml:space="preserve">Row 95 - If ‘Total amount’ is given, then ‘Net / Gross’ and ‘Total amount unit’ are required </v>
      </c>
      <c r="I352" t="s">
        <v>33308</v>
      </c>
      <c r="J352" t="b">
        <f>IF(OR(INDEX(OHZ_HAZ_TOTAMOUNT,95,1)&lt;&gt;"",),IF(OR(INDEX(OHZ_HAZ_TOTNETGROSS,95,1)="",INDEX(OHZ_HAZ_TOTUNIT,95,1)="",),FALSE,TRUE),TRUE)</f>
        <v>1</v>
      </c>
      <c r="K352" t="str">
        <f t="shared" si="11"/>
        <v xml:space="preserve">Row 95 - If ‘Total amount’ is given, then ‘Net / Gross’ and ‘Total amount unit’ are required </v>
      </c>
      <c r="L352" t="s">
        <v>33308</v>
      </c>
    </row>
    <row r="353" spans="6:12" x14ac:dyDescent="0.2">
      <c r="F353" t="s">
        <v>33308</v>
      </c>
      <c r="G353" t="b">
        <f>IF(OR(INDEX(IHZ_HAZ_TOTAMOUNT,96,1)&lt;&gt;"",),IF(OR(INDEX(IHZ_HAZ_TOTNETGROSS,96,1)="",INDEX(IHZ_HAZ_TOTUNIT,96,1)="",),FALSE,TRUE),TRUE)</f>
        <v>1</v>
      </c>
      <c r="H353" t="str">
        <f t="shared" si="10"/>
        <v xml:space="preserve">Row 96 - If ‘Total amount’ is given, then ‘Net / Gross’ and ‘Total amount unit’ are required </v>
      </c>
      <c r="I353" t="s">
        <v>33308</v>
      </c>
      <c r="J353" t="b">
        <f>IF(OR(INDEX(OHZ_HAZ_TOTAMOUNT,96,1)&lt;&gt;"",),IF(OR(INDEX(OHZ_HAZ_TOTNETGROSS,96,1)="",INDEX(OHZ_HAZ_TOTUNIT,96,1)="",),FALSE,TRUE),TRUE)</f>
        <v>1</v>
      </c>
      <c r="K353" t="str">
        <f t="shared" si="11"/>
        <v xml:space="preserve">Row 96 - If ‘Total amount’ is given, then ‘Net / Gross’ and ‘Total amount unit’ are required </v>
      </c>
      <c r="L353" t="s">
        <v>33308</v>
      </c>
    </row>
    <row r="354" spans="6:12" x14ac:dyDescent="0.2">
      <c r="F354" t="s">
        <v>33308</v>
      </c>
      <c r="G354" t="b">
        <f>IF(OR(INDEX(IHZ_HAZ_TOTAMOUNT,97,1)&lt;&gt;"",),IF(OR(INDEX(IHZ_HAZ_TOTNETGROSS,97,1)="",INDEX(IHZ_HAZ_TOTUNIT,97,1)="",),FALSE,TRUE),TRUE)</f>
        <v>1</v>
      </c>
      <c r="H354" t="str">
        <f t="shared" si="10"/>
        <v xml:space="preserve">Row 97 - If ‘Total amount’ is given, then ‘Net / Gross’ and ‘Total amount unit’ are required </v>
      </c>
      <c r="I354" t="s">
        <v>33308</v>
      </c>
      <c r="J354" t="b">
        <f>IF(OR(INDEX(OHZ_HAZ_TOTAMOUNT,97,1)&lt;&gt;"",),IF(OR(INDEX(OHZ_HAZ_TOTNETGROSS,97,1)="",INDEX(OHZ_HAZ_TOTUNIT,97,1)="",),FALSE,TRUE),TRUE)</f>
        <v>1</v>
      </c>
      <c r="K354" t="str">
        <f t="shared" si="11"/>
        <v xml:space="preserve">Row 97 - If ‘Total amount’ is given, then ‘Net / Gross’ and ‘Total amount unit’ are required </v>
      </c>
      <c r="L354" t="s">
        <v>33308</v>
      </c>
    </row>
    <row r="355" spans="6:12" x14ac:dyDescent="0.2">
      <c r="F355" t="s">
        <v>33308</v>
      </c>
      <c r="G355" t="b">
        <f>IF(OR(INDEX(IHZ_HAZ_TOTAMOUNT,98,1)&lt;&gt;"",),IF(OR(INDEX(IHZ_HAZ_TOTNETGROSS,98,1)="",INDEX(IHZ_HAZ_TOTUNIT,98,1)="",),FALSE,TRUE),TRUE)</f>
        <v>1</v>
      </c>
      <c r="H355" t="str">
        <f t="shared" si="10"/>
        <v xml:space="preserve">Row 98 - If ‘Total amount’ is given, then ‘Net / Gross’ and ‘Total amount unit’ are required </v>
      </c>
      <c r="I355" t="s">
        <v>33308</v>
      </c>
      <c r="J355" t="b">
        <f>IF(OR(INDEX(OHZ_HAZ_TOTAMOUNT,98,1)&lt;&gt;"",),IF(OR(INDEX(OHZ_HAZ_TOTNETGROSS,98,1)="",INDEX(OHZ_HAZ_TOTUNIT,98,1)="",),FALSE,TRUE),TRUE)</f>
        <v>1</v>
      </c>
      <c r="K355" t="str">
        <f t="shared" si="11"/>
        <v xml:space="preserve">Row 98 - If ‘Total amount’ is given, then ‘Net / Gross’ and ‘Total amount unit’ are required </v>
      </c>
      <c r="L355" t="s">
        <v>33308</v>
      </c>
    </row>
    <row r="356" spans="6:12" x14ac:dyDescent="0.2">
      <c r="F356" t="s">
        <v>33308</v>
      </c>
      <c r="G356" t="b">
        <f>IF(OR(INDEX(IHZ_HAZ_TOTAMOUNT,99,1)&lt;&gt;"",),IF(OR(INDEX(IHZ_HAZ_TOTNETGROSS,99,1)="",INDEX(IHZ_HAZ_TOTUNIT,99,1)="",),FALSE,TRUE),TRUE)</f>
        <v>1</v>
      </c>
      <c r="H356" t="str">
        <f t="shared" si="10"/>
        <v xml:space="preserve">Row 99 - If ‘Total amount’ is given, then ‘Net / Gross’ and ‘Total amount unit’ are required </v>
      </c>
      <c r="I356" t="s">
        <v>33308</v>
      </c>
      <c r="J356" t="b">
        <f>IF(OR(INDEX(OHZ_HAZ_TOTAMOUNT,99,1)&lt;&gt;"",),IF(OR(INDEX(OHZ_HAZ_TOTNETGROSS,99,1)="",INDEX(OHZ_HAZ_TOTUNIT,99,1)="",),FALSE,TRUE),TRUE)</f>
        <v>1</v>
      </c>
      <c r="K356" t="str">
        <f t="shared" si="11"/>
        <v xml:space="preserve">Row 99 - If ‘Total amount’ is given, then ‘Net / Gross’ and ‘Total amount unit’ are required </v>
      </c>
      <c r="L356" t="s">
        <v>33308</v>
      </c>
    </row>
    <row r="357" spans="6:12" x14ac:dyDescent="0.2">
      <c r="F357" t="s">
        <v>33308</v>
      </c>
      <c r="G357" t="b">
        <f>IF(OR(INDEX(IHZ_HAZ_TOTAMOUNT,100,1)&lt;&gt;"",),IF(OR(INDEX(IHZ_HAZ_TOTNETGROSS,100,1)="",INDEX(IHZ_HAZ_TOTUNIT,100,1)="",),FALSE,TRUE),TRUE)</f>
        <v>1</v>
      </c>
      <c r="H357" t="str">
        <f t="shared" si="10"/>
        <v xml:space="preserve">Row 100 - If ‘Total amount’ is given, then ‘Net / Gross’ and ‘Total amount unit’ are required </v>
      </c>
      <c r="I357" t="s">
        <v>33308</v>
      </c>
      <c r="J357" t="b">
        <f>IF(OR(INDEX(OHZ_HAZ_TOTAMOUNT,100,1)&lt;&gt;"",),IF(OR(INDEX(OHZ_HAZ_TOTNETGROSS,100,1)="",INDEX(OHZ_HAZ_TOTUNIT,100,1)="",),FALSE,TRUE),TRUE)</f>
        <v>1</v>
      </c>
      <c r="K357" t="str">
        <f t="shared" si="11"/>
        <v xml:space="preserve">Row 100 - If ‘Total amount’ is given, then ‘Net / Gross’ and ‘Total amount unit’ are required </v>
      </c>
      <c r="L357" t="s">
        <v>33308</v>
      </c>
    </row>
    <row r="358" spans="6:12" x14ac:dyDescent="0.2">
      <c r="F358" t="s">
        <v>33308</v>
      </c>
      <c r="G358" t="b">
        <f>IF(OR(INDEX(IHZ_HAZ_TOTAMOUNT,101,1)&lt;&gt;"",),IF(OR(INDEX(IHZ_HAZ_TOTNETGROSS,101,1)="",INDEX(IHZ_HAZ_TOTUNIT,101,1)="",),FALSE,TRUE),TRUE)</f>
        <v>1</v>
      </c>
      <c r="H358" t="str">
        <f t="shared" si="10"/>
        <v xml:space="preserve">Row 101 - If ‘Total amount’ is given, then ‘Net / Gross’ and ‘Total amount unit’ are required </v>
      </c>
      <c r="I358" t="s">
        <v>33308</v>
      </c>
      <c r="J358" t="b">
        <f>IF(OR(INDEX(OHZ_HAZ_TOTAMOUNT,101,1)&lt;&gt;"",),IF(OR(INDEX(OHZ_HAZ_TOTNETGROSS,101,1)="",INDEX(OHZ_HAZ_TOTUNIT,101,1)="",),FALSE,TRUE),TRUE)</f>
        <v>1</v>
      </c>
      <c r="K358" t="str">
        <f t="shared" si="11"/>
        <v xml:space="preserve">Row 101 - If ‘Total amount’ is given, then ‘Net / Gross’ and ‘Total amount unit’ are required </v>
      </c>
      <c r="L358" t="s">
        <v>33308</v>
      </c>
    </row>
    <row r="359" spans="6:12" x14ac:dyDescent="0.2">
      <c r="F359" t="s">
        <v>33308</v>
      </c>
      <c r="G359" t="b">
        <f>IF(OR(INDEX(IHZ_HAZ_TOTAMOUNT,102,1)&lt;&gt;"",),IF(OR(INDEX(IHZ_HAZ_TOTNETGROSS,102,1)="",INDEX(IHZ_HAZ_TOTUNIT,102,1)="",),FALSE,TRUE),TRUE)</f>
        <v>1</v>
      </c>
      <c r="H359" t="str">
        <f t="shared" si="10"/>
        <v xml:space="preserve">Row 102 - If ‘Total amount’ is given, then ‘Net / Gross’ and ‘Total amount unit’ are required </v>
      </c>
      <c r="I359" t="s">
        <v>33308</v>
      </c>
      <c r="J359" t="b">
        <f>IF(OR(INDEX(OHZ_HAZ_TOTAMOUNT,102,1)&lt;&gt;"",),IF(OR(INDEX(OHZ_HAZ_TOTNETGROSS,102,1)="",INDEX(OHZ_HAZ_TOTUNIT,102,1)="",),FALSE,TRUE),TRUE)</f>
        <v>1</v>
      </c>
      <c r="K359" t="str">
        <f t="shared" si="11"/>
        <v xml:space="preserve">Row 102 - If ‘Total amount’ is given, then ‘Net / Gross’ and ‘Total amount unit’ are required </v>
      </c>
      <c r="L359" t="s">
        <v>33308</v>
      </c>
    </row>
    <row r="360" spans="6:12" x14ac:dyDescent="0.2">
      <c r="F360" t="s">
        <v>33308</v>
      </c>
      <c r="G360" t="b">
        <f>IF(OR(INDEX(IHZ_HAZ_TOTAMOUNT,103,1)&lt;&gt;"",),IF(OR(INDEX(IHZ_HAZ_TOTNETGROSS,103,1)="",INDEX(IHZ_HAZ_TOTUNIT,103,1)="",),FALSE,TRUE),TRUE)</f>
        <v>1</v>
      </c>
      <c r="H360" t="str">
        <f t="shared" si="10"/>
        <v xml:space="preserve">Row 103 - If ‘Total amount’ is given, then ‘Net / Gross’ and ‘Total amount unit’ are required </v>
      </c>
      <c r="I360" t="s">
        <v>33308</v>
      </c>
      <c r="J360" t="b">
        <f>IF(OR(INDEX(OHZ_HAZ_TOTAMOUNT,103,1)&lt;&gt;"",),IF(OR(INDEX(OHZ_HAZ_TOTNETGROSS,103,1)="",INDEX(OHZ_HAZ_TOTUNIT,103,1)="",),FALSE,TRUE),TRUE)</f>
        <v>1</v>
      </c>
      <c r="K360" t="str">
        <f t="shared" si="11"/>
        <v xml:space="preserve">Row 103 - If ‘Total amount’ is given, then ‘Net / Gross’ and ‘Total amount unit’ are required </v>
      </c>
      <c r="L360" t="s">
        <v>33308</v>
      </c>
    </row>
    <row r="361" spans="6:12" x14ac:dyDescent="0.2">
      <c r="F361" t="s">
        <v>33308</v>
      </c>
      <c r="G361" t="b">
        <f>IF(OR(INDEX(IHZ_HAZ_TOTAMOUNT,104,1)&lt;&gt;"",),IF(OR(INDEX(IHZ_HAZ_TOTNETGROSS,104,1)="",INDEX(IHZ_HAZ_TOTUNIT,104,1)="",),FALSE,TRUE),TRUE)</f>
        <v>1</v>
      </c>
      <c r="H361" t="str">
        <f t="shared" si="10"/>
        <v xml:space="preserve">Row 104 - If ‘Total amount’ is given, then ‘Net / Gross’ and ‘Total amount unit’ are required </v>
      </c>
      <c r="I361" t="s">
        <v>33308</v>
      </c>
      <c r="J361" t="b">
        <f>IF(OR(INDEX(OHZ_HAZ_TOTAMOUNT,104,1)&lt;&gt;"",),IF(OR(INDEX(OHZ_HAZ_TOTNETGROSS,104,1)="",INDEX(OHZ_HAZ_TOTUNIT,104,1)="",),FALSE,TRUE),TRUE)</f>
        <v>1</v>
      </c>
      <c r="K361" t="str">
        <f t="shared" si="11"/>
        <v xml:space="preserve">Row 104 - If ‘Total amount’ is given, then ‘Net / Gross’ and ‘Total amount unit’ are required </v>
      </c>
      <c r="L361" t="s">
        <v>33308</v>
      </c>
    </row>
    <row r="362" spans="6:12" x14ac:dyDescent="0.2">
      <c r="F362" t="s">
        <v>33308</v>
      </c>
      <c r="G362" t="b">
        <f>IF(OR(INDEX(IHZ_HAZ_TOTAMOUNT,105,1)&lt;&gt;"",),IF(OR(INDEX(IHZ_HAZ_TOTNETGROSS,105,1)="",INDEX(IHZ_HAZ_TOTUNIT,105,1)="",),FALSE,TRUE),TRUE)</f>
        <v>1</v>
      </c>
      <c r="H362" t="str">
        <f t="shared" si="10"/>
        <v xml:space="preserve">Row 105 - If ‘Total amount’ is given, then ‘Net / Gross’ and ‘Total amount unit’ are required </v>
      </c>
      <c r="I362" t="s">
        <v>33308</v>
      </c>
      <c r="J362" t="b">
        <f>IF(OR(INDEX(OHZ_HAZ_TOTAMOUNT,105,1)&lt;&gt;"",),IF(OR(INDEX(OHZ_HAZ_TOTNETGROSS,105,1)="",INDEX(OHZ_HAZ_TOTUNIT,105,1)="",),FALSE,TRUE),TRUE)</f>
        <v>1</v>
      </c>
      <c r="K362" t="str">
        <f t="shared" si="11"/>
        <v xml:space="preserve">Row 105 - If ‘Total amount’ is given, then ‘Net / Gross’ and ‘Total amount unit’ are required </v>
      </c>
      <c r="L362" t="s">
        <v>33308</v>
      </c>
    </row>
    <row r="363" spans="6:12" x14ac:dyDescent="0.2">
      <c r="F363" t="s">
        <v>33308</v>
      </c>
      <c r="G363" t="b">
        <f>IF(OR(INDEX(IHZ_HAZ_TOTAMOUNT,106,1)&lt;&gt;"",),IF(OR(INDEX(IHZ_HAZ_TOTNETGROSS,106,1)="",INDEX(IHZ_HAZ_TOTUNIT,106,1)="",),FALSE,TRUE),TRUE)</f>
        <v>1</v>
      </c>
      <c r="H363" t="str">
        <f t="shared" si="10"/>
        <v xml:space="preserve">Row 106 - If ‘Total amount’ is given, then ‘Net / Gross’ and ‘Total amount unit’ are required </v>
      </c>
      <c r="I363" t="s">
        <v>33308</v>
      </c>
      <c r="J363" t="b">
        <f>IF(OR(INDEX(OHZ_HAZ_TOTAMOUNT,106,1)&lt;&gt;"",),IF(OR(INDEX(OHZ_HAZ_TOTNETGROSS,106,1)="",INDEX(OHZ_HAZ_TOTUNIT,106,1)="",),FALSE,TRUE),TRUE)</f>
        <v>1</v>
      </c>
      <c r="K363" t="str">
        <f t="shared" si="11"/>
        <v xml:space="preserve">Row 106 - If ‘Total amount’ is given, then ‘Net / Gross’ and ‘Total amount unit’ are required </v>
      </c>
      <c r="L363" t="s">
        <v>33308</v>
      </c>
    </row>
    <row r="364" spans="6:12" x14ac:dyDescent="0.2">
      <c r="F364" t="s">
        <v>33308</v>
      </c>
      <c r="G364" t="b">
        <f>IF(OR(INDEX(IHZ_HAZ_TOTAMOUNT,107,1)&lt;&gt;"",),IF(OR(INDEX(IHZ_HAZ_TOTNETGROSS,107,1)="",INDEX(IHZ_HAZ_TOTUNIT,107,1)="",),FALSE,TRUE),TRUE)</f>
        <v>1</v>
      </c>
      <c r="H364" t="str">
        <f t="shared" si="10"/>
        <v xml:space="preserve">Row 107 - If ‘Total amount’ is given, then ‘Net / Gross’ and ‘Total amount unit’ are required </v>
      </c>
      <c r="I364" t="s">
        <v>33308</v>
      </c>
      <c r="J364" t="b">
        <f>IF(OR(INDEX(OHZ_HAZ_TOTAMOUNT,107,1)&lt;&gt;"",),IF(OR(INDEX(OHZ_HAZ_TOTNETGROSS,107,1)="",INDEX(OHZ_HAZ_TOTUNIT,107,1)="",),FALSE,TRUE),TRUE)</f>
        <v>1</v>
      </c>
      <c r="K364" t="str">
        <f t="shared" si="11"/>
        <v xml:space="preserve">Row 107 - If ‘Total amount’ is given, then ‘Net / Gross’ and ‘Total amount unit’ are required </v>
      </c>
      <c r="L364" t="s">
        <v>33308</v>
      </c>
    </row>
    <row r="365" spans="6:12" x14ac:dyDescent="0.2">
      <c r="F365" t="s">
        <v>33308</v>
      </c>
      <c r="G365" t="b">
        <f>IF(OR(INDEX(IHZ_HAZ_TOTAMOUNT,108,1)&lt;&gt;"",),IF(OR(INDEX(IHZ_HAZ_TOTNETGROSS,108,1)="",INDEX(IHZ_HAZ_TOTUNIT,108,1)="",),FALSE,TRUE),TRUE)</f>
        <v>1</v>
      </c>
      <c r="H365" t="str">
        <f t="shared" si="10"/>
        <v xml:space="preserve">Row 108 - If ‘Total amount’ is given, then ‘Net / Gross’ and ‘Total amount unit’ are required </v>
      </c>
      <c r="I365" t="s">
        <v>33308</v>
      </c>
      <c r="J365" t="b">
        <f>IF(OR(INDEX(OHZ_HAZ_TOTAMOUNT,108,1)&lt;&gt;"",),IF(OR(INDEX(OHZ_HAZ_TOTNETGROSS,108,1)="",INDEX(OHZ_HAZ_TOTUNIT,108,1)="",),FALSE,TRUE),TRUE)</f>
        <v>1</v>
      </c>
      <c r="K365" t="str">
        <f t="shared" si="11"/>
        <v xml:space="preserve">Row 108 - If ‘Total amount’ is given, then ‘Net / Gross’ and ‘Total amount unit’ are required </v>
      </c>
      <c r="L365" t="s">
        <v>33308</v>
      </c>
    </row>
    <row r="366" spans="6:12" x14ac:dyDescent="0.2">
      <c r="F366" t="s">
        <v>33308</v>
      </c>
      <c r="G366" t="b">
        <f>IF(OR(INDEX(IHZ_HAZ_TOTAMOUNT,109,1)&lt;&gt;"",),IF(OR(INDEX(IHZ_HAZ_TOTNETGROSS,109,1)="",INDEX(IHZ_HAZ_TOTUNIT,109,1)="",),FALSE,TRUE),TRUE)</f>
        <v>1</v>
      </c>
      <c r="H366" t="str">
        <f t="shared" si="10"/>
        <v xml:space="preserve">Row 109 - If ‘Total amount’ is given, then ‘Net / Gross’ and ‘Total amount unit’ are required </v>
      </c>
      <c r="I366" t="s">
        <v>33308</v>
      </c>
      <c r="J366" t="b">
        <f>IF(OR(INDEX(OHZ_HAZ_TOTAMOUNT,109,1)&lt;&gt;"",),IF(OR(INDEX(OHZ_HAZ_TOTNETGROSS,109,1)="",INDEX(OHZ_HAZ_TOTUNIT,109,1)="",),FALSE,TRUE),TRUE)</f>
        <v>1</v>
      </c>
      <c r="K366" t="str">
        <f t="shared" si="11"/>
        <v xml:space="preserve">Row 109 - If ‘Total amount’ is given, then ‘Net / Gross’ and ‘Total amount unit’ are required </v>
      </c>
      <c r="L366" t="s">
        <v>33308</v>
      </c>
    </row>
    <row r="367" spans="6:12" x14ac:dyDescent="0.2">
      <c r="F367" t="s">
        <v>33308</v>
      </c>
      <c r="G367" t="b">
        <f>IF(OR(INDEX(IHZ_HAZ_TOTAMOUNT,110,1)&lt;&gt;"",),IF(OR(INDEX(IHZ_HAZ_TOTNETGROSS,110,1)="",INDEX(IHZ_HAZ_TOTUNIT,110,1)="",),FALSE,TRUE),TRUE)</f>
        <v>1</v>
      </c>
      <c r="H367" t="str">
        <f t="shared" si="10"/>
        <v xml:space="preserve">Row 110 - If ‘Total amount’ is given, then ‘Net / Gross’ and ‘Total amount unit’ are required </v>
      </c>
      <c r="I367" t="s">
        <v>33308</v>
      </c>
      <c r="J367" t="b">
        <f>IF(OR(INDEX(OHZ_HAZ_TOTAMOUNT,110,1)&lt;&gt;"",),IF(OR(INDEX(OHZ_HAZ_TOTNETGROSS,110,1)="",INDEX(OHZ_HAZ_TOTUNIT,110,1)="",),FALSE,TRUE),TRUE)</f>
        <v>1</v>
      </c>
      <c r="K367" t="str">
        <f t="shared" si="11"/>
        <v xml:space="preserve">Row 110 - If ‘Total amount’ is given, then ‘Net / Gross’ and ‘Total amount unit’ are required </v>
      </c>
      <c r="L367" t="s">
        <v>33308</v>
      </c>
    </row>
    <row r="368" spans="6:12" x14ac:dyDescent="0.2">
      <c r="F368" t="s">
        <v>33308</v>
      </c>
      <c r="G368" t="b">
        <f>IF(OR(INDEX(IHZ_HAZ_TOTAMOUNT,111,1)&lt;&gt;"",),IF(OR(INDEX(IHZ_HAZ_TOTNETGROSS,111,1)="",INDEX(IHZ_HAZ_TOTUNIT,111,1)="",),FALSE,TRUE),TRUE)</f>
        <v>1</v>
      </c>
      <c r="H368" t="str">
        <f t="shared" si="10"/>
        <v xml:space="preserve">Row 111 - If ‘Total amount’ is given, then ‘Net / Gross’ and ‘Total amount unit’ are required </v>
      </c>
      <c r="I368" t="s">
        <v>33308</v>
      </c>
      <c r="J368" t="b">
        <f>IF(OR(INDEX(OHZ_HAZ_TOTAMOUNT,111,1)&lt;&gt;"",),IF(OR(INDEX(OHZ_HAZ_TOTNETGROSS,111,1)="",INDEX(OHZ_HAZ_TOTUNIT,111,1)="",),FALSE,TRUE),TRUE)</f>
        <v>1</v>
      </c>
      <c r="K368" t="str">
        <f t="shared" si="11"/>
        <v xml:space="preserve">Row 111 - If ‘Total amount’ is given, then ‘Net / Gross’ and ‘Total amount unit’ are required </v>
      </c>
      <c r="L368" t="s">
        <v>33308</v>
      </c>
    </row>
    <row r="369" spans="6:12" x14ac:dyDescent="0.2">
      <c r="F369" t="s">
        <v>33308</v>
      </c>
      <c r="G369" t="b">
        <f>IF(OR(INDEX(IHZ_HAZ_TOTAMOUNT,112,1)&lt;&gt;"",),IF(OR(INDEX(IHZ_HAZ_TOTNETGROSS,112,1)="",INDEX(IHZ_HAZ_TOTUNIT,112,1)="",),FALSE,TRUE),TRUE)</f>
        <v>1</v>
      </c>
      <c r="H369" t="str">
        <f t="shared" si="10"/>
        <v xml:space="preserve">Row 112 - If ‘Total amount’ is given, then ‘Net / Gross’ and ‘Total amount unit’ are required </v>
      </c>
      <c r="I369" t="s">
        <v>33308</v>
      </c>
      <c r="J369" t="b">
        <f>IF(OR(INDEX(OHZ_HAZ_TOTAMOUNT,112,1)&lt;&gt;"",),IF(OR(INDEX(OHZ_HAZ_TOTNETGROSS,112,1)="",INDEX(OHZ_HAZ_TOTUNIT,112,1)="",),FALSE,TRUE),TRUE)</f>
        <v>1</v>
      </c>
      <c r="K369" t="str">
        <f t="shared" si="11"/>
        <v xml:space="preserve">Row 112 - If ‘Total amount’ is given, then ‘Net / Gross’ and ‘Total amount unit’ are required </v>
      </c>
      <c r="L369" t="s">
        <v>33308</v>
      </c>
    </row>
    <row r="370" spans="6:12" x14ac:dyDescent="0.2">
      <c r="F370" t="s">
        <v>33308</v>
      </c>
      <c r="G370" t="b">
        <f>IF(OR(INDEX(IHZ_HAZ_TOTAMOUNT,113,1)&lt;&gt;"",),IF(OR(INDEX(IHZ_HAZ_TOTNETGROSS,113,1)="",INDEX(IHZ_HAZ_TOTUNIT,113,1)="",),FALSE,TRUE),TRUE)</f>
        <v>1</v>
      </c>
      <c r="H370" t="str">
        <f t="shared" si="10"/>
        <v xml:space="preserve">Row 113 - If ‘Total amount’ is given, then ‘Net / Gross’ and ‘Total amount unit’ are required </v>
      </c>
      <c r="I370" t="s">
        <v>33308</v>
      </c>
      <c r="J370" t="b">
        <f>IF(OR(INDEX(OHZ_HAZ_TOTAMOUNT,113,1)&lt;&gt;"",),IF(OR(INDEX(OHZ_HAZ_TOTNETGROSS,113,1)="",INDEX(OHZ_HAZ_TOTUNIT,113,1)="",),FALSE,TRUE),TRUE)</f>
        <v>1</v>
      </c>
      <c r="K370" t="str">
        <f t="shared" si="11"/>
        <v xml:space="preserve">Row 113 - If ‘Total amount’ is given, then ‘Net / Gross’ and ‘Total amount unit’ are required </v>
      </c>
      <c r="L370" t="s">
        <v>33308</v>
      </c>
    </row>
    <row r="371" spans="6:12" x14ac:dyDescent="0.2">
      <c r="F371" t="s">
        <v>33308</v>
      </c>
      <c r="G371" t="b">
        <f>IF(OR(INDEX(IHZ_HAZ_TOTAMOUNT,114,1)&lt;&gt;"",),IF(OR(INDEX(IHZ_HAZ_TOTNETGROSS,114,1)="",INDEX(IHZ_HAZ_TOTUNIT,114,1)="",),FALSE,TRUE),TRUE)</f>
        <v>1</v>
      </c>
      <c r="H371" t="str">
        <f t="shared" si="10"/>
        <v xml:space="preserve">Row 114 - If ‘Total amount’ is given, then ‘Net / Gross’ and ‘Total amount unit’ are required </v>
      </c>
      <c r="I371" t="s">
        <v>33308</v>
      </c>
      <c r="J371" t="b">
        <f>IF(OR(INDEX(OHZ_HAZ_TOTAMOUNT,114,1)&lt;&gt;"",),IF(OR(INDEX(OHZ_HAZ_TOTNETGROSS,114,1)="",INDEX(OHZ_HAZ_TOTUNIT,114,1)="",),FALSE,TRUE),TRUE)</f>
        <v>1</v>
      </c>
      <c r="K371" t="str">
        <f t="shared" si="11"/>
        <v xml:space="preserve">Row 114 - If ‘Total amount’ is given, then ‘Net / Gross’ and ‘Total amount unit’ are required </v>
      </c>
      <c r="L371" t="s">
        <v>33308</v>
      </c>
    </row>
    <row r="372" spans="6:12" x14ac:dyDescent="0.2">
      <c r="F372" t="s">
        <v>33308</v>
      </c>
      <c r="G372" t="b">
        <f>IF(OR(INDEX(IHZ_HAZ_TOTAMOUNT,115,1)&lt;&gt;"",),IF(OR(INDEX(IHZ_HAZ_TOTNETGROSS,115,1)="",INDEX(IHZ_HAZ_TOTUNIT,115,1)="",),FALSE,TRUE),TRUE)</f>
        <v>1</v>
      </c>
      <c r="H372" t="str">
        <f t="shared" si="10"/>
        <v xml:space="preserve">Row 115 - If ‘Total amount’ is given, then ‘Net / Gross’ and ‘Total amount unit’ are required </v>
      </c>
      <c r="I372" t="s">
        <v>33308</v>
      </c>
      <c r="J372" t="b">
        <f>IF(OR(INDEX(OHZ_HAZ_TOTAMOUNT,115,1)&lt;&gt;"",),IF(OR(INDEX(OHZ_HAZ_TOTNETGROSS,115,1)="",INDEX(OHZ_HAZ_TOTUNIT,115,1)="",),FALSE,TRUE),TRUE)</f>
        <v>1</v>
      </c>
      <c r="K372" t="str">
        <f t="shared" si="11"/>
        <v xml:space="preserve">Row 115 - If ‘Total amount’ is given, then ‘Net / Gross’ and ‘Total amount unit’ are required </v>
      </c>
      <c r="L372" t="s">
        <v>33308</v>
      </c>
    </row>
    <row r="373" spans="6:12" x14ac:dyDescent="0.2">
      <c r="F373" t="s">
        <v>33308</v>
      </c>
      <c r="G373" t="b">
        <f>IF(OR(INDEX(IHZ_HAZ_TOTAMOUNT,116,1)&lt;&gt;"",),IF(OR(INDEX(IHZ_HAZ_TOTNETGROSS,116,1)="",INDEX(IHZ_HAZ_TOTUNIT,116,1)="",),FALSE,TRUE),TRUE)</f>
        <v>1</v>
      </c>
      <c r="H373" t="str">
        <f t="shared" si="10"/>
        <v xml:space="preserve">Row 116 - If ‘Total amount’ is given, then ‘Net / Gross’ and ‘Total amount unit’ are required </v>
      </c>
      <c r="I373" t="s">
        <v>33308</v>
      </c>
      <c r="J373" t="b">
        <f>IF(OR(INDEX(OHZ_HAZ_TOTAMOUNT,116,1)&lt;&gt;"",),IF(OR(INDEX(OHZ_HAZ_TOTNETGROSS,116,1)="",INDEX(OHZ_HAZ_TOTUNIT,116,1)="",),FALSE,TRUE),TRUE)</f>
        <v>1</v>
      </c>
      <c r="K373" t="str">
        <f t="shared" si="11"/>
        <v xml:space="preserve">Row 116 - If ‘Total amount’ is given, then ‘Net / Gross’ and ‘Total amount unit’ are required </v>
      </c>
      <c r="L373" t="s">
        <v>33308</v>
      </c>
    </row>
    <row r="374" spans="6:12" x14ac:dyDescent="0.2">
      <c r="F374" t="s">
        <v>33308</v>
      </c>
      <c r="G374" t="b">
        <f>IF(OR(INDEX(IHZ_HAZ_TOTAMOUNT,117,1)&lt;&gt;"",),IF(OR(INDEX(IHZ_HAZ_TOTNETGROSS,117,1)="",INDEX(IHZ_HAZ_TOTUNIT,117,1)="",),FALSE,TRUE),TRUE)</f>
        <v>1</v>
      </c>
      <c r="H374" t="str">
        <f t="shared" si="10"/>
        <v xml:space="preserve">Row 117 - If ‘Total amount’ is given, then ‘Net / Gross’ and ‘Total amount unit’ are required </v>
      </c>
      <c r="I374" t="s">
        <v>33308</v>
      </c>
      <c r="J374" t="b">
        <f>IF(OR(INDEX(OHZ_HAZ_TOTAMOUNT,117,1)&lt;&gt;"",),IF(OR(INDEX(OHZ_HAZ_TOTNETGROSS,117,1)="",INDEX(OHZ_HAZ_TOTUNIT,117,1)="",),FALSE,TRUE),TRUE)</f>
        <v>1</v>
      </c>
      <c r="K374" t="str">
        <f t="shared" si="11"/>
        <v xml:space="preserve">Row 117 - If ‘Total amount’ is given, then ‘Net / Gross’ and ‘Total amount unit’ are required </v>
      </c>
      <c r="L374" t="s">
        <v>33308</v>
      </c>
    </row>
    <row r="375" spans="6:12" x14ac:dyDescent="0.2">
      <c r="F375" t="s">
        <v>33308</v>
      </c>
      <c r="G375" t="b">
        <f>IF(OR(INDEX(IHZ_HAZ_TOTAMOUNT,118,1)&lt;&gt;"",),IF(OR(INDEX(IHZ_HAZ_TOTNETGROSS,118,1)="",INDEX(IHZ_HAZ_TOTUNIT,118,1)="",),FALSE,TRUE),TRUE)</f>
        <v>1</v>
      </c>
      <c r="H375" t="str">
        <f t="shared" si="10"/>
        <v xml:space="preserve">Row 118 - If ‘Total amount’ is given, then ‘Net / Gross’ and ‘Total amount unit’ are required </v>
      </c>
      <c r="I375" t="s">
        <v>33308</v>
      </c>
      <c r="J375" t="b">
        <f>IF(OR(INDEX(OHZ_HAZ_TOTAMOUNT,118,1)&lt;&gt;"",),IF(OR(INDEX(OHZ_HAZ_TOTNETGROSS,118,1)="",INDEX(OHZ_HAZ_TOTUNIT,118,1)="",),FALSE,TRUE),TRUE)</f>
        <v>1</v>
      </c>
      <c r="K375" t="str">
        <f t="shared" si="11"/>
        <v xml:space="preserve">Row 118 - If ‘Total amount’ is given, then ‘Net / Gross’ and ‘Total amount unit’ are required </v>
      </c>
      <c r="L375" t="s">
        <v>33308</v>
      </c>
    </row>
    <row r="376" spans="6:12" x14ac:dyDescent="0.2">
      <c r="F376" t="s">
        <v>33308</v>
      </c>
      <c r="G376" t="b">
        <f>IF(OR(INDEX(IHZ_HAZ_TOTAMOUNT,119,1)&lt;&gt;"",),IF(OR(INDEX(IHZ_HAZ_TOTNETGROSS,119,1)="",INDEX(IHZ_HAZ_TOTUNIT,119,1)="",),FALSE,TRUE),TRUE)</f>
        <v>1</v>
      </c>
      <c r="H376" t="str">
        <f t="shared" si="10"/>
        <v xml:space="preserve">Row 119 - If ‘Total amount’ is given, then ‘Net / Gross’ and ‘Total amount unit’ are required </v>
      </c>
      <c r="I376" t="s">
        <v>33308</v>
      </c>
      <c r="J376" t="b">
        <f>IF(OR(INDEX(OHZ_HAZ_TOTAMOUNT,119,1)&lt;&gt;"",),IF(OR(INDEX(OHZ_HAZ_TOTNETGROSS,119,1)="",INDEX(OHZ_HAZ_TOTUNIT,119,1)="",),FALSE,TRUE),TRUE)</f>
        <v>1</v>
      </c>
      <c r="K376" t="str">
        <f t="shared" si="11"/>
        <v xml:space="preserve">Row 119 - If ‘Total amount’ is given, then ‘Net / Gross’ and ‘Total amount unit’ are required </v>
      </c>
      <c r="L376" t="s">
        <v>33308</v>
      </c>
    </row>
    <row r="377" spans="6:12" x14ac:dyDescent="0.2">
      <c r="F377" t="s">
        <v>33308</v>
      </c>
      <c r="G377" t="b">
        <f>IF(OR(INDEX(IHZ_HAZ_TOTAMOUNT,120,1)&lt;&gt;"",),IF(OR(INDEX(IHZ_HAZ_TOTNETGROSS,120,1)="",INDEX(IHZ_HAZ_TOTUNIT,120,1)="",),FALSE,TRUE),TRUE)</f>
        <v>1</v>
      </c>
      <c r="H377" t="str">
        <f t="shared" si="10"/>
        <v xml:space="preserve">Row 120 - If ‘Total amount’ is given, then ‘Net / Gross’ and ‘Total amount unit’ are required </v>
      </c>
      <c r="I377" t="s">
        <v>33308</v>
      </c>
      <c r="J377" t="b">
        <f>IF(OR(INDEX(OHZ_HAZ_TOTAMOUNT,120,1)&lt;&gt;"",),IF(OR(INDEX(OHZ_HAZ_TOTNETGROSS,120,1)="",INDEX(OHZ_HAZ_TOTUNIT,120,1)="",),FALSE,TRUE),TRUE)</f>
        <v>1</v>
      </c>
      <c r="K377" t="str">
        <f t="shared" si="11"/>
        <v xml:space="preserve">Row 120 - If ‘Total amount’ is given, then ‘Net / Gross’ and ‘Total amount unit’ are required </v>
      </c>
      <c r="L377" t="s">
        <v>33308</v>
      </c>
    </row>
    <row r="378" spans="6:12" x14ac:dyDescent="0.2">
      <c r="F378" t="s">
        <v>33308</v>
      </c>
      <c r="G378" t="b">
        <f>IF(OR(INDEX(IHZ_HAZ_TOTAMOUNT,121,1)&lt;&gt;"",),IF(OR(INDEX(IHZ_HAZ_TOTNETGROSS,121,1)="",INDEX(IHZ_HAZ_TOTUNIT,121,1)="",),FALSE,TRUE),TRUE)</f>
        <v>1</v>
      </c>
      <c r="H378" t="str">
        <f t="shared" si="10"/>
        <v xml:space="preserve">Row 121 - If ‘Total amount’ is given, then ‘Net / Gross’ and ‘Total amount unit’ are required </v>
      </c>
      <c r="I378" t="s">
        <v>33308</v>
      </c>
      <c r="J378" t="b">
        <f>IF(OR(INDEX(OHZ_HAZ_TOTAMOUNT,121,1)&lt;&gt;"",),IF(OR(INDEX(OHZ_HAZ_TOTNETGROSS,121,1)="",INDEX(OHZ_HAZ_TOTUNIT,121,1)="",),FALSE,TRUE),TRUE)</f>
        <v>1</v>
      </c>
      <c r="K378" t="str">
        <f t="shared" si="11"/>
        <v xml:space="preserve">Row 121 - If ‘Total amount’ is given, then ‘Net / Gross’ and ‘Total amount unit’ are required </v>
      </c>
      <c r="L378" t="s">
        <v>33308</v>
      </c>
    </row>
    <row r="379" spans="6:12" x14ac:dyDescent="0.2">
      <c r="F379" t="s">
        <v>33308</v>
      </c>
      <c r="G379" t="b">
        <f>IF(OR(INDEX(IHZ_HAZ_TOTAMOUNT,122,1)&lt;&gt;"",),IF(OR(INDEX(IHZ_HAZ_TOTNETGROSS,122,1)="",INDEX(IHZ_HAZ_TOTUNIT,122,1)="",),FALSE,TRUE),TRUE)</f>
        <v>1</v>
      </c>
      <c r="H379" t="str">
        <f t="shared" si="10"/>
        <v xml:space="preserve">Row 122 - If ‘Total amount’ is given, then ‘Net / Gross’ and ‘Total amount unit’ are required </v>
      </c>
      <c r="I379" t="s">
        <v>33308</v>
      </c>
      <c r="J379" t="b">
        <f>IF(OR(INDEX(OHZ_HAZ_TOTAMOUNT,122,1)&lt;&gt;"",),IF(OR(INDEX(OHZ_HAZ_TOTNETGROSS,122,1)="",INDEX(OHZ_HAZ_TOTUNIT,122,1)="",),FALSE,TRUE),TRUE)</f>
        <v>1</v>
      </c>
      <c r="K379" t="str">
        <f t="shared" si="11"/>
        <v xml:space="preserve">Row 122 - If ‘Total amount’ is given, then ‘Net / Gross’ and ‘Total amount unit’ are required </v>
      </c>
      <c r="L379" t="s">
        <v>33308</v>
      </c>
    </row>
    <row r="380" spans="6:12" x14ac:dyDescent="0.2">
      <c r="F380" t="s">
        <v>33308</v>
      </c>
      <c r="G380" t="b">
        <f>IF(OR(INDEX(IHZ_HAZ_TOTAMOUNT,123,1)&lt;&gt;"",),IF(OR(INDEX(IHZ_HAZ_TOTNETGROSS,123,1)="",INDEX(IHZ_HAZ_TOTUNIT,123,1)="",),FALSE,TRUE),TRUE)</f>
        <v>1</v>
      </c>
      <c r="H380" t="str">
        <f t="shared" si="10"/>
        <v xml:space="preserve">Row 123 - If ‘Total amount’ is given, then ‘Net / Gross’ and ‘Total amount unit’ are required </v>
      </c>
      <c r="I380" t="s">
        <v>33308</v>
      </c>
      <c r="J380" t="b">
        <f>IF(OR(INDEX(OHZ_HAZ_TOTAMOUNT,123,1)&lt;&gt;"",),IF(OR(INDEX(OHZ_HAZ_TOTNETGROSS,123,1)="",INDEX(OHZ_HAZ_TOTUNIT,123,1)="",),FALSE,TRUE),TRUE)</f>
        <v>1</v>
      </c>
      <c r="K380" t="str">
        <f t="shared" si="11"/>
        <v xml:space="preserve">Row 123 - If ‘Total amount’ is given, then ‘Net / Gross’ and ‘Total amount unit’ are required </v>
      </c>
      <c r="L380" t="s">
        <v>33308</v>
      </c>
    </row>
    <row r="381" spans="6:12" x14ac:dyDescent="0.2">
      <c r="F381" t="s">
        <v>33308</v>
      </c>
      <c r="G381" t="b">
        <f>IF(OR(INDEX(IHZ_HAZ_TOTAMOUNT,124,1)&lt;&gt;"",),IF(OR(INDEX(IHZ_HAZ_TOTNETGROSS,124,1)="",INDEX(IHZ_HAZ_TOTUNIT,124,1)="",),FALSE,TRUE),TRUE)</f>
        <v>1</v>
      </c>
      <c r="H381" t="str">
        <f t="shared" si="10"/>
        <v xml:space="preserve">Row 124 - If ‘Total amount’ is given, then ‘Net / Gross’ and ‘Total amount unit’ are required </v>
      </c>
      <c r="I381" t="s">
        <v>33308</v>
      </c>
      <c r="J381" t="b">
        <f>IF(OR(INDEX(OHZ_HAZ_TOTAMOUNT,124,1)&lt;&gt;"",),IF(OR(INDEX(OHZ_HAZ_TOTNETGROSS,124,1)="",INDEX(OHZ_HAZ_TOTUNIT,124,1)="",),FALSE,TRUE),TRUE)</f>
        <v>1</v>
      </c>
      <c r="K381" t="str">
        <f t="shared" si="11"/>
        <v xml:space="preserve">Row 124 - If ‘Total amount’ is given, then ‘Net / Gross’ and ‘Total amount unit’ are required </v>
      </c>
      <c r="L381" t="s">
        <v>33308</v>
      </c>
    </row>
    <row r="382" spans="6:12" x14ac:dyDescent="0.2">
      <c r="F382" t="s">
        <v>33308</v>
      </c>
      <c r="G382" t="b">
        <f>IF(OR(INDEX(IHZ_HAZ_TOTAMOUNT,125,1)&lt;&gt;"",),IF(OR(INDEX(IHZ_HAZ_TOTNETGROSS,125,1)="",INDEX(IHZ_HAZ_TOTUNIT,125,1)="",),FALSE,TRUE),TRUE)</f>
        <v>1</v>
      </c>
      <c r="H382" t="str">
        <f t="shared" si="10"/>
        <v xml:space="preserve">Row 125 - If ‘Total amount’ is given, then ‘Net / Gross’ and ‘Total amount unit’ are required </v>
      </c>
      <c r="I382" t="s">
        <v>33308</v>
      </c>
      <c r="J382" t="b">
        <f>IF(OR(INDEX(OHZ_HAZ_TOTAMOUNT,125,1)&lt;&gt;"",),IF(OR(INDEX(OHZ_HAZ_TOTNETGROSS,125,1)="",INDEX(OHZ_HAZ_TOTUNIT,125,1)="",),FALSE,TRUE),TRUE)</f>
        <v>1</v>
      </c>
      <c r="K382" t="str">
        <f t="shared" si="11"/>
        <v xml:space="preserve">Row 125 - If ‘Total amount’ is given, then ‘Net / Gross’ and ‘Total amount unit’ are required </v>
      </c>
      <c r="L382" t="s">
        <v>33308</v>
      </c>
    </row>
    <row r="383" spans="6:12" x14ac:dyDescent="0.2">
      <c r="F383" t="s">
        <v>33308</v>
      </c>
      <c r="G383" t="b">
        <f>IF(OR(INDEX(IHZ_HAZ_TOTAMOUNT,126,1)&lt;&gt;"",),IF(OR(INDEX(IHZ_HAZ_TOTNETGROSS,126,1)="",INDEX(IHZ_HAZ_TOTUNIT,126,1)="",),FALSE,TRUE),TRUE)</f>
        <v>1</v>
      </c>
      <c r="H383" t="str">
        <f t="shared" si="10"/>
        <v xml:space="preserve">Row 126 - If ‘Total amount’ is given, then ‘Net / Gross’ and ‘Total amount unit’ are required </v>
      </c>
      <c r="I383" t="s">
        <v>33308</v>
      </c>
      <c r="J383" t="b">
        <f>IF(OR(INDEX(OHZ_HAZ_TOTAMOUNT,126,1)&lt;&gt;"",),IF(OR(INDEX(OHZ_HAZ_TOTNETGROSS,126,1)="",INDEX(OHZ_HAZ_TOTUNIT,126,1)="",),FALSE,TRUE),TRUE)</f>
        <v>1</v>
      </c>
      <c r="K383" t="str">
        <f t="shared" si="11"/>
        <v xml:space="preserve">Row 126 - If ‘Total amount’ is given, then ‘Net / Gross’ and ‘Total amount unit’ are required </v>
      </c>
      <c r="L383" t="s">
        <v>33308</v>
      </c>
    </row>
    <row r="384" spans="6:12" x14ac:dyDescent="0.2">
      <c r="F384" t="s">
        <v>33308</v>
      </c>
      <c r="G384" t="b">
        <f>IF(OR(INDEX(IHZ_HAZ_TOTAMOUNT,127,1)&lt;&gt;"",),IF(OR(INDEX(IHZ_HAZ_TOTNETGROSS,127,1)="",INDEX(IHZ_HAZ_TOTUNIT,127,1)="",),FALSE,TRUE),TRUE)</f>
        <v>1</v>
      </c>
      <c r="H384" t="str">
        <f t="shared" si="10"/>
        <v xml:space="preserve">Row 127 - If ‘Total amount’ is given, then ‘Net / Gross’ and ‘Total amount unit’ are required </v>
      </c>
      <c r="I384" t="s">
        <v>33308</v>
      </c>
      <c r="J384" t="b">
        <f>IF(OR(INDEX(OHZ_HAZ_TOTAMOUNT,127,1)&lt;&gt;"",),IF(OR(INDEX(OHZ_HAZ_TOTNETGROSS,127,1)="",INDEX(OHZ_HAZ_TOTUNIT,127,1)="",),FALSE,TRUE),TRUE)</f>
        <v>1</v>
      </c>
      <c r="K384" t="str">
        <f t="shared" si="11"/>
        <v xml:space="preserve">Row 127 - If ‘Total amount’ is given, then ‘Net / Gross’ and ‘Total amount unit’ are required </v>
      </c>
      <c r="L384" t="s">
        <v>33308</v>
      </c>
    </row>
    <row r="385" spans="6:12" x14ac:dyDescent="0.2">
      <c r="F385" t="s">
        <v>33308</v>
      </c>
      <c r="G385" t="b">
        <f>IF(OR(INDEX(IHZ_HAZ_TOTAMOUNT,128,1)&lt;&gt;"",),IF(OR(INDEX(IHZ_HAZ_TOTNETGROSS,128,1)="",INDEX(IHZ_HAZ_TOTUNIT,128,1)="",),FALSE,TRUE),TRUE)</f>
        <v>1</v>
      </c>
      <c r="H385" t="str">
        <f t="shared" si="10"/>
        <v xml:space="preserve">Row 128 - If ‘Total amount’ is given, then ‘Net / Gross’ and ‘Total amount unit’ are required </v>
      </c>
      <c r="I385" t="s">
        <v>33308</v>
      </c>
      <c r="J385" t="b">
        <f>IF(OR(INDEX(OHZ_HAZ_TOTAMOUNT,128,1)&lt;&gt;"",),IF(OR(INDEX(OHZ_HAZ_TOTNETGROSS,128,1)="",INDEX(OHZ_HAZ_TOTUNIT,128,1)="",),FALSE,TRUE),TRUE)</f>
        <v>1</v>
      </c>
      <c r="K385" t="str">
        <f t="shared" si="11"/>
        <v xml:space="preserve">Row 128 - If ‘Total amount’ is given, then ‘Net / Gross’ and ‘Total amount unit’ are required </v>
      </c>
      <c r="L385" t="s">
        <v>33308</v>
      </c>
    </row>
    <row r="386" spans="6:12" x14ac:dyDescent="0.2">
      <c r="F386" t="s">
        <v>33308</v>
      </c>
      <c r="G386" t="b">
        <f>IF(OR(INDEX(IHZ_HAZ_TOTAMOUNT,129,1)&lt;&gt;"",),IF(OR(INDEX(IHZ_HAZ_TOTNETGROSS,129,1)="",INDEX(IHZ_HAZ_TOTUNIT,129,1)="",),FALSE,TRUE),TRUE)</f>
        <v>1</v>
      </c>
      <c r="H386" t="str">
        <f t="shared" si="10"/>
        <v xml:space="preserve">Row 129 - If ‘Total amount’ is given, then ‘Net / Gross’ and ‘Total amount unit’ are required </v>
      </c>
      <c r="I386" t="s">
        <v>33308</v>
      </c>
      <c r="J386" t="b">
        <f>IF(OR(INDEX(OHZ_HAZ_TOTAMOUNT,129,1)&lt;&gt;"",),IF(OR(INDEX(OHZ_HAZ_TOTNETGROSS,129,1)="",INDEX(OHZ_HAZ_TOTUNIT,129,1)="",),FALSE,TRUE),TRUE)</f>
        <v>1</v>
      </c>
      <c r="K386" t="str">
        <f t="shared" si="11"/>
        <v xml:space="preserve">Row 129 - If ‘Total amount’ is given, then ‘Net / Gross’ and ‘Total amount unit’ are required </v>
      </c>
      <c r="L386" t="s">
        <v>33308</v>
      </c>
    </row>
    <row r="387" spans="6:12" x14ac:dyDescent="0.2">
      <c r="F387" t="s">
        <v>33308</v>
      </c>
      <c r="G387" t="b">
        <f>IF(OR(INDEX(IHZ_HAZ_TOTAMOUNT,130,1)&lt;&gt;"",),IF(OR(INDEX(IHZ_HAZ_TOTNETGROSS,130,1)="",INDEX(IHZ_HAZ_TOTUNIT,130,1)="",),FALSE,TRUE),TRUE)</f>
        <v>1</v>
      </c>
      <c r="H387" t="str">
        <f t="shared" ref="H387:H450" si="12">T130&amp;$V$2</f>
        <v xml:space="preserve">Row 130 - If ‘Total amount’ is given, then ‘Net / Gross’ and ‘Total amount unit’ are required </v>
      </c>
      <c r="I387" t="s">
        <v>33308</v>
      </c>
      <c r="J387" t="b">
        <f>IF(OR(INDEX(OHZ_HAZ_TOTAMOUNT,130,1)&lt;&gt;"",),IF(OR(INDEX(OHZ_HAZ_TOTNETGROSS,130,1)="",INDEX(OHZ_HAZ_TOTUNIT,130,1)="",),FALSE,TRUE),TRUE)</f>
        <v>1</v>
      </c>
      <c r="K387" t="str">
        <f t="shared" ref="K387:K450" si="13">T130&amp;$V$2</f>
        <v xml:space="preserve">Row 130 - If ‘Total amount’ is given, then ‘Net / Gross’ and ‘Total amount unit’ are required </v>
      </c>
      <c r="L387" t="s">
        <v>33308</v>
      </c>
    </row>
    <row r="388" spans="6:12" x14ac:dyDescent="0.2">
      <c r="F388" t="s">
        <v>33308</v>
      </c>
      <c r="G388" t="b">
        <f>IF(OR(INDEX(IHZ_HAZ_TOTAMOUNT,131,1)&lt;&gt;"",),IF(OR(INDEX(IHZ_HAZ_TOTNETGROSS,131,1)="",INDEX(IHZ_HAZ_TOTUNIT,131,1)="",),FALSE,TRUE),TRUE)</f>
        <v>1</v>
      </c>
      <c r="H388" t="str">
        <f t="shared" si="12"/>
        <v xml:space="preserve">Row 131 - If ‘Total amount’ is given, then ‘Net / Gross’ and ‘Total amount unit’ are required </v>
      </c>
      <c r="I388" t="s">
        <v>33308</v>
      </c>
      <c r="J388" t="b">
        <f>IF(OR(INDEX(OHZ_HAZ_TOTAMOUNT,131,1)&lt;&gt;"",),IF(OR(INDEX(OHZ_HAZ_TOTNETGROSS,131,1)="",INDEX(OHZ_HAZ_TOTUNIT,131,1)="",),FALSE,TRUE),TRUE)</f>
        <v>1</v>
      </c>
      <c r="K388" t="str">
        <f t="shared" si="13"/>
        <v xml:space="preserve">Row 131 - If ‘Total amount’ is given, then ‘Net / Gross’ and ‘Total amount unit’ are required </v>
      </c>
      <c r="L388" t="s">
        <v>33308</v>
      </c>
    </row>
    <row r="389" spans="6:12" x14ac:dyDescent="0.2">
      <c r="F389" t="s">
        <v>33308</v>
      </c>
      <c r="G389" t="b">
        <f>IF(OR(INDEX(IHZ_HAZ_TOTAMOUNT,132,1)&lt;&gt;"",),IF(OR(INDEX(IHZ_HAZ_TOTNETGROSS,132,1)="",INDEX(IHZ_HAZ_TOTUNIT,132,1)="",),FALSE,TRUE),TRUE)</f>
        <v>1</v>
      </c>
      <c r="H389" t="str">
        <f t="shared" si="12"/>
        <v xml:space="preserve">Row 132 - If ‘Total amount’ is given, then ‘Net / Gross’ and ‘Total amount unit’ are required </v>
      </c>
      <c r="I389" t="s">
        <v>33308</v>
      </c>
      <c r="J389" t="b">
        <f>IF(OR(INDEX(OHZ_HAZ_TOTAMOUNT,132,1)&lt;&gt;"",),IF(OR(INDEX(OHZ_HAZ_TOTNETGROSS,132,1)="",INDEX(OHZ_HAZ_TOTUNIT,132,1)="",),FALSE,TRUE),TRUE)</f>
        <v>1</v>
      </c>
      <c r="K389" t="str">
        <f t="shared" si="13"/>
        <v xml:space="preserve">Row 132 - If ‘Total amount’ is given, then ‘Net / Gross’ and ‘Total amount unit’ are required </v>
      </c>
      <c r="L389" t="s">
        <v>33308</v>
      </c>
    </row>
    <row r="390" spans="6:12" x14ac:dyDescent="0.2">
      <c r="F390" t="s">
        <v>33308</v>
      </c>
      <c r="G390" t="b">
        <f>IF(OR(INDEX(IHZ_HAZ_TOTAMOUNT,133,1)&lt;&gt;"",),IF(OR(INDEX(IHZ_HAZ_TOTNETGROSS,133,1)="",INDEX(IHZ_HAZ_TOTUNIT,133,1)="",),FALSE,TRUE),TRUE)</f>
        <v>1</v>
      </c>
      <c r="H390" t="str">
        <f t="shared" si="12"/>
        <v xml:space="preserve">Row 133 - If ‘Total amount’ is given, then ‘Net / Gross’ and ‘Total amount unit’ are required </v>
      </c>
      <c r="I390" t="s">
        <v>33308</v>
      </c>
      <c r="J390" t="b">
        <f>IF(OR(INDEX(OHZ_HAZ_TOTAMOUNT,133,1)&lt;&gt;"",),IF(OR(INDEX(OHZ_HAZ_TOTNETGROSS,133,1)="",INDEX(OHZ_HAZ_TOTUNIT,133,1)="",),FALSE,TRUE),TRUE)</f>
        <v>1</v>
      </c>
      <c r="K390" t="str">
        <f t="shared" si="13"/>
        <v xml:space="preserve">Row 133 - If ‘Total amount’ is given, then ‘Net / Gross’ and ‘Total amount unit’ are required </v>
      </c>
      <c r="L390" t="s">
        <v>33308</v>
      </c>
    </row>
    <row r="391" spans="6:12" x14ac:dyDescent="0.2">
      <c r="F391" t="s">
        <v>33308</v>
      </c>
      <c r="G391" t="b">
        <f>IF(OR(INDEX(IHZ_HAZ_TOTAMOUNT,134,1)&lt;&gt;"",),IF(OR(INDEX(IHZ_HAZ_TOTNETGROSS,134,1)="",INDEX(IHZ_HAZ_TOTUNIT,134,1)="",),FALSE,TRUE),TRUE)</f>
        <v>1</v>
      </c>
      <c r="H391" t="str">
        <f t="shared" si="12"/>
        <v xml:space="preserve">Row 134 - If ‘Total amount’ is given, then ‘Net / Gross’ and ‘Total amount unit’ are required </v>
      </c>
      <c r="I391" t="s">
        <v>33308</v>
      </c>
      <c r="J391" t="b">
        <f>IF(OR(INDEX(OHZ_HAZ_TOTAMOUNT,134,1)&lt;&gt;"",),IF(OR(INDEX(OHZ_HAZ_TOTNETGROSS,134,1)="",INDEX(OHZ_HAZ_TOTUNIT,134,1)="",),FALSE,TRUE),TRUE)</f>
        <v>1</v>
      </c>
      <c r="K391" t="str">
        <f t="shared" si="13"/>
        <v xml:space="preserve">Row 134 - If ‘Total amount’ is given, then ‘Net / Gross’ and ‘Total amount unit’ are required </v>
      </c>
      <c r="L391" t="s">
        <v>33308</v>
      </c>
    </row>
    <row r="392" spans="6:12" x14ac:dyDescent="0.2">
      <c r="F392" t="s">
        <v>33308</v>
      </c>
      <c r="G392" t="b">
        <f>IF(OR(INDEX(IHZ_HAZ_TOTAMOUNT,135,1)&lt;&gt;"",),IF(OR(INDEX(IHZ_HAZ_TOTNETGROSS,135,1)="",INDEX(IHZ_HAZ_TOTUNIT,135,1)="",),FALSE,TRUE),TRUE)</f>
        <v>1</v>
      </c>
      <c r="H392" t="str">
        <f t="shared" si="12"/>
        <v xml:space="preserve">Row 135 - If ‘Total amount’ is given, then ‘Net / Gross’ and ‘Total amount unit’ are required </v>
      </c>
      <c r="I392" t="s">
        <v>33308</v>
      </c>
      <c r="J392" t="b">
        <f>IF(OR(INDEX(OHZ_HAZ_TOTAMOUNT,135,1)&lt;&gt;"",),IF(OR(INDEX(OHZ_HAZ_TOTNETGROSS,135,1)="",INDEX(OHZ_HAZ_TOTUNIT,135,1)="",),FALSE,TRUE),TRUE)</f>
        <v>1</v>
      </c>
      <c r="K392" t="str">
        <f t="shared" si="13"/>
        <v xml:space="preserve">Row 135 - If ‘Total amount’ is given, then ‘Net / Gross’ and ‘Total amount unit’ are required </v>
      </c>
      <c r="L392" t="s">
        <v>33308</v>
      </c>
    </row>
    <row r="393" spans="6:12" x14ac:dyDescent="0.2">
      <c r="F393" t="s">
        <v>33308</v>
      </c>
      <c r="G393" t="b">
        <f>IF(OR(INDEX(IHZ_HAZ_TOTAMOUNT,136,1)&lt;&gt;"",),IF(OR(INDEX(IHZ_HAZ_TOTNETGROSS,136,1)="",INDEX(IHZ_HAZ_TOTUNIT,136,1)="",),FALSE,TRUE),TRUE)</f>
        <v>1</v>
      </c>
      <c r="H393" t="str">
        <f t="shared" si="12"/>
        <v xml:space="preserve">Row 136 - If ‘Total amount’ is given, then ‘Net / Gross’ and ‘Total amount unit’ are required </v>
      </c>
      <c r="I393" t="s">
        <v>33308</v>
      </c>
      <c r="J393" t="b">
        <f>IF(OR(INDEX(OHZ_HAZ_TOTAMOUNT,136,1)&lt;&gt;"",),IF(OR(INDEX(OHZ_HAZ_TOTNETGROSS,136,1)="",INDEX(OHZ_HAZ_TOTUNIT,136,1)="",),FALSE,TRUE),TRUE)</f>
        <v>1</v>
      </c>
      <c r="K393" t="str">
        <f t="shared" si="13"/>
        <v xml:space="preserve">Row 136 - If ‘Total amount’ is given, then ‘Net / Gross’ and ‘Total amount unit’ are required </v>
      </c>
      <c r="L393" t="s">
        <v>33308</v>
      </c>
    </row>
    <row r="394" spans="6:12" x14ac:dyDescent="0.2">
      <c r="F394" t="s">
        <v>33308</v>
      </c>
      <c r="G394" t="b">
        <f>IF(OR(INDEX(IHZ_HAZ_TOTAMOUNT,137,1)&lt;&gt;"",),IF(OR(INDEX(IHZ_HAZ_TOTNETGROSS,137,1)="",INDEX(IHZ_HAZ_TOTUNIT,137,1)="",),FALSE,TRUE),TRUE)</f>
        <v>1</v>
      </c>
      <c r="H394" t="str">
        <f t="shared" si="12"/>
        <v xml:space="preserve">Row 137 - If ‘Total amount’ is given, then ‘Net / Gross’ and ‘Total amount unit’ are required </v>
      </c>
      <c r="I394" t="s">
        <v>33308</v>
      </c>
      <c r="J394" t="b">
        <f>IF(OR(INDEX(OHZ_HAZ_TOTAMOUNT,137,1)&lt;&gt;"",),IF(OR(INDEX(OHZ_HAZ_TOTNETGROSS,137,1)="",INDEX(OHZ_HAZ_TOTUNIT,137,1)="",),FALSE,TRUE),TRUE)</f>
        <v>1</v>
      </c>
      <c r="K394" t="str">
        <f t="shared" si="13"/>
        <v xml:space="preserve">Row 137 - If ‘Total amount’ is given, then ‘Net / Gross’ and ‘Total amount unit’ are required </v>
      </c>
      <c r="L394" t="s">
        <v>33308</v>
      </c>
    </row>
    <row r="395" spans="6:12" x14ac:dyDescent="0.2">
      <c r="F395" t="s">
        <v>33308</v>
      </c>
      <c r="G395" t="b">
        <f>IF(OR(INDEX(IHZ_HAZ_TOTAMOUNT,138,1)&lt;&gt;"",),IF(OR(INDEX(IHZ_HAZ_TOTNETGROSS,138,1)="",INDEX(IHZ_HAZ_TOTUNIT,138,1)="",),FALSE,TRUE),TRUE)</f>
        <v>1</v>
      </c>
      <c r="H395" t="str">
        <f t="shared" si="12"/>
        <v xml:space="preserve">Row 138 - If ‘Total amount’ is given, then ‘Net / Gross’ and ‘Total amount unit’ are required </v>
      </c>
      <c r="I395" t="s">
        <v>33308</v>
      </c>
      <c r="J395" t="b">
        <f>IF(OR(INDEX(OHZ_HAZ_TOTAMOUNT,138,1)&lt;&gt;"",),IF(OR(INDEX(OHZ_HAZ_TOTNETGROSS,138,1)="",INDEX(OHZ_HAZ_TOTUNIT,138,1)="",),FALSE,TRUE),TRUE)</f>
        <v>1</v>
      </c>
      <c r="K395" t="str">
        <f t="shared" si="13"/>
        <v xml:space="preserve">Row 138 - If ‘Total amount’ is given, then ‘Net / Gross’ and ‘Total amount unit’ are required </v>
      </c>
      <c r="L395" t="s">
        <v>33308</v>
      </c>
    </row>
    <row r="396" spans="6:12" x14ac:dyDescent="0.2">
      <c r="F396" t="s">
        <v>33308</v>
      </c>
      <c r="G396" t="b">
        <f>IF(OR(INDEX(IHZ_HAZ_TOTAMOUNT,139,1)&lt;&gt;"",),IF(OR(INDEX(IHZ_HAZ_TOTNETGROSS,139,1)="",INDEX(IHZ_HAZ_TOTUNIT,139,1)="",),FALSE,TRUE),TRUE)</f>
        <v>1</v>
      </c>
      <c r="H396" t="str">
        <f t="shared" si="12"/>
        <v xml:space="preserve">Row 139 - If ‘Total amount’ is given, then ‘Net / Gross’ and ‘Total amount unit’ are required </v>
      </c>
      <c r="I396" t="s">
        <v>33308</v>
      </c>
      <c r="J396" t="b">
        <f>IF(OR(INDEX(OHZ_HAZ_TOTAMOUNT,139,1)&lt;&gt;"",),IF(OR(INDEX(OHZ_HAZ_TOTNETGROSS,139,1)="",INDEX(OHZ_HAZ_TOTUNIT,139,1)="",),FALSE,TRUE),TRUE)</f>
        <v>1</v>
      </c>
      <c r="K396" t="str">
        <f t="shared" si="13"/>
        <v xml:space="preserve">Row 139 - If ‘Total amount’ is given, then ‘Net / Gross’ and ‘Total amount unit’ are required </v>
      </c>
      <c r="L396" t="s">
        <v>33308</v>
      </c>
    </row>
    <row r="397" spans="6:12" x14ac:dyDescent="0.2">
      <c r="G397" t="b">
        <f>IF(OR(INDEX(IHZ_HAZ_TOTAMOUNT,140,1)&lt;&gt;"",),IF(OR(INDEX(IHZ_HAZ_TOTNETGROSS,140,1)="",INDEX(IHZ_HAZ_TOTUNIT,140,1)="",),FALSE,TRUE),TRUE)</f>
        <v>1</v>
      </c>
      <c r="H397" t="str">
        <f t="shared" si="12"/>
        <v xml:space="preserve">Row 140 - If ‘Total amount’ is given, then ‘Net / Gross’ and ‘Total amount unit’ are required </v>
      </c>
      <c r="I397" t="s">
        <v>33308</v>
      </c>
      <c r="J397" t="b">
        <f>IF(OR(INDEX(OHZ_HAZ_TOTAMOUNT,140,1)&lt;&gt;"",),IF(OR(INDEX(OHZ_HAZ_TOTNETGROSS,140,1)="",INDEX(OHZ_HAZ_TOTUNIT,140,1)="",),FALSE,TRUE),TRUE)</f>
        <v>1</v>
      </c>
      <c r="K397" t="str">
        <f t="shared" si="13"/>
        <v xml:space="preserve">Row 140 - If ‘Total amount’ is given, then ‘Net / Gross’ and ‘Total amount unit’ are required </v>
      </c>
      <c r="L397" t="s">
        <v>33308</v>
      </c>
    </row>
    <row r="398" spans="6:12" x14ac:dyDescent="0.2">
      <c r="G398" t="b">
        <f>IF(OR(INDEX(IHZ_HAZ_TOTAMOUNT,141,1)&lt;&gt;"",),IF(OR(INDEX(IHZ_HAZ_TOTNETGROSS,141,1)="",INDEX(IHZ_HAZ_TOTUNIT,141,1)="",),FALSE,TRUE),TRUE)</f>
        <v>1</v>
      </c>
      <c r="H398" t="str">
        <f t="shared" si="12"/>
        <v xml:space="preserve">Row 141 - If ‘Total amount’ is given, then ‘Net / Gross’ and ‘Total amount unit’ are required </v>
      </c>
      <c r="I398" t="s">
        <v>33308</v>
      </c>
      <c r="J398" t="b">
        <f>IF(OR(INDEX(OHZ_HAZ_TOTAMOUNT,141,1)&lt;&gt;"",),IF(OR(INDEX(OHZ_HAZ_TOTNETGROSS,141,1)="",INDEX(OHZ_HAZ_TOTUNIT,141,1)="",),FALSE,TRUE),TRUE)</f>
        <v>1</v>
      </c>
      <c r="K398" t="str">
        <f t="shared" si="13"/>
        <v xml:space="preserve">Row 141 - If ‘Total amount’ is given, then ‘Net / Gross’ and ‘Total amount unit’ are required </v>
      </c>
      <c r="L398" t="s">
        <v>33308</v>
      </c>
    </row>
    <row r="399" spans="6:12" x14ac:dyDescent="0.2">
      <c r="G399" t="b">
        <f>IF(OR(INDEX(IHZ_HAZ_TOTAMOUNT,142,1)&lt;&gt;"",),IF(OR(INDEX(IHZ_HAZ_TOTNETGROSS,142,1)="",INDEX(IHZ_HAZ_TOTUNIT,142,1)="",),FALSE,TRUE),TRUE)</f>
        <v>1</v>
      </c>
      <c r="H399" t="str">
        <f t="shared" si="12"/>
        <v xml:space="preserve">Row 142 - If ‘Total amount’ is given, then ‘Net / Gross’ and ‘Total amount unit’ are required </v>
      </c>
      <c r="I399" t="s">
        <v>33308</v>
      </c>
      <c r="J399" t="b">
        <f>IF(OR(INDEX(OHZ_HAZ_TOTAMOUNT,142,1)&lt;&gt;"",),IF(OR(INDEX(OHZ_HAZ_TOTNETGROSS,142,1)="",INDEX(OHZ_HAZ_TOTUNIT,142,1)="",),FALSE,TRUE),TRUE)</f>
        <v>1</v>
      </c>
      <c r="K399" t="str">
        <f t="shared" si="13"/>
        <v xml:space="preserve">Row 142 - If ‘Total amount’ is given, then ‘Net / Gross’ and ‘Total amount unit’ are required </v>
      </c>
      <c r="L399" t="s">
        <v>33308</v>
      </c>
    </row>
    <row r="400" spans="6:12" x14ac:dyDescent="0.2">
      <c r="G400" t="b">
        <f>IF(OR(INDEX(IHZ_HAZ_TOTAMOUNT,143,1)&lt;&gt;"",),IF(OR(INDEX(IHZ_HAZ_TOTNETGROSS,143,1)="",INDEX(IHZ_HAZ_TOTUNIT,143,1)="",),FALSE,TRUE),TRUE)</f>
        <v>1</v>
      </c>
      <c r="H400" t="str">
        <f t="shared" si="12"/>
        <v xml:space="preserve">Row 143 - If ‘Total amount’ is given, then ‘Net / Gross’ and ‘Total amount unit’ are required </v>
      </c>
      <c r="I400" t="s">
        <v>33308</v>
      </c>
      <c r="J400" t="b">
        <f>IF(OR(INDEX(OHZ_HAZ_TOTAMOUNT,143,1)&lt;&gt;"",),IF(OR(INDEX(OHZ_HAZ_TOTNETGROSS,143,1)="",INDEX(OHZ_HAZ_TOTUNIT,143,1)="",),FALSE,TRUE),TRUE)</f>
        <v>1</v>
      </c>
      <c r="K400" t="str">
        <f t="shared" si="13"/>
        <v xml:space="preserve">Row 143 - If ‘Total amount’ is given, then ‘Net / Gross’ and ‘Total amount unit’ are required </v>
      </c>
      <c r="L400" t="s">
        <v>33308</v>
      </c>
    </row>
    <row r="401" spans="7:12" x14ac:dyDescent="0.2">
      <c r="G401" t="b">
        <f>IF(OR(INDEX(IHZ_HAZ_TOTAMOUNT,144,1)&lt;&gt;"",),IF(OR(INDEX(IHZ_HAZ_TOTNETGROSS,144,1)="",INDEX(IHZ_HAZ_TOTUNIT,144,1)="",),FALSE,TRUE),TRUE)</f>
        <v>1</v>
      </c>
      <c r="H401" t="str">
        <f t="shared" si="12"/>
        <v xml:space="preserve">Row 144 - If ‘Total amount’ is given, then ‘Net / Gross’ and ‘Total amount unit’ are required </v>
      </c>
      <c r="I401" t="s">
        <v>33308</v>
      </c>
      <c r="J401" t="b">
        <f>IF(OR(INDEX(OHZ_HAZ_TOTAMOUNT,144,1)&lt;&gt;"",),IF(OR(INDEX(OHZ_HAZ_TOTNETGROSS,144,1)="",INDEX(OHZ_HAZ_TOTUNIT,144,1)="",),FALSE,TRUE),TRUE)</f>
        <v>1</v>
      </c>
      <c r="K401" t="str">
        <f t="shared" si="13"/>
        <v xml:space="preserve">Row 144 - If ‘Total amount’ is given, then ‘Net / Gross’ and ‘Total amount unit’ are required </v>
      </c>
      <c r="L401" t="s">
        <v>33308</v>
      </c>
    </row>
    <row r="402" spans="7:12" x14ac:dyDescent="0.2">
      <c r="G402" t="b">
        <f>IF(OR(INDEX(IHZ_HAZ_TOTAMOUNT,145,1)&lt;&gt;"",),IF(OR(INDEX(IHZ_HAZ_TOTNETGROSS,145,1)="",INDEX(IHZ_HAZ_TOTUNIT,145,1)="",),FALSE,TRUE),TRUE)</f>
        <v>1</v>
      </c>
      <c r="H402" t="str">
        <f t="shared" si="12"/>
        <v xml:space="preserve">Row 145 - If ‘Total amount’ is given, then ‘Net / Gross’ and ‘Total amount unit’ are required </v>
      </c>
      <c r="I402" t="s">
        <v>33308</v>
      </c>
      <c r="J402" t="b">
        <f>IF(OR(INDEX(OHZ_HAZ_TOTAMOUNT,145,1)&lt;&gt;"",),IF(OR(INDEX(OHZ_HAZ_TOTNETGROSS,145,1)="",INDEX(OHZ_HAZ_TOTUNIT,145,1)="",),FALSE,TRUE),TRUE)</f>
        <v>1</v>
      </c>
      <c r="K402" t="str">
        <f t="shared" si="13"/>
        <v xml:space="preserve">Row 145 - If ‘Total amount’ is given, then ‘Net / Gross’ and ‘Total amount unit’ are required </v>
      </c>
      <c r="L402" t="s">
        <v>33308</v>
      </c>
    </row>
    <row r="403" spans="7:12" x14ac:dyDescent="0.2">
      <c r="G403" t="b">
        <f>IF(OR(INDEX(IHZ_HAZ_TOTAMOUNT,146,1)&lt;&gt;"",),IF(OR(INDEX(IHZ_HAZ_TOTNETGROSS,146,1)="",INDEX(IHZ_HAZ_TOTUNIT,146,1)="",),FALSE,TRUE),TRUE)</f>
        <v>1</v>
      </c>
      <c r="H403" t="str">
        <f t="shared" si="12"/>
        <v xml:space="preserve">Row 146 - If ‘Total amount’ is given, then ‘Net / Gross’ and ‘Total amount unit’ are required </v>
      </c>
      <c r="I403" t="s">
        <v>33308</v>
      </c>
      <c r="J403" t="b">
        <f>IF(OR(INDEX(OHZ_HAZ_TOTAMOUNT,146,1)&lt;&gt;"",),IF(OR(INDEX(OHZ_HAZ_TOTNETGROSS,146,1)="",INDEX(OHZ_HAZ_TOTUNIT,146,1)="",),FALSE,TRUE),TRUE)</f>
        <v>1</v>
      </c>
      <c r="K403" t="str">
        <f t="shared" si="13"/>
        <v xml:space="preserve">Row 146 - If ‘Total amount’ is given, then ‘Net / Gross’ and ‘Total amount unit’ are required </v>
      </c>
      <c r="L403" t="s">
        <v>33308</v>
      </c>
    </row>
    <row r="404" spans="7:12" x14ac:dyDescent="0.2">
      <c r="G404" t="b">
        <f>IF(OR(INDEX(IHZ_HAZ_TOTAMOUNT,147,1)&lt;&gt;"",),IF(OR(INDEX(IHZ_HAZ_TOTNETGROSS,147,1)="",INDEX(IHZ_HAZ_TOTUNIT,147,1)="",),FALSE,TRUE),TRUE)</f>
        <v>1</v>
      </c>
      <c r="H404" t="str">
        <f t="shared" si="12"/>
        <v xml:space="preserve">Row 147 - If ‘Total amount’ is given, then ‘Net / Gross’ and ‘Total amount unit’ are required </v>
      </c>
      <c r="I404" t="s">
        <v>33308</v>
      </c>
      <c r="J404" t="b">
        <f>IF(OR(INDEX(OHZ_HAZ_TOTAMOUNT,147,1)&lt;&gt;"",),IF(OR(INDEX(OHZ_HAZ_TOTNETGROSS,147,1)="",INDEX(OHZ_HAZ_TOTUNIT,147,1)="",),FALSE,TRUE),TRUE)</f>
        <v>1</v>
      </c>
      <c r="K404" t="str">
        <f t="shared" si="13"/>
        <v xml:space="preserve">Row 147 - If ‘Total amount’ is given, then ‘Net / Gross’ and ‘Total amount unit’ are required </v>
      </c>
      <c r="L404" t="s">
        <v>33308</v>
      </c>
    </row>
    <row r="405" spans="7:12" x14ac:dyDescent="0.2">
      <c r="G405" t="b">
        <f>IF(OR(INDEX(IHZ_HAZ_TOTAMOUNT,148,1)&lt;&gt;"",),IF(OR(INDEX(IHZ_HAZ_TOTNETGROSS,148,1)="",INDEX(IHZ_HAZ_TOTUNIT,148,1)="",),FALSE,TRUE),TRUE)</f>
        <v>1</v>
      </c>
      <c r="H405" t="str">
        <f t="shared" si="12"/>
        <v xml:space="preserve">Row 148 - If ‘Total amount’ is given, then ‘Net / Gross’ and ‘Total amount unit’ are required </v>
      </c>
      <c r="I405" t="s">
        <v>33308</v>
      </c>
      <c r="J405" t="b">
        <f>IF(OR(INDEX(OHZ_HAZ_TOTAMOUNT,148,1)&lt;&gt;"",),IF(OR(INDEX(OHZ_HAZ_TOTNETGROSS,148,1)="",INDEX(OHZ_HAZ_TOTUNIT,148,1)="",),FALSE,TRUE),TRUE)</f>
        <v>1</v>
      </c>
      <c r="K405" t="str">
        <f t="shared" si="13"/>
        <v xml:space="preserve">Row 148 - If ‘Total amount’ is given, then ‘Net / Gross’ and ‘Total amount unit’ are required </v>
      </c>
      <c r="L405" t="s">
        <v>33308</v>
      </c>
    </row>
    <row r="406" spans="7:12" x14ac:dyDescent="0.2">
      <c r="G406" t="b">
        <f>IF(OR(INDEX(IHZ_HAZ_TOTAMOUNT,149,1)&lt;&gt;"",),IF(OR(INDEX(IHZ_HAZ_TOTNETGROSS,149,1)="",INDEX(IHZ_HAZ_TOTUNIT,149,1)="",),FALSE,TRUE),TRUE)</f>
        <v>1</v>
      </c>
      <c r="H406" t="str">
        <f t="shared" si="12"/>
        <v xml:space="preserve">Row 149 - If ‘Total amount’ is given, then ‘Net / Gross’ and ‘Total amount unit’ are required </v>
      </c>
      <c r="I406" t="s">
        <v>33308</v>
      </c>
      <c r="J406" t="b">
        <f>IF(OR(INDEX(OHZ_HAZ_TOTAMOUNT,149,1)&lt;&gt;"",),IF(OR(INDEX(OHZ_HAZ_TOTNETGROSS,149,1)="",INDEX(OHZ_HAZ_TOTUNIT,149,1)="",),FALSE,TRUE),TRUE)</f>
        <v>1</v>
      </c>
      <c r="K406" t="str">
        <f t="shared" si="13"/>
        <v xml:space="preserve">Row 149 - If ‘Total amount’ is given, then ‘Net / Gross’ and ‘Total amount unit’ are required </v>
      </c>
      <c r="L406" t="s">
        <v>33308</v>
      </c>
    </row>
    <row r="407" spans="7:12" x14ac:dyDescent="0.2">
      <c r="G407" t="b">
        <f>IF(OR(INDEX(IHZ_HAZ_TOTAMOUNT,150,1)&lt;&gt;"",),IF(OR(INDEX(IHZ_HAZ_TOTNETGROSS,150,1)="",INDEX(IHZ_HAZ_TOTUNIT,150,1)="",),FALSE,TRUE),TRUE)</f>
        <v>1</v>
      </c>
      <c r="H407" t="str">
        <f t="shared" si="12"/>
        <v xml:space="preserve">Row 150 - If ‘Total amount’ is given, then ‘Net / Gross’ and ‘Total amount unit’ are required </v>
      </c>
      <c r="I407" t="s">
        <v>33308</v>
      </c>
      <c r="J407" t="b">
        <f>IF(OR(INDEX(OHZ_HAZ_TOTAMOUNT,150,1)&lt;&gt;"",),IF(OR(INDEX(OHZ_HAZ_TOTNETGROSS,150,1)="",INDEX(OHZ_HAZ_TOTUNIT,150,1)="",),FALSE,TRUE),TRUE)</f>
        <v>1</v>
      </c>
      <c r="K407" t="str">
        <f t="shared" si="13"/>
        <v xml:space="preserve">Row 150 - If ‘Total amount’ is given, then ‘Net / Gross’ and ‘Total amount unit’ are required </v>
      </c>
      <c r="L407" t="s">
        <v>33308</v>
      </c>
    </row>
    <row r="408" spans="7:12" x14ac:dyDescent="0.2">
      <c r="G408" t="b">
        <f>IF(OR(INDEX(IHZ_HAZ_TOTAMOUNT,151,1)&lt;&gt;"",),IF(OR(INDEX(IHZ_HAZ_TOTNETGROSS,151,1)="",INDEX(IHZ_HAZ_TOTUNIT,151,1)="",),FALSE,TRUE),TRUE)</f>
        <v>1</v>
      </c>
      <c r="H408" t="str">
        <f t="shared" si="12"/>
        <v xml:space="preserve">Row 151 - If ‘Total amount’ is given, then ‘Net / Gross’ and ‘Total amount unit’ are required </v>
      </c>
      <c r="I408" t="s">
        <v>33308</v>
      </c>
      <c r="J408" t="b">
        <f>IF(OR(INDEX(OHZ_HAZ_TOTAMOUNT,151,1)&lt;&gt;"",),IF(OR(INDEX(OHZ_HAZ_TOTNETGROSS,151,1)="",INDEX(OHZ_HAZ_TOTUNIT,151,1)="",),FALSE,TRUE),TRUE)</f>
        <v>1</v>
      </c>
      <c r="K408" t="str">
        <f t="shared" si="13"/>
        <v xml:space="preserve">Row 151 - If ‘Total amount’ is given, then ‘Net / Gross’ and ‘Total amount unit’ are required </v>
      </c>
      <c r="L408" t="s">
        <v>33308</v>
      </c>
    </row>
    <row r="409" spans="7:12" x14ac:dyDescent="0.2">
      <c r="G409" t="b">
        <f>IF(OR(INDEX(IHZ_HAZ_TOTAMOUNT,152,1)&lt;&gt;"",),IF(OR(INDEX(IHZ_HAZ_TOTNETGROSS,152,1)="",INDEX(IHZ_HAZ_TOTUNIT,152,1)="",),FALSE,TRUE),TRUE)</f>
        <v>1</v>
      </c>
      <c r="H409" t="str">
        <f t="shared" si="12"/>
        <v xml:space="preserve">Row 152 - If ‘Total amount’ is given, then ‘Net / Gross’ and ‘Total amount unit’ are required </v>
      </c>
      <c r="I409" t="s">
        <v>33308</v>
      </c>
      <c r="J409" t="b">
        <f>IF(OR(INDEX(OHZ_HAZ_TOTAMOUNT,152,1)&lt;&gt;"",),IF(OR(INDEX(OHZ_HAZ_TOTNETGROSS,152,1)="",INDEX(OHZ_HAZ_TOTUNIT,152,1)="",),FALSE,TRUE),TRUE)</f>
        <v>1</v>
      </c>
      <c r="K409" t="str">
        <f t="shared" si="13"/>
        <v xml:space="preserve">Row 152 - If ‘Total amount’ is given, then ‘Net / Gross’ and ‘Total amount unit’ are required </v>
      </c>
      <c r="L409" t="s">
        <v>33308</v>
      </c>
    </row>
    <row r="410" spans="7:12" x14ac:dyDescent="0.2">
      <c r="G410" t="b">
        <f>IF(OR(INDEX(IHZ_HAZ_TOTAMOUNT,153,1)&lt;&gt;"",),IF(OR(INDEX(IHZ_HAZ_TOTNETGROSS,153,1)="",INDEX(IHZ_HAZ_TOTUNIT,153,1)="",),FALSE,TRUE),TRUE)</f>
        <v>1</v>
      </c>
      <c r="H410" t="str">
        <f t="shared" si="12"/>
        <v xml:space="preserve">Row 153 - If ‘Total amount’ is given, then ‘Net / Gross’ and ‘Total amount unit’ are required </v>
      </c>
      <c r="I410" t="s">
        <v>33308</v>
      </c>
      <c r="J410" t="b">
        <f>IF(OR(INDEX(OHZ_HAZ_TOTAMOUNT,153,1)&lt;&gt;"",),IF(OR(INDEX(OHZ_HAZ_TOTNETGROSS,153,1)="",INDEX(OHZ_HAZ_TOTUNIT,153,1)="",),FALSE,TRUE),TRUE)</f>
        <v>1</v>
      </c>
      <c r="K410" t="str">
        <f t="shared" si="13"/>
        <v xml:space="preserve">Row 153 - If ‘Total amount’ is given, then ‘Net / Gross’ and ‘Total amount unit’ are required </v>
      </c>
      <c r="L410" t="s">
        <v>33308</v>
      </c>
    </row>
    <row r="411" spans="7:12" x14ac:dyDescent="0.2">
      <c r="G411" t="b">
        <f>IF(OR(INDEX(IHZ_HAZ_TOTAMOUNT,154,1)&lt;&gt;"",),IF(OR(INDEX(IHZ_HAZ_TOTNETGROSS,154,1)="",INDEX(IHZ_HAZ_TOTUNIT,154,1)="",),FALSE,TRUE),TRUE)</f>
        <v>1</v>
      </c>
      <c r="H411" t="str">
        <f t="shared" si="12"/>
        <v xml:space="preserve">Row 154 - If ‘Total amount’ is given, then ‘Net / Gross’ and ‘Total amount unit’ are required </v>
      </c>
      <c r="I411" t="s">
        <v>33308</v>
      </c>
      <c r="J411" t="b">
        <f>IF(OR(INDEX(OHZ_HAZ_TOTAMOUNT,154,1)&lt;&gt;"",),IF(OR(INDEX(OHZ_HAZ_TOTNETGROSS,154,1)="",INDEX(OHZ_HAZ_TOTUNIT,154,1)="",),FALSE,TRUE),TRUE)</f>
        <v>1</v>
      </c>
      <c r="K411" t="str">
        <f t="shared" si="13"/>
        <v xml:space="preserve">Row 154 - If ‘Total amount’ is given, then ‘Net / Gross’ and ‘Total amount unit’ are required </v>
      </c>
      <c r="L411" t="s">
        <v>33308</v>
      </c>
    </row>
    <row r="412" spans="7:12" x14ac:dyDescent="0.2">
      <c r="G412" t="b">
        <f>IF(OR(INDEX(IHZ_HAZ_TOTAMOUNT,155,1)&lt;&gt;"",),IF(OR(INDEX(IHZ_HAZ_TOTNETGROSS,155,1)="",INDEX(IHZ_HAZ_TOTUNIT,155,1)="",),FALSE,TRUE),TRUE)</f>
        <v>1</v>
      </c>
      <c r="H412" t="str">
        <f t="shared" si="12"/>
        <v xml:space="preserve">Row 155 - If ‘Total amount’ is given, then ‘Net / Gross’ and ‘Total amount unit’ are required </v>
      </c>
      <c r="I412" t="s">
        <v>33308</v>
      </c>
      <c r="J412" t="b">
        <f>IF(OR(INDEX(OHZ_HAZ_TOTAMOUNT,155,1)&lt;&gt;"",),IF(OR(INDEX(OHZ_HAZ_TOTNETGROSS,155,1)="",INDEX(OHZ_HAZ_TOTUNIT,155,1)="",),FALSE,TRUE),TRUE)</f>
        <v>1</v>
      </c>
      <c r="K412" t="str">
        <f t="shared" si="13"/>
        <v xml:space="preserve">Row 155 - If ‘Total amount’ is given, then ‘Net / Gross’ and ‘Total amount unit’ are required </v>
      </c>
      <c r="L412" t="s">
        <v>33308</v>
      </c>
    </row>
    <row r="413" spans="7:12" x14ac:dyDescent="0.2">
      <c r="G413" t="b">
        <f>IF(OR(INDEX(IHZ_HAZ_TOTAMOUNT,156,1)&lt;&gt;"",),IF(OR(INDEX(IHZ_HAZ_TOTNETGROSS,156,1)="",INDEX(IHZ_HAZ_TOTUNIT,156,1)="",),FALSE,TRUE),TRUE)</f>
        <v>1</v>
      </c>
      <c r="H413" t="str">
        <f t="shared" si="12"/>
        <v xml:space="preserve">Row 156 - If ‘Total amount’ is given, then ‘Net / Gross’ and ‘Total amount unit’ are required </v>
      </c>
      <c r="I413" t="s">
        <v>33308</v>
      </c>
      <c r="J413" t="b">
        <f>IF(OR(INDEX(OHZ_HAZ_TOTAMOUNT,156,1)&lt;&gt;"",),IF(OR(INDEX(OHZ_HAZ_TOTNETGROSS,156,1)="",INDEX(OHZ_HAZ_TOTUNIT,156,1)="",),FALSE,TRUE),TRUE)</f>
        <v>1</v>
      </c>
      <c r="K413" t="str">
        <f t="shared" si="13"/>
        <v xml:space="preserve">Row 156 - If ‘Total amount’ is given, then ‘Net / Gross’ and ‘Total amount unit’ are required </v>
      </c>
      <c r="L413" t="s">
        <v>33308</v>
      </c>
    </row>
    <row r="414" spans="7:12" x14ac:dyDescent="0.2">
      <c r="G414" t="b">
        <f>IF(OR(INDEX(IHZ_HAZ_TOTAMOUNT,157,1)&lt;&gt;"",),IF(OR(INDEX(IHZ_HAZ_TOTNETGROSS,157,1)="",INDEX(IHZ_HAZ_TOTUNIT,157,1)="",),FALSE,TRUE),TRUE)</f>
        <v>1</v>
      </c>
      <c r="H414" t="str">
        <f t="shared" si="12"/>
        <v xml:space="preserve">Row 157 - If ‘Total amount’ is given, then ‘Net / Gross’ and ‘Total amount unit’ are required </v>
      </c>
      <c r="I414" t="s">
        <v>33308</v>
      </c>
      <c r="J414" t="b">
        <f>IF(OR(INDEX(OHZ_HAZ_TOTAMOUNT,157,1)&lt;&gt;"",),IF(OR(INDEX(OHZ_HAZ_TOTNETGROSS,157,1)="",INDEX(OHZ_HAZ_TOTUNIT,157,1)="",),FALSE,TRUE),TRUE)</f>
        <v>1</v>
      </c>
      <c r="K414" t="str">
        <f t="shared" si="13"/>
        <v xml:space="preserve">Row 157 - If ‘Total amount’ is given, then ‘Net / Gross’ and ‘Total amount unit’ are required </v>
      </c>
      <c r="L414" t="s">
        <v>33308</v>
      </c>
    </row>
    <row r="415" spans="7:12" x14ac:dyDescent="0.2">
      <c r="G415" t="b">
        <f>IF(OR(INDEX(IHZ_HAZ_TOTAMOUNT,158,1)&lt;&gt;"",),IF(OR(INDEX(IHZ_HAZ_TOTNETGROSS,158,1)="",INDEX(IHZ_HAZ_TOTUNIT,158,1)="",),FALSE,TRUE),TRUE)</f>
        <v>1</v>
      </c>
      <c r="H415" t="str">
        <f t="shared" si="12"/>
        <v xml:space="preserve">Row 158 - If ‘Total amount’ is given, then ‘Net / Gross’ and ‘Total amount unit’ are required </v>
      </c>
      <c r="I415" t="s">
        <v>33308</v>
      </c>
      <c r="J415" t="b">
        <f>IF(OR(INDEX(OHZ_HAZ_TOTAMOUNT,158,1)&lt;&gt;"",),IF(OR(INDEX(OHZ_HAZ_TOTNETGROSS,158,1)="",INDEX(OHZ_HAZ_TOTUNIT,158,1)="",),FALSE,TRUE),TRUE)</f>
        <v>1</v>
      </c>
      <c r="K415" t="str">
        <f t="shared" si="13"/>
        <v xml:space="preserve">Row 158 - If ‘Total amount’ is given, then ‘Net / Gross’ and ‘Total amount unit’ are required </v>
      </c>
      <c r="L415" t="s">
        <v>33308</v>
      </c>
    </row>
    <row r="416" spans="7:12" x14ac:dyDescent="0.2">
      <c r="G416" t="b">
        <f>IF(OR(INDEX(IHZ_HAZ_TOTAMOUNT,159,1)&lt;&gt;"",),IF(OR(INDEX(IHZ_HAZ_TOTNETGROSS,159,1)="",INDEX(IHZ_HAZ_TOTUNIT,159,1)="",),FALSE,TRUE),TRUE)</f>
        <v>1</v>
      </c>
      <c r="H416" t="str">
        <f t="shared" si="12"/>
        <v xml:space="preserve">Row 159 - If ‘Total amount’ is given, then ‘Net / Gross’ and ‘Total amount unit’ are required </v>
      </c>
      <c r="I416" t="s">
        <v>33308</v>
      </c>
      <c r="J416" t="b">
        <f>IF(OR(INDEX(OHZ_HAZ_TOTAMOUNT,159,1)&lt;&gt;"",),IF(OR(INDEX(OHZ_HAZ_TOTNETGROSS,159,1)="",INDEX(OHZ_HAZ_TOTUNIT,159,1)="",),FALSE,TRUE),TRUE)</f>
        <v>1</v>
      </c>
      <c r="K416" t="str">
        <f t="shared" si="13"/>
        <v xml:space="preserve">Row 159 - If ‘Total amount’ is given, then ‘Net / Gross’ and ‘Total amount unit’ are required </v>
      </c>
      <c r="L416" t="s">
        <v>33308</v>
      </c>
    </row>
    <row r="417" spans="7:12" x14ac:dyDescent="0.2">
      <c r="G417" t="b">
        <f>IF(OR(INDEX(IHZ_HAZ_TOTAMOUNT,160,1)&lt;&gt;"",),IF(OR(INDEX(IHZ_HAZ_TOTNETGROSS,160,1)="",INDEX(IHZ_HAZ_TOTUNIT,160,1)="",),FALSE,TRUE),TRUE)</f>
        <v>1</v>
      </c>
      <c r="H417" t="str">
        <f t="shared" si="12"/>
        <v xml:space="preserve">Row 160 - If ‘Total amount’ is given, then ‘Net / Gross’ and ‘Total amount unit’ are required </v>
      </c>
      <c r="I417" t="s">
        <v>33308</v>
      </c>
      <c r="J417" t="b">
        <f>IF(OR(INDEX(OHZ_HAZ_TOTAMOUNT,160,1)&lt;&gt;"",),IF(OR(INDEX(OHZ_HAZ_TOTNETGROSS,160,1)="",INDEX(OHZ_HAZ_TOTUNIT,160,1)="",),FALSE,TRUE),TRUE)</f>
        <v>1</v>
      </c>
      <c r="K417" t="str">
        <f t="shared" si="13"/>
        <v xml:space="preserve">Row 160 - If ‘Total amount’ is given, then ‘Net / Gross’ and ‘Total amount unit’ are required </v>
      </c>
      <c r="L417" t="s">
        <v>33308</v>
      </c>
    </row>
    <row r="418" spans="7:12" x14ac:dyDescent="0.2">
      <c r="G418" t="b">
        <f>IF(OR(INDEX(IHZ_HAZ_TOTAMOUNT,161,1)&lt;&gt;"",),IF(OR(INDEX(IHZ_HAZ_TOTNETGROSS,161,1)="",INDEX(IHZ_HAZ_TOTUNIT,161,1)="",),FALSE,TRUE),TRUE)</f>
        <v>1</v>
      </c>
      <c r="H418" t="str">
        <f t="shared" si="12"/>
        <v xml:space="preserve">Row 161 - If ‘Total amount’ is given, then ‘Net / Gross’ and ‘Total amount unit’ are required </v>
      </c>
      <c r="I418" t="s">
        <v>33308</v>
      </c>
      <c r="J418" t="b">
        <f>IF(OR(INDEX(OHZ_HAZ_TOTAMOUNT,161,1)&lt;&gt;"",),IF(OR(INDEX(OHZ_HAZ_TOTNETGROSS,161,1)="",INDEX(OHZ_HAZ_TOTUNIT,161,1)="",),FALSE,TRUE),TRUE)</f>
        <v>1</v>
      </c>
      <c r="K418" t="str">
        <f t="shared" si="13"/>
        <v xml:space="preserve">Row 161 - If ‘Total amount’ is given, then ‘Net / Gross’ and ‘Total amount unit’ are required </v>
      </c>
      <c r="L418" t="s">
        <v>33308</v>
      </c>
    </row>
    <row r="419" spans="7:12" x14ac:dyDescent="0.2">
      <c r="G419" t="b">
        <f>IF(OR(INDEX(IHZ_HAZ_TOTAMOUNT,162,1)&lt;&gt;"",),IF(OR(INDEX(IHZ_HAZ_TOTNETGROSS,162,1)="",INDEX(IHZ_HAZ_TOTUNIT,162,1)="",),FALSE,TRUE),TRUE)</f>
        <v>1</v>
      </c>
      <c r="H419" t="str">
        <f t="shared" si="12"/>
        <v xml:space="preserve">Row 162 - If ‘Total amount’ is given, then ‘Net / Gross’ and ‘Total amount unit’ are required </v>
      </c>
      <c r="I419" t="s">
        <v>33308</v>
      </c>
      <c r="J419" t="b">
        <f>IF(OR(INDEX(OHZ_HAZ_TOTAMOUNT,162,1)&lt;&gt;"",),IF(OR(INDEX(OHZ_HAZ_TOTNETGROSS,162,1)="",INDEX(OHZ_HAZ_TOTUNIT,162,1)="",),FALSE,TRUE),TRUE)</f>
        <v>1</v>
      </c>
      <c r="K419" t="str">
        <f t="shared" si="13"/>
        <v xml:space="preserve">Row 162 - If ‘Total amount’ is given, then ‘Net / Gross’ and ‘Total amount unit’ are required </v>
      </c>
      <c r="L419" t="s">
        <v>33308</v>
      </c>
    </row>
    <row r="420" spans="7:12" x14ac:dyDescent="0.2">
      <c r="G420" t="b">
        <f>IF(OR(INDEX(IHZ_HAZ_TOTAMOUNT,163,1)&lt;&gt;"",),IF(OR(INDEX(IHZ_HAZ_TOTNETGROSS,163,1)="",INDEX(IHZ_HAZ_TOTUNIT,163,1)="",),FALSE,TRUE),TRUE)</f>
        <v>1</v>
      </c>
      <c r="H420" t="str">
        <f t="shared" si="12"/>
        <v xml:space="preserve">Row 163 - If ‘Total amount’ is given, then ‘Net / Gross’ and ‘Total amount unit’ are required </v>
      </c>
      <c r="I420" t="s">
        <v>33308</v>
      </c>
      <c r="J420" t="b">
        <f>IF(OR(INDEX(OHZ_HAZ_TOTAMOUNT,163,1)&lt;&gt;"",),IF(OR(INDEX(OHZ_HAZ_TOTNETGROSS,163,1)="",INDEX(OHZ_HAZ_TOTUNIT,163,1)="",),FALSE,TRUE),TRUE)</f>
        <v>1</v>
      </c>
      <c r="K420" t="str">
        <f t="shared" si="13"/>
        <v xml:space="preserve">Row 163 - If ‘Total amount’ is given, then ‘Net / Gross’ and ‘Total amount unit’ are required </v>
      </c>
      <c r="L420" t="s">
        <v>33308</v>
      </c>
    </row>
    <row r="421" spans="7:12" x14ac:dyDescent="0.2">
      <c r="G421" t="b">
        <f>IF(OR(INDEX(IHZ_HAZ_TOTAMOUNT,164,1)&lt;&gt;"",),IF(OR(INDEX(IHZ_HAZ_TOTNETGROSS,164,1)="",INDEX(IHZ_HAZ_TOTUNIT,164,1)="",),FALSE,TRUE),TRUE)</f>
        <v>1</v>
      </c>
      <c r="H421" t="str">
        <f t="shared" si="12"/>
        <v xml:space="preserve">Row 164 - If ‘Total amount’ is given, then ‘Net / Gross’ and ‘Total amount unit’ are required </v>
      </c>
      <c r="I421" t="s">
        <v>33308</v>
      </c>
      <c r="J421" t="b">
        <f>IF(OR(INDEX(OHZ_HAZ_TOTAMOUNT,164,1)&lt;&gt;"",),IF(OR(INDEX(OHZ_HAZ_TOTNETGROSS,164,1)="",INDEX(OHZ_HAZ_TOTUNIT,164,1)="",),FALSE,TRUE),TRUE)</f>
        <v>1</v>
      </c>
      <c r="K421" t="str">
        <f t="shared" si="13"/>
        <v xml:space="preserve">Row 164 - If ‘Total amount’ is given, then ‘Net / Gross’ and ‘Total amount unit’ are required </v>
      </c>
      <c r="L421" t="s">
        <v>33308</v>
      </c>
    </row>
    <row r="422" spans="7:12" x14ac:dyDescent="0.2">
      <c r="G422" t="b">
        <f>IF(OR(INDEX(IHZ_HAZ_TOTAMOUNT,165,1)&lt;&gt;"",),IF(OR(INDEX(IHZ_HAZ_TOTNETGROSS,165,1)="",INDEX(IHZ_HAZ_TOTUNIT,165,1)="",),FALSE,TRUE),TRUE)</f>
        <v>1</v>
      </c>
      <c r="H422" t="str">
        <f t="shared" si="12"/>
        <v xml:space="preserve">Row 165 - If ‘Total amount’ is given, then ‘Net / Gross’ and ‘Total amount unit’ are required </v>
      </c>
      <c r="I422" t="s">
        <v>33308</v>
      </c>
      <c r="J422" t="b">
        <f>IF(OR(INDEX(OHZ_HAZ_TOTAMOUNT,165,1)&lt;&gt;"",),IF(OR(INDEX(OHZ_HAZ_TOTNETGROSS,165,1)="",INDEX(OHZ_HAZ_TOTUNIT,165,1)="",),FALSE,TRUE),TRUE)</f>
        <v>1</v>
      </c>
      <c r="K422" t="str">
        <f t="shared" si="13"/>
        <v xml:space="preserve">Row 165 - If ‘Total amount’ is given, then ‘Net / Gross’ and ‘Total amount unit’ are required </v>
      </c>
      <c r="L422" t="s">
        <v>33308</v>
      </c>
    </row>
    <row r="423" spans="7:12" x14ac:dyDescent="0.2">
      <c r="G423" t="b">
        <f>IF(OR(INDEX(IHZ_HAZ_TOTAMOUNT,166,1)&lt;&gt;"",),IF(OR(INDEX(IHZ_HAZ_TOTNETGROSS,166,1)="",INDEX(IHZ_HAZ_TOTUNIT,166,1)="",),FALSE,TRUE),TRUE)</f>
        <v>1</v>
      </c>
      <c r="H423" t="str">
        <f t="shared" si="12"/>
        <v xml:space="preserve">Row 166 - If ‘Total amount’ is given, then ‘Net / Gross’ and ‘Total amount unit’ are required </v>
      </c>
      <c r="I423" t="s">
        <v>33308</v>
      </c>
      <c r="J423" t="b">
        <f>IF(OR(INDEX(OHZ_HAZ_TOTAMOUNT,166,1)&lt;&gt;"",),IF(OR(INDEX(OHZ_HAZ_TOTNETGROSS,166,1)="",INDEX(OHZ_HAZ_TOTUNIT,166,1)="",),FALSE,TRUE),TRUE)</f>
        <v>1</v>
      </c>
      <c r="K423" t="str">
        <f t="shared" si="13"/>
        <v xml:space="preserve">Row 166 - If ‘Total amount’ is given, then ‘Net / Gross’ and ‘Total amount unit’ are required </v>
      </c>
      <c r="L423" t="s">
        <v>33308</v>
      </c>
    </row>
    <row r="424" spans="7:12" x14ac:dyDescent="0.2">
      <c r="G424" t="b">
        <f>IF(OR(INDEX(IHZ_HAZ_TOTAMOUNT,167,1)&lt;&gt;"",),IF(OR(INDEX(IHZ_HAZ_TOTNETGROSS,167,1)="",INDEX(IHZ_HAZ_TOTUNIT,167,1)="",),FALSE,TRUE),TRUE)</f>
        <v>1</v>
      </c>
      <c r="H424" t="str">
        <f t="shared" si="12"/>
        <v xml:space="preserve">Row 167 - If ‘Total amount’ is given, then ‘Net / Gross’ and ‘Total amount unit’ are required </v>
      </c>
      <c r="I424" t="s">
        <v>33308</v>
      </c>
      <c r="J424" t="b">
        <f>IF(OR(INDEX(OHZ_HAZ_TOTAMOUNT,167,1)&lt;&gt;"",),IF(OR(INDEX(OHZ_HAZ_TOTNETGROSS,167,1)="",INDEX(OHZ_HAZ_TOTUNIT,167,1)="",),FALSE,TRUE),TRUE)</f>
        <v>1</v>
      </c>
      <c r="K424" t="str">
        <f t="shared" si="13"/>
        <v xml:space="preserve">Row 167 - If ‘Total amount’ is given, then ‘Net / Gross’ and ‘Total amount unit’ are required </v>
      </c>
      <c r="L424" t="s">
        <v>33308</v>
      </c>
    </row>
    <row r="425" spans="7:12" x14ac:dyDescent="0.2">
      <c r="G425" t="b">
        <f>IF(OR(INDEX(IHZ_HAZ_TOTAMOUNT,168,1)&lt;&gt;"",),IF(OR(INDEX(IHZ_HAZ_TOTNETGROSS,168,1)="",INDEX(IHZ_HAZ_TOTUNIT,168,1)="",),FALSE,TRUE),TRUE)</f>
        <v>1</v>
      </c>
      <c r="H425" t="str">
        <f t="shared" si="12"/>
        <v xml:space="preserve">Row 168 - If ‘Total amount’ is given, then ‘Net / Gross’ and ‘Total amount unit’ are required </v>
      </c>
      <c r="I425" t="s">
        <v>33308</v>
      </c>
      <c r="J425" t="b">
        <f>IF(OR(INDEX(OHZ_HAZ_TOTAMOUNT,168,1)&lt;&gt;"",),IF(OR(INDEX(OHZ_HAZ_TOTNETGROSS,168,1)="",INDEX(OHZ_HAZ_TOTUNIT,168,1)="",),FALSE,TRUE),TRUE)</f>
        <v>1</v>
      </c>
      <c r="K425" t="str">
        <f t="shared" si="13"/>
        <v xml:space="preserve">Row 168 - If ‘Total amount’ is given, then ‘Net / Gross’ and ‘Total amount unit’ are required </v>
      </c>
      <c r="L425" t="s">
        <v>33308</v>
      </c>
    </row>
    <row r="426" spans="7:12" x14ac:dyDescent="0.2">
      <c r="G426" t="b">
        <f>IF(OR(INDEX(IHZ_HAZ_TOTAMOUNT,169,1)&lt;&gt;"",),IF(OR(INDEX(IHZ_HAZ_TOTNETGROSS,169,1)="",INDEX(IHZ_HAZ_TOTUNIT,169,1)="",),FALSE,TRUE),TRUE)</f>
        <v>1</v>
      </c>
      <c r="H426" t="str">
        <f t="shared" si="12"/>
        <v xml:space="preserve">Row 169 - If ‘Total amount’ is given, then ‘Net / Gross’ and ‘Total amount unit’ are required </v>
      </c>
      <c r="I426" t="s">
        <v>33308</v>
      </c>
      <c r="J426" t="b">
        <f>IF(OR(INDEX(OHZ_HAZ_TOTAMOUNT,169,1)&lt;&gt;"",),IF(OR(INDEX(OHZ_HAZ_TOTNETGROSS,169,1)="",INDEX(OHZ_HAZ_TOTUNIT,169,1)="",),FALSE,TRUE),TRUE)</f>
        <v>1</v>
      </c>
      <c r="K426" t="str">
        <f t="shared" si="13"/>
        <v xml:space="preserve">Row 169 - If ‘Total amount’ is given, then ‘Net / Gross’ and ‘Total amount unit’ are required </v>
      </c>
      <c r="L426" t="s">
        <v>33308</v>
      </c>
    </row>
    <row r="427" spans="7:12" x14ac:dyDescent="0.2">
      <c r="G427" t="b">
        <f>IF(OR(INDEX(IHZ_HAZ_TOTAMOUNT,170,1)&lt;&gt;"",),IF(OR(INDEX(IHZ_HAZ_TOTNETGROSS,170,1)="",INDEX(IHZ_HAZ_TOTUNIT,170,1)="",),FALSE,TRUE),TRUE)</f>
        <v>1</v>
      </c>
      <c r="H427" t="str">
        <f t="shared" si="12"/>
        <v xml:space="preserve">Row 170 - If ‘Total amount’ is given, then ‘Net / Gross’ and ‘Total amount unit’ are required </v>
      </c>
      <c r="I427" t="s">
        <v>33308</v>
      </c>
      <c r="J427" t="b">
        <f>IF(OR(INDEX(OHZ_HAZ_TOTAMOUNT,170,1)&lt;&gt;"",),IF(OR(INDEX(OHZ_HAZ_TOTNETGROSS,170,1)="",INDEX(OHZ_HAZ_TOTUNIT,170,1)="",),FALSE,TRUE),TRUE)</f>
        <v>1</v>
      </c>
      <c r="K427" t="str">
        <f t="shared" si="13"/>
        <v xml:space="preserve">Row 170 - If ‘Total amount’ is given, then ‘Net / Gross’ and ‘Total amount unit’ are required </v>
      </c>
      <c r="L427" t="s">
        <v>33308</v>
      </c>
    </row>
    <row r="428" spans="7:12" x14ac:dyDescent="0.2">
      <c r="G428" t="b">
        <f>IF(OR(INDEX(IHZ_HAZ_TOTAMOUNT,171,1)&lt;&gt;"",),IF(OR(INDEX(IHZ_HAZ_TOTNETGROSS,171,1)="",INDEX(IHZ_HAZ_TOTUNIT,171,1)="",),FALSE,TRUE),TRUE)</f>
        <v>1</v>
      </c>
      <c r="H428" t="str">
        <f t="shared" si="12"/>
        <v xml:space="preserve">Row 171 - If ‘Total amount’ is given, then ‘Net / Gross’ and ‘Total amount unit’ are required </v>
      </c>
      <c r="I428" t="s">
        <v>33308</v>
      </c>
      <c r="J428" t="b">
        <f>IF(OR(INDEX(OHZ_HAZ_TOTAMOUNT,171,1)&lt;&gt;"",),IF(OR(INDEX(OHZ_HAZ_TOTNETGROSS,171,1)="",INDEX(OHZ_HAZ_TOTUNIT,171,1)="",),FALSE,TRUE),TRUE)</f>
        <v>1</v>
      </c>
      <c r="K428" t="str">
        <f t="shared" si="13"/>
        <v xml:space="preserve">Row 171 - If ‘Total amount’ is given, then ‘Net / Gross’ and ‘Total amount unit’ are required </v>
      </c>
      <c r="L428" t="s">
        <v>33308</v>
      </c>
    </row>
    <row r="429" spans="7:12" x14ac:dyDescent="0.2">
      <c r="G429" t="b">
        <f>IF(OR(INDEX(IHZ_HAZ_TOTAMOUNT,172,1)&lt;&gt;"",),IF(OR(INDEX(IHZ_HAZ_TOTNETGROSS,172,1)="",INDEX(IHZ_HAZ_TOTUNIT,172,1)="",),FALSE,TRUE),TRUE)</f>
        <v>1</v>
      </c>
      <c r="H429" t="str">
        <f t="shared" si="12"/>
        <v xml:space="preserve">Row 172 - If ‘Total amount’ is given, then ‘Net / Gross’ and ‘Total amount unit’ are required </v>
      </c>
      <c r="I429" t="s">
        <v>33308</v>
      </c>
      <c r="J429" t="b">
        <f>IF(OR(INDEX(OHZ_HAZ_TOTAMOUNT,172,1)&lt;&gt;"",),IF(OR(INDEX(OHZ_HAZ_TOTNETGROSS,172,1)="",INDEX(OHZ_HAZ_TOTUNIT,172,1)="",),FALSE,TRUE),TRUE)</f>
        <v>1</v>
      </c>
      <c r="K429" t="str">
        <f t="shared" si="13"/>
        <v xml:space="preserve">Row 172 - If ‘Total amount’ is given, then ‘Net / Gross’ and ‘Total amount unit’ are required </v>
      </c>
      <c r="L429" t="s">
        <v>33308</v>
      </c>
    </row>
    <row r="430" spans="7:12" x14ac:dyDescent="0.2">
      <c r="G430" t="b">
        <f>IF(OR(INDEX(IHZ_HAZ_TOTAMOUNT,173,1)&lt;&gt;"",),IF(OR(INDEX(IHZ_HAZ_TOTNETGROSS,173,1)="",INDEX(IHZ_HAZ_TOTUNIT,173,1)="",),FALSE,TRUE),TRUE)</f>
        <v>1</v>
      </c>
      <c r="H430" t="str">
        <f t="shared" si="12"/>
        <v xml:space="preserve">Row 173 - If ‘Total amount’ is given, then ‘Net / Gross’ and ‘Total amount unit’ are required </v>
      </c>
      <c r="I430" t="s">
        <v>33308</v>
      </c>
      <c r="J430" t="b">
        <f>IF(OR(INDEX(OHZ_HAZ_TOTAMOUNT,173,1)&lt;&gt;"",),IF(OR(INDEX(OHZ_HAZ_TOTNETGROSS,173,1)="",INDEX(OHZ_HAZ_TOTUNIT,173,1)="",),FALSE,TRUE),TRUE)</f>
        <v>1</v>
      </c>
      <c r="K430" t="str">
        <f t="shared" si="13"/>
        <v xml:space="preserve">Row 173 - If ‘Total amount’ is given, then ‘Net / Gross’ and ‘Total amount unit’ are required </v>
      </c>
      <c r="L430" t="s">
        <v>33308</v>
      </c>
    </row>
    <row r="431" spans="7:12" x14ac:dyDescent="0.2">
      <c r="G431" t="b">
        <f>IF(OR(INDEX(IHZ_HAZ_TOTAMOUNT,174,1)&lt;&gt;"",),IF(OR(INDEX(IHZ_HAZ_TOTNETGROSS,174,1)="",INDEX(IHZ_HAZ_TOTUNIT,174,1)="",),FALSE,TRUE),TRUE)</f>
        <v>1</v>
      </c>
      <c r="H431" t="str">
        <f t="shared" si="12"/>
        <v xml:space="preserve">Row 174 - If ‘Total amount’ is given, then ‘Net / Gross’ and ‘Total amount unit’ are required </v>
      </c>
      <c r="I431" t="s">
        <v>33308</v>
      </c>
      <c r="J431" t="b">
        <f>IF(OR(INDEX(OHZ_HAZ_TOTAMOUNT,174,1)&lt;&gt;"",),IF(OR(INDEX(OHZ_HAZ_TOTNETGROSS,174,1)="",INDEX(OHZ_HAZ_TOTUNIT,174,1)="",),FALSE,TRUE),TRUE)</f>
        <v>1</v>
      </c>
      <c r="K431" t="str">
        <f t="shared" si="13"/>
        <v xml:space="preserve">Row 174 - If ‘Total amount’ is given, then ‘Net / Gross’ and ‘Total amount unit’ are required </v>
      </c>
      <c r="L431" t="s">
        <v>33308</v>
      </c>
    </row>
    <row r="432" spans="7:12" x14ac:dyDescent="0.2">
      <c r="G432" t="b">
        <f>IF(OR(INDEX(IHZ_HAZ_TOTAMOUNT,175,1)&lt;&gt;"",),IF(OR(INDEX(IHZ_HAZ_TOTNETGROSS,175,1)="",INDEX(IHZ_HAZ_TOTUNIT,175,1)="",),FALSE,TRUE),TRUE)</f>
        <v>1</v>
      </c>
      <c r="H432" t="str">
        <f t="shared" si="12"/>
        <v xml:space="preserve">Row 175 - If ‘Total amount’ is given, then ‘Net / Gross’ and ‘Total amount unit’ are required </v>
      </c>
      <c r="I432" t="s">
        <v>33308</v>
      </c>
      <c r="J432" t="b">
        <f>IF(OR(INDEX(OHZ_HAZ_TOTAMOUNT,175,1)&lt;&gt;"",),IF(OR(INDEX(OHZ_HAZ_TOTNETGROSS,175,1)="",INDEX(OHZ_HAZ_TOTUNIT,175,1)="",),FALSE,TRUE),TRUE)</f>
        <v>1</v>
      </c>
      <c r="K432" t="str">
        <f t="shared" si="13"/>
        <v xml:space="preserve">Row 175 - If ‘Total amount’ is given, then ‘Net / Gross’ and ‘Total amount unit’ are required </v>
      </c>
      <c r="L432" t="s">
        <v>33308</v>
      </c>
    </row>
    <row r="433" spans="7:12" x14ac:dyDescent="0.2">
      <c r="G433" t="b">
        <f>IF(OR(INDEX(IHZ_HAZ_TOTAMOUNT,176,1)&lt;&gt;"",),IF(OR(INDEX(IHZ_HAZ_TOTNETGROSS,176,1)="",INDEX(IHZ_HAZ_TOTUNIT,176,1)="",),FALSE,TRUE),TRUE)</f>
        <v>1</v>
      </c>
      <c r="H433" t="str">
        <f t="shared" si="12"/>
        <v xml:space="preserve">Row 176 - If ‘Total amount’ is given, then ‘Net / Gross’ and ‘Total amount unit’ are required </v>
      </c>
      <c r="I433" t="s">
        <v>33308</v>
      </c>
      <c r="J433" t="b">
        <f>IF(OR(INDEX(OHZ_HAZ_TOTAMOUNT,176,1)&lt;&gt;"",),IF(OR(INDEX(OHZ_HAZ_TOTNETGROSS,176,1)="",INDEX(OHZ_HAZ_TOTUNIT,176,1)="",),FALSE,TRUE),TRUE)</f>
        <v>1</v>
      </c>
      <c r="K433" t="str">
        <f t="shared" si="13"/>
        <v xml:space="preserve">Row 176 - If ‘Total amount’ is given, then ‘Net / Gross’ and ‘Total amount unit’ are required </v>
      </c>
      <c r="L433" t="s">
        <v>33308</v>
      </c>
    </row>
    <row r="434" spans="7:12" x14ac:dyDescent="0.2">
      <c r="G434" t="b">
        <f>IF(OR(INDEX(IHZ_HAZ_TOTAMOUNT,177,1)&lt;&gt;"",),IF(OR(INDEX(IHZ_HAZ_TOTNETGROSS,177,1)="",INDEX(IHZ_HAZ_TOTUNIT,177,1)="",),FALSE,TRUE),TRUE)</f>
        <v>1</v>
      </c>
      <c r="H434" t="str">
        <f t="shared" si="12"/>
        <v xml:space="preserve">Row 177 - If ‘Total amount’ is given, then ‘Net / Gross’ and ‘Total amount unit’ are required </v>
      </c>
      <c r="I434" t="s">
        <v>33308</v>
      </c>
      <c r="J434" t="b">
        <f>IF(OR(INDEX(OHZ_HAZ_TOTAMOUNT,177,1)&lt;&gt;"",),IF(OR(INDEX(OHZ_HAZ_TOTNETGROSS,177,1)="",INDEX(OHZ_HAZ_TOTUNIT,177,1)="",),FALSE,TRUE),TRUE)</f>
        <v>1</v>
      </c>
      <c r="K434" t="str">
        <f t="shared" si="13"/>
        <v xml:space="preserve">Row 177 - If ‘Total amount’ is given, then ‘Net / Gross’ and ‘Total amount unit’ are required </v>
      </c>
      <c r="L434" t="s">
        <v>33308</v>
      </c>
    </row>
    <row r="435" spans="7:12" x14ac:dyDescent="0.2">
      <c r="G435" t="b">
        <f>IF(OR(INDEX(IHZ_HAZ_TOTAMOUNT,178,1)&lt;&gt;"",),IF(OR(INDEX(IHZ_HAZ_TOTNETGROSS,178,1)="",INDEX(IHZ_HAZ_TOTUNIT,178,1)="",),FALSE,TRUE),TRUE)</f>
        <v>1</v>
      </c>
      <c r="H435" t="str">
        <f t="shared" si="12"/>
        <v xml:space="preserve">Row 178 - If ‘Total amount’ is given, then ‘Net / Gross’ and ‘Total amount unit’ are required </v>
      </c>
      <c r="I435" t="s">
        <v>33308</v>
      </c>
      <c r="J435" t="b">
        <f>IF(OR(INDEX(OHZ_HAZ_TOTAMOUNT,178,1)&lt;&gt;"",),IF(OR(INDEX(OHZ_HAZ_TOTNETGROSS,178,1)="",INDEX(OHZ_HAZ_TOTUNIT,178,1)="",),FALSE,TRUE),TRUE)</f>
        <v>1</v>
      </c>
      <c r="K435" t="str">
        <f t="shared" si="13"/>
        <v xml:space="preserve">Row 178 - If ‘Total amount’ is given, then ‘Net / Gross’ and ‘Total amount unit’ are required </v>
      </c>
      <c r="L435" t="s">
        <v>33308</v>
      </c>
    </row>
    <row r="436" spans="7:12" x14ac:dyDescent="0.2">
      <c r="G436" t="b">
        <f>IF(OR(INDEX(IHZ_HAZ_TOTAMOUNT,179,1)&lt;&gt;"",),IF(OR(INDEX(IHZ_HAZ_TOTNETGROSS,179,1)="",INDEX(IHZ_HAZ_TOTUNIT,179,1)="",),FALSE,TRUE),TRUE)</f>
        <v>1</v>
      </c>
      <c r="H436" t="str">
        <f t="shared" si="12"/>
        <v xml:space="preserve">Row 179 - If ‘Total amount’ is given, then ‘Net / Gross’ and ‘Total amount unit’ are required </v>
      </c>
      <c r="I436" t="s">
        <v>33308</v>
      </c>
      <c r="J436" t="b">
        <f>IF(OR(INDEX(OHZ_HAZ_TOTAMOUNT,179,1)&lt;&gt;"",),IF(OR(INDEX(OHZ_HAZ_TOTNETGROSS,179,1)="",INDEX(OHZ_HAZ_TOTUNIT,179,1)="",),FALSE,TRUE),TRUE)</f>
        <v>1</v>
      </c>
      <c r="K436" t="str">
        <f t="shared" si="13"/>
        <v xml:space="preserve">Row 179 - If ‘Total amount’ is given, then ‘Net / Gross’ and ‘Total amount unit’ are required </v>
      </c>
      <c r="L436" t="s">
        <v>33308</v>
      </c>
    </row>
    <row r="437" spans="7:12" x14ac:dyDescent="0.2">
      <c r="G437" t="b">
        <f>IF(OR(INDEX(IHZ_HAZ_TOTAMOUNT,180,1)&lt;&gt;"",),IF(OR(INDEX(IHZ_HAZ_TOTNETGROSS,180,1)="",INDEX(IHZ_HAZ_TOTUNIT,180,1)="",),FALSE,TRUE),TRUE)</f>
        <v>1</v>
      </c>
      <c r="H437" t="str">
        <f t="shared" si="12"/>
        <v xml:space="preserve">Row 180 - If ‘Total amount’ is given, then ‘Net / Gross’ and ‘Total amount unit’ are required </v>
      </c>
      <c r="I437" t="s">
        <v>33308</v>
      </c>
      <c r="J437" t="b">
        <f>IF(OR(INDEX(OHZ_HAZ_TOTAMOUNT,180,1)&lt;&gt;"",),IF(OR(INDEX(OHZ_HAZ_TOTNETGROSS,180,1)="",INDEX(OHZ_HAZ_TOTUNIT,180,1)="",),FALSE,TRUE),TRUE)</f>
        <v>1</v>
      </c>
      <c r="K437" t="str">
        <f t="shared" si="13"/>
        <v xml:space="preserve">Row 180 - If ‘Total amount’ is given, then ‘Net / Gross’ and ‘Total amount unit’ are required </v>
      </c>
      <c r="L437" t="s">
        <v>33308</v>
      </c>
    </row>
    <row r="438" spans="7:12" x14ac:dyDescent="0.2">
      <c r="G438" t="b">
        <f>IF(OR(INDEX(IHZ_HAZ_TOTAMOUNT,181,1)&lt;&gt;"",),IF(OR(INDEX(IHZ_HAZ_TOTNETGROSS,181,1)="",INDEX(IHZ_HAZ_TOTUNIT,181,1)="",),FALSE,TRUE),TRUE)</f>
        <v>1</v>
      </c>
      <c r="H438" t="str">
        <f t="shared" si="12"/>
        <v xml:space="preserve">Row 181 - If ‘Total amount’ is given, then ‘Net / Gross’ and ‘Total amount unit’ are required </v>
      </c>
      <c r="I438" t="s">
        <v>33308</v>
      </c>
      <c r="J438" t="b">
        <f>IF(OR(INDEX(OHZ_HAZ_TOTAMOUNT,181,1)&lt;&gt;"",),IF(OR(INDEX(OHZ_HAZ_TOTNETGROSS,181,1)="",INDEX(OHZ_HAZ_TOTUNIT,181,1)="",),FALSE,TRUE),TRUE)</f>
        <v>1</v>
      </c>
      <c r="K438" t="str">
        <f t="shared" si="13"/>
        <v xml:space="preserve">Row 181 - If ‘Total amount’ is given, then ‘Net / Gross’ and ‘Total amount unit’ are required </v>
      </c>
      <c r="L438" t="s">
        <v>33308</v>
      </c>
    </row>
    <row r="439" spans="7:12" x14ac:dyDescent="0.2">
      <c r="G439" t="b">
        <f>IF(OR(INDEX(IHZ_HAZ_TOTAMOUNT,182,1)&lt;&gt;"",),IF(OR(INDEX(IHZ_HAZ_TOTNETGROSS,182,1)="",INDEX(IHZ_HAZ_TOTUNIT,182,1)="",),FALSE,TRUE),TRUE)</f>
        <v>1</v>
      </c>
      <c r="H439" t="str">
        <f t="shared" si="12"/>
        <v xml:space="preserve">Row 182 - If ‘Total amount’ is given, then ‘Net / Gross’ and ‘Total amount unit’ are required </v>
      </c>
      <c r="I439" t="s">
        <v>33308</v>
      </c>
      <c r="J439" t="b">
        <f>IF(OR(INDEX(OHZ_HAZ_TOTAMOUNT,182,1)&lt;&gt;"",),IF(OR(INDEX(OHZ_HAZ_TOTNETGROSS,182,1)="",INDEX(OHZ_HAZ_TOTUNIT,182,1)="",),FALSE,TRUE),TRUE)</f>
        <v>1</v>
      </c>
      <c r="K439" t="str">
        <f t="shared" si="13"/>
        <v xml:space="preserve">Row 182 - If ‘Total amount’ is given, then ‘Net / Gross’ and ‘Total amount unit’ are required </v>
      </c>
      <c r="L439" t="s">
        <v>33308</v>
      </c>
    </row>
    <row r="440" spans="7:12" x14ac:dyDescent="0.2">
      <c r="G440" t="b">
        <f>IF(OR(INDEX(IHZ_HAZ_TOTAMOUNT,183,1)&lt;&gt;"",),IF(OR(INDEX(IHZ_HAZ_TOTNETGROSS,183,1)="",INDEX(IHZ_HAZ_TOTUNIT,183,1)="",),FALSE,TRUE),TRUE)</f>
        <v>1</v>
      </c>
      <c r="H440" t="str">
        <f t="shared" si="12"/>
        <v xml:space="preserve">Row 183 - If ‘Total amount’ is given, then ‘Net / Gross’ and ‘Total amount unit’ are required </v>
      </c>
      <c r="I440" t="s">
        <v>33308</v>
      </c>
      <c r="J440" t="b">
        <f>IF(OR(INDEX(OHZ_HAZ_TOTAMOUNT,183,1)&lt;&gt;"",),IF(OR(INDEX(OHZ_HAZ_TOTNETGROSS,183,1)="",INDEX(OHZ_HAZ_TOTUNIT,183,1)="",),FALSE,TRUE),TRUE)</f>
        <v>1</v>
      </c>
      <c r="K440" t="str">
        <f t="shared" si="13"/>
        <v xml:space="preserve">Row 183 - If ‘Total amount’ is given, then ‘Net / Gross’ and ‘Total amount unit’ are required </v>
      </c>
      <c r="L440" t="s">
        <v>33308</v>
      </c>
    </row>
    <row r="441" spans="7:12" x14ac:dyDescent="0.2">
      <c r="G441" t="b">
        <f>IF(OR(INDEX(IHZ_HAZ_TOTAMOUNT,184,1)&lt;&gt;"",),IF(OR(INDEX(IHZ_HAZ_TOTNETGROSS,184,1)="",INDEX(IHZ_HAZ_TOTUNIT,184,1)="",),FALSE,TRUE),TRUE)</f>
        <v>1</v>
      </c>
      <c r="H441" t="str">
        <f t="shared" si="12"/>
        <v xml:space="preserve">Row 184 - If ‘Total amount’ is given, then ‘Net / Gross’ and ‘Total amount unit’ are required </v>
      </c>
      <c r="I441" t="s">
        <v>33308</v>
      </c>
      <c r="J441" t="b">
        <f>IF(OR(INDEX(OHZ_HAZ_TOTAMOUNT,184,1)&lt;&gt;"",),IF(OR(INDEX(OHZ_HAZ_TOTNETGROSS,184,1)="",INDEX(OHZ_HAZ_TOTUNIT,184,1)="",),FALSE,TRUE),TRUE)</f>
        <v>1</v>
      </c>
      <c r="K441" t="str">
        <f t="shared" si="13"/>
        <v xml:space="preserve">Row 184 - If ‘Total amount’ is given, then ‘Net / Gross’ and ‘Total amount unit’ are required </v>
      </c>
      <c r="L441" t="s">
        <v>33308</v>
      </c>
    </row>
    <row r="442" spans="7:12" x14ac:dyDescent="0.2">
      <c r="G442" t="b">
        <f>IF(OR(INDEX(IHZ_HAZ_TOTAMOUNT,185,1)&lt;&gt;"",),IF(OR(INDEX(IHZ_HAZ_TOTNETGROSS,185,1)="",INDEX(IHZ_HAZ_TOTUNIT,185,1)="",),FALSE,TRUE),TRUE)</f>
        <v>1</v>
      </c>
      <c r="H442" t="str">
        <f t="shared" si="12"/>
        <v xml:space="preserve">Row 185 - If ‘Total amount’ is given, then ‘Net / Gross’ and ‘Total amount unit’ are required </v>
      </c>
      <c r="I442" t="s">
        <v>33308</v>
      </c>
      <c r="J442" t="b">
        <f>IF(OR(INDEX(OHZ_HAZ_TOTAMOUNT,185,1)&lt;&gt;"",),IF(OR(INDEX(OHZ_HAZ_TOTNETGROSS,185,1)="",INDEX(OHZ_HAZ_TOTUNIT,185,1)="",),FALSE,TRUE),TRUE)</f>
        <v>1</v>
      </c>
      <c r="K442" t="str">
        <f t="shared" si="13"/>
        <v xml:space="preserve">Row 185 - If ‘Total amount’ is given, then ‘Net / Gross’ and ‘Total amount unit’ are required </v>
      </c>
      <c r="L442" t="s">
        <v>33308</v>
      </c>
    </row>
    <row r="443" spans="7:12" x14ac:dyDescent="0.2">
      <c r="G443" t="b">
        <f>IF(OR(INDEX(IHZ_HAZ_TOTAMOUNT,186,1)&lt;&gt;"",),IF(OR(INDEX(IHZ_HAZ_TOTNETGROSS,186,1)="",INDEX(IHZ_HAZ_TOTUNIT,186,1)="",),FALSE,TRUE),TRUE)</f>
        <v>1</v>
      </c>
      <c r="H443" t="str">
        <f t="shared" si="12"/>
        <v xml:space="preserve">Row 186 - If ‘Total amount’ is given, then ‘Net / Gross’ and ‘Total amount unit’ are required </v>
      </c>
      <c r="I443" t="s">
        <v>33308</v>
      </c>
      <c r="J443" t="b">
        <f>IF(OR(INDEX(OHZ_HAZ_TOTAMOUNT,186,1)&lt;&gt;"",),IF(OR(INDEX(OHZ_HAZ_TOTNETGROSS,186,1)="",INDEX(OHZ_HAZ_TOTUNIT,186,1)="",),FALSE,TRUE),TRUE)</f>
        <v>1</v>
      </c>
      <c r="K443" t="str">
        <f t="shared" si="13"/>
        <v xml:space="preserve">Row 186 - If ‘Total amount’ is given, then ‘Net / Gross’ and ‘Total amount unit’ are required </v>
      </c>
      <c r="L443" t="s">
        <v>33308</v>
      </c>
    </row>
    <row r="444" spans="7:12" x14ac:dyDescent="0.2">
      <c r="G444" t="b">
        <f>IF(OR(INDEX(IHZ_HAZ_TOTAMOUNT,187,1)&lt;&gt;"",),IF(OR(INDEX(IHZ_HAZ_TOTNETGROSS,187,1)="",INDEX(IHZ_HAZ_TOTUNIT,187,1)="",),FALSE,TRUE),TRUE)</f>
        <v>1</v>
      </c>
      <c r="H444" t="str">
        <f t="shared" si="12"/>
        <v xml:space="preserve">Row 187 - If ‘Total amount’ is given, then ‘Net / Gross’ and ‘Total amount unit’ are required </v>
      </c>
      <c r="I444" t="s">
        <v>33308</v>
      </c>
      <c r="J444" t="b">
        <f>IF(OR(INDEX(OHZ_HAZ_TOTAMOUNT,187,1)&lt;&gt;"",),IF(OR(INDEX(OHZ_HAZ_TOTNETGROSS,187,1)="",INDEX(OHZ_HAZ_TOTUNIT,187,1)="",),FALSE,TRUE),TRUE)</f>
        <v>1</v>
      </c>
      <c r="K444" t="str">
        <f t="shared" si="13"/>
        <v xml:space="preserve">Row 187 - If ‘Total amount’ is given, then ‘Net / Gross’ and ‘Total amount unit’ are required </v>
      </c>
      <c r="L444" t="s">
        <v>33308</v>
      </c>
    </row>
    <row r="445" spans="7:12" x14ac:dyDescent="0.2">
      <c r="G445" t="b">
        <f>IF(OR(INDEX(IHZ_HAZ_TOTAMOUNT,188,1)&lt;&gt;"",),IF(OR(INDEX(IHZ_HAZ_TOTNETGROSS,188,1)="",INDEX(IHZ_HAZ_TOTUNIT,188,1)="",),FALSE,TRUE),TRUE)</f>
        <v>1</v>
      </c>
      <c r="H445" t="str">
        <f t="shared" si="12"/>
        <v xml:space="preserve">Row 188 - If ‘Total amount’ is given, then ‘Net / Gross’ and ‘Total amount unit’ are required </v>
      </c>
      <c r="I445" t="s">
        <v>33308</v>
      </c>
      <c r="J445" t="b">
        <f>IF(OR(INDEX(OHZ_HAZ_TOTAMOUNT,188,1)&lt;&gt;"",),IF(OR(INDEX(OHZ_HAZ_TOTNETGROSS,188,1)="",INDEX(OHZ_HAZ_TOTUNIT,188,1)="",),FALSE,TRUE),TRUE)</f>
        <v>1</v>
      </c>
      <c r="K445" t="str">
        <f t="shared" si="13"/>
        <v xml:space="preserve">Row 188 - If ‘Total amount’ is given, then ‘Net / Gross’ and ‘Total amount unit’ are required </v>
      </c>
      <c r="L445" t="s">
        <v>33308</v>
      </c>
    </row>
    <row r="446" spans="7:12" x14ac:dyDescent="0.2">
      <c r="G446" t="b">
        <f>IF(OR(INDEX(IHZ_HAZ_TOTAMOUNT,189,1)&lt;&gt;"",),IF(OR(INDEX(IHZ_HAZ_TOTNETGROSS,189,1)="",INDEX(IHZ_HAZ_TOTUNIT,189,1)="",),FALSE,TRUE),TRUE)</f>
        <v>1</v>
      </c>
      <c r="H446" t="str">
        <f t="shared" si="12"/>
        <v xml:space="preserve">Row 189 - If ‘Total amount’ is given, then ‘Net / Gross’ and ‘Total amount unit’ are required </v>
      </c>
      <c r="I446" t="s">
        <v>33308</v>
      </c>
      <c r="J446" t="b">
        <f>IF(OR(INDEX(OHZ_HAZ_TOTAMOUNT,189,1)&lt;&gt;"",),IF(OR(INDEX(OHZ_HAZ_TOTNETGROSS,189,1)="",INDEX(OHZ_HAZ_TOTUNIT,189,1)="",),FALSE,TRUE),TRUE)</f>
        <v>1</v>
      </c>
      <c r="K446" t="str">
        <f t="shared" si="13"/>
        <v xml:space="preserve">Row 189 - If ‘Total amount’ is given, then ‘Net / Gross’ and ‘Total amount unit’ are required </v>
      </c>
      <c r="L446" t="s">
        <v>33308</v>
      </c>
    </row>
    <row r="447" spans="7:12" x14ac:dyDescent="0.2">
      <c r="G447" t="b">
        <f>IF(OR(INDEX(IHZ_HAZ_TOTAMOUNT,190,1)&lt;&gt;"",),IF(OR(INDEX(IHZ_HAZ_TOTNETGROSS,190,1)="",INDEX(IHZ_HAZ_TOTUNIT,190,1)="",),FALSE,TRUE),TRUE)</f>
        <v>1</v>
      </c>
      <c r="H447" t="str">
        <f t="shared" si="12"/>
        <v xml:space="preserve">Row 190 - If ‘Total amount’ is given, then ‘Net / Gross’ and ‘Total amount unit’ are required </v>
      </c>
      <c r="I447" t="s">
        <v>33308</v>
      </c>
      <c r="J447" t="b">
        <f>IF(OR(INDEX(OHZ_HAZ_TOTAMOUNT,190,1)&lt;&gt;"",),IF(OR(INDEX(OHZ_HAZ_TOTNETGROSS,190,1)="",INDEX(OHZ_HAZ_TOTUNIT,190,1)="",),FALSE,TRUE),TRUE)</f>
        <v>1</v>
      </c>
      <c r="K447" t="str">
        <f t="shared" si="13"/>
        <v xml:space="preserve">Row 190 - If ‘Total amount’ is given, then ‘Net / Gross’ and ‘Total amount unit’ are required </v>
      </c>
      <c r="L447" t="s">
        <v>33308</v>
      </c>
    </row>
    <row r="448" spans="7:12" x14ac:dyDescent="0.2">
      <c r="G448" t="b">
        <f>IF(OR(INDEX(IHZ_HAZ_TOTAMOUNT,191,1)&lt;&gt;"",),IF(OR(INDEX(IHZ_HAZ_TOTNETGROSS,191,1)="",INDEX(IHZ_HAZ_TOTUNIT,191,1)="",),FALSE,TRUE),TRUE)</f>
        <v>1</v>
      </c>
      <c r="H448" t="str">
        <f t="shared" si="12"/>
        <v xml:space="preserve">Row 191 - If ‘Total amount’ is given, then ‘Net / Gross’ and ‘Total amount unit’ are required </v>
      </c>
      <c r="I448" t="s">
        <v>33308</v>
      </c>
      <c r="J448" t="b">
        <f>IF(OR(INDEX(OHZ_HAZ_TOTAMOUNT,191,1)&lt;&gt;"",),IF(OR(INDEX(OHZ_HAZ_TOTNETGROSS,191,1)="",INDEX(OHZ_HAZ_TOTUNIT,191,1)="",),FALSE,TRUE),TRUE)</f>
        <v>1</v>
      </c>
      <c r="K448" t="str">
        <f t="shared" si="13"/>
        <v xml:space="preserve">Row 191 - If ‘Total amount’ is given, then ‘Net / Gross’ and ‘Total amount unit’ are required </v>
      </c>
      <c r="L448" t="s">
        <v>33308</v>
      </c>
    </row>
    <row r="449" spans="7:12" x14ac:dyDescent="0.2">
      <c r="G449" t="b">
        <f>IF(OR(INDEX(IHZ_HAZ_TOTAMOUNT,192,1)&lt;&gt;"",),IF(OR(INDEX(IHZ_HAZ_TOTNETGROSS,192,1)="",INDEX(IHZ_HAZ_TOTUNIT,192,1)="",),FALSE,TRUE),TRUE)</f>
        <v>1</v>
      </c>
      <c r="H449" t="str">
        <f t="shared" si="12"/>
        <v xml:space="preserve">Row 192 - If ‘Total amount’ is given, then ‘Net / Gross’ and ‘Total amount unit’ are required </v>
      </c>
      <c r="I449" t="s">
        <v>33308</v>
      </c>
      <c r="J449" t="b">
        <f>IF(OR(INDEX(OHZ_HAZ_TOTAMOUNT,192,1)&lt;&gt;"",),IF(OR(INDEX(OHZ_HAZ_TOTNETGROSS,192,1)="",INDEX(OHZ_HAZ_TOTUNIT,192,1)="",),FALSE,TRUE),TRUE)</f>
        <v>1</v>
      </c>
      <c r="K449" t="str">
        <f t="shared" si="13"/>
        <v xml:space="preserve">Row 192 - If ‘Total amount’ is given, then ‘Net / Gross’ and ‘Total amount unit’ are required </v>
      </c>
      <c r="L449" t="s">
        <v>33308</v>
      </c>
    </row>
    <row r="450" spans="7:12" x14ac:dyDescent="0.2">
      <c r="G450" t="b">
        <f>IF(OR(INDEX(IHZ_HAZ_TOTAMOUNT,193,1)&lt;&gt;"",),IF(OR(INDEX(IHZ_HAZ_TOTNETGROSS,193,1)="",INDEX(IHZ_HAZ_TOTUNIT,193,1)="",),FALSE,TRUE),TRUE)</f>
        <v>1</v>
      </c>
      <c r="H450" t="str">
        <f t="shared" si="12"/>
        <v xml:space="preserve">Row 193 - If ‘Total amount’ is given, then ‘Net / Gross’ and ‘Total amount unit’ are required </v>
      </c>
      <c r="I450" t="s">
        <v>33308</v>
      </c>
      <c r="J450" t="b">
        <f>IF(OR(INDEX(OHZ_HAZ_TOTAMOUNT,193,1)&lt;&gt;"",),IF(OR(INDEX(OHZ_HAZ_TOTNETGROSS,193,1)="",INDEX(OHZ_HAZ_TOTUNIT,193,1)="",),FALSE,TRUE),TRUE)</f>
        <v>1</v>
      </c>
      <c r="K450" t="str">
        <f t="shared" si="13"/>
        <v xml:space="preserve">Row 193 - If ‘Total amount’ is given, then ‘Net / Gross’ and ‘Total amount unit’ are required </v>
      </c>
      <c r="L450" t="s">
        <v>33308</v>
      </c>
    </row>
    <row r="451" spans="7:12" x14ac:dyDescent="0.2">
      <c r="G451" t="b">
        <f>IF(OR(INDEX(IHZ_HAZ_TOTAMOUNT,194,1)&lt;&gt;"",),IF(OR(INDEX(IHZ_HAZ_TOTNETGROSS,194,1)="",INDEX(IHZ_HAZ_TOTUNIT,194,1)="",),FALSE,TRUE),TRUE)</f>
        <v>1</v>
      </c>
      <c r="H451" t="str">
        <f t="shared" ref="H451:H507" si="14">T194&amp;$V$2</f>
        <v xml:space="preserve">Row 194 - If ‘Total amount’ is given, then ‘Net / Gross’ and ‘Total amount unit’ are required </v>
      </c>
      <c r="I451" t="s">
        <v>33308</v>
      </c>
      <c r="J451" t="b">
        <f>IF(OR(INDEX(OHZ_HAZ_TOTAMOUNT,194,1)&lt;&gt;"",),IF(OR(INDEX(OHZ_HAZ_TOTNETGROSS,194,1)="",INDEX(OHZ_HAZ_TOTUNIT,194,1)="",),FALSE,TRUE),TRUE)</f>
        <v>1</v>
      </c>
      <c r="K451" t="str">
        <f t="shared" ref="K451:K507" si="15">T194&amp;$V$2</f>
        <v xml:space="preserve">Row 194 - If ‘Total amount’ is given, then ‘Net / Gross’ and ‘Total amount unit’ are required </v>
      </c>
      <c r="L451" t="s">
        <v>33308</v>
      </c>
    </row>
    <row r="452" spans="7:12" x14ac:dyDescent="0.2">
      <c r="G452" t="b">
        <f>IF(OR(INDEX(IHZ_HAZ_TOTAMOUNT,195,1)&lt;&gt;"",),IF(OR(INDEX(IHZ_HAZ_TOTNETGROSS,195,1)="",INDEX(IHZ_HAZ_TOTUNIT,195,1)="",),FALSE,TRUE),TRUE)</f>
        <v>1</v>
      </c>
      <c r="H452" t="str">
        <f t="shared" si="14"/>
        <v xml:space="preserve">Row 195 - If ‘Total amount’ is given, then ‘Net / Gross’ and ‘Total amount unit’ are required </v>
      </c>
      <c r="I452" t="s">
        <v>33308</v>
      </c>
      <c r="J452" t="b">
        <f>IF(OR(INDEX(OHZ_HAZ_TOTAMOUNT,195,1)&lt;&gt;"",),IF(OR(INDEX(OHZ_HAZ_TOTNETGROSS,195,1)="",INDEX(OHZ_HAZ_TOTUNIT,195,1)="",),FALSE,TRUE),TRUE)</f>
        <v>1</v>
      </c>
      <c r="K452" t="str">
        <f t="shared" si="15"/>
        <v xml:space="preserve">Row 195 - If ‘Total amount’ is given, then ‘Net / Gross’ and ‘Total amount unit’ are required </v>
      </c>
      <c r="L452" t="s">
        <v>33308</v>
      </c>
    </row>
    <row r="453" spans="7:12" x14ac:dyDescent="0.2">
      <c r="G453" t="b">
        <f>IF(OR(INDEX(IHZ_HAZ_TOTAMOUNT,196,1)&lt;&gt;"",),IF(OR(INDEX(IHZ_HAZ_TOTNETGROSS,196,1)="",INDEX(IHZ_HAZ_TOTUNIT,196,1)="",),FALSE,TRUE),TRUE)</f>
        <v>1</v>
      </c>
      <c r="H453" t="str">
        <f t="shared" si="14"/>
        <v xml:space="preserve">Row 196 - If ‘Total amount’ is given, then ‘Net / Gross’ and ‘Total amount unit’ are required </v>
      </c>
      <c r="I453" t="s">
        <v>33308</v>
      </c>
      <c r="J453" t="b">
        <f>IF(OR(INDEX(OHZ_HAZ_TOTAMOUNT,196,1)&lt;&gt;"",),IF(OR(INDEX(OHZ_HAZ_TOTNETGROSS,196,1)="",INDEX(OHZ_HAZ_TOTUNIT,196,1)="",),FALSE,TRUE),TRUE)</f>
        <v>1</v>
      </c>
      <c r="K453" t="str">
        <f t="shared" si="15"/>
        <v xml:space="preserve">Row 196 - If ‘Total amount’ is given, then ‘Net / Gross’ and ‘Total amount unit’ are required </v>
      </c>
      <c r="L453" t="s">
        <v>33308</v>
      </c>
    </row>
    <row r="454" spans="7:12" x14ac:dyDescent="0.2">
      <c r="G454" t="b">
        <f>IF(OR(INDEX(IHZ_HAZ_TOTAMOUNT,197,1)&lt;&gt;"",),IF(OR(INDEX(IHZ_HAZ_TOTNETGROSS,197,1)="",INDEX(IHZ_HAZ_TOTUNIT,197,1)="",),FALSE,TRUE),TRUE)</f>
        <v>1</v>
      </c>
      <c r="H454" t="str">
        <f t="shared" si="14"/>
        <v xml:space="preserve">Row 197 - If ‘Total amount’ is given, then ‘Net / Gross’ and ‘Total amount unit’ are required </v>
      </c>
      <c r="I454" t="s">
        <v>33308</v>
      </c>
      <c r="J454" t="b">
        <f>IF(OR(INDEX(OHZ_HAZ_TOTAMOUNT,197,1)&lt;&gt;"",),IF(OR(INDEX(OHZ_HAZ_TOTNETGROSS,197,1)="",INDEX(OHZ_HAZ_TOTUNIT,197,1)="",),FALSE,TRUE),TRUE)</f>
        <v>1</v>
      </c>
      <c r="K454" t="str">
        <f t="shared" si="15"/>
        <v xml:space="preserve">Row 197 - If ‘Total amount’ is given, then ‘Net / Gross’ and ‘Total amount unit’ are required </v>
      </c>
      <c r="L454" t="s">
        <v>33308</v>
      </c>
    </row>
    <row r="455" spans="7:12" x14ac:dyDescent="0.2">
      <c r="G455" t="b">
        <f>IF(OR(INDEX(IHZ_HAZ_TOTAMOUNT,198,1)&lt;&gt;"",),IF(OR(INDEX(IHZ_HAZ_TOTNETGROSS,198,1)="",INDEX(IHZ_HAZ_TOTUNIT,198,1)="",),FALSE,TRUE),TRUE)</f>
        <v>1</v>
      </c>
      <c r="H455" t="str">
        <f t="shared" si="14"/>
        <v xml:space="preserve">Row 198 - If ‘Total amount’ is given, then ‘Net / Gross’ and ‘Total amount unit’ are required </v>
      </c>
      <c r="I455" t="s">
        <v>33308</v>
      </c>
      <c r="J455" t="b">
        <f>IF(OR(INDEX(OHZ_HAZ_TOTAMOUNT,198,1)&lt;&gt;"",),IF(OR(INDEX(OHZ_HAZ_TOTNETGROSS,198,1)="",INDEX(OHZ_HAZ_TOTUNIT,198,1)="",),FALSE,TRUE),TRUE)</f>
        <v>1</v>
      </c>
      <c r="K455" t="str">
        <f t="shared" si="15"/>
        <v xml:space="preserve">Row 198 - If ‘Total amount’ is given, then ‘Net / Gross’ and ‘Total amount unit’ are required </v>
      </c>
      <c r="L455" t="s">
        <v>33308</v>
      </c>
    </row>
    <row r="456" spans="7:12" x14ac:dyDescent="0.2">
      <c r="G456" t="b">
        <f>IF(OR(INDEX(IHZ_HAZ_TOTAMOUNT,199,1)&lt;&gt;"",),IF(OR(INDEX(IHZ_HAZ_TOTNETGROSS,199,1)="",INDEX(IHZ_HAZ_TOTUNIT,199,1)="",),FALSE,TRUE),TRUE)</f>
        <v>1</v>
      </c>
      <c r="H456" t="str">
        <f t="shared" si="14"/>
        <v xml:space="preserve">Row 199 - If ‘Total amount’ is given, then ‘Net / Gross’ and ‘Total amount unit’ are required </v>
      </c>
      <c r="I456" t="s">
        <v>33308</v>
      </c>
      <c r="J456" t="b">
        <f>IF(OR(INDEX(OHZ_HAZ_TOTAMOUNT,199,1)&lt;&gt;"",),IF(OR(INDEX(OHZ_HAZ_TOTNETGROSS,199,1)="",INDEX(OHZ_HAZ_TOTUNIT,199,1)="",),FALSE,TRUE),TRUE)</f>
        <v>1</v>
      </c>
      <c r="K456" t="str">
        <f t="shared" si="15"/>
        <v xml:space="preserve">Row 199 - If ‘Total amount’ is given, then ‘Net / Gross’ and ‘Total amount unit’ are required </v>
      </c>
      <c r="L456" t="s">
        <v>33308</v>
      </c>
    </row>
    <row r="457" spans="7:12" x14ac:dyDescent="0.2">
      <c r="G457" t="b">
        <f>IF(OR(INDEX(IHZ_HAZ_TOTAMOUNT,200,1)&lt;&gt;"",),IF(OR(INDEX(IHZ_HAZ_TOTNETGROSS,200,1)="",INDEX(IHZ_HAZ_TOTUNIT,200,1)="",),FALSE,TRUE),TRUE)</f>
        <v>1</v>
      </c>
      <c r="H457" t="str">
        <f t="shared" si="14"/>
        <v xml:space="preserve">Row 200 - If ‘Total amount’ is given, then ‘Net / Gross’ and ‘Total amount unit’ are required </v>
      </c>
      <c r="I457" t="s">
        <v>33308</v>
      </c>
      <c r="J457" t="b">
        <f>IF(OR(INDEX(OHZ_HAZ_TOTAMOUNT,200,1)&lt;&gt;"",),IF(OR(INDEX(OHZ_HAZ_TOTNETGROSS,200,1)="",INDEX(OHZ_HAZ_TOTUNIT,200,1)="",),FALSE,TRUE),TRUE)</f>
        <v>1</v>
      </c>
      <c r="K457" t="str">
        <f t="shared" si="15"/>
        <v xml:space="preserve">Row 200 - If ‘Total amount’ is given, then ‘Net / Gross’ and ‘Total amount unit’ are required </v>
      </c>
      <c r="L457" t="s">
        <v>33308</v>
      </c>
    </row>
    <row r="458" spans="7:12" x14ac:dyDescent="0.2">
      <c r="G458" t="b">
        <f>IF(OR(INDEX(IHZ_HAZ_TOTAMOUNT,201,1)&lt;&gt;"",),IF(OR(INDEX(IHZ_HAZ_TOTNETGROSS,201,1)="",INDEX(IHZ_HAZ_TOTUNIT,201,1)="",),FALSE,TRUE),TRUE)</f>
        <v>1</v>
      </c>
      <c r="H458" t="str">
        <f t="shared" si="14"/>
        <v xml:space="preserve">Row 201 - If ‘Total amount’ is given, then ‘Net / Gross’ and ‘Total amount unit’ are required </v>
      </c>
      <c r="I458" t="s">
        <v>33308</v>
      </c>
      <c r="J458" t="b">
        <f>IF(OR(INDEX(OHZ_HAZ_TOTAMOUNT,201,1)&lt;&gt;"",),IF(OR(INDEX(OHZ_HAZ_TOTNETGROSS,201,1)="",INDEX(OHZ_HAZ_TOTUNIT,201,1)="",),FALSE,TRUE),TRUE)</f>
        <v>1</v>
      </c>
      <c r="K458" t="str">
        <f t="shared" si="15"/>
        <v xml:space="preserve">Row 201 - If ‘Total amount’ is given, then ‘Net / Gross’ and ‘Total amount unit’ are required </v>
      </c>
      <c r="L458" t="s">
        <v>33308</v>
      </c>
    </row>
    <row r="459" spans="7:12" x14ac:dyDescent="0.2">
      <c r="G459" t="b">
        <f>IF(OR(INDEX(IHZ_HAZ_TOTAMOUNT,202,1)&lt;&gt;"",),IF(OR(INDEX(IHZ_HAZ_TOTNETGROSS,202,1)="",INDEX(IHZ_HAZ_TOTUNIT,202,1)="",),FALSE,TRUE),TRUE)</f>
        <v>1</v>
      </c>
      <c r="H459" t="str">
        <f t="shared" si="14"/>
        <v xml:space="preserve">Row 202 - If ‘Total amount’ is given, then ‘Net / Gross’ and ‘Total amount unit’ are required </v>
      </c>
      <c r="I459" t="s">
        <v>33308</v>
      </c>
      <c r="J459" t="b">
        <f>IF(OR(INDEX(OHZ_HAZ_TOTAMOUNT,202,1)&lt;&gt;"",),IF(OR(INDEX(OHZ_HAZ_TOTNETGROSS,202,1)="",INDEX(OHZ_HAZ_TOTUNIT,202,1)="",),FALSE,TRUE),TRUE)</f>
        <v>1</v>
      </c>
      <c r="K459" t="str">
        <f t="shared" si="15"/>
        <v xml:space="preserve">Row 202 - If ‘Total amount’ is given, then ‘Net / Gross’ and ‘Total amount unit’ are required </v>
      </c>
      <c r="L459" t="s">
        <v>33308</v>
      </c>
    </row>
    <row r="460" spans="7:12" x14ac:dyDescent="0.2">
      <c r="G460" t="b">
        <f>IF(OR(INDEX(IHZ_HAZ_TOTAMOUNT,203,1)&lt;&gt;"",),IF(OR(INDEX(IHZ_HAZ_TOTNETGROSS,203,1)="",INDEX(IHZ_HAZ_TOTUNIT,203,1)="",),FALSE,TRUE),TRUE)</f>
        <v>1</v>
      </c>
      <c r="H460" t="str">
        <f t="shared" si="14"/>
        <v xml:space="preserve">Row 203 - If ‘Total amount’ is given, then ‘Net / Gross’ and ‘Total amount unit’ are required </v>
      </c>
      <c r="I460" t="s">
        <v>33308</v>
      </c>
      <c r="J460" t="b">
        <f>IF(OR(INDEX(OHZ_HAZ_TOTAMOUNT,203,1)&lt;&gt;"",),IF(OR(INDEX(OHZ_HAZ_TOTNETGROSS,203,1)="",INDEX(OHZ_HAZ_TOTUNIT,203,1)="",),FALSE,TRUE),TRUE)</f>
        <v>1</v>
      </c>
      <c r="K460" t="str">
        <f t="shared" si="15"/>
        <v xml:space="preserve">Row 203 - If ‘Total amount’ is given, then ‘Net / Gross’ and ‘Total amount unit’ are required </v>
      </c>
      <c r="L460" t="s">
        <v>33308</v>
      </c>
    </row>
    <row r="461" spans="7:12" x14ac:dyDescent="0.2">
      <c r="G461" t="b">
        <f>IF(OR(INDEX(IHZ_HAZ_TOTAMOUNT,204,1)&lt;&gt;"",),IF(OR(INDEX(IHZ_HAZ_TOTNETGROSS,204,1)="",INDEX(IHZ_HAZ_TOTUNIT,204,1)="",),FALSE,TRUE),TRUE)</f>
        <v>1</v>
      </c>
      <c r="H461" t="str">
        <f t="shared" si="14"/>
        <v xml:space="preserve">Row 204 - If ‘Total amount’ is given, then ‘Net / Gross’ and ‘Total amount unit’ are required </v>
      </c>
      <c r="I461" t="s">
        <v>33308</v>
      </c>
      <c r="J461" t="b">
        <f>IF(OR(INDEX(OHZ_HAZ_TOTAMOUNT,204,1)&lt;&gt;"",),IF(OR(INDEX(OHZ_HAZ_TOTNETGROSS,204,1)="",INDEX(OHZ_HAZ_TOTUNIT,204,1)="",),FALSE,TRUE),TRUE)</f>
        <v>1</v>
      </c>
      <c r="K461" t="str">
        <f t="shared" si="15"/>
        <v xml:space="preserve">Row 204 - If ‘Total amount’ is given, then ‘Net / Gross’ and ‘Total amount unit’ are required </v>
      </c>
      <c r="L461" t="s">
        <v>33308</v>
      </c>
    </row>
    <row r="462" spans="7:12" x14ac:dyDescent="0.2">
      <c r="G462" t="b">
        <f>IF(OR(INDEX(IHZ_HAZ_TOTAMOUNT,205,1)&lt;&gt;"",),IF(OR(INDEX(IHZ_HAZ_TOTNETGROSS,205,1)="",INDEX(IHZ_HAZ_TOTUNIT,205,1)="",),FALSE,TRUE),TRUE)</f>
        <v>1</v>
      </c>
      <c r="H462" t="str">
        <f t="shared" si="14"/>
        <v xml:space="preserve">Row 205 - If ‘Total amount’ is given, then ‘Net / Gross’ and ‘Total amount unit’ are required </v>
      </c>
      <c r="I462" t="s">
        <v>33308</v>
      </c>
      <c r="J462" t="b">
        <f>IF(OR(INDEX(OHZ_HAZ_TOTAMOUNT,205,1)&lt;&gt;"",),IF(OR(INDEX(OHZ_HAZ_TOTNETGROSS,205,1)="",INDEX(OHZ_HAZ_TOTUNIT,205,1)="",),FALSE,TRUE),TRUE)</f>
        <v>1</v>
      </c>
      <c r="K462" t="str">
        <f t="shared" si="15"/>
        <v xml:space="preserve">Row 205 - If ‘Total amount’ is given, then ‘Net / Gross’ and ‘Total amount unit’ are required </v>
      </c>
      <c r="L462" t="s">
        <v>33308</v>
      </c>
    </row>
    <row r="463" spans="7:12" x14ac:dyDescent="0.2">
      <c r="G463" t="b">
        <f>IF(OR(INDEX(IHZ_HAZ_TOTAMOUNT,206,1)&lt;&gt;"",),IF(OR(INDEX(IHZ_HAZ_TOTNETGROSS,206,1)="",INDEX(IHZ_HAZ_TOTUNIT,206,1)="",),FALSE,TRUE),TRUE)</f>
        <v>1</v>
      </c>
      <c r="H463" t="str">
        <f t="shared" si="14"/>
        <v xml:space="preserve">Row 206 - If ‘Total amount’ is given, then ‘Net / Gross’ and ‘Total amount unit’ are required </v>
      </c>
      <c r="I463" t="s">
        <v>33308</v>
      </c>
      <c r="J463" t="b">
        <f>IF(OR(INDEX(OHZ_HAZ_TOTAMOUNT,206,1)&lt;&gt;"",),IF(OR(INDEX(OHZ_HAZ_TOTNETGROSS,206,1)="",INDEX(OHZ_HAZ_TOTUNIT,206,1)="",),FALSE,TRUE),TRUE)</f>
        <v>1</v>
      </c>
      <c r="K463" t="str">
        <f t="shared" si="15"/>
        <v xml:space="preserve">Row 206 - If ‘Total amount’ is given, then ‘Net / Gross’ and ‘Total amount unit’ are required </v>
      </c>
      <c r="L463" t="s">
        <v>33308</v>
      </c>
    </row>
    <row r="464" spans="7:12" x14ac:dyDescent="0.2">
      <c r="G464" t="b">
        <f>IF(OR(INDEX(IHZ_HAZ_TOTAMOUNT,207,1)&lt;&gt;"",),IF(OR(INDEX(IHZ_HAZ_TOTNETGROSS,207,1)="",INDEX(IHZ_HAZ_TOTUNIT,207,1)="",),FALSE,TRUE),TRUE)</f>
        <v>1</v>
      </c>
      <c r="H464" t="str">
        <f t="shared" si="14"/>
        <v xml:space="preserve">Row 207 - If ‘Total amount’ is given, then ‘Net / Gross’ and ‘Total amount unit’ are required </v>
      </c>
      <c r="I464" t="s">
        <v>33308</v>
      </c>
      <c r="J464" t="b">
        <f>IF(OR(INDEX(OHZ_HAZ_TOTAMOUNT,207,1)&lt;&gt;"",),IF(OR(INDEX(OHZ_HAZ_TOTNETGROSS,207,1)="",INDEX(OHZ_HAZ_TOTUNIT,207,1)="",),FALSE,TRUE),TRUE)</f>
        <v>1</v>
      </c>
      <c r="K464" t="str">
        <f t="shared" si="15"/>
        <v xml:space="preserve">Row 207 - If ‘Total amount’ is given, then ‘Net / Gross’ and ‘Total amount unit’ are required </v>
      </c>
      <c r="L464" t="s">
        <v>33308</v>
      </c>
    </row>
    <row r="465" spans="7:12" x14ac:dyDescent="0.2">
      <c r="G465" t="b">
        <f>IF(OR(INDEX(IHZ_HAZ_TOTAMOUNT,208,1)&lt;&gt;"",),IF(OR(INDEX(IHZ_HAZ_TOTNETGROSS,208,1)="",INDEX(IHZ_HAZ_TOTUNIT,208,1)="",),FALSE,TRUE),TRUE)</f>
        <v>1</v>
      </c>
      <c r="H465" t="str">
        <f t="shared" si="14"/>
        <v xml:space="preserve">Row 208 - If ‘Total amount’ is given, then ‘Net / Gross’ and ‘Total amount unit’ are required </v>
      </c>
      <c r="I465" t="s">
        <v>33308</v>
      </c>
      <c r="J465" t="b">
        <f>IF(OR(INDEX(OHZ_HAZ_TOTAMOUNT,208,1)&lt;&gt;"",),IF(OR(INDEX(OHZ_HAZ_TOTNETGROSS,208,1)="",INDEX(OHZ_HAZ_TOTUNIT,208,1)="",),FALSE,TRUE),TRUE)</f>
        <v>1</v>
      </c>
      <c r="K465" t="str">
        <f t="shared" si="15"/>
        <v xml:space="preserve">Row 208 - If ‘Total amount’ is given, then ‘Net / Gross’ and ‘Total amount unit’ are required </v>
      </c>
      <c r="L465" t="s">
        <v>33308</v>
      </c>
    </row>
    <row r="466" spans="7:12" x14ac:dyDescent="0.2">
      <c r="G466" t="b">
        <f>IF(OR(INDEX(IHZ_HAZ_TOTAMOUNT,209,1)&lt;&gt;"",),IF(OR(INDEX(IHZ_HAZ_TOTNETGROSS,209,1)="",INDEX(IHZ_HAZ_TOTUNIT,209,1)="",),FALSE,TRUE),TRUE)</f>
        <v>1</v>
      </c>
      <c r="H466" t="str">
        <f t="shared" si="14"/>
        <v xml:space="preserve">Row 209 - If ‘Total amount’ is given, then ‘Net / Gross’ and ‘Total amount unit’ are required </v>
      </c>
      <c r="I466" t="s">
        <v>33308</v>
      </c>
      <c r="J466" t="b">
        <f>IF(OR(INDEX(OHZ_HAZ_TOTAMOUNT,209,1)&lt;&gt;"",),IF(OR(INDEX(OHZ_HAZ_TOTNETGROSS,209,1)="",INDEX(OHZ_HAZ_TOTUNIT,209,1)="",),FALSE,TRUE),TRUE)</f>
        <v>1</v>
      </c>
      <c r="K466" t="str">
        <f t="shared" si="15"/>
        <v xml:space="preserve">Row 209 - If ‘Total amount’ is given, then ‘Net / Gross’ and ‘Total amount unit’ are required </v>
      </c>
      <c r="L466" t="s">
        <v>33308</v>
      </c>
    </row>
    <row r="467" spans="7:12" x14ac:dyDescent="0.2">
      <c r="G467" t="b">
        <f>IF(OR(INDEX(IHZ_HAZ_TOTAMOUNT,210,1)&lt;&gt;"",),IF(OR(INDEX(IHZ_HAZ_TOTNETGROSS,210,1)="",INDEX(IHZ_HAZ_TOTUNIT,210,1)="",),FALSE,TRUE),TRUE)</f>
        <v>1</v>
      </c>
      <c r="H467" t="str">
        <f t="shared" si="14"/>
        <v xml:space="preserve">Row 210 - If ‘Total amount’ is given, then ‘Net / Gross’ and ‘Total amount unit’ are required </v>
      </c>
      <c r="I467" t="s">
        <v>33308</v>
      </c>
      <c r="J467" t="b">
        <f>IF(OR(INDEX(OHZ_HAZ_TOTAMOUNT,210,1)&lt;&gt;"",),IF(OR(INDEX(OHZ_HAZ_TOTNETGROSS,210,1)="",INDEX(OHZ_HAZ_TOTUNIT,210,1)="",),FALSE,TRUE),TRUE)</f>
        <v>1</v>
      </c>
      <c r="K467" t="str">
        <f t="shared" si="15"/>
        <v xml:space="preserve">Row 210 - If ‘Total amount’ is given, then ‘Net / Gross’ and ‘Total amount unit’ are required </v>
      </c>
      <c r="L467" t="s">
        <v>33308</v>
      </c>
    </row>
    <row r="468" spans="7:12" x14ac:dyDescent="0.2">
      <c r="G468" t="b">
        <f>IF(OR(INDEX(IHZ_HAZ_TOTAMOUNT,211,1)&lt;&gt;"",),IF(OR(INDEX(IHZ_HAZ_TOTNETGROSS,211,1)="",INDEX(IHZ_HAZ_TOTUNIT,211,1)="",),FALSE,TRUE),TRUE)</f>
        <v>1</v>
      </c>
      <c r="H468" t="str">
        <f t="shared" si="14"/>
        <v xml:space="preserve">Row 211 - If ‘Total amount’ is given, then ‘Net / Gross’ and ‘Total amount unit’ are required </v>
      </c>
      <c r="I468" t="s">
        <v>33308</v>
      </c>
      <c r="J468" t="b">
        <f>IF(OR(INDEX(OHZ_HAZ_TOTAMOUNT,211,1)&lt;&gt;"",),IF(OR(INDEX(OHZ_HAZ_TOTNETGROSS,211,1)="",INDEX(OHZ_HAZ_TOTUNIT,211,1)="",),FALSE,TRUE),TRUE)</f>
        <v>1</v>
      </c>
      <c r="K468" t="str">
        <f t="shared" si="15"/>
        <v xml:space="preserve">Row 211 - If ‘Total amount’ is given, then ‘Net / Gross’ and ‘Total amount unit’ are required </v>
      </c>
      <c r="L468" t="s">
        <v>33308</v>
      </c>
    </row>
    <row r="469" spans="7:12" x14ac:dyDescent="0.2">
      <c r="G469" t="b">
        <f>IF(OR(INDEX(IHZ_HAZ_TOTAMOUNT,212,1)&lt;&gt;"",),IF(OR(INDEX(IHZ_HAZ_TOTNETGROSS,212,1)="",INDEX(IHZ_HAZ_TOTUNIT,212,1)="",),FALSE,TRUE),TRUE)</f>
        <v>1</v>
      </c>
      <c r="H469" t="str">
        <f t="shared" si="14"/>
        <v xml:space="preserve">Row 212 - If ‘Total amount’ is given, then ‘Net / Gross’ and ‘Total amount unit’ are required </v>
      </c>
      <c r="I469" t="s">
        <v>33308</v>
      </c>
      <c r="J469" t="b">
        <f>IF(OR(INDEX(OHZ_HAZ_TOTAMOUNT,212,1)&lt;&gt;"",),IF(OR(INDEX(OHZ_HAZ_TOTNETGROSS,212,1)="",INDEX(OHZ_HAZ_TOTUNIT,212,1)="",),FALSE,TRUE),TRUE)</f>
        <v>1</v>
      </c>
      <c r="K469" t="str">
        <f t="shared" si="15"/>
        <v xml:space="preserve">Row 212 - If ‘Total amount’ is given, then ‘Net / Gross’ and ‘Total amount unit’ are required </v>
      </c>
      <c r="L469" t="s">
        <v>33308</v>
      </c>
    </row>
    <row r="470" spans="7:12" x14ac:dyDescent="0.2">
      <c r="G470" t="b">
        <f>IF(OR(INDEX(IHZ_HAZ_TOTAMOUNT,213,1)&lt;&gt;"",),IF(OR(INDEX(IHZ_HAZ_TOTNETGROSS,213,1)="",INDEX(IHZ_HAZ_TOTUNIT,213,1)="",),FALSE,TRUE),TRUE)</f>
        <v>1</v>
      </c>
      <c r="H470" t="str">
        <f t="shared" si="14"/>
        <v xml:space="preserve">Row 213 - If ‘Total amount’ is given, then ‘Net / Gross’ and ‘Total amount unit’ are required </v>
      </c>
      <c r="I470" t="s">
        <v>33308</v>
      </c>
      <c r="J470" t="b">
        <f>IF(OR(INDEX(OHZ_HAZ_TOTAMOUNT,213,1)&lt;&gt;"",),IF(OR(INDEX(OHZ_HAZ_TOTNETGROSS,213,1)="",INDEX(OHZ_HAZ_TOTUNIT,213,1)="",),FALSE,TRUE),TRUE)</f>
        <v>1</v>
      </c>
      <c r="K470" t="str">
        <f t="shared" si="15"/>
        <v xml:space="preserve">Row 213 - If ‘Total amount’ is given, then ‘Net / Gross’ and ‘Total amount unit’ are required </v>
      </c>
      <c r="L470" t="s">
        <v>33308</v>
      </c>
    </row>
    <row r="471" spans="7:12" x14ac:dyDescent="0.2">
      <c r="G471" t="b">
        <f>IF(OR(INDEX(IHZ_HAZ_TOTAMOUNT,214,1)&lt;&gt;"",),IF(OR(INDEX(IHZ_HAZ_TOTNETGROSS,214,1)="",INDEX(IHZ_HAZ_TOTUNIT,214,1)="",),FALSE,TRUE),TRUE)</f>
        <v>1</v>
      </c>
      <c r="H471" t="str">
        <f t="shared" si="14"/>
        <v xml:space="preserve">Row 214 - If ‘Total amount’ is given, then ‘Net / Gross’ and ‘Total amount unit’ are required </v>
      </c>
      <c r="I471" t="s">
        <v>33308</v>
      </c>
      <c r="J471" t="b">
        <f>IF(OR(INDEX(OHZ_HAZ_TOTAMOUNT,214,1)&lt;&gt;"",),IF(OR(INDEX(OHZ_HAZ_TOTNETGROSS,214,1)="",INDEX(OHZ_HAZ_TOTUNIT,214,1)="",),FALSE,TRUE),TRUE)</f>
        <v>1</v>
      </c>
      <c r="K471" t="str">
        <f t="shared" si="15"/>
        <v xml:space="preserve">Row 214 - If ‘Total amount’ is given, then ‘Net / Gross’ and ‘Total amount unit’ are required </v>
      </c>
      <c r="L471" t="s">
        <v>33308</v>
      </c>
    </row>
    <row r="472" spans="7:12" x14ac:dyDescent="0.2">
      <c r="G472" t="b">
        <f>IF(OR(INDEX(IHZ_HAZ_TOTAMOUNT,215,1)&lt;&gt;"",),IF(OR(INDEX(IHZ_HAZ_TOTNETGROSS,215,1)="",INDEX(IHZ_HAZ_TOTUNIT,215,1)="",),FALSE,TRUE),TRUE)</f>
        <v>1</v>
      </c>
      <c r="H472" t="str">
        <f t="shared" si="14"/>
        <v xml:space="preserve">Row 215 - If ‘Total amount’ is given, then ‘Net / Gross’ and ‘Total amount unit’ are required </v>
      </c>
      <c r="I472" t="s">
        <v>33308</v>
      </c>
      <c r="J472" t="b">
        <f>IF(OR(INDEX(OHZ_HAZ_TOTAMOUNT,215,1)&lt;&gt;"",),IF(OR(INDEX(OHZ_HAZ_TOTNETGROSS,215,1)="",INDEX(OHZ_HAZ_TOTUNIT,215,1)="",),FALSE,TRUE),TRUE)</f>
        <v>1</v>
      </c>
      <c r="K472" t="str">
        <f t="shared" si="15"/>
        <v xml:space="preserve">Row 215 - If ‘Total amount’ is given, then ‘Net / Gross’ and ‘Total amount unit’ are required </v>
      </c>
      <c r="L472" t="s">
        <v>33308</v>
      </c>
    </row>
    <row r="473" spans="7:12" x14ac:dyDescent="0.2">
      <c r="G473" t="b">
        <f>IF(OR(INDEX(IHZ_HAZ_TOTAMOUNT,216,1)&lt;&gt;"",),IF(OR(INDEX(IHZ_HAZ_TOTNETGROSS,216,1)="",INDEX(IHZ_HAZ_TOTUNIT,216,1)="",),FALSE,TRUE),TRUE)</f>
        <v>1</v>
      </c>
      <c r="H473" t="str">
        <f t="shared" si="14"/>
        <v xml:space="preserve">Row 216 - If ‘Total amount’ is given, then ‘Net / Gross’ and ‘Total amount unit’ are required </v>
      </c>
      <c r="I473" t="s">
        <v>33308</v>
      </c>
      <c r="J473" t="b">
        <f>IF(OR(INDEX(OHZ_HAZ_TOTAMOUNT,216,1)&lt;&gt;"",),IF(OR(INDEX(OHZ_HAZ_TOTNETGROSS,216,1)="",INDEX(OHZ_HAZ_TOTUNIT,216,1)="",),FALSE,TRUE),TRUE)</f>
        <v>1</v>
      </c>
      <c r="K473" t="str">
        <f t="shared" si="15"/>
        <v xml:space="preserve">Row 216 - If ‘Total amount’ is given, then ‘Net / Gross’ and ‘Total amount unit’ are required </v>
      </c>
      <c r="L473" t="s">
        <v>33308</v>
      </c>
    </row>
    <row r="474" spans="7:12" x14ac:dyDescent="0.2">
      <c r="G474" t="b">
        <f>IF(OR(INDEX(IHZ_HAZ_TOTAMOUNT,217,1)&lt;&gt;"",),IF(OR(INDEX(IHZ_HAZ_TOTNETGROSS,217,1)="",INDEX(IHZ_HAZ_TOTUNIT,217,1)="",),FALSE,TRUE),TRUE)</f>
        <v>1</v>
      </c>
      <c r="H474" t="str">
        <f t="shared" si="14"/>
        <v xml:space="preserve">Row 217 - If ‘Total amount’ is given, then ‘Net / Gross’ and ‘Total amount unit’ are required </v>
      </c>
      <c r="I474" t="s">
        <v>33308</v>
      </c>
      <c r="J474" t="b">
        <f>IF(OR(INDEX(OHZ_HAZ_TOTAMOUNT,217,1)&lt;&gt;"",),IF(OR(INDEX(OHZ_HAZ_TOTNETGROSS,217,1)="",INDEX(OHZ_HAZ_TOTUNIT,217,1)="",),FALSE,TRUE),TRUE)</f>
        <v>1</v>
      </c>
      <c r="K474" t="str">
        <f t="shared" si="15"/>
        <v xml:space="preserve">Row 217 - If ‘Total amount’ is given, then ‘Net / Gross’ and ‘Total amount unit’ are required </v>
      </c>
      <c r="L474" t="s">
        <v>33308</v>
      </c>
    </row>
    <row r="475" spans="7:12" x14ac:dyDescent="0.2">
      <c r="G475" t="b">
        <f>IF(OR(INDEX(IHZ_HAZ_TOTAMOUNT,218,1)&lt;&gt;"",),IF(OR(INDEX(IHZ_HAZ_TOTNETGROSS,218,1)="",INDEX(IHZ_HAZ_TOTUNIT,218,1)="",),FALSE,TRUE),TRUE)</f>
        <v>1</v>
      </c>
      <c r="H475" t="str">
        <f t="shared" si="14"/>
        <v xml:space="preserve">Row 218 - If ‘Total amount’ is given, then ‘Net / Gross’ and ‘Total amount unit’ are required </v>
      </c>
      <c r="I475" t="s">
        <v>33308</v>
      </c>
      <c r="J475" t="b">
        <f>IF(OR(INDEX(OHZ_HAZ_TOTAMOUNT,218,1)&lt;&gt;"",),IF(OR(INDEX(OHZ_HAZ_TOTNETGROSS,218,1)="",INDEX(OHZ_HAZ_TOTUNIT,218,1)="",),FALSE,TRUE),TRUE)</f>
        <v>1</v>
      </c>
      <c r="K475" t="str">
        <f t="shared" si="15"/>
        <v xml:space="preserve">Row 218 - If ‘Total amount’ is given, then ‘Net / Gross’ and ‘Total amount unit’ are required </v>
      </c>
      <c r="L475" t="s">
        <v>33308</v>
      </c>
    </row>
    <row r="476" spans="7:12" x14ac:dyDescent="0.2">
      <c r="G476" t="b">
        <f>IF(OR(INDEX(IHZ_HAZ_TOTAMOUNT,219,1)&lt;&gt;"",),IF(OR(INDEX(IHZ_HAZ_TOTNETGROSS,219,1)="",INDEX(IHZ_HAZ_TOTUNIT,219,1)="",),FALSE,TRUE),TRUE)</f>
        <v>1</v>
      </c>
      <c r="H476" t="str">
        <f t="shared" si="14"/>
        <v xml:space="preserve">Row 219 - If ‘Total amount’ is given, then ‘Net / Gross’ and ‘Total amount unit’ are required </v>
      </c>
      <c r="I476" t="s">
        <v>33308</v>
      </c>
      <c r="J476" t="b">
        <f>IF(OR(INDEX(OHZ_HAZ_TOTAMOUNT,219,1)&lt;&gt;"",),IF(OR(INDEX(OHZ_HAZ_TOTNETGROSS,219,1)="",INDEX(OHZ_HAZ_TOTUNIT,219,1)="",),FALSE,TRUE),TRUE)</f>
        <v>1</v>
      </c>
      <c r="K476" t="str">
        <f t="shared" si="15"/>
        <v xml:space="preserve">Row 219 - If ‘Total amount’ is given, then ‘Net / Gross’ and ‘Total amount unit’ are required </v>
      </c>
      <c r="L476" t="s">
        <v>33308</v>
      </c>
    </row>
    <row r="477" spans="7:12" x14ac:dyDescent="0.2">
      <c r="G477" t="b">
        <f>IF(OR(INDEX(IHZ_HAZ_TOTAMOUNT,220,1)&lt;&gt;"",),IF(OR(INDEX(IHZ_HAZ_TOTNETGROSS,220,1)="",INDEX(IHZ_HAZ_TOTUNIT,220,1)="",),FALSE,TRUE),TRUE)</f>
        <v>1</v>
      </c>
      <c r="H477" t="str">
        <f t="shared" si="14"/>
        <v xml:space="preserve">Row 220 - If ‘Total amount’ is given, then ‘Net / Gross’ and ‘Total amount unit’ are required </v>
      </c>
      <c r="I477" t="s">
        <v>33308</v>
      </c>
      <c r="J477" t="b">
        <f>IF(OR(INDEX(OHZ_HAZ_TOTAMOUNT,220,1)&lt;&gt;"",),IF(OR(INDEX(OHZ_HAZ_TOTNETGROSS,220,1)="",INDEX(OHZ_HAZ_TOTUNIT,220,1)="",),FALSE,TRUE),TRUE)</f>
        <v>1</v>
      </c>
      <c r="K477" t="str">
        <f t="shared" si="15"/>
        <v xml:space="preserve">Row 220 - If ‘Total amount’ is given, then ‘Net / Gross’ and ‘Total amount unit’ are required </v>
      </c>
      <c r="L477" t="s">
        <v>33308</v>
      </c>
    </row>
    <row r="478" spans="7:12" x14ac:dyDescent="0.2">
      <c r="G478" t="b">
        <f>IF(OR(INDEX(IHZ_HAZ_TOTAMOUNT,221,1)&lt;&gt;"",),IF(OR(INDEX(IHZ_HAZ_TOTNETGROSS,221,1)="",INDEX(IHZ_HAZ_TOTUNIT,221,1)="",),FALSE,TRUE),TRUE)</f>
        <v>1</v>
      </c>
      <c r="H478" t="str">
        <f t="shared" si="14"/>
        <v xml:space="preserve">Row 221 - If ‘Total amount’ is given, then ‘Net / Gross’ and ‘Total amount unit’ are required </v>
      </c>
      <c r="I478" t="s">
        <v>33308</v>
      </c>
      <c r="J478" t="b">
        <f>IF(OR(INDEX(OHZ_HAZ_TOTAMOUNT,221,1)&lt;&gt;"",),IF(OR(INDEX(OHZ_HAZ_TOTNETGROSS,221,1)="",INDEX(OHZ_HAZ_TOTUNIT,221,1)="",),FALSE,TRUE),TRUE)</f>
        <v>1</v>
      </c>
      <c r="K478" t="str">
        <f t="shared" si="15"/>
        <v xml:space="preserve">Row 221 - If ‘Total amount’ is given, then ‘Net / Gross’ and ‘Total amount unit’ are required </v>
      </c>
      <c r="L478" t="s">
        <v>33308</v>
      </c>
    </row>
    <row r="479" spans="7:12" x14ac:dyDescent="0.2">
      <c r="G479" t="b">
        <f>IF(OR(INDEX(IHZ_HAZ_TOTAMOUNT,222,1)&lt;&gt;"",),IF(OR(INDEX(IHZ_HAZ_TOTNETGROSS,222,1)="",INDEX(IHZ_HAZ_TOTUNIT,222,1)="",),FALSE,TRUE),TRUE)</f>
        <v>1</v>
      </c>
      <c r="H479" t="str">
        <f t="shared" si="14"/>
        <v xml:space="preserve">Row 222 - If ‘Total amount’ is given, then ‘Net / Gross’ and ‘Total amount unit’ are required </v>
      </c>
      <c r="I479" t="s">
        <v>33308</v>
      </c>
      <c r="J479" t="b">
        <f>IF(OR(INDEX(OHZ_HAZ_TOTAMOUNT,222,1)&lt;&gt;"",),IF(OR(INDEX(OHZ_HAZ_TOTNETGROSS,222,1)="",INDEX(OHZ_HAZ_TOTUNIT,222,1)="",),FALSE,TRUE),TRUE)</f>
        <v>1</v>
      </c>
      <c r="K479" t="str">
        <f t="shared" si="15"/>
        <v xml:space="preserve">Row 222 - If ‘Total amount’ is given, then ‘Net / Gross’ and ‘Total amount unit’ are required </v>
      </c>
      <c r="L479" t="s">
        <v>33308</v>
      </c>
    </row>
    <row r="480" spans="7:12" x14ac:dyDescent="0.2">
      <c r="G480" t="b">
        <f>IF(OR(INDEX(IHZ_HAZ_TOTAMOUNT,223,1)&lt;&gt;"",),IF(OR(INDEX(IHZ_HAZ_TOTNETGROSS,223,1)="",INDEX(IHZ_HAZ_TOTUNIT,223,1)="",),FALSE,TRUE),TRUE)</f>
        <v>1</v>
      </c>
      <c r="H480" t="str">
        <f t="shared" si="14"/>
        <v xml:space="preserve">Row 223 - If ‘Total amount’ is given, then ‘Net / Gross’ and ‘Total amount unit’ are required </v>
      </c>
      <c r="I480" t="s">
        <v>33308</v>
      </c>
      <c r="J480" t="b">
        <f>IF(OR(INDEX(OHZ_HAZ_TOTAMOUNT,223,1)&lt;&gt;"",),IF(OR(INDEX(OHZ_HAZ_TOTNETGROSS,223,1)="",INDEX(OHZ_HAZ_TOTUNIT,223,1)="",),FALSE,TRUE),TRUE)</f>
        <v>1</v>
      </c>
      <c r="K480" t="str">
        <f t="shared" si="15"/>
        <v xml:space="preserve">Row 223 - If ‘Total amount’ is given, then ‘Net / Gross’ and ‘Total amount unit’ are required </v>
      </c>
      <c r="L480" t="s">
        <v>33308</v>
      </c>
    </row>
    <row r="481" spans="7:12" x14ac:dyDescent="0.2">
      <c r="G481" t="b">
        <f>IF(OR(INDEX(IHZ_HAZ_TOTAMOUNT,224,1)&lt;&gt;"",),IF(OR(INDEX(IHZ_HAZ_TOTNETGROSS,224,1)="",INDEX(IHZ_HAZ_TOTUNIT,224,1)="",),FALSE,TRUE),TRUE)</f>
        <v>1</v>
      </c>
      <c r="H481" t="str">
        <f t="shared" si="14"/>
        <v xml:space="preserve">Row 224 - If ‘Total amount’ is given, then ‘Net / Gross’ and ‘Total amount unit’ are required </v>
      </c>
      <c r="I481" t="s">
        <v>33308</v>
      </c>
      <c r="J481" t="b">
        <f>IF(OR(INDEX(OHZ_HAZ_TOTAMOUNT,224,1)&lt;&gt;"",),IF(OR(INDEX(OHZ_HAZ_TOTNETGROSS,224,1)="",INDEX(OHZ_HAZ_TOTUNIT,224,1)="",),FALSE,TRUE),TRUE)</f>
        <v>1</v>
      </c>
      <c r="K481" t="str">
        <f t="shared" si="15"/>
        <v xml:space="preserve">Row 224 - If ‘Total amount’ is given, then ‘Net / Gross’ and ‘Total amount unit’ are required </v>
      </c>
      <c r="L481" t="s">
        <v>33308</v>
      </c>
    </row>
    <row r="482" spans="7:12" x14ac:dyDescent="0.2">
      <c r="G482" t="b">
        <f>IF(OR(INDEX(IHZ_HAZ_TOTAMOUNT,225,1)&lt;&gt;"",),IF(OR(INDEX(IHZ_HAZ_TOTNETGROSS,225,1)="",INDEX(IHZ_HAZ_TOTUNIT,225,1)="",),FALSE,TRUE),TRUE)</f>
        <v>1</v>
      </c>
      <c r="H482" t="str">
        <f t="shared" si="14"/>
        <v xml:space="preserve">Row 225 - If ‘Total amount’ is given, then ‘Net / Gross’ and ‘Total amount unit’ are required </v>
      </c>
      <c r="I482" t="s">
        <v>33308</v>
      </c>
      <c r="J482" t="b">
        <f>IF(OR(INDEX(OHZ_HAZ_TOTAMOUNT,225,1)&lt;&gt;"",),IF(OR(INDEX(OHZ_HAZ_TOTNETGROSS,225,1)="",INDEX(OHZ_HAZ_TOTUNIT,225,1)="",),FALSE,TRUE),TRUE)</f>
        <v>1</v>
      </c>
      <c r="K482" t="str">
        <f t="shared" si="15"/>
        <v xml:space="preserve">Row 225 - If ‘Total amount’ is given, then ‘Net / Gross’ and ‘Total amount unit’ are required </v>
      </c>
      <c r="L482" t="s">
        <v>33308</v>
      </c>
    </row>
    <row r="483" spans="7:12" x14ac:dyDescent="0.2">
      <c r="G483" t="b">
        <f>IF(OR(INDEX(IHZ_HAZ_TOTAMOUNT,226,1)&lt;&gt;"",),IF(OR(INDEX(IHZ_HAZ_TOTNETGROSS,226,1)="",INDEX(IHZ_HAZ_TOTUNIT,226,1)="",),FALSE,TRUE),TRUE)</f>
        <v>1</v>
      </c>
      <c r="H483" t="str">
        <f t="shared" si="14"/>
        <v xml:space="preserve">Row 226 - If ‘Total amount’ is given, then ‘Net / Gross’ and ‘Total amount unit’ are required </v>
      </c>
      <c r="I483" t="s">
        <v>33308</v>
      </c>
      <c r="J483" t="b">
        <f>IF(OR(INDEX(OHZ_HAZ_TOTAMOUNT,226,1)&lt;&gt;"",),IF(OR(INDEX(OHZ_HAZ_TOTNETGROSS,226,1)="",INDEX(OHZ_HAZ_TOTUNIT,226,1)="",),FALSE,TRUE),TRUE)</f>
        <v>1</v>
      </c>
      <c r="K483" t="str">
        <f t="shared" si="15"/>
        <v xml:space="preserve">Row 226 - If ‘Total amount’ is given, then ‘Net / Gross’ and ‘Total amount unit’ are required </v>
      </c>
      <c r="L483" t="s">
        <v>33308</v>
      </c>
    </row>
    <row r="484" spans="7:12" x14ac:dyDescent="0.2">
      <c r="G484" t="b">
        <f>IF(OR(INDEX(IHZ_HAZ_TOTAMOUNT,227,1)&lt;&gt;"",),IF(OR(INDEX(IHZ_HAZ_TOTNETGROSS,227,1)="",INDEX(IHZ_HAZ_TOTUNIT,227,1)="",),FALSE,TRUE),TRUE)</f>
        <v>1</v>
      </c>
      <c r="H484" t="str">
        <f t="shared" si="14"/>
        <v xml:space="preserve">Row 227 - If ‘Total amount’ is given, then ‘Net / Gross’ and ‘Total amount unit’ are required </v>
      </c>
      <c r="I484" t="s">
        <v>33308</v>
      </c>
      <c r="J484" t="b">
        <f>IF(OR(INDEX(OHZ_HAZ_TOTAMOUNT,227,1)&lt;&gt;"",),IF(OR(INDEX(OHZ_HAZ_TOTNETGROSS,227,1)="",INDEX(OHZ_HAZ_TOTUNIT,227,1)="",),FALSE,TRUE),TRUE)</f>
        <v>1</v>
      </c>
      <c r="K484" t="str">
        <f t="shared" si="15"/>
        <v xml:space="preserve">Row 227 - If ‘Total amount’ is given, then ‘Net / Gross’ and ‘Total amount unit’ are required </v>
      </c>
      <c r="L484" t="s">
        <v>33308</v>
      </c>
    </row>
    <row r="485" spans="7:12" x14ac:dyDescent="0.2">
      <c r="G485" t="b">
        <f>IF(OR(INDEX(IHZ_HAZ_TOTAMOUNT,228,1)&lt;&gt;"",),IF(OR(INDEX(IHZ_HAZ_TOTNETGROSS,228,1)="",INDEX(IHZ_HAZ_TOTUNIT,228,1)="",),FALSE,TRUE),TRUE)</f>
        <v>1</v>
      </c>
      <c r="H485" t="str">
        <f t="shared" si="14"/>
        <v xml:space="preserve">Row 228 - If ‘Total amount’ is given, then ‘Net / Gross’ and ‘Total amount unit’ are required </v>
      </c>
      <c r="I485" t="s">
        <v>33308</v>
      </c>
      <c r="J485" t="b">
        <f>IF(OR(INDEX(OHZ_HAZ_TOTAMOUNT,228,1)&lt;&gt;"",),IF(OR(INDEX(OHZ_HAZ_TOTNETGROSS,228,1)="",INDEX(OHZ_HAZ_TOTUNIT,228,1)="",),FALSE,TRUE),TRUE)</f>
        <v>1</v>
      </c>
      <c r="K485" t="str">
        <f t="shared" si="15"/>
        <v xml:space="preserve">Row 228 - If ‘Total amount’ is given, then ‘Net / Gross’ and ‘Total amount unit’ are required </v>
      </c>
      <c r="L485" t="s">
        <v>33308</v>
      </c>
    </row>
    <row r="486" spans="7:12" x14ac:dyDescent="0.2">
      <c r="G486" t="b">
        <f>IF(OR(INDEX(IHZ_HAZ_TOTAMOUNT,229,1)&lt;&gt;"",),IF(OR(INDEX(IHZ_HAZ_TOTNETGROSS,229,1)="",INDEX(IHZ_HAZ_TOTUNIT,229,1)="",),FALSE,TRUE),TRUE)</f>
        <v>1</v>
      </c>
      <c r="H486" t="str">
        <f t="shared" si="14"/>
        <v xml:space="preserve">Row 229 - If ‘Total amount’ is given, then ‘Net / Gross’ and ‘Total amount unit’ are required </v>
      </c>
      <c r="I486" t="s">
        <v>33308</v>
      </c>
      <c r="J486" t="b">
        <f>IF(OR(INDEX(OHZ_HAZ_TOTAMOUNT,229,1)&lt;&gt;"",),IF(OR(INDEX(OHZ_HAZ_TOTNETGROSS,229,1)="",INDEX(OHZ_HAZ_TOTUNIT,229,1)="",),FALSE,TRUE),TRUE)</f>
        <v>1</v>
      </c>
      <c r="K486" t="str">
        <f t="shared" si="15"/>
        <v xml:space="preserve">Row 229 - If ‘Total amount’ is given, then ‘Net / Gross’ and ‘Total amount unit’ are required </v>
      </c>
      <c r="L486" t="s">
        <v>33308</v>
      </c>
    </row>
    <row r="487" spans="7:12" x14ac:dyDescent="0.2">
      <c r="G487" t="b">
        <f>IF(OR(INDEX(IHZ_HAZ_TOTAMOUNT,230,1)&lt;&gt;"",),IF(OR(INDEX(IHZ_HAZ_TOTNETGROSS,230,1)="",INDEX(IHZ_HAZ_TOTUNIT,230,1)="",),FALSE,TRUE),TRUE)</f>
        <v>1</v>
      </c>
      <c r="H487" t="str">
        <f t="shared" si="14"/>
        <v xml:space="preserve">Row 230 - If ‘Total amount’ is given, then ‘Net / Gross’ and ‘Total amount unit’ are required </v>
      </c>
      <c r="I487" t="s">
        <v>33308</v>
      </c>
      <c r="J487" t="b">
        <f>IF(OR(INDEX(OHZ_HAZ_TOTAMOUNT,230,1)&lt;&gt;"",),IF(OR(INDEX(OHZ_HAZ_TOTNETGROSS,230,1)="",INDEX(OHZ_HAZ_TOTUNIT,230,1)="",),FALSE,TRUE),TRUE)</f>
        <v>1</v>
      </c>
      <c r="K487" t="str">
        <f t="shared" si="15"/>
        <v xml:space="preserve">Row 230 - If ‘Total amount’ is given, then ‘Net / Gross’ and ‘Total amount unit’ are required </v>
      </c>
      <c r="L487" t="s">
        <v>33308</v>
      </c>
    </row>
    <row r="488" spans="7:12" x14ac:dyDescent="0.2">
      <c r="G488" t="b">
        <f>IF(OR(INDEX(IHZ_HAZ_TOTAMOUNT,231,1)&lt;&gt;"",),IF(OR(INDEX(IHZ_HAZ_TOTNETGROSS,231,1)="",INDEX(IHZ_HAZ_TOTUNIT,231,1)="",),FALSE,TRUE),TRUE)</f>
        <v>1</v>
      </c>
      <c r="H488" t="str">
        <f t="shared" si="14"/>
        <v xml:space="preserve">Row 231 - If ‘Total amount’ is given, then ‘Net / Gross’ and ‘Total amount unit’ are required </v>
      </c>
      <c r="I488" t="s">
        <v>33308</v>
      </c>
      <c r="J488" t="b">
        <f>IF(OR(INDEX(OHZ_HAZ_TOTAMOUNT,231,1)&lt;&gt;"",),IF(OR(INDEX(OHZ_HAZ_TOTNETGROSS,231,1)="",INDEX(OHZ_HAZ_TOTUNIT,231,1)="",),FALSE,TRUE),TRUE)</f>
        <v>1</v>
      </c>
      <c r="K488" t="str">
        <f t="shared" si="15"/>
        <v xml:space="preserve">Row 231 - If ‘Total amount’ is given, then ‘Net / Gross’ and ‘Total amount unit’ are required </v>
      </c>
      <c r="L488" t="s">
        <v>33308</v>
      </c>
    </row>
    <row r="489" spans="7:12" x14ac:dyDescent="0.2">
      <c r="G489" t="b">
        <f>IF(OR(INDEX(IHZ_HAZ_TOTAMOUNT,232,1)&lt;&gt;"",),IF(OR(INDEX(IHZ_HAZ_TOTNETGROSS,232,1)="",INDEX(IHZ_HAZ_TOTUNIT,232,1)="",),FALSE,TRUE),TRUE)</f>
        <v>1</v>
      </c>
      <c r="H489" t="str">
        <f t="shared" si="14"/>
        <v xml:space="preserve">Row 232 - If ‘Total amount’ is given, then ‘Net / Gross’ and ‘Total amount unit’ are required </v>
      </c>
      <c r="I489" t="s">
        <v>33308</v>
      </c>
      <c r="J489" t="b">
        <f>IF(OR(INDEX(OHZ_HAZ_TOTAMOUNT,232,1)&lt;&gt;"",),IF(OR(INDEX(OHZ_HAZ_TOTNETGROSS,232,1)="",INDEX(OHZ_HAZ_TOTUNIT,232,1)="",),FALSE,TRUE),TRUE)</f>
        <v>1</v>
      </c>
      <c r="K489" t="str">
        <f t="shared" si="15"/>
        <v xml:space="preserve">Row 232 - If ‘Total amount’ is given, then ‘Net / Gross’ and ‘Total amount unit’ are required </v>
      </c>
      <c r="L489" t="s">
        <v>33308</v>
      </c>
    </row>
    <row r="490" spans="7:12" x14ac:dyDescent="0.2">
      <c r="G490" t="b">
        <f>IF(OR(INDEX(IHZ_HAZ_TOTAMOUNT,233,1)&lt;&gt;"",),IF(OR(INDEX(IHZ_HAZ_TOTNETGROSS,233,1)="",INDEX(IHZ_HAZ_TOTUNIT,233,1)="",),FALSE,TRUE),TRUE)</f>
        <v>1</v>
      </c>
      <c r="H490" t="str">
        <f t="shared" si="14"/>
        <v xml:space="preserve">Row 233 - If ‘Total amount’ is given, then ‘Net / Gross’ and ‘Total amount unit’ are required </v>
      </c>
      <c r="I490" t="s">
        <v>33308</v>
      </c>
      <c r="J490" t="b">
        <f>IF(OR(INDEX(OHZ_HAZ_TOTAMOUNT,233,1)&lt;&gt;"",),IF(OR(INDEX(OHZ_HAZ_TOTNETGROSS,233,1)="",INDEX(OHZ_HAZ_TOTUNIT,233,1)="",),FALSE,TRUE),TRUE)</f>
        <v>1</v>
      </c>
      <c r="K490" t="str">
        <f t="shared" si="15"/>
        <v xml:space="preserve">Row 233 - If ‘Total amount’ is given, then ‘Net / Gross’ and ‘Total amount unit’ are required </v>
      </c>
      <c r="L490" t="s">
        <v>33308</v>
      </c>
    </row>
    <row r="491" spans="7:12" x14ac:dyDescent="0.2">
      <c r="G491" t="b">
        <f>IF(OR(INDEX(IHZ_HAZ_TOTAMOUNT,234,1)&lt;&gt;"",),IF(OR(INDEX(IHZ_HAZ_TOTNETGROSS,234,1)="",INDEX(IHZ_HAZ_TOTUNIT,234,1)="",),FALSE,TRUE),TRUE)</f>
        <v>1</v>
      </c>
      <c r="H491" t="str">
        <f t="shared" si="14"/>
        <v xml:space="preserve">Row 234 - If ‘Total amount’ is given, then ‘Net / Gross’ and ‘Total amount unit’ are required </v>
      </c>
      <c r="I491" t="s">
        <v>33308</v>
      </c>
      <c r="J491" t="b">
        <f>IF(OR(INDEX(OHZ_HAZ_TOTAMOUNT,234,1)&lt;&gt;"",),IF(OR(INDEX(OHZ_HAZ_TOTNETGROSS,234,1)="",INDEX(OHZ_HAZ_TOTUNIT,234,1)="",),FALSE,TRUE),TRUE)</f>
        <v>1</v>
      </c>
      <c r="K491" t="str">
        <f t="shared" si="15"/>
        <v xml:space="preserve">Row 234 - If ‘Total amount’ is given, then ‘Net / Gross’ and ‘Total amount unit’ are required </v>
      </c>
      <c r="L491" t="s">
        <v>33308</v>
      </c>
    </row>
    <row r="492" spans="7:12" x14ac:dyDescent="0.2">
      <c r="G492" t="b">
        <f>IF(OR(INDEX(IHZ_HAZ_TOTAMOUNT,235,1)&lt;&gt;"",),IF(OR(INDEX(IHZ_HAZ_TOTNETGROSS,235,1)="",INDEX(IHZ_HAZ_TOTUNIT,235,1)="",),FALSE,TRUE),TRUE)</f>
        <v>1</v>
      </c>
      <c r="H492" t="str">
        <f t="shared" si="14"/>
        <v xml:space="preserve">Row 235 - If ‘Total amount’ is given, then ‘Net / Gross’ and ‘Total amount unit’ are required </v>
      </c>
      <c r="I492" t="s">
        <v>33308</v>
      </c>
      <c r="J492" t="b">
        <f>IF(OR(INDEX(OHZ_HAZ_TOTAMOUNT,235,1)&lt;&gt;"",),IF(OR(INDEX(OHZ_HAZ_TOTNETGROSS,235,1)="",INDEX(OHZ_HAZ_TOTUNIT,235,1)="",),FALSE,TRUE),TRUE)</f>
        <v>1</v>
      </c>
      <c r="K492" t="str">
        <f t="shared" si="15"/>
        <v xml:space="preserve">Row 235 - If ‘Total amount’ is given, then ‘Net / Gross’ and ‘Total amount unit’ are required </v>
      </c>
      <c r="L492" t="s">
        <v>33308</v>
      </c>
    </row>
    <row r="493" spans="7:12" x14ac:dyDescent="0.2">
      <c r="G493" t="b">
        <f>IF(OR(INDEX(IHZ_HAZ_TOTAMOUNT,236,1)&lt;&gt;"",),IF(OR(INDEX(IHZ_HAZ_TOTNETGROSS,236,1)="",INDEX(IHZ_HAZ_TOTUNIT,236,1)="",),FALSE,TRUE),TRUE)</f>
        <v>1</v>
      </c>
      <c r="H493" t="str">
        <f t="shared" si="14"/>
        <v xml:space="preserve">Row 236 - If ‘Total amount’ is given, then ‘Net / Gross’ and ‘Total amount unit’ are required </v>
      </c>
      <c r="I493" t="s">
        <v>33308</v>
      </c>
      <c r="J493" t="b">
        <f>IF(OR(INDEX(OHZ_HAZ_TOTAMOUNT,236,1)&lt;&gt;"",),IF(OR(INDEX(OHZ_HAZ_TOTNETGROSS,236,1)="",INDEX(OHZ_HAZ_TOTUNIT,236,1)="",),FALSE,TRUE),TRUE)</f>
        <v>1</v>
      </c>
      <c r="K493" t="str">
        <f t="shared" si="15"/>
        <v xml:space="preserve">Row 236 - If ‘Total amount’ is given, then ‘Net / Gross’ and ‘Total amount unit’ are required </v>
      </c>
      <c r="L493" t="s">
        <v>33308</v>
      </c>
    </row>
    <row r="494" spans="7:12" x14ac:dyDescent="0.2">
      <c r="G494" t="b">
        <f>IF(OR(INDEX(IHZ_HAZ_TOTAMOUNT,237,1)&lt;&gt;"",),IF(OR(INDEX(IHZ_HAZ_TOTNETGROSS,237,1)="",INDEX(IHZ_HAZ_TOTUNIT,237,1)="",),FALSE,TRUE),TRUE)</f>
        <v>1</v>
      </c>
      <c r="H494" t="str">
        <f t="shared" si="14"/>
        <v xml:space="preserve">Row 237 - If ‘Total amount’ is given, then ‘Net / Gross’ and ‘Total amount unit’ are required </v>
      </c>
      <c r="I494" t="s">
        <v>33308</v>
      </c>
      <c r="J494" t="b">
        <f>IF(OR(INDEX(OHZ_HAZ_TOTAMOUNT,237,1)&lt;&gt;"",),IF(OR(INDEX(OHZ_HAZ_TOTNETGROSS,237,1)="",INDEX(OHZ_HAZ_TOTUNIT,237,1)="",),FALSE,TRUE),TRUE)</f>
        <v>1</v>
      </c>
      <c r="K494" t="str">
        <f t="shared" si="15"/>
        <v xml:space="preserve">Row 237 - If ‘Total amount’ is given, then ‘Net / Gross’ and ‘Total amount unit’ are required </v>
      </c>
      <c r="L494" t="s">
        <v>33308</v>
      </c>
    </row>
    <row r="495" spans="7:12" x14ac:dyDescent="0.2">
      <c r="G495" t="b">
        <f>IF(OR(INDEX(IHZ_HAZ_TOTAMOUNT,238,1)&lt;&gt;"",),IF(OR(INDEX(IHZ_HAZ_TOTNETGROSS,238,1)="",INDEX(IHZ_HAZ_TOTUNIT,238,1)="",),FALSE,TRUE),TRUE)</f>
        <v>1</v>
      </c>
      <c r="H495" t="str">
        <f t="shared" si="14"/>
        <v xml:space="preserve">Row 238 - If ‘Total amount’ is given, then ‘Net / Gross’ and ‘Total amount unit’ are required </v>
      </c>
      <c r="I495" t="s">
        <v>33308</v>
      </c>
      <c r="J495" t="b">
        <f>IF(OR(INDEX(OHZ_HAZ_TOTAMOUNT,238,1)&lt;&gt;"",),IF(OR(INDEX(OHZ_HAZ_TOTNETGROSS,238,1)="",INDEX(OHZ_HAZ_TOTUNIT,238,1)="",),FALSE,TRUE),TRUE)</f>
        <v>1</v>
      </c>
      <c r="K495" t="str">
        <f t="shared" si="15"/>
        <v xml:space="preserve">Row 238 - If ‘Total amount’ is given, then ‘Net / Gross’ and ‘Total amount unit’ are required </v>
      </c>
      <c r="L495" t="s">
        <v>33308</v>
      </c>
    </row>
    <row r="496" spans="7:12" x14ac:dyDescent="0.2">
      <c r="G496" t="b">
        <f>IF(OR(INDEX(IHZ_HAZ_TOTAMOUNT,239,1)&lt;&gt;"",),IF(OR(INDEX(IHZ_HAZ_TOTNETGROSS,239,1)="",INDEX(IHZ_HAZ_TOTUNIT,239,1)="",),FALSE,TRUE),TRUE)</f>
        <v>1</v>
      </c>
      <c r="H496" t="str">
        <f t="shared" si="14"/>
        <v xml:space="preserve">Row 239 - If ‘Total amount’ is given, then ‘Net / Gross’ and ‘Total amount unit’ are required </v>
      </c>
      <c r="I496" t="s">
        <v>33308</v>
      </c>
      <c r="J496" t="b">
        <f>IF(OR(INDEX(OHZ_HAZ_TOTAMOUNT,239,1)&lt;&gt;"",),IF(OR(INDEX(OHZ_HAZ_TOTNETGROSS,239,1)="",INDEX(OHZ_HAZ_TOTUNIT,239,1)="",),FALSE,TRUE),TRUE)</f>
        <v>1</v>
      </c>
      <c r="K496" t="str">
        <f t="shared" si="15"/>
        <v xml:space="preserve">Row 239 - If ‘Total amount’ is given, then ‘Net / Gross’ and ‘Total amount unit’ are required </v>
      </c>
      <c r="L496" t="s">
        <v>33308</v>
      </c>
    </row>
    <row r="497" spans="7:12" x14ac:dyDescent="0.2">
      <c r="G497" t="b">
        <f>IF(OR(INDEX(IHZ_HAZ_TOTAMOUNT,240,1)&lt;&gt;"",),IF(OR(INDEX(IHZ_HAZ_TOTNETGROSS,240,1)="",INDEX(IHZ_HAZ_TOTUNIT,240,1)="",),FALSE,TRUE),TRUE)</f>
        <v>1</v>
      </c>
      <c r="H497" t="str">
        <f t="shared" si="14"/>
        <v xml:space="preserve">Row 240 - If ‘Total amount’ is given, then ‘Net / Gross’ and ‘Total amount unit’ are required </v>
      </c>
      <c r="I497" t="s">
        <v>33308</v>
      </c>
      <c r="J497" t="b">
        <f>IF(OR(INDEX(OHZ_HAZ_TOTAMOUNT,240,1)&lt;&gt;"",),IF(OR(INDEX(OHZ_HAZ_TOTNETGROSS,240,1)="",INDEX(OHZ_HAZ_TOTUNIT,240,1)="",),FALSE,TRUE),TRUE)</f>
        <v>1</v>
      </c>
      <c r="K497" t="str">
        <f t="shared" si="15"/>
        <v xml:space="preserve">Row 240 - If ‘Total amount’ is given, then ‘Net / Gross’ and ‘Total amount unit’ are required </v>
      </c>
      <c r="L497" t="s">
        <v>33308</v>
      </c>
    </row>
    <row r="498" spans="7:12" x14ac:dyDescent="0.2">
      <c r="G498" t="b">
        <f>IF(OR(INDEX(IHZ_HAZ_TOTAMOUNT,241,1)&lt;&gt;"",),IF(OR(INDEX(IHZ_HAZ_TOTNETGROSS,241,1)="",INDEX(IHZ_HAZ_TOTUNIT,241,1)="",),FALSE,TRUE),TRUE)</f>
        <v>1</v>
      </c>
      <c r="H498" t="str">
        <f t="shared" si="14"/>
        <v xml:space="preserve">Row 241 - If ‘Total amount’ is given, then ‘Net / Gross’ and ‘Total amount unit’ are required </v>
      </c>
      <c r="I498" t="s">
        <v>33308</v>
      </c>
      <c r="J498" t="b">
        <f>IF(OR(INDEX(OHZ_HAZ_TOTAMOUNT,241,1)&lt;&gt;"",),IF(OR(INDEX(OHZ_HAZ_TOTNETGROSS,241,1)="",INDEX(OHZ_HAZ_TOTUNIT,241,1)="",),FALSE,TRUE),TRUE)</f>
        <v>1</v>
      </c>
      <c r="K498" t="str">
        <f t="shared" si="15"/>
        <v xml:space="preserve">Row 241 - If ‘Total amount’ is given, then ‘Net / Gross’ and ‘Total amount unit’ are required </v>
      </c>
      <c r="L498" t="s">
        <v>33308</v>
      </c>
    </row>
    <row r="499" spans="7:12" x14ac:dyDescent="0.2">
      <c r="G499" t="b">
        <f>IF(OR(INDEX(IHZ_HAZ_TOTAMOUNT,242,1)&lt;&gt;"",),IF(OR(INDEX(IHZ_HAZ_TOTNETGROSS,242,1)="",INDEX(IHZ_HAZ_TOTUNIT,242,1)="",),FALSE,TRUE),TRUE)</f>
        <v>1</v>
      </c>
      <c r="H499" t="str">
        <f t="shared" si="14"/>
        <v xml:space="preserve">Row 242 - If ‘Total amount’ is given, then ‘Net / Gross’ and ‘Total amount unit’ are required </v>
      </c>
      <c r="I499" t="s">
        <v>33308</v>
      </c>
      <c r="J499" t="b">
        <f>IF(OR(INDEX(OHZ_HAZ_TOTAMOUNT,242,1)&lt;&gt;"",),IF(OR(INDEX(OHZ_HAZ_TOTNETGROSS,242,1)="",INDEX(OHZ_HAZ_TOTUNIT,242,1)="",),FALSE,TRUE),TRUE)</f>
        <v>1</v>
      </c>
      <c r="K499" t="str">
        <f t="shared" si="15"/>
        <v xml:space="preserve">Row 242 - If ‘Total amount’ is given, then ‘Net / Gross’ and ‘Total amount unit’ are required </v>
      </c>
      <c r="L499" t="s">
        <v>33308</v>
      </c>
    </row>
    <row r="500" spans="7:12" x14ac:dyDescent="0.2">
      <c r="G500" t="b">
        <f>IF(OR(INDEX(IHZ_HAZ_TOTAMOUNT,243,1)&lt;&gt;"",),IF(OR(INDEX(IHZ_HAZ_TOTNETGROSS,243,1)="",INDEX(IHZ_HAZ_TOTUNIT,243,1)="",),FALSE,TRUE),TRUE)</f>
        <v>1</v>
      </c>
      <c r="H500" t="str">
        <f t="shared" si="14"/>
        <v xml:space="preserve">Row 243 - If ‘Total amount’ is given, then ‘Net / Gross’ and ‘Total amount unit’ are required </v>
      </c>
      <c r="I500" t="s">
        <v>33308</v>
      </c>
      <c r="J500" t="b">
        <f>IF(OR(INDEX(OHZ_HAZ_TOTAMOUNT,243,1)&lt;&gt;"",),IF(OR(INDEX(OHZ_HAZ_TOTNETGROSS,243,1)="",INDEX(OHZ_HAZ_TOTUNIT,243,1)="",),FALSE,TRUE),TRUE)</f>
        <v>1</v>
      </c>
      <c r="K500" t="str">
        <f t="shared" si="15"/>
        <v xml:space="preserve">Row 243 - If ‘Total amount’ is given, then ‘Net / Gross’ and ‘Total amount unit’ are required </v>
      </c>
      <c r="L500" t="s">
        <v>33308</v>
      </c>
    </row>
    <row r="501" spans="7:12" x14ac:dyDescent="0.2">
      <c r="G501" t="b">
        <f>IF(OR(INDEX(IHZ_HAZ_TOTAMOUNT,244,1)&lt;&gt;"",),IF(OR(INDEX(IHZ_HAZ_TOTNETGROSS,244,1)="",INDEX(IHZ_HAZ_TOTUNIT,244,1)="",),FALSE,TRUE),TRUE)</f>
        <v>1</v>
      </c>
      <c r="H501" t="str">
        <f t="shared" si="14"/>
        <v xml:space="preserve">Row 244 - If ‘Total amount’ is given, then ‘Net / Gross’ and ‘Total amount unit’ are required </v>
      </c>
      <c r="I501" t="s">
        <v>33308</v>
      </c>
      <c r="J501" t="b">
        <f>IF(OR(INDEX(OHZ_HAZ_TOTAMOUNT,244,1)&lt;&gt;"",),IF(OR(INDEX(OHZ_HAZ_TOTNETGROSS,244,1)="",INDEX(OHZ_HAZ_TOTUNIT,244,1)="",),FALSE,TRUE),TRUE)</f>
        <v>1</v>
      </c>
      <c r="K501" t="str">
        <f t="shared" si="15"/>
        <v xml:space="preserve">Row 244 - If ‘Total amount’ is given, then ‘Net / Gross’ and ‘Total amount unit’ are required </v>
      </c>
      <c r="L501" t="s">
        <v>33308</v>
      </c>
    </row>
    <row r="502" spans="7:12" x14ac:dyDescent="0.2">
      <c r="G502" t="b">
        <f>IF(OR(INDEX(IHZ_HAZ_TOTAMOUNT,245,1)&lt;&gt;"",),IF(OR(INDEX(IHZ_HAZ_TOTNETGROSS,245,1)="",INDEX(IHZ_HAZ_TOTUNIT,245,1)="",),FALSE,TRUE),TRUE)</f>
        <v>1</v>
      </c>
      <c r="H502" t="str">
        <f t="shared" si="14"/>
        <v xml:space="preserve">Row 245 - If ‘Total amount’ is given, then ‘Net / Gross’ and ‘Total amount unit’ are required </v>
      </c>
      <c r="I502" t="s">
        <v>33308</v>
      </c>
      <c r="J502" t="b">
        <f>IF(OR(INDEX(OHZ_HAZ_TOTAMOUNT,245,1)&lt;&gt;"",),IF(OR(INDEX(OHZ_HAZ_TOTNETGROSS,245,1)="",INDEX(OHZ_HAZ_TOTUNIT,245,1)="",),FALSE,TRUE),TRUE)</f>
        <v>1</v>
      </c>
      <c r="K502" t="str">
        <f t="shared" si="15"/>
        <v xml:space="preserve">Row 245 - If ‘Total amount’ is given, then ‘Net / Gross’ and ‘Total amount unit’ are required </v>
      </c>
      <c r="L502" t="s">
        <v>33308</v>
      </c>
    </row>
    <row r="503" spans="7:12" x14ac:dyDescent="0.2">
      <c r="G503" t="b">
        <f>IF(OR(INDEX(IHZ_HAZ_TOTAMOUNT,246,1)&lt;&gt;"",),IF(OR(INDEX(IHZ_HAZ_TOTNETGROSS,246,1)="",INDEX(IHZ_HAZ_TOTUNIT,246,1)="",),FALSE,TRUE),TRUE)</f>
        <v>1</v>
      </c>
      <c r="H503" t="str">
        <f t="shared" si="14"/>
        <v xml:space="preserve">Row 246 - If ‘Total amount’ is given, then ‘Net / Gross’ and ‘Total amount unit’ are required </v>
      </c>
      <c r="I503" t="s">
        <v>33308</v>
      </c>
      <c r="J503" t="b">
        <f>IF(OR(INDEX(OHZ_HAZ_TOTAMOUNT,246,1)&lt;&gt;"",),IF(OR(INDEX(OHZ_HAZ_TOTNETGROSS,246,1)="",INDEX(OHZ_HAZ_TOTUNIT,246,1)="",),FALSE,TRUE),TRUE)</f>
        <v>1</v>
      </c>
      <c r="K503" t="str">
        <f t="shared" si="15"/>
        <v xml:space="preserve">Row 246 - If ‘Total amount’ is given, then ‘Net / Gross’ and ‘Total amount unit’ are required </v>
      </c>
      <c r="L503" t="s">
        <v>33308</v>
      </c>
    </row>
    <row r="504" spans="7:12" x14ac:dyDescent="0.2">
      <c r="G504" t="b">
        <f>IF(OR(INDEX(IHZ_HAZ_TOTAMOUNT,247,1)&lt;&gt;"",),IF(OR(INDEX(IHZ_HAZ_TOTNETGROSS,247,1)="",INDEX(IHZ_HAZ_TOTUNIT,247,1)="",),FALSE,TRUE),TRUE)</f>
        <v>1</v>
      </c>
      <c r="H504" t="str">
        <f t="shared" si="14"/>
        <v xml:space="preserve">Row 247 - If ‘Total amount’ is given, then ‘Net / Gross’ and ‘Total amount unit’ are required </v>
      </c>
      <c r="I504" t="s">
        <v>33308</v>
      </c>
      <c r="J504" t="b">
        <f>IF(OR(INDEX(OHZ_HAZ_TOTAMOUNT,247,1)&lt;&gt;"",),IF(OR(INDEX(OHZ_HAZ_TOTNETGROSS,247,1)="",INDEX(OHZ_HAZ_TOTUNIT,247,1)="",),FALSE,TRUE),TRUE)</f>
        <v>1</v>
      </c>
      <c r="K504" t="str">
        <f t="shared" si="15"/>
        <v xml:space="preserve">Row 247 - If ‘Total amount’ is given, then ‘Net / Gross’ and ‘Total amount unit’ are required </v>
      </c>
      <c r="L504" t="s">
        <v>33308</v>
      </c>
    </row>
    <row r="505" spans="7:12" x14ac:dyDescent="0.2">
      <c r="G505" t="b">
        <f>IF(OR(INDEX(IHZ_HAZ_TOTAMOUNT,248,1)&lt;&gt;"",),IF(OR(INDEX(IHZ_HAZ_TOTNETGROSS,248,1)="",INDEX(IHZ_HAZ_TOTUNIT,248,1)="",),FALSE,TRUE),TRUE)</f>
        <v>1</v>
      </c>
      <c r="H505" t="str">
        <f t="shared" si="14"/>
        <v xml:space="preserve">Row 248 - If ‘Total amount’ is given, then ‘Net / Gross’ and ‘Total amount unit’ are required </v>
      </c>
      <c r="I505" t="s">
        <v>33308</v>
      </c>
      <c r="J505" t="b">
        <f>IF(OR(INDEX(OHZ_HAZ_TOTAMOUNT,248,1)&lt;&gt;"",),IF(OR(INDEX(OHZ_HAZ_TOTNETGROSS,248,1)="",INDEX(OHZ_HAZ_TOTUNIT,248,1)="",),FALSE,TRUE),TRUE)</f>
        <v>1</v>
      </c>
      <c r="K505" t="str">
        <f t="shared" si="15"/>
        <v xml:space="preserve">Row 248 - If ‘Total amount’ is given, then ‘Net / Gross’ and ‘Total amount unit’ are required </v>
      </c>
      <c r="L505" t="s">
        <v>33308</v>
      </c>
    </row>
    <row r="506" spans="7:12" x14ac:dyDescent="0.2">
      <c r="G506" t="b">
        <f>IF(OR(INDEX(IHZ_HAZ_TOTAMOUNT,249,1)&lt;&gt;"",),IF(OR(INDEX(IHZ_HAZ_TOTNETGROSS,249,1)="",INDEX(IHZ_HAZ_TOTUNIT,249,1)="",),FALSE,TRUE),TRUE)</f>
        <v>1</v>
      </c>
      <c r="H506" t="str">
        <f t="shared" si="14"/>
        <v xml:space="preserve">Row 249 - If ‘Total amount’ is given, then ‘Net / Gross’ and ‘Total amount unit’ are required </v>
      </c>
      <c r="I506" t="s">
        <v>33308</v>
      </c>
      <c r="J506" t="b">
        <f>IF(OR(INDEX(OHZ_HAZ_TOTAMOUNT,249,1)&lt;&gt;"",),IF(OR(INDEX(OHZ_HAZ_TOTNETGROSS,249,1)="",INDEX(OHZ_HAZ_TOTUNIT,249,1)="",),FALSE,TRUE),TRUE)</f>
        <v>1</v>
      </c>
      <c r="K506" t="str">
        <f t="shared" si="15"/>
        <v xml:space="preserve">Row 249 - If ‘Total amount’ is given, then ‘Net / Gross’ and ‘Total amount unit’ are required </v>
      </c>
      <c r="L506" t="s">
        <v>33308</v>
      </c>
    </row>
    <row r="507" spans="7:12" x14ac:dyDescent="0.2">
      <c r="G507" t="b">
        <f>IF(OR(INDEX(IHZ_HAZ_TOTAMOUNT,250,1)&lt;&gt;"",),IF(OR(INDEX(IHZ_HAZ_TOTNETGROSS,250,1)="",INDEX(IHZ_HAZ_TOTUNIT,250,1)="",),FALSE,TRUE),TRUE)</f>
        <v>1</v>
      </c>
      <c r="H507" t="str">
        <f t="shared" si="14"/>
        <v xml:space="preserve">Row 250 - If ‘Total amount’ is given, then ‘Net / Gross’ and ‘Total amount unit’ are required </v>
      </c>
      <c r="I507" t="s">
        <v>33308</v>
      </c>
      <c r="J507" t="b">
        <f>IF(OR(INDEX(OHZ_HAZ_TOTAMOUNT,250,1)&lt;&gt;"",),IF(OR(INDEX(OHZ_HAZ_TOTNETGROSS,250,1)="",INDEX(OHZ_HAZ_TOTUNIT,250,1)="",),FALSE,TRUE),TRUE)</f>
        <v>1</v>
      </c>
      <c r="K507" t="str">
        <f t="shared" si="15"/>
        <v xml:space="preserve">Row 250 - If ‘Total amount’ is given, then ‘Net / Gross’ and ‘Total amount unit’ are required </v>
      </c>
      <c r="L507" t="s">
        <v>33308</v>
      </c>
    </row>
    <row r="508" spans="7:12" x14ac:dyDescent="0.2">
      <c r="G508" t="b">
        <f>IF(OR(INDEX(IHZ_HAZ_UNITTYPE,1,1)="TEU",),INDEX(IHZ_HAZ_TEUID,1,1)&lt;&gt;"",TRUE)</f>
        <v>1</v>
      </c>
      <c r="H508" t="str">
        <f>T1&amp;$V$3</f>
        <v>Row 1 - If ‘TEU type’ is ‘TEU’ then ‘TEU Id’ is required</v>
      </c>
      <c r="I508" t="s">
        <v>33308</v>
      </c>
      <c r="J508" t="b">
        <f>IF(OR(INDEX(OHZ_HAZ_UNITTYPE,1,1)="TEU",),INDEX(OHZ_HAZ_TEUID,1,1)&lt;&gt;"",TRUE)</f>
        <v>1</v>
      </c>
      <c r="K508" t="str">
        <f>T1&amp;$V$3</f>
        <v>Row 1 - If ‘TEU type’ is ‘TEU’ then ‘TEU Id’ is required</v>
      </c>
      <c r="L508" t="s">
        <v>33308</v>
      </c>
    </row>
    <row r="509" spans="7:12" x14ac:dyDescent="0.2">
      <c r="G509" t="b">
        <f>IF(OR(INDEX(IHZ_HAZ_UNITTYPE,2,1)="TEU",),INDEX(IHZ_HAZ_TEUID,2,1)&lt;&gt;"",TRUE)</f>
        <v>1</v>
      </c>
      <c r="H509" t="str">
        <f t="shared" ref="H509:H572" si="16">T2&amp;$V$3</f>
        <v>Row 2 - If ‘TEU type’ is ‘TEU’ then ‘TEU Id’ is required</v>
      </c>
      <c r="I509" t="s">
        <v>33308</v>
      </c>
      <c r="J509" t="b">
        <f>IF(OR(INDEX(OHZ_HAZ_UNITTYPE,2,1)="TEU",),INDEX(OHZ_HAZ_TEUID,2,1)&lt;&gt;"",TRUE)</f>
        <v>1</v>
      </c>
      <c r="K509" t="str">
        <f t="shared" ref="K509:K572" si="17">T2&amp;$V$3</f>
        <v>Row 2 - If ‘TEU type’ is ‘TEU’ then ‘TEU Id’ is required</v>
      </c>
      <c r="L509" t="s">
        <v>33308</v>
      </c>
    </row>
    <row r="510" spans="7:12" x14ac:dyDescent="0.2">
      <c r="G510" t="b">
        <f>IF(OR(INDEX(IHZ_HAZ_UNITTYPE,3,1)="TEU",),INDEX(IHZ_HAZ_TEUID,3,1)&lt;&gt;"",TRUE)</f>
        <v>1</v>
      </c>
      <c r="H510" t="str">
        <f t="shared" si="16"/>
        <v>Row 3 - If ‘TEU type’ is ‘TEU’ then ‘TEU Id’ is required</v>
      </c>
      <c r="I510" t="s">
        <v>33308</v>
      </c>
      <c r="J510" t="b">
        <f>IF(OR(INDEX(OHZ_HAZ_UNITTYPE,3,1)="TEU",),INDEX(OHZ_HAZ_TEUID,3,1)&lt;&gt;"",TRUE)</f>
        <v>1</v>
      </c>
      <c r="K510" t="str">
        <f t="shared" si="17"/>
        <v>Row 3 - If ‘TEU type’ is ‘TEU’ then ‘TEU Id’ is required</v>
      </c>
      <c r="L510" t="s">
        <v>33308</v>
      </c>
    </row>
    <row r="511" spans="7:12" x14ac:dyDescent="0.2">
      <c r="G511" t="b">
        <f>IF(OR(INDEX(IHZ_HAZ_UNITTYPE,4,1)="TEU",),INDEX(IHZ_HAZ_TEUID,4,1)&lt;&gt;"",TRUE)</f>
        <v>1</v>
      </c>
      <c r="H511" t="str">
        <f t="shared" si="16"/>
        <v>Row 4 - If ‘TEU type’ is ‘TEU’ then ‘TEU Id’ is required</v>
      </c>
      <c r="I511" t="s">
        <v>33308</v>
      </c>
      <c r="J511" t="b">
        <f>IF(OR(INDEX(OHZ_HAZ_UNITTYPE,4,1)="TEU",),INDEX(OHZ_HAZ_TEUID,4,1)&lt;&gt;"",TRUE)</f>
        <v>1</v>
      </c>
      <c r="K511" t="str">
        <f t="shared" si="17"/>
        <v>Row 4 - If ‘TEU type’ is ‘TEU’ then ‘TEU Id’ is required</v>
      </c>
      <c r="L511" t="s">
        <v>33308</v>
      </c>
    </row>
    <row r="512" spans="7:12" x14ac:dyDescent="0.2">
      <c r="G512" t="b">
        <f>IF(OR(INDEX(IHZ_HAZ_UNITTYPE,5,1)="TEU",),INDEX(IHZ_HAZ_TEUID,5,1)&lt;&gt;"",TRUE)</f>
        <v>1</v>
      </c>
      <c r="H512" t="str">
        <f t="shared" si="16"/>
        <v>Row 5 - If ‘TEU type’ is ‘TEU’ then ‘TEU Id’ is required</v>
      </c>
      <c r="I512" t="s">
        <v>33308</v>
      </c>
      <c r="J512" t="b">
        <f>IF(OR(INDEX(OHZ_HAZ_UNITTYPE,5,1)="TEU",),INDEX(OHZ_HAZ_TEUID,5,1)&lt;&gt;"",TRUE)</f>
        <v>1</v>
      </c>
      <c r="K512" t="str">
        <f t="shared" si="17"/>
        <v>Row 5 - If ‘TEU type’ is ‘TEU’ then ‘TEU Id’ is required</v>
      </c>
      <c r="L512" t="s">
        <v>33308</v>
      </c>
    </row>
    <row r="513" spans="7:12" x14ac:dyDescent="0.2">
      <c r="G513" t="b">
        <f>IF(OR(INDEX(IHZ_HAZ_UNITTYPE,6,1)="TEU",),INDEX(IHZ_HAZ_TEUID,6,1)&lt;&gt;"",TRUE)</f>
        <v>1</v>
      </c>
      <c r="H513" t="str">
        <f t="shared" si="16"/>
        <v>Row 6 - If ‘TEU type’ is ‘TEU’ then ‘TEU Id’ is required</v>
      </c>
      <c r="I513" t="s">
        <v>33308</v>
      </c>
      <c r="J513" t="b">
        <f>IF(OR(INDEX(OHZ_HAZ_UNITTYPE,6,1)="TEU",),INDEX(OHZ_HAZ_TEUID,6,1)&lt;&gt;"",TRUE)</f>
        <v>1</v>
      </c>
      <c r="K513" t="str">
        <f t="shared" si="17"/>
        <v>Row 6 - If ‘TEU type’ is ‘TEU’ then ‘TEU Id’ is required</v>
      </c>
      <c r="L513" t="s">
        <v>33308</v>
      </c>
    </row>
    <row r="514" spans="7:12" x14ac:dyDescent="0.2">
      <c r="G514" t="b">
        <f>IF(OR(INDEX(IHZ_HAZ_UNITTYPE,7,1)="TEU",),INDEX(IHZ_HAZ_TEUID,7,1)&lt;&gt;"",TRUE)</f>
        <v>1</v>
      </c>
      <c r="H514" t="str">
        <f t="shared" si="16"/>
        <v>Row 7 - If ‘TEU type’ is ‘TEU’ then ‘TEU Id’ is required</v>
      </c>
      <c r="I514" t="s">
        <v>33308</v>
      </c>
      <c r="J514" t="b">
        <f>IF(OR(INDEX(OHZ_HAZ_UNITTYPE,7,1)="TEU",),INDEX(OHZ_HAZ_TEUID,7,1)&lt;&gt;"",TRUE)</f>
        <v>1</v>
      </c>
      <c r="K514" t="str">
        <f t="shared" si="17"/>
        <v>Row 7 - If ‘TEU type’ is ‘TEU’ then ‘TEU Id’ is required</v>
      </c>
      <c r="L514" t="s">
        <v>33308</v>
      </c>
    </row>
    <row r="515" spans="7:12" x14ac:dyDescent="0.2">
      <c r="G515" t="b">
        <f>IF(OR(INDEX(IHZ_HAZ_UNITTYPE,8,1)="TEU",),INDEX(IHZ_HAZ_TEUID,8,1)&lt;&gt;"",TRUE)</f>
        <v>1</v>
      </c>
      <c r="H515" t="str">
        <f t="shared" si="16"/>
        <v>Row 8 - If ‘TEU type’ is ‘TEU’ then ‘TEU Id’ is required</v>
      </c>
      <c r="I515" t="s">
        <v>33308</v>
      </c>
      <c r="J515" t="b">
        <f>IF(OR(INDEX(OHZ_HAZ_UNITTYPE,8,1)="TEU",),INDEX(OHZ_HAZ_TEUID,8,1)&lt;&gt;"",TRUE)</f>
        <v>1</v>
      </c>
      <c r="K515" t="str">
        <f t="shared" si="17"/>
        <v>Row 8 - If ‘TEU type’ is ‘TEU’ then ‘TEU Id’ is required</v>
      </c>
      <c r="L515" t="s">
        <v>33308</v>
      </c>
    </row>
    <row r="516" spans="7:12" x14ac:dyDescent="0.2">
      <c r="G516" t="b">
        <f>IF(OR(INDEX(IHZ_HAZ_UNITTYPE,9,1)="TEU",),INDEX(IHZ_HAZ_TEUID,9,1)&lt;&gt;"",TRUE)</f>
        <v>1</v>
      </c>
      <c r="H516" t="str">
        <f t="shared" si="16"/>
        <v>Row 9 - If ‘TEU type’ is ‘TEU’ then ‘TEU Id’ is required</v>
      </c>
      <c r="I516" t="s">
        <v>33308</v>
      </c>
      <c r="J516" t="b">
        <f>IF(OR(INDEX(OHZ_HAZ_UNITTYPE,9,1)="TEU",),INDEX(OHZ_HAZ_TEUID,9,1)&lt;&gt;"",TRUE)</f>
        <v>1</v>
      </c>
      <c r="K516" t="str">
        <f t="shared" si="17"/>
        <v>Row 9 - If ‘TEU type’ is ‘TEU’ then ‘TEU Id’ is required</v>
      </c>
      <c r="L516" t="s">
        <v>33308</v>
      </c>
    </row>
    <row r="517" spans="7:12" x14ac:dyDescent="0.2">
      <c r="G517" t="b">
        <f>IF(OR(INDEX(IHZ_HAZ_UNITTYPE,10,1)="TEU",),INDEX(IHZ_HAZ_TEUID,10,1)&lt;&gt;"",TRUE)</f>
        <v>1</v>
      </c>
      <c r="H517" t="str">
        <f t="shared" si="16"/>
        <v>Row 10 - If ‘TEU type’ is ‘TEU’ then ‘TEU Id’ is required</v>
      </c>
      <c r="I517" t="s">
        <v>33308</v>
      </c>
      <c r="J517" t="b">
        <f>IF(OR(INDEX(OHZ_HAZ_UNITTYPE,10,1)="TEU",),INDEX(OHZ_HAZ_TEUID,10,1)&lt;&gt;"",TRUE)</f>
        <v>1</v>
      </c>
      <c r="K517" t="str">
        <f t="shared" si="17"/>
        <v>Row 10 - If ‘TEU type’ is ‘TEU’ then ‘TEU Id’ is required</v>
      </c>
      <c r="L517" t="s">
        <v>33308</v>
      </c>
    </row>
    <row r="518" spans="7:12" x14ac:dyDescent="0.2">
      <c r="G518" t="b">
        <f>IF(OR(INDEX(IHZ_HAZ_UNITTYPE,11,1)="TEU",),INDEX(IHZ_HAZ_TEUID,11,1)&lt;&gt;"",TRUE)</f>
        <v>1</v>
      </c>
      <c r="H518" t="str">
        <f t="shared" si="16"/>
        <v>Row 11 - If ‘TEU type’ is ‘TEU’ then ‘TEU Id’ is required</v>
      </c>
      <c r="I518" t="s">
        <v>33308</v>
      </c>
      <c r="J518" t="b">
        <f>IF(OR(INDEX(OHZ_HAZ_UNITTYPE,11,1)="TEU",),INDEX(OHZ_HAZ_TEUID,11,1)&lt;&gt;"",TRUE)</f>
        <v>1</v>
      </c>
      <c r="K518" t="str">
        <f t="shared" si="17"/>
        <v>Row 11 - If ‘TEU type’ is ‘TEU’ then ‘TEU Id’ is required</v>
      </c>
      <c r="L518" t="s">
        <v>33308</v>
      </c>
    </row>
    <row r="519" spans="7:12" x14ac:dyDescent="0.2">
      <c r="G519" t="b">
        <f>IF(OR(INDEX(IHZ_HAZ_UNITTYPE,12,1)="TEU",),INDEX(IHZ_HAZ_TEUID,12,1)&lt;&gt;"",TRUE)</f>
        <v>1</v>
      </c>
      <c r="H519" t="str">
        <f t="shared" si="16"/>
        <v>Row 12 - If ‘TEU type’ is ‘TEU’ then ‘TEU Id’ is required</v>
      </c>
      <c r="I519" t="s">
        <v>33308</v>
      </c>
      <c r="J519" t="b">
        <f>IF(OR(INDEX(OHZ_HAZ_UNITTYPE,12,1)="TEU",),INDEX(OHZ_HAZ_TEUID,12,1)&lt;&gt;"",TRUE)</f>
        <v>1</v>
      </c>
      <c r="K519" t="str">
        <f t="shared" si="17"/>
        <v>Row 12 - If ‘TEU type’ is ‘TEU’ then ‘TEU Id’ is required</v>
      </c>
      <c r="L519" t="s">
        <v>33308</v>
      </c>
    </row>
    <row r="520" spans="7:12" x14ac:dyDescent="0.2">
      <c r="G520" t="b">
        <f>IF(OR(INDEX(IHZ_HAZ_UNITTYPE,13,1)="TEU",),INDEX(IHZ_HAZ_TEUID,13,1)&lt;&gt;"",TRUE)</f>
        <v>1</v>
      </c>
      <c r="H520" t="str">
        <f t="shared" si="16"/>
        <v>Row 13 - If ‘TEU type’ is ‘TEU’ then ‘TEU Id’ is required</v>
      </c>
      <c r="I520" t="s">
        <v>33308</v>
      </c>
      <c r="J520" t="b">
        <f>IF(OR(INDEX(OHZ_HAZ_UNITTYPE,13,1)="TEU",),INDEX(OHZ_HAZ_TEUID,13,1)&lt;&gt;"",TRUE)</f>
        <v>1</v>
      </c>
      <c r="K520" t="str">
        <f t="shared" si="17"/>
        <v>Row 13 - If ‘TEU type’ is ‘TEU’ then ‘TEU Id’ is required</v>
      </c>
      <c r="L520" t="s">
        <v>33308</v>
      </c>
    </row>
    <row r="521" spans="7:12" x14ac:dyDescent="0.2">
      <c r="G521" t="b">
        <f>IF(OR(INDEX(IHZ_HAZ_UNITTYPE,14,1)="TEU",),INDEX(IHZ_HAZ_TEUID,14,1)&lt;&gt;"",TRUE)</f>
        <v>1</v>
      </c>
      <c r="H521" t="str">
        <f t="shared" si="16"/>
        <v>Row 14 - If ‘TEU type’ is ‘TEU’ then ‘TEU Id’ is required</v>
      </c>
      <c r="I521" t="s">
        <v>33308</v>
      </c>
      <c r="J521" t="b">
        <f>IF(OR(INDEX(OHZ_HAZ_UNITTYPE,14,1)="TEU",),INDEX(OHZ_HAZ_TEUID,14,1)&lt;&gt;"",TRUE)</f>
        <v>1</v>
      </c>
      <c r="K521" t="str">
        <f t="shared" si="17"/>
        <v>Row 14 - If ‘TEU type’ is ‘TEU’ then ‘TEU Id’ is required</v>
      </c>
      <c r="L521" t="s">
        <v>33308</v>
      </c>
    </row>
    <row r="522" spans="7:12" x14ac:dyDescent="0.2">
      <c r="G522" t="b">
        <f>IF(OR(INDEX(IHZ_HAZ_UNITTYPE,15,1)="TEU",),INDEX(IHZ_HAZ_TEUID,15,1)&lt;&gt;"",TRUE)</f>
        <v>1</v>
      </c>
      <c r="H522" t="str">
        <f t="shared" si="16"/>
        <v>Row 15 - If ‘TEU type’ is ‘TEU’ then ‘TEU Id’ is required</v>
      </c>
      <c r="I522" t="s">
        <v>33308</v>
      </c>
      <c r="J522" t="b">
        <f>IF(OR(INDEX(OHZ_HAZ_UNITTYPE,15,1)="TEU",),INDEX(OHZ_HAZ_TEUID,15,1)&lt;&gt;"",TRUE)</f>
        <v>1</v>
      </c>
      <c r="K522" t="str">
        <f t="shared" si="17"/>
        <v>Row 15 - If ‘TEU type’ is ‘TEU’ then ‘TEU Id’ is required</v>
      </c>
      <c r="L522" t="s">
        <v>33308</v>
      </c>
    </row>
    <row r="523" spans="7:12" x14ac:dyDescent="0.2">
      <c r="G523" t="b">
        <f>IF(OR(INDEX(IHZ_HAZ_UNITTYPE,16,1)="TEU",),INDEX(IHZ_HAZ_TEUID,16,1)&lt;&gt;"",TRUE)</f>
        <v>1</v>
      </c>
      <c r="H523" t="str">
        <f t="shared" si="16"/>
        <v>Row 16 - If ‘TEU type’ is ‘TEU’ then ‘TEU Id’ is required</v>
      </c>
      <c r="I523" t="s">
        <v>33308</v>
      </c>
      <c r="J523" t="b">
        <f>IF(OR(INDEX(OHZ_HAZ_UNITTYPE,16,1)="TEU",),INDEX(OHZ_HAZ_TEUID,16,1)&lt;&gt;"",TRUE)</f>
        <v>1</v>
      </c>
      <c r="K523" t="str">
        <f t="shared" si="17"/>
        <v>Row 16 - If ‘TEU type’ is ‘TEU’ then ‘TEU Id’ is required</v>
      </c>
      <c r="L523" t="s">
        <v>33308</v>
      </c>
    </row>
    <row r="524" spans="7:12" x14ac:dyDescent="0.2">
      <c r="G524" t="b">
        <f>IF(OR(INDEX(IHZ_HAZ_UNITTYPE,17,1)="TEU",),INDEX(IHZ_HAZ_TEUID,17,1)&lt;&gt;"",TRUE)</f>
        <v>1</v>
      </c>
      <c r="H524" t="str">
        <f t="shared" si="16"/>
        <v>Row 17 - If ‘TEU type’ is ‘TEU’ then ‘TEU Id’ is required</v>
      </c>
      <c r="I524" t="s">
        <v>33308</v>
      </c>
      <c r="J524" t="b">
        <f>IF(OR(INDEX(OHZ_HAZ_UNITTYPE,17,1)="TEU",),INDEX(OHZ_HAZ_TEUID,17,1)&lt;&gt;"",TRUE)</f>
        <v>1</v>
      </c>
      <c r="K524" t="str">
        <f t="shared" si="17"/>
        <v>Row 17 - If ‘TEU type’ is ‘TEU’ then ‘TEU Id’ is required</v>
      </c>
      <c r="L524" t="s">
        <v>33308</v>
      </c>
    </row>
    <row r="525" spans="7:12" x14ac:dyDescent="0.2">
      <c r="G525" t="b">
        <f>IF(OR(INDEX(IHZ_HAZ_UNITTYPE,18,1)="TEU",),INDEX(IHZ_HAZ_TEUID,18,1)&lt;&gt;"",TRUE)</f>
        <v>1</v>
      </c>
      <c r="H525" t="str">
        <f t="shared" si="16"/>
        <v>Row 18 - If ‘TEU type’ is ‘TEU’ then ‘TEU Id’ is required</v>
      </c>
      <c r="I525" t="s">
        <v>33308</v>
      </c>
      <c r="J525" t="b">
        <f>IF(OR(INDEX(OHZ_HAZ_UNITTYPE,18,1)="TEU",),INDEX(OHZ_HAZ_TEUID,18,1)&lt;&gt;"",TRUE)</f>
        <v>1</v>
      </c>
      <c r="K525" t="str">
        <f t="shared" si="17"/>
        <v>Row 18 - If ‘TEU type’ is ‘TEU’ then ‘TEU Id’ is required</v>
      </c>
      <c r="L525" t="s">
        <v>33308</v>
      </c>
    </row>
    <row r="526" spans="7:12" x14ac:dyDescent="0.2">
      <c r="G526" t="b">
        <f>IF(OR(INDEX(IHZ_HAZ_UNITTYPE,19,1)="TEU",),INDEX(IHZ_HAZ_TEUID,19,1)&lt;&gt;"",TRUE)</f>
        <v>1</v>
      </c>
      <c r="H526" t="str">
        <f t="shared" si="16"/>
        <v>Row 19 - If ‘TEU type’ is ‘TEU’ then ‘TEU Id’ is required</v>
      </c>
      <c r="I526" t="s">
        <v>33308</v>
      </c>
      <c r="J526" t="b">
        <f>IF(OR(INDEX(OHZ_HAZ_UNITTYPE,19,1)="TEU",),INDEX(OHZ_HAZ_TEUID,19,1)&lt;&gt;"",TRUE)</f>
        <v>1</v>
      </c>
      <c r="K526" t="str">
        <f t="shared" si="17"/>
        <v>Row 19 - If ‘TEU type’ is ‘TEU’ then ‘TEU Id’ is required</v>
      </c>
      <c r="L526" t="s">
        <v>33308</v>
      </c>
    </row>
    <row r="527" spans="7:12" x14ac:dyDescent="0.2">
      <c r="G527" t="b">
        <f>IF(OR(INDEX(IHZ_HAZ_UNITTYPE,20,1)="TEU",),INDEX(IHZ_HAZ_TEUID,20,1)&lt;&gt;"",TRUE)</f>
        <v>1</v>
      </c>
      <c r="H527" t="str">
        <f t="shared" si="16"/>
        <v>Row 20 - If ‘TEU type’ is ‘TEU’ then ‘TEU Id’ is required</v>
      </c>
      <c r="I527" t="s">
        <v>33308</v>
      </c>
      <c r="J527" t="b">
        <f>IF(OR(INDEX(OHZ_HAZ_UNITTYPE,20,1)="TEU",),INDEX(OHZ_HAZ_TEUID,20,1)&lt;&gt;"",TRUE)</f>
        <v>1</v>
      </c>
      <c r="K527" t="str">
        <f t="shared" si="17"/>
        <v>Row 20 - If ‘TEU type’ is ‘TEU’ then ‘TEU Id’ is required</v>
      </c>
      <c r="L527" t="s">
        <v>33308</v>
      </c>
    </row>
    <row r="528" spans="7:12" x14ac:dyDescent="0.2">
      <c r="G528" t="b">
        <f>IF(OR(INDEX(IHZ_HAZ_UNITTYPE,21,1)="TEU",),INDEX(IHZ_HAZ_TEUID,21,1)&lt;&gt;"",TRUE)</f>
        <v>1</v>
      </c>
      <c r="H528" t="str">
        <f t="shared" si="16"/>
        <v>Row 21 - If ‘TEU type’ is ‘TEU’ then ‘TEU Id’ is required</v>
      </c>
      <c r="I528" t="s">
        <v>33308</v>
      </c>
      <c r="J528" t="b">
        <f>IF(OR(INDEX(OHZ_HAZ_UNITTYPE,21,1)="TEU",),INDEX(OHZ_HAZ_TEUID,21,1)&lt;&gt;"",TRUE)</f>
        <v>1</v>
      </c>
      <c r="K528" t="str">
        <f t="shared" si="17"/>
        <v>Row 21 - If ‘TEU type’ is ‘TEU’ then ‘TEU Id’ is required</v>
      </c>
      <c r="L528" t="s">
        <v>33308</v>
      </c>
    </row>
    <row r="529" spans="7:12" x14ac:dyDescent="0.2">
      <c r="G529" t="b">
        <f>IF(OR(INDEX(IHZ_HAZ_UNITTYPE,22,1)="TEU",),INDEX(IHZ_HAZ_TEUID,22,1)&lt;&gt;"",TRUE)</f>
        <v>1</v>
      </c>
      <c r="H529" t="str">
        <f t="shared" si="16"/>
        <v>Row 22 - If ‘TEU type’ is ‘TEU’ then ‘TEU Id’ is required</v>
      </c>
      <c r="I529" t="s">
        <v>33308</v>
      </c>
      <c r="J529" t="b">
        <f>IF(OR(INDEX(OHZ_HAZ_UNITTYPE,22,1)="TEU",),INDEX(OHZ_HAZ_TEUID,22,1)&lt;&gt;"",TRUE)</f>
        <v>1</v>
      </c>
      <c r="K529" t="str">
        <f t="shared" si="17"/>
        <v>Row 22 - If ‘TEU type’ is ‘TEU’ then ‘TEU Id’ is required</v>
      </c>
      <c r="L529" t="s">
        <v>33308</v>
      </c>
    </row>
    <row r="530" spans="7:12" x14ac:dyDescent="0.2">
      <c r="G530" t="b">
        <f>IF(OR(INDEX(IHZ_HAZ_UNITTYPE,23,1)="TEU",),INDEX(IHZ_HAZ_TEUID,23,1)&lt;&gt;"",TRUE)</f>
        <v>1</v>
      </c>
      <c r="H530" t="str">
        <f t="shared" si="16"/>
        <v>Row 23 - If ‘TEU type’ is ‘TEU’ then ‘TEU Id’ is required</v>
      </c>
      <c r="I530" t="s">
        <v>33308</v>
      </c>
      <c r="J530" t="b">
        <f>IF(OR(INDEX(OHZ_HAZ_UNITTYPE,23,1)="TEU",),INDEX(OHZ_HAZ_TEUID,23,1)&lt;&gt;"",TRUE)</f>
        <v>1</v>
      </c>
      <c r="K530" t="str">
        <f t="shared" si="17"/>
        <v>Row 23 - If ‘TEU type’ is ‘TEU’ then ‘TEU Id’ is required</v>
      </c>
      <c r="L530" t="s">
        <v>33308</v>
      </c>
    </row>
    <row r="531" spans="7:12" x14ac:dyDescent="0.2">
      <c r="G531" t="b">
        <f>IF(OR(INDEX(IHZ_HAZ_UNITTYPE,24,1)="TEU",),INDEX(IHZ_HAZ_TEUID,24,1)&lt;&gt;"",TRUE)</f>
        <v>1</v>
      </c>
      <c r="H531" t="str">
        <f t="shared" si="16"/>
        <v>Row 24 - If ‘TEU type’ is ‘TEU’ then ‘TEU Id’ is required</v>
      </c>
      <c r="I531" t="s">
        <v>33308</v>
      </c>
      <c r="J531" t="b">
        <f>IF(OR(INDEX(OHZ_HAZ_UNITTYPE,24,1)="TEU",),INDEX(OHZ_HAZ_TEUID,24,1)&lt;&gt;"",TRUE)</f>
        <v>1</v>
      </c>
      <c r="K531" t="str">
        <f t="shared" si="17"/>
        <v>Row 24 - If ‘TEU type’ is ‘TEU’ then ‘TEU Id’ is required</v>
      </c>
      <c r="L531" t="s">
        <v>33308</v>
      </c>
    </row>
    <row r="532" spans="7:12" x14ac:dyDescent="0.2">
      <c r="G532" t="b">
        <f>IF(OR(INDEX(IHZ_HAZ_UNITTYPE,25,1)="TEU",),INDEX(IHZ_HAZ_TEUID,25,1)&lt;&gt;"",TRUE)</f>
        <v>1</v>
      </c>
      <c r="H532" t="str">
        <f t="shared" si="16"/>
        <v>Row 25 - If ‘TEU type’ is ‘TEU’ then ‘TEU Id’ is required</v>
      </c>
      <c r="I532" t="s">
        <v>33308</v>
      </c>
      <c r="J532" t="b">
        <f>IF(OR(INDEX(OHZ_HAZ_UNITTYPE,25,1)="TEU",),INDEX(OHZ_HAZ_TEUID,25,1)&lt;&gt;"",TRUE)</f>
        <v>1</v>
      </c>
      <c r="K532" t="str">
        <f t="shared" si="17"/>
        <v>Row 25 - If ‘TEU type’ is ‘TEU’ then ‘TEU Id’ is required</v>
      </c>
      <c r="L532" t="s">
        <v>33308</v>
      </c>
    </row>
    <row r="533" spans="7:12" x14ac:dyDescent="0.2">
      <c r="G533" t="b">
        <f>IF(OR(INDEX(IHZ_HAZ_UNITTYPE,26,1)="TEU",),INDEX(IHZ_HAZ_TEUID,26,1)&lt;&gt;"",TRUE)</f>
        <v>1</v>
      </c>
      <c r="H533" t="str">
        <f t="shared" si="16"/>
        <v>Row 26 - If ‘TEU type’ is ‘TEU’ then ‘TEU Id’ is required</v>
      </c>
      <c r="I533" t="s">
        <v>33308</v>
      </c>
      <c r="J533" t="b">
        <f>IF(OR(INDEX(OHZ_HAZ_UNITTYPE,26,1)="TEU",),INDEX(OHZ_HAZ_TEUID,26,1)&lt;&gt;"",TRUE)</f>
        <v>1</v>
      </c>
      <c r="K533" t="str">
        <f t="shared" si="17"/>
        <v>Row 26 - If ‘TEU type’ is ‘TEU’ then ‘TEU Id’ is required</v>
      </c>
      <c r="L533" t="s">
        <v>33308</v>
      </c>
    </row>
    <row r="534" spans="7:12" x14ac:dyDescent="0.2">
      <c r="G534" t="b">
        <f>IF(OR(INDEX(IHZ_HAZ_UNITTYPE,27,1)="TEU",),INDEX(IHZ_HAZ_TEUID,27,1)&lt;&gt;"",TRUE)</f>
        <v>1</v>
      </c>
      <c r="H534" t="str">
        <f t="shared" si="16"/>
        <v>Row 27 - If ‘TEU type’ is ‘TEU’ then ‘TEU Id’ is required</v>
      </c>
      <c r="I534" t="s">
        <v>33308</v>
      </c>
      <c r="J534" t="b">
        <f>IF(OR(INDEX(OHZ_HAZ_UNITTYPE,27,1)="TEU",),INDEX(OHZ_HAZ_TEUID,27,1)&lt;&gt;"",TRUE)</f>
        <v>1</v>
      </c>
      <c r="K534" t="str">
        <f t="shared" si="17"/>
        <v>Row 27 - If ‘TEU type’ is ‘TEU’ then ‘TEU Id’ is required</v>
      </c>
      <c r="L534" t="s">
        <v>33308</v>
      </c>
    </row>
    <row r="535" spans="7:12" x14ac:dyDescent="0.2">
      <c r="G535" t="b">
        <f>IF(OR(INDEX(IHZ_HAZ_UNITTYPE,28,1)="TEU",),INDEX(IHZ_HAZ_TEUID,28,1)&lt;&gt;"",TRUE)</f>
        <v>1</v>
      </c>
      <c r="H535" t="str">
        <f t="shared" si="16"/>
        <v>Row 28 - If ‘TEU type’ is ‘TEU’ then ‘TEU Id’ is required</v>
      </c>
      <c r="I535" t="s">
        <v>33308</v>
      </c>
      <c r="J535" t="b">
        <f>IF(OR(INDEX(OHZ_HAZ_UNITTYPE,28,1)="TEU",),INDEX(OHZ_HAZ_TEUID,28,1)&lt;&gt;"",TRUE)</f>
        <v>1</v>
      </c>
      <c r="K535" t="str">
        <f t="shared" si="17"/>
        <v>Row 28 - If ‘TEU type’ is ‘TEU’ then ‘TEU Id’ is required</v>
      </c>
      <c r="L535" t="s">
        <v>33308</v>
      </c>
    </row>
    <row r="536" spans="7:12" x14ac:dyDescent="0.2">
      <c r="G536" t="b">
        <f>IF(OR(INDEX(IHZ_HAZ_UNITTYPE,29,1)="TEU",),INDEX(IHZ_HAZ_TEUID,29,1)&lt;&gt;"",TRUE)</f>
        <v>1</v>
      </c>
      <c r="H536" t="str">
        <f t="shared" si="16"/>
        <v>Row 29 - If ‘TEU type’ is ‘TEU’ then ‘TEU Id’ is required</v>
      </c>
      <c r="I536" t="s">
        <v>33308</v>
      </c>
      <c r="J536" t="b">
        <f>IF(OR(INDEX(OHZ_HAZ_UNITTYPE,29,1)="TEU",),INDEX(OHZ_HAZ_TEUID,29,1)&lt;&gt;"",TRUE)</f>
        <v>1</v>
      </c>
      <c r="K536" t="str">
        <f t="shared" si="17"/>
        <v>Row 29 - If ‘TEU type’ is ‘TEU’ then ‘TEU Id’ is required</v>
      </c>
      <c r="L536" t="s">
        <v>33308</v>
      </c>
    </row>
    <row r="537" spans="7:12" x14ac:dyDescent="0.2">
      <c r="G537" t="b">
        <f>IF(OR(INDEX(IHZ_HAZ_UNITTYPE,30,1)="TEU",),INDEX(IHZ_HAZ_TEUID,30,1)&lt;&gt;"",TRUE)</f>
        <v>1</v>
      </c>
      <c r="H537" t="str">
        <f t="shared" si="16"/>
        <v>Row 30 - If ‘TEU type’ is ‘TEU’ then ‘TEU Id’ is required</v>
      </c>
      <c r="I537" t="s">
        <v>33308</v>
      </c>
      <c r="J537" t="b">
        <f>IF(OR(INDEX(OHZ_HAZ_UNITTYPE,30,1)="TEU",),INDEX(OHZ_HAZ_TEUID,30,1)&lt;&gt;"",TRUE)</f>
        <v>1</v>
      </c>
      <c r="K537" t="str">
        <f t="shared" si="17"/>
        <v>Row 30 - If ‘TEU type’ is ‘TEU’ then ‘TEU Id’ is required</v>
      </c>
      <c r="L537" t="s">
        <v>33308</v>
      </c>
    </row>
    <row r="538" spans="7:12" x14ac:dyDescent="0.2">
      <c r="G538" t="b">
        <f>IF(OR(INDEX(IHZ_HAZ_UNITTYPE,31,1)="TEU",),INDEX(IHZ_HAZ_TEUID,31,1)&lt;&gt;"",TRUE)</f>
        <v>1</v>
      </c>
      <c r="H538" t="str">
        <f t="shared" si="16"/>
        <v>Row 31 - If ‘TEU type’ is ‘TEU’ then ‘TEU Id’ is required</v>
      </c>
      <c r="I538" t="s">
        <v>33308</v>
      </c>
      <c r="J538" t="b">
        <f>IF(OR(INDEX(OHZ_HAZ_UNITTYPE,31,1)="TEU",),INDEX(OHZ_HAZ_TEUID,31,1)&lt;&gt;"",TRUE)</f>
        <v>1</v>
      </c>
      <c r="K538" t="str">
        <f t="shared" si="17"/>
        <v>Row 31 - If ‘TEU type’ is ‘TEU’ then ‘TEU Id’ is required</v>
      </c>
      <c r="L538" t="s">
        <v>33308</v>
      </c>
    </row>
    <row r="539" spans="7:12" x14ac:dyDescent="0.2">
      <c r="G539" t="b">
        <f>IF(OR(INDEX(IHZ_HAZ_UNITTYPE,32,1)="TEU",),INDEX(IHZ_HAZ_TEUID,32,1)&lt;&gt;"",TRUE)</f>
        <v>1</v>
      </c>
      <c r="H539" t="str">
        <f t="shared" si="16"/>
        <v>Row 32 - If ‘TEU type’ is ‘TEU’ then ‘TEU Id’ is required</v>
      </c>
      <c r="I539" t="s">
        <v>33308</v>
      </c>
      <c r="J539" t="b">
        <f>IF(OR(INDEX(OHZ_HAZ_UNITTYPE,32,1)="TEU",),INDEX(OHZ_HAZ_TEUID,32,1)&lt;&gt;"",TRUE)</f>
        <v>1</v>
      </c>
      <c r="K539" t="str">
        <f t="shared" si="17"/>
        <v>Row 32 - If ‘TEU type’ is ‘TEU’ then ‘TEU Id’ is required</v>
      </c>
      <c r="L539" t="s">
        <v>33308</v>
      </c>
    </row>
    <row r="540" spans="7:12" x14ac:dyDescent="0.2">
      <c r="G540" t="b">
        <f>IF(OR(INDEX(IHZ_HAZ_UNITTYPE,33,1)="TEU",),INDEX(IHZ_HAZ_TEUID,33,1)&lt;&gt;"",TRUE)</f>
        <v>1</v>
      </c>
      <c r="H540" t="str">
        <f t="shared" si="16"/>
        <v>Row 33 - If ‘TEU type’ is ‘TEU’ then ‘TEU Id’ is required</v>
      </c>
      <c r="I540" t="s">
        <v>33308</v>
      </c>
      <c r="J540" t="b">
        <f>IF(OR(INDEX(OHZ_HAZ_UNITTYPE,33,1)="TEU",),INDEX(OHZ_HAZ_TEUID,33,1)&lt;&gt;"",TRUE)</f>
        <v>1</v>
      </c>
      <c r="K540" t="str">
        <f t="shared" si="17"/>
        <v>Row 33 - If ‘TEU type’ is ‘TEU’ then ‘TEU Id’ is required</v>
      </c>
      <c r="L540" t="s">
        <v>33308</v>
      </c>
    </row>
    <row r="541" spans="7:12" x14ac:dyDescent="0.2">
      <c r="G541" t="b">
        <f>IF(OR(INDEX(IHZ_HAZ_UNITTYPE,34,1)="TEU",),INDEX(IHZ_HAZ_TEUID,34,1)&lt;&gt;"",TRUE)</f>
        <v>1</v>
      </c>
      <c r="H541" t="str">
        <f t="shared" si="16"/>
        <v>Row 34 - If ‘TEU type’ is ‘TEU’ then ‘TEU Id’ is required</v>
      </c>
      <c r="I541" t="s">
        <v>33308</v>
      </c>
      <c r="J541" t="b">
        <f>IF(OR(INDEX(OHZ_HAZ_UNITTYPE,34,1)="TEU",),INDEX(OHZ_HAZ_TEUID,34,1)&lt;&gt;"",TRUE)</f>
        <v>1</v>
      </c>
      <c r="K541" t="str">
        <f t="shared" si="17"/>
        <v>Row 34 - If ‘TEU type’ is ‘TEU’ then ‘TEU Id’ is required</v>
      </c>
      <c r="L541" t="s">
        <v>33308</v>
      </c>
    </row>
    <row r="542" spans="7:12" x14ac:dyDescent="0.2">
      <c r="G542" t="b">
        <f>IF(OR(INDEX(IHZ_HAZ_UNITTYPE,35,1)="TEU",),INDEX(IHZ_HAZ_TEUID,35,1)&lt;&gt;"",TRUE)</f>
        <v>1</v>
      </c>
      <c r="H542" t="str">
        <f t="shared" si="16"/>
        <v>Row 35 - If ‘TEU type’ is ‘TEU’ then ‘TEU Id’ is required</v>
      </c>
      <c r="I542" t="s">
        <v>33308</v>
      </c>
      <c r="J542" t="b">
        <f>IF(OR(INDEX(OHZ_HAZ_UNITTYPE,35,1)="TEU",),INDEX(OHZ_HAZ_TEUID,35,1)&lt;&gt;"",TRUE)</f>
        <v>1</v>
      </c>
      <c r="K542" t="str">
        <f t="shared" si="17"/>
        <v>Row 35 - If ‘TEU type’ is ‘TEU’ then ‘TEU Id’ is required</v>
      </c>
      <c r="L542" t="s">
        <v>33308</v>
      </c>
    </row>
    <row r="543" spans="7:12" x14ac:dyDescent="0.2">
      <c r="G543" t="b">
        <f>IF(OR(INDEX(IHZ_HAZ_UNITTYPE,36,1)="TEU",),INDEX(IHZ_HAZ_TEUID,36,1)&lt;&gt;"",TRUE)</f>
        <v>1</v>
      </c>
      <c r="H543" t="str">
        <f t="shared" si="16"/>
        <v>Row 36 - If ‘TEU type’ is ‘TEU’ then ‘TEU Id’ is required</v>
      </c>
      <c r="I543" t="s">
        <v>33308</v>
      </c>
      <c r="J543" t="b">
        <f>IF(OR(INDEX(OHZ_HAZ_UNITTYPE,36,1)="TEU",),INDEX(OHZ_HAZ_TEUID,36,1)&lt;&gt;"",TRUE)</f>
        <v>1</v>
      </c>
      <c r="K543" t="str">
        <f t="shared" si="17"/>
        <v>Row 36 - If ‘TEU type’ is ‘TEU’ then ‘TEU Id’ is required</v>
      </c>
      <c r="L543" t="s">
        <v>33308</v>
      </c>
    </row>
    <row r="544" spans="7:12" x14ac:dyDescent="0.2">
      <c r="G544" t="b">
        <f>IF(OR(INDEX(IHZ_HAZ_UNITTYPE,37,1)="TEU",),INDEX(IHZ_HAZ_TEUID,37,1)&lt;&gt;"",TRUE)</f>
        <v>1</v>
      </c>
      <c r="H544" t="str">
        <f t="shared" si="16"/>
        <v>Row 37 - If ‘TEU type’ is ‘TEU’ then ‘TEU Id’ is required</v>
      </c>
      <c r="I544" t="s">
        <v>33308</v>
      </c>
      <c r="J544" t="b">
        <f>IF(OR(INDEX(OHZ_HAZ_UNITTYPE,37,1)="TEU",),INDEX(OHZ_HAZ_TEUID,37,1)&lt;&gt;"",TRUE)</f>
        <v>1</v>
      </c>
      <c r="K544" t="str">
        <f t="shared" si="17"/>
        <v>Row 37 - If ‘TEU type’ is ‘TEU’ then ‘TEU Id’ is required</v>
      </c>
      <c r="L544" t="s">
        <v>33308</v>
      </c>
    </row>
    <row r="545" spans="7:12" x14ac:dyDescent="0.2">
      <c r="G545" t="b">
        <f>IF(OR(INDEX(IHZ_HAZ_UNITTYPE,38,1)="TEU",),INDEX(IHZ_HAZ_TEUID,38,1)&lt;&gt;"",TRUE)</f>
        <v>1</v>
      </c>
      <c r="H545" t="str">
        <f t="shared" si="16"/>
        <v>Row 38 - If ‘TEU type’ is ‘TEU’ then ‘TEU Id’ is required</v>
      </c>
      <c r="I545" t="s">
        <v>33308</v>
      </c>
      <c r="J545" t="b">
        <f>IF(OR(INDEX(OHZ_HAZ_UNITTYPE,38,1)="TEU",),INDEX(OHZ_HAZ_TEUID,38,1)&lt;&gt;"",TRUE)</f>
        <v>1</v>
      </c>
      <c r="K545" t="str">
        <f t="shared" si="17"/>
        <v>Row 38 - If ‘TEU type’ is ‘TEU’ then ‘TEU Id’ is required</v>
      </c>
      <c r="L545" t="s">
        <v>33308</v>
      </c>
    </row>
    <row r="546" spans="7:12" x14ac:dyDescent="0.2">
      <c r="G546" t="b">
        <f>IF(OR(INDEX(IHZ_HAZ_UNITTYPE,39,1)="TEU",),INDEX(IHZ_HAZ_TEUID,39,1)&lt;&gt;"",TRUE)</f>
        <v>1</v>
      </c>
      <c r="H546" t="str">
        <f t="shared" si="16"/>
        <v>Row 39 - If ‘TEU type’ is ‘TEU’ then ‘TEU Id’ is required</v>
      </c>
      <c r="I546" t="s">
        <v>33308</v>
      </c>
      <c r="J546" t="b">
        <f>IF(OR(INDEX(OHZ_HAZ_UNITTYPE,39,1)="TEU",),INDEX(OHZ_HAZ_TEUID,39,1)&lt;&gt;"",TRUE)</f>
        <v>1</v>
      </c>
      <c r="K546" t="str">
        <f t="shared" si="17"/>
        <v>Row 39 - If ‘TEU type’ is ‘TEU’ then ‘TEU Id’ is required</v>
      </c>
      <c r="L546" t="s">
        <v>33308</v>
      </c>
    </row>
    <row r="547" spans="7:12" x14ac:dyDescent="0.2">
      <c r="G547" t="b">
        <f>IF(OR(INDEX(IHZ_HAZ_UNITTYPE,40,1)="TEU",),INDEX(IHZ_HAZ_TEUID,40,1)&lt;&gt;"",TRUE)</f>
        <v>1</v>
      </c>
      <c r="H547" t="str">
        <f t="shared" si="16"/>
        <v>Row 40 - If ‘TEU type’ is ‘TEU’ then ‘TEU Id’ is required</v>
      </c>
      <c r="I547" t="s">
        <v>33308</v>
      </c>
      <c r="J547" t="b">
        <f>IF(OR(INDEX(OHZ_HAZ_UNITTYPE,40,1)="TEU",),INDEX(OHZ_HAZ_TEUID,40,1)&lt;&gt;"",TRUE)</f>
        <v>1</v>
      </c>
      <c r="K547" t="str">
        <f t="shared" si="17"/>
        <v>Row 40 - If ‘TEU type’ is ‘TEU’ then ‘TEU Id’ is required</v>
      </c>
      <c r="L547" t="s">
        <v>33308</v>
      </c>
    </row>
    <row r="548" spans="7:12" x14ac:dyDescent="0.2">
      <c r="G548" t="b">
        <f>IF(OR(INDEX(IHZ_HAZ_UNITTYPE,41,1)="TEU",),INDEX(IHZ_HAZ_TEUID,41,1)&lt;&gt;"",TRUE)</f>
        <v>1</v>
      </c>
      <c r="H548" t="str">
        <f t="shared" si="16"/>
        <v>Row 41 - If ‘TEU type’ is ‘TEU’ then ‘TEU Id’ is required</v>
      </c>
      <c r="I548" t="s">
        <v>33308</v>
      </c>
      <c r="J548" t="b">
        <f>IF(OR(INDEX(OHZ_HAZ_UNITTYPE,41,1)="TEU",),INDEX(OHZ_HAZ_TEUID,41,1)&lt;&gt;"",TRUE)</f>
        <v>1</v>
      </c>
      <c r="K548" t="str">
        <f t="shared" si="17"/>
        <v>Row 41 - If ‘TEU type’ is ‘TEU’ then ‘TEU Id’ is required</v>
      </c>
      <c r="L548" t="s">
        <v>33308</v>
      </c>
    </row>
    <row r="549" spans="7:12" x14ac:dyDescent="0.2">
      <c r="G549" t="b">
        <f>IF(OR(INDEX(IHZ_HAZ_UNITTYPE,42,1)="TEU",),INDEX(IHZ_HAZ_TEUID,42,1)&lt;&gt;"",TRUE)</f>
        <v>1</v>
      </c>
      <c r="H549" t="str">
        <f t="shared" si="16"/>
        <v>Row 42 - If ‘TEU type’ is ‘TEU’ then ‘TEU Id’ is required</v>
      </c>
      <c r="I549" t="s">
        <v>33308</v>
      </c>
      <c r="J549" t="b">
        <f>IF(OR(INDEX(OHZ_HAZ_UNITTYPE,42,1)="TEU",),INDEX(OHZ_HAZ_TEUID,42,1)&lt;&gt;"",TRUE)</f>
        <v>1</v>
      </c>
      <c r="K549" t="str">
        <f t="shared" si="17"/>
        <v>Row 42 - If ‘TEU type’ is ‘TEU’ then ‘TEU Id’ is required</v>
      </c>
      <c r="L549" t="s">
        <v>33308</v>
      </c>
    </row>
    <row r="550" spans="7:12" x14ac:dyDescent="0.2">
      <c r="G550" t="b">
        <f>IF(OR(INDEX(IHZ_HAZ_UNITTYPE,43,1)="TEU",),INDEX(IHZ_HAZ_TEUID,43,1)&lt;&gt;"",TRUE)</f>
        <v>1</v>
      </c>
      <c r="H550" t="str">
        <f t="shared" si="16"/>
        <v>Row 43 - If ‘TEU type’ is ‘TEU’ then ‘TEU Id’ is required</v>
      </c>
      <c r="I550" t="s">
        <v>33308</v>
      </c>
      <c r="J550" t="b">
        <f>IF(OR(INDEX(OHZ_HAZ_UNITTYPE,43,1)="TEU",),INDEX(OHZ_HAZ_TEUID,43,1)&lt;&gt;"",TRUE)</f>
        <v>1</v>
      </c>
      <c r="K550" t="str">
        <f t="shared" si="17"/>
        <v>Row 43 - If ‘TEU type’ is ‘TEU’ then ‘TEU Id’ is required</v>
      </c>
      <c r="L550" t="s">
        <v>33308</v>
      </c>
    </row>
    <row r="551" spans="7:12" x14ac:dyDescent="0.2">
      <c r="G551" t="b">
        <f>IF(OR(INDEX(IHZ_HAZ_UNITTYPE,44,1)="TEU",),INDEX(IHZ_HAZ_TEUID,44,1)&lt;&gt;"",TRUE)</f>
        <v>1</v>
      </c>
      <c r="H551" t="str">
        <f t="shared" si="16"/>
        <v>Row 44 - If ‘TEU type’ is ‘TEU’ then ‘TEU Id’ is required</v>
      </c>
      <c r="I551" t="s">
        <v>33308</v>
      </c>
      <c r="J551" t="b">
        <f>IF(OR(INDEX(OHZ_HAZ_UNITTYPE,44,1)="TEU",),INDEX(OHZ_HAZ_TEUID,44,1)&lt;&gt;"",TRUE)</f>
        <v>1</v>
      </c>
      <c r="K551" t="str">
        <f t="shared" si="17"/>
        <v>Row 44 - If ‘TEU type’ is ‘TEU’ then ‘TEU Id’ is required</v>
      </c>
      <c r="L551" t="s">
        <v>33308</v>
      </c>
    </row>
    <row r="552" spans="7:12" x14ac:dyDescent="0.2">
      <c r="G552" t="b">
        <f>IF(OR(INDEX(IHZ_HAZ_UNITTYPE,45,1)="TEU",),INDEX(IHZ_HAZ_TEUID,45,1)&lt;&gt;"",TRUE)</f>
        <v>1</v>
      </c>
      <c r="H552" t="str">
        <f t="shared" si="16"/>
        <v>Row 45 - If ‘TEU type’ is ‘TEU’ then ‘TEU Id’ is required</v>
      </c>
      <c r="I552" t="s">
        <v>33308</v>
      </c>
      <c r="J552" t="b">
        <f>IF(OR(INDEX(OHZ_HAZ_UNITTYPE,45,1)="TEU",),INDEX(OHZ_HAZ_TEUID,45,1)&lt;&gt;"",TRUE)</f>
        <v>1</v>
      </c>
      <c r="K552" t="str">
        <f t="shared" si="17"/>
        <v>Row 45 - If ‘TEU type’ is ‘TEU’ then ‘TEU Id’ is required</v>
      </c>
      <c r="L552" t="s">
        <v>33308</v>
      </c>
    </row>
    <row r="553" spans="7:12" x14ac:dyDescent="0.2">
      <c r="G553" t="b">
        <f>IF(OR(INDEX(IHZ_HAZ_UNITTYPE,46,1)="TEU",),INDEX(IHZ_HAZ_TEUID,46,1)&lt;&gt;"",TRUE)</f>
        <v>1</v>
      </c>
      <c r="H553" t="str">
        <f t="shared" si="16"/>
        <v>Row 46 - If ‘TEU type’ is ‘TEU’ then ‘TEU Id’ is required</v>
      </c>
      <c r="I553" t="s">
        <v>33308</v>
      </c>
      <c r="J553" t="b">
        <f>IF(OR(INDEX(OHZ_HAZ_UNITTYPE,46,1)="TEU",),INDEX(OHZ_HAZ_TEUID,46,1)&lt;&gt;"",TRUE)</f>
        <v>1</v>
      </c>
      <c r="K553" t="str">
        <f t="shared" si="17"/>
        <v>Row 46 - If ‘TEU type’ is ‘TEU’ then ‘TEU Id’ is required</v>
      </c>
      <c r="L553" t="s">
        <v>33308</v>
      </c>
    </row>
    <row r="554" spans="7:12" x14ac:dyDescent="0.2">
      <c r="G554" t="b">
        <f>IF(OR(INDEX(IHZ_HAZ_UNITTYPE,47,1)="TEU",),INDEX(IHZ_HAZ_TEUID,47,1)&lt;&gt;"",TRUE)</f>
        <v>1</v>
      </c>
      <c r="H554" t="str">
        <f t="shared" si="16"/>
        <v>Row 47 - If ‘TEU type’ is ‘TEU’ then ‘TEU Id’ is required</v>
      </c>
      <c r="I554" t="s">
        <v>33308</v>
      </c>
      <c r="J554" t="b">
        <f>IF(OR(INDEX(OHZ_HAZ_UNITTYPE,47,1)="TEU",),INDEX(OHZ_HAZ_TEUID,47,1)&lt;&gt;"",TRUE)</f>
        <v>1</v>
      </c>
      <c r="K554" t="str">
        <f t="shared" si="17"/>
        <v>Row 47 - If ‘TEU type’ is ‘TEU’ then ‘TEU Id’ is required</v>
      </c>
      <c r="L554" t="s">
        <v>33308</v>
      </c>
    </row>
    <row r="555" spans="7:12" x14ac:dyDescent="0.2">
      <c r="G555" t="b">
        <f>IF(OR(INDEX(IHZ_HAZ_UNITTYPE,48,1)="TEU",),INDEX(IHZ_HAZ_TEUID,48,1)&lt;&gt;"",TRUE)</f>
        <v>1</v>
      </c>
      <c r="H555" t="str">
        <f t="shared" si="16"/>
        <v>Row 48 - If ‘TEU type’ is ‘TEU’ then ‘TEU Id’ is required</v>
      </c>
      <c r="I555" t="s">
        <v>33308</v>
      </c>
      <c r="J555" t="b">
        <f>IF(OR(INDEX(OHZ_HAZ_UNITTYPE,48,1)="TEU",),INDEX(OHZ_HAZ_TEUID,48,1)&lt;&gt;"",TRUE)</f>
        <v>1</v>
      </c>
      <c r="K555" t="str">
        <f t="shared" si="17"/>
        <v>Row 48 - If ‘TEU type’ is ‘TEU’ then ‘TEU Id’ is required</v>
      </c>
      <c r="L555" t="s">
        <v>33308</v>
      </c>
    </row>
    <row r="556" spans="7:12" x14ac:dyDescent="0.2">
      <c r="G556" t="b">
        <f>IF(OR(INDEX(IHZ_HAZ_UNITTYPE,49,1)="TEU",),INDEX(IHZ_HAZ_TEUID,49,1)&lt;&gt;"",TRUE)</f>
        <v>1</v>
      </c>
      <c r="H556" t="str">
        <f t="shared" si="16"/>
        <v>Row 49 - If ‘TEU type’ is ‘TEU’ then ‘TEU Id’ is required</v>
      </c>
      <c r="I556" t="s">
        <v>33308</v>
      </c>
      <c r="J556" t="b">
        <f>IF(OR(INDEX(OHZ_HAZ_UNITTYPE,49,1)="TEU",),INDEX(OHZ_HAZ_TEUID,49,1)&lt;&gt;"",TRUE)</f>
        <v>1</v>
      </c>
      <c r="K556" t="str">
        <f t="shared" si="17"/>
        <v>Row 49 - If ‘TEU type’ is ‘TEU’ then ‘TEU Id’ is required</v>
      </c>
      <c r="L556" t="s">
        <v>33308</v>
      </c>
    </row>
    <row r="557" spans="7:12" x14ac:dyDescent="0.2">
      <c r="G557" t="b">
        <f>IF(OR(INDEX(IHZ_HAZ_UNITTYPE,50,1)="TEU",),INDEX(IHZ_HAZ_TEUID,50,1)&lt;&gt;"",TRUE)</f>
        <v>1</v>
      </c>
      <c r="H557" t="str">
        <f t="shared" si="16"/>
        <v>Row 50 - If ‘TEU type’ is ‘TEU’ then ‘TEU Id’ is required</v>
      </c>
      <c r="I557" t="s">
        <v>33308</v>
      </c>
      <c r="J557" t="b">
        <f>IF(OR(INDEX(OHZ_HAZ_UNITTYPE,50,1)="TEU",),INDEX(OHZ_HAZ_TEUID,50,1)&lt;&gt;"",TRUE)</f>
        <v>1</v>
      </c>
      <c r="K557" t="str">
        <f t="shared" si="17"/>
        <v>Row 50 - If ‘TEU type’ is ‘TEU’ then ‘TEU Id’ is required</v>
      </c>
      <c r="L557" t="s">
        <v>33308</v>
      </c>
    </row>
    <row r="558" spans="7:12" x14ac:dyDescent="0.2">
      <c r="G558" t="b">
        <f>IF(OR(INDEX(IHZ_HAZ_UNITTYPE,51,1)="TEU",),INDEX(IHZ_HAZ_TEUID,51,1)&lt;&gt;"",TRUE)</f>
        <v>1</v>
      </c>
      <c r="H558" t="str">
        <f t="shared" si="16"/>
        <v>Row 51 - If ‘TEU type’ is ‘TEU’ then ‘TEU Id’ is required</v>
      </c>
      <c r="I558" t="s">
        <v>33308</v>
      </c>
      <c r="J558" t="b">
        <f>IF(OR(INDEX(OHZ_HAZ_UNITTYPE,51,1)="TEU",),INDEX(OHZ_HAZ_TEUID,51,1)&lt;&gt;"",TRUE)</f>
        <v>1</v>
      </c>
      <c r="K558" t="str">
        <f t="shared" si="17"/>
        <v>Row 51 - If ‘TEU type’ is ‘TEU’ then ‘TEU Id’ is required</v>
      </c>
      <c r="L558" t="s">
        <v>33308</v>
      </c>
    </row>
    <row r="559" spans="7:12" x14ac:dyDescent="0.2">
      <c r="G559" t="b">
        <f>IF(OR(INDEX(IHZ_HAZ_UNITTYPE,52,1)="TEU",),INDEX(IHZ_HAZ_TEUID,52,1)&lt;&gt;"",TRUE)</f>
        <v>1</v>
      </c>
      <c r="H559" t="str">
        <f t="shared" si="16"/>
        <v>Row 52 - If ‘TEU type’ is ‘TEU’ then ‘TEU Id’ is required</v>
      </c>
      <c r="I559" t="s">
        <v>33308</v>
      </c>
      <c r="J559" t="b">
        <f>IF(OR(INDEX(OHZ_HAZ_UNITTYPE,52,1)="TEU",),INDEX(OHZ_HAZ_TEUID,52,1)&lt;&gt;"",TRUE)</f>
        <v>1</v>
      </c>
      <c r="K559" t="str">
        <f t="shared" si="17"/>
        <v>Row 52 - If ‘TEU type’ is ‘TEU’ then ‘TEU Id’ is required</v>
      </c>
      <c r="L559" t="s">
        <v>33308</v>
      </c>
    </row>
    <row r="560" spans="7:12" x14ac:dyDescent="0.2">
      <c r="G560" t="b">
        <f>IF(OR(INDEX(IHZ_HAZ_UNITTYPE,53,1)="TEU",),INDEX(IHZ_HAZ_TEUID,53,1)&lt;&gt;"",TRUE)</f>
        <v>1</v>
      </c>
      <c r="H560" t="str">
        <f t="shared" si="16"/>
        <v>Row 53 - If ‘TEU type’ is ‘TEU’ then ‘TEU Id’ is required</v>
      </c>
      <c r="I560" t="s">
        <v>33308</v>
      </c>
      <c r="J560" t="b">
        <f>IF(OR(INDEX(OHZ_HAZ_UNITTYPE,53,1)="TEU",),INDEX(OHZ_HAZ_TEUID,53,1)&lt;&gt;"",TRUE)</f>
        <v>1</v>
      </c>
      <c r="K560" t="str">
        <f t="shared" si="17"/>
        <v>Row 53 - If ‘TEU type’ is ‘TEU’ then ‘TEU Id’ is required</v>
      </c>
      <c r="L560" t="s">
        <v>33308</v>
      </c>
    </row>
    <row r="561" spans="7:12" x14ac:dyDescent="0.2">
      <c r="G561" t="b">
        <f>IF(OR(INDEX(IHZ_HAZ_UNITTYPE,54,1)="TEU",),INDEX(IHZ_HAZ_TEUID,54,1)&lt;&gt;"",TRUE)</f>
        <v>1</v>
      </c>
      <c r="H561" t="str">
        <f t="shared" si="16"/>
        <v>Row 54 - If ‘TEU type’ is ‘TEU’ then ‘TEU Id’ is required</v>
      </c>
      <c r="I561" t="s">
        <v>33308</v>
      </c>
      <c r="J561" t="b">
        <f>IF(OR(INDEX(OHZ_HAZ_UNITTYPE,54,1)="TEU",),INDEX(OHZ_HAZ_TEUID,54,1)&lt;&gt;"",TRUE)</f>
        <v>1</v>
      </c>
      <c r="K561" t="str">
        <f t="shared" si="17"/>
        <v>Row 54 - If ‘TEU type’ is ‘TEU’ then ‘TEU Id’ is required</v>
      </c>
      <c r="L561" t="s">
        <v>33308</v>
      </c>
    </row>
    <row r="562" spans="7:12" x14ac:dyDescent="0.2">
      <c r="G562" t="b">
        <f>IF(OR(INDEX(IHZ_HAZ_UNITTYPE,55,1)="TEU",),INDEX(IHZ_HAZ_TEUID,55,1)&lt;&gt;"",TRUE)</f>
        <v>1</v>
      </c>
      <c r="H562" t="str">
        <f t="shared" si="16"/>
        <v>Row 55 - If ‘TEU type’ is ‘TEU’ then ‘TEU Id’ is required</v>
      </c>
      <c r="I562" t="s">
        <v>33308</v>
      </c>
      <c r="J562" t="b">
        <f>IF(OR(INDEX(OHZ_HAZ_UNITTYPE,55,1)="TEU",),INDEX(OHZ_HAZ_TEUID,55,1)&lt;&gt;"",TRUE)</f>
        <v>1</v>
      </c>
      <c r="K562" t="str">
        <f t="shared" si="17"/>
        <v>Row 55 - If ‘TEU type’ is ‘TEU’ then ‘TEU Id’ is required</v>
      </c>
      <c r="L562" t="s">
        <v>33308</v>
      </c>
    </row>
    <row r="563" spans="7:12" x14ac:dyDescent="0.2">
      <c r="G563" t="b">
        <f>IF(OR(INDEX(IHZ_HAZ_UNITTYPE,56,1)="TEU",),INDEX(IHZ_HAZ_TEUID,56,1)&lt;&gt;"",TRUE)</f>
        <v>1</v>
      </c>
      <c r="H563" t="str">
        <f t="shared" si="16"/>
        <v>Row 56 - If ‘TEU type’ is ‘TEU’ then ‘TEU Id’ is required</v>
      </c>
      <c r="I563" t="s">
        <v>33308</v>
      </c>
      <c r="J563" t="b">
        <f>IF(OR(INDEX(OHZ_HAZ_UNITTYPE,56,1)="TEU",),INDEX(OHZ_HAZ_TEUID,56,1)&lt;&gt;"",TRUE)</f>
        <v>1</v>
      </c>
      <c r="K563" t="str">
        <f t="shared" si="17"/>
        <v>Row 56 - If ‘TEU type’ is ‘TEU’ then ‘TEU Id’ is required</v>
      </c>
      <c r="L563" t="s">
        <v>33308</v>
      </c>
    </row>
    <row r="564" spans="7:12" x14ac:dyDescent="0.2">
      <c r="G564" t="b">
        <f>IF(OR(INDEX(IHZ_HAZ_UNITTYPE,57,1)="TEU",),INDEX(IHZ_HAZ_TEUID,57,1)&lt;&gt;"",TRUE)</f>
        <v>1</v>
      </c>
      <c r="H564" t="str">
        <f t="shared" si="16"/>
        <v>Row 57 - If ‘TEU type’ is ‘TEU’ then ‘TEU Id’ is required</v>
      </c>
      <c r="I564" t="s">
        <v>33308</v>
      </c>
      <c r="J564" t="b">
        <f>IF(OR(INDEX(OHZ_HAZ_UNITTYPE,57,1)="TEU",),INDEX(OHZ_HAZ_TEUID,57,1)&lt;&gt;"",TRUE)</f>
        <v>1</v>
      </c>
      <c r="K564" t="str">
        <f t="shared" si="17"/>
        <v>Row 57 - If ‘TEU type’ is ‘TEU’ then ‘TEU Id’ is required</v>
      </c>
      <c r="L564" t="s">
        <v>33308</v>
      </c>
    </row>
    <row r="565" spans="7:12" x14ac:dyDescent="0.2">
      <c r="G565" t="b">
        <f>IF(OR(INDEX(IHZ_HAZ_UNITTYPE,58,1)="TEU",),INDEX(IHZ_HAZ_TEUID,58,1)&lt;&gt;"",TRUE)</f>
        <v>1</v>
      </c>
      <c r="H565" t="str">
        <f t="shared" si="16"/>
        <v>Row 58 - If ‘TEU type’ is ‘TEU’ then ‘TEU Id’ is required</v>
      </c>
      <c r="I565" t="s">
        <v>33308</v>
      </c>
      <c r="J565" t="b">
        <f>IF(OR(INDEX(OHZ_HAZ_UNITTYPE,58,1)="TEU",),INDEX(OHZ_HAZ_TEUID,58,1)&lt;&gt;"",TRUE)</f>
        <v>1</v>
      </c>
      <c r="K565" t="str">
        <f t="shared" si="17"/>
        <v>Row 58 - If ‘TEU type’ is ‘TEU’ then ‘TEU Id’ is required</v>
      </c>
      <c r="L565" t="s">
        <v>33308</v>
      </c>
    </row>
    <row r="566" spans="7:12" x14ac:dyDescent="0.2">
      <c r="G566" t="b">
        <f>IF(OR(INDEX(IHZ_HAZ_UNITTYPE,59,1)="TEU",),INDEX(IHZ_HAZ_TEUID,59,1)&lt;&gt;"",TRUE)</f>
        <v>1</v>
      </c>
      <c r="H566" t="str">
        <f t="shared" si="16"/>
        <v>Row 59 - If ‘TEU type’ is ‘TEU’ then ‘TEU Id’ is required</v>
      </c>
      <c r="I566" t="s">
        <v>33308</v>
      </c>
      <c r="J566" t="b">
        <f>IF(OR(INDEX(OHZ_HAZ_UNITTYPE,59,1)="TEU",),INDEX(OHZ_HAZ_TEUID,59,1)&lt;&gt;"",TRUE)</f>
        <v>1</v>
      </c>
      <c r="K566" t="str">
        <f t="shared" si="17"/>
        <v>Row 59 - If ‘TEU type’ is ‘TEU’ then ‘TEU Id’ is required</v>
      </c>
      <c r="L566" t="s">
        <v>33308</v>
      </c>
    </row>
    <row r="567" spans="7:12" x14ac:dyDescent="0.2">
      <c r="G567" t="b">
        <f>IF(OR(INDEX(IHZ_HAZ_UNITTYPE,60,1)="TEU",),INDEX(IHZ_HAZ_TEUID,60,1)&lt;&gt;"",TRUE)</f>
        <v>1</v>
      </c>
      <c r="H567" t="str">
        <f t="shared" si="16"/>
        <v>Row 60 - If ‘TEU type’ is ‘TEU’ then ‘TEU Id’ is required</v>
      </c>
      <c r="I567" t="s">
        <v>33308</v>
      </c>
      <c r="J567" t="b">
        <f>IF(OR(INDEX(OHZ_HAZ_UNITTYPE,60,1)="TEU",),INDEX(OHZ_HAZ_TEUID,60,1)&lt;&gt;"",TRUE)</f>
        <v>1</v>
      </c>
      <c r="K567" t="str">
        <f t="shared" si="17"/>
        <v>Row 60 - If ‘TEU type’ is ‘TEU’ then ‘TEU Id’ is required</v>
      </c>
      <c r="L567" t="s">
        <v>33308</v>
      </c>
    </row>
    <row r="568" spans="7:12" x14ac:dyDescent="0.2">
      <c r="G568" t="b">
        <f>IF(OR(INDEX(IHZ_HAZ_UNITTYPE,61,1)="TEU",),INDEX(IHZ_HAZ_TEUID,61,1)&lt;&gt;"",TRUE)</f>
        <v>1</v>
      </c>
      <c r="H568" t="str">
        <f t="shared" si="16"/>
        <v>Row 61 - If ‘TEU type’ is ‘TEU’ then ‘TEU Id’ is required</v>
      </c>
      <c r="I568" t="s">
        <v>33308</v>
      </c>
      <c r="J568" t="b">
        <f>IF(OR(INDEX(OHZ_HAZ_UNITTYPE,61,1)="TEU",),INDEX(OHZ_HAZ_TEUID,61,1)&lt;&gt;"",TRUE)</f>
        <v>1</v>
      </c>
      <c r="K568" t="str">
        <f t="shared" si="17"/>
        <v>Row 61 - If ‘TEU type’ is ‘TEU’ then ‘TEU Id’ is required</v>
      </c>
      <c r="L568" t="s">
        <v>33308</v>
      </c>
    </row>
    <row r="569" spans="7:12" x14ac:dyDescent="0.2">
      <c r="G569" t="b">
        <f>IF(OR(INDEX(IHZ_HAZ_UNITTYPE,62,1)="TEU",),INDEX(IHZ_HAZ_TEUID,62,1)&lt;&gt;"",TRUE)</f>
        <v>1</v>
      </c>
      <c r="H569" t="str">
        <f t="shared" si="16"/>
        <v>Row 62 - If ‘TEU type’ is ‘TEU’ then ‘TEU Id’ is required</v>
      </c>
      <c r="I569" t="s">
        <v>33308</v>
      </c>
      <c r="J569" t="b">
        <f>IF(OR(INDEX(OHZ_HAZ_UNITTYPE,62,1)="TEU",),INDEX(OHZ_HAZ_TEUID,62,1)&lt;&gt;"",TRUE)</f>
        <v>1</v>
      </c>
      <c r="K569" t="str">
        <f t="shared" si="17"/>
        <v>Row 62 - If ‘TEU type’ is ‘TEU’ then ‘TEU Id’ is required</v>
      </c>
      <c r="L569" t="s">
        <v>33308</v>
      </c>
    </row>
    <row r="570" spans="7:12" x14ac:dyDescent="0.2">
      <c r="G570" t="b">
        <f>IF(OR(INDEX(IHZ_HAZ_UNITTYPE,63,1)="TEU",),INDEX(IHZ_HAZ_TEUID,63,1)&lt;&gt;"",TRUE)</f>
        <v>1</v>
      </c>
      <c r="H570" t="str">
        <f t="shared" si="16"/>
        <v>Row 63 - If ‘TEU type’ is ‘TEU’ then ‘TEU Id’ is required</v>
      </c>
      <c r="I570" t="s">
        <v>33308</v>
      </c>
      <c r="J570" t="b">
        <f>IF(OR(INDEX(OHZ_HAZ_UNITTYPE,63,1)="TEU",),INDEX(OHZ_HAZ_TEUID,63,1)&lt;&gt;"",TRUE)</f>
        <v>1</v>
      </c>
      <c r="K570" t="str">
        <f t="shared" si="17"/>
        <v>Row 63 - If ‘TEU type’ is ‘TEU’ then ‘TEU Id’ is required</v>
      </c>
      <c r="L570" t="s">
        <v>33308</v>
      </c>
    </row>
    <row r="571" spans="7:12" x14ac:dyDescent="0.2">
      <c r="G571" t="b">
        <f>IF(OR(INDEX(IHZ_HAZ_UNITTYPE,64,1)="TEU",),INDEX(IHZ_HAZ_TEUID,64,1)&lt;&gt;"",TRUE)</f>
        <v>1</v>
      </c>
      <c r="H571" t="str">
        <f t="shared" si="16"/>
        <v>Row 64 - If ‘TEU type’ is ‘TEU’ then ‘TEU Id’ is required</v>
      </c>
      <c r="I571" t="s">
        <v>33308</v>
      </c>
      <c r="J571" t="b">
        <f>IF(OR(INDEX(OHZ_HAZ_UNITTYPE,64,1)="TEU",),INDEX(OHZ_HAZ_TEUID,64,1)&lt;&gt;"",TRUE)</f>
        <v>1</v>
      </c>
      <c r="K571" t="str">
        <f t="shared" si="17"/>
        <v>Row 64 - If ‘TEU type’ is ‘TEU’ then ‘TEU Id’ is required</v>
      </c>
      <c r="L571" t="s">
        <v>33308</v>
      </c>
    </row>
    <row r="572" spans="7:12" x14ac:dyDescent="0.2">
      <c r="G572" t="b">
        <f>IF(OR(INDEX(IHZ_HAZ_UNITTYPE,65,1)="TEU",),INDEX(IHZ_HAZ_TEUID,65,1)&lt;&gt;"",TRUE)</f>
        <v>1</v>
      </c>
      <c r="H572" t="str">
        <f t="shared" si="16"/>
        <v>Row 65 - If ‘TEU type’ is ‘TEU’ then ‘TEU Id’ is required</v>
      </c>
      <c r="I572" t="s">
        <v>33308</v>
      </c>
      <c r="J572" t="b">
        <f>IF(OR(INDEX(OHZ_HAZ_UNITTYPE,65,1)="TEU",),INDEX(OHZ_HAZ_TEUID,65,1)&lt;&gt;"",TRUE)</f>
        <v>1</v>
      </c>
      <c r="K572" t="str">
        <f t="shared" si="17"/>
        <v>Row 65 - If ‘TEU type’ is ‘TEU’ then ‘TEU Id’ is required</v>
      </c>
      <c r="L572" t="s">
        <v>33308</v>
      </c>
    </row>
    <row r="573" spans="7:12" x14ac:dyDescent="0.2">
      <c r="G573" t="b">
        <f>IF(OR(INDEX(IHZ_HAZ_UNITTYPE,66,1)="TEU",),INDEX(IHZ_HAZ_TEUID,66,1)&lt;&gt;"",TRUE)</f>
        <v>1</v>
      </c>
      <c r="H573" t="str">
        <f t="shared" ref="H573:H636" si="18">T66&amp;$V$3</f>
        <v>Row 66 - If ‘TEU type’ is ‘TEU’ then ‘TEU Id’ is required</v>
      </c>
      <c r="I573" t="s">
        <v>33308</v>
      </c>
      <c r="J573" t="b">
        <f>IF(OR(INDEX(OHZ_HAZ_UNITTYPE,66,1)="TEU",),INDEX(OHZ_HAZ_TEUID,66,1)&lt;&gt;"",TRUE)</f>
        <v>1</v>
      </c>
      <c r="K573" t="str">
        <f t="shared" ref="K573:K636" si="19">T66&amp;$V$3</f>
        <v>Row 66 - If ‘TEU type’ is ‘TEU’ then ‘TEU Id’ is required</v>
      </c>
      <c r="L573" t="s">
        <v>33308</v>
      </c>
    </row>
    <row r="574" spans="7:12" x14ac:dyDescent="0.2">
      <c r="G574" t="b">
        <f>IF(OR(INDEX(IHZ_HAZ_UNITTYPE,67,1)="TEU",),INDEX(IHZ_HAZ_TEUID,67,1)&lt;&gt;"",TRUE)</f>
        <v>1</v>
      </c>
      <c r="H574" t="str">
        <f t="shared" si="18"/>
        <v>Row 67 - If ‘TEU type’ is ‘TEU’ then ‘TEU Id’ is required</v>
      </c>
      <c r="I574" t="s">
        <v>33308</v>
      </c>
      <c r="J574" t="b">
        <f>IF(OR(INDEX(OHZ_HAZ_UNITTYPE,67,1)="TEU",),INDEX(OHZ_HAZ_TEUID,67,1)&lt;&gt;"",TRUE)</f>
        <v>1</v>
      </c>
      <c r="K574" t="str">
        <f t="shared" si="19"/>
        <v>Row 67 - If ‘TEU type’ is ‘TEU’ then ‘TEU Id’ is required</v>
      </c>
      <c r="L574" t="s">
        <v>33308</v>
      </c>
    </row>
    <row r="575" spans="7:12" x14ac:dyDescent="0.2">
      <c r="G575" t="b">
        <f>IF(OR(INDEX(IHZ_HAZ_UNITTYPE,68,1)="TEU",),INDEX(IHZ_HAZ_TEUID,68,1)&lt;&gt;"",TRUE)</f>
        <v>1</v>
      </c>
      <c r="H575" t="str">
        <f t="shared" si="18"/>
        <v>Row 68 - If ‘TEU type’ is ‘TEU’ then ‘TEU Id’ is required</v>
      </c>
      <c r="I575" t="s">
        <v>33308</v>
      </c>
      <c r="J575" t="b">
        <f>IF(OR(INDEX(OHZ_HAZ_UNITTYPE,68,1)="TEU",),INDEX(OHZ_HAZ_TEUID,68,1)&lt;&gt;"",TRUE)</f>
        <v>1</v>
      </c>
      <c r="K575" t="str">
        <f t="shared" si="19"/>
        <v>Row 68 - If ‘TEU type’ is ‘TEU’ then ‘TEU Id’ is required</v>
      </c>
      <c r="L575" t="s">
        <v>33308</v>
      </c>
    </row>
    <row r="576" spans="7:12" x14ac:dyDescent="0.2">
      <c r="G576" t="b">
        <f>IF(OR(INDEX(IHZ_HAZ_UNITTYPE,69,1)="TEU",),INDEX(IHZ_HAZ_TEUID,69,1)&lt;&gt;"",TRUE)</f>
        <v>1</v>
      </c>
      <c r="H576" t="str">
        <f t="shared" si="18"/>
        <v>Row 69 - If ‘TEU type’ is ‘TEU’ then ‘TEU Id’ is required</v>
      </c>
      <c r="I576" t="s">
        <v>33308</v>
      </c>
      <c r="J576" t="b">
        <f>IF(OR(INDEX(OHZ_HAZ_UNITTYPE,69,1)="TEU",),INDEX(OHZ_HAZ_TEUID,69,1)&lt;&gt;"",TRUE)</f>
        <v>1</v>
      </c>
      <c r="K576" t="str">
        <f t="shared" si="19"/>
        <v>Row 69 - If ‘TEU type’ is ‘TEU’ then ‘TEU Id’ is required</v>
      </c>
      <c r="L576" t="s">
        <v>33308</v>
      </c>
    </row>
    <row r="577" spans="7:12" x14ac:dyDescent="0.2">
      <c r="G577" t="b">
        <f>IF(OR(INDEX(IHZ_HAZ_UNITTYPE,70,1)="TEU",),INDEX(IHZ_HAZ_TEUID,70,1)&lt;&gt;"",TRUE)</f>
        <v>1</v>
      </c>
      <c r="H577" t="str">
        <f t="shared" si="18"/>
        <v>Row 70 - If ‘TEU type’ is ‘TEU’ then ‘TEU Id’ is required</v>
      </c>
      <c r="I577" t="s">
        <v>33308</v>
      </c>
      <c r="J577" t="b">
        <f>IF(OR(INDEX(OHZ_HAZ_UNITTYPE,70,1)="TEU",),INDEX(OHZ_HAZ_TEUID,70,1)&lt;&gt;"",TRUE)</f>
        <v>1</v>
      </c>
      <c r="K577" t="str">
        <f t="shared" si="19"/>
        <v>Row 70 - If ‘TEU type’ is ‘TEU’ then ‘TEU Id’ is required</v>
      </c>
      <c r="L577" t="s">
        <v>33308</v>
      </c>
    </row>
    <row r="578" spans="7:12" x14ac:dyDescent="0.2">
      <c r="G578" t="b">
        <f>IF(OR(INDEX(IHZ_HAZ_UNITTYPE,71,1)="TEU",),INDEX(IHZ_HAZ_TEUID,71,1)&lt;&gt;"",TRUE)</f>
        <v>1</v>
      </c>
      <c r="H578" t="str">
        <f t="shared" si="18"/>
        <v>Row 71 - If ‘TEU type’ is ‘TEU’ then ‘TEU Id’ is required</v>
      </c>
      <c r="I578" t="s">
        <v>33308</v>
      </c>
      <c r="J578" t="b">
        <f>IF(OR(INDEX(OHZ_HAZ_UNITTYPE,71,1)="TEU",),INDEX(OHZ_HAZ_TEUID,71,1)&lt;&gt;"",TRUE)</f>
        <v>1</v>
      </c>
      <c r="K578" t="str">
        <f t="shared" si="19"/>
        <v>Row 71 - If ‘TEU type’ is ‘TEU’ then ‘TEU Id’ is required</v>
      </c>
      <c r="L578" t="s">
        <v>33308</v>
      </c>
    </row>
    <row r="579" spans="7:12" x14ac:dyDescent="0.2">
      <c r="G579" t="b">
        <f>IF(OR(INDEX(IHZ_HAZ_UNITTYPE,72,1)="TEU",),INDEX(IHZ_HAZ_TEUID,72,1)&lt;&gt;"",TRUE)</f>
        <v>1</v>
      </c>
      <c r="H579" t="str">
        <f t="shared" si="18"/>
        <v>Row 72 - If ‘TEU type’ is ‘TEU’ then ‘TEU Id’ is required</v>
      </c>
      <c r="I579" t="s">
        <v>33308</v>
      </c>
      <c r="J579" t="b">
        <f>IF(OR(INDEX(OHZ_HAZ_UNITTYPE,72,1)="TEU",),INDEX(OHZ_HAZ_TEUID,72,1)&lt;&gt;"",TRUE)</f>
        <v>1</v>
      </c>
      <c r="K579" t="str">
        <f t="shared" si="19"/>
        <v>Row 72 - If ‘TEU type’ is ‘TEU’ then ‘TEU Id’ is required</v>
      </c>
      <c r="L579" t="s">
        <v>33308</v>
      </c>
    </row>
    <row r="580" spans="7:12" x14ac:dyDescent="0.2">
      <c r="G580" t="b">
        <f>IF(OR(INDEX(IHZ_HAZ_UNITTYPE,73,1)="TEU",),INDEX(IHZ_HAZ_TEUID,73,1)&lt;&gt;"",TRUE)</f>
        <v>1</v>
      </c>
      <c r="H580" t="str">
        <f t="shared" si="18"/>
        <v>Row 73 - If ‘TEU type’ is ‘TEU’ then ‘TEU Id’ is required</v>
      </c>
      <c r="I580" t="s">
        <v>33308</v>
      </c>
      <c r="J580" t="b">
        <f>IF(OR(INDEX(OHZ_HAZ_UNITTYPE,73,1)="TEU",),INDEX(OHZ_HAZ_TEUID,73,1)&lt;&gt;"",TRUE)</f>
        <v>1</v>
      </c>
      <c r="K580" t="str">
        <f t="shared" si="19"/>
        <v>Row 73 - If ‘TEU type’ is ‘TEU’ then ‘TEU Id’ is required</v>
      </c>
      <c r="L580" t="s">
        <v>33308</v>
      </c>
    </row>
    <row r="581" spans="7:12" x14ac:dyDescent="0.2">
      <c r="G581" t="b">
        <f>IF(OR(INDEX(IHZ_HAZ_UNITTYPE,74,1)="TEU",),INDEX(IHZ_HAZ_TEUID,74,1)&lt;&gt;"",TRUE)</f>
        <v>1</v>
      </c>
      <c r="H581" t="str">
        <f t="shared" si="18"/>
        <v>Row 74 - If ‘TEU type’ is ‘TEU’ then ‘TEU Id’ is required</v>
      </c>
      <c r="I581" t="s">
        <v>33308</v>
      </c>
      <c r="J581" t="b">
        <f>IF(OR(INDEX(OHZ_HAZ_UNITTYPE,74,1)="TEU",),INDEX(OHZ_HAZ_TEUID,74,1)&lt;&gt;"",TRUE)</f>
        <v>1</v>
      </c>
      <c r="K581" t="str">
        <f t="shared" si="19"/>
        <v>Row 74 - If ‘TEU type’ is ‘TEU’ then ‘TEU Id’ is required</v>
      </c>
      <c r="L581" t="s">
        <v>33308</v>
      </c>
    </row>
    <row r="582" spans="7:12" x14ac:dyDescent="0.2">
      <c r="G582" t="b">
        <f>IF(OR(INDEX(IHZ_HAZ_UNITTYPE,75,1)="TEU",),INDEX(IHZ_HAZ_TEUID,75,1)&lt;&gt;"",TRUE)</f>
        <v>1</v>
      </c>
      <c r="H582" t="str">
        <f t="shared" si="18"/>
        <v>Row 75 - If ‘TEU type’ is ‘TEU’ then ‘TEU Id’ is required</v>
      </c>
      <c r="I582" t="s">
        <v>33308</v>
      </c>
      <c r="J582" t="b">
        <f>IF(OR(INDEX(OHZ_HAZ_UNITTYPE,75,1)="TEU",),INDEX(OHZ_HAZ_TEUID,75,1)&lt;&gt;"",TRUE)</f>
        <v>1</v>
      </c>
      <c r="K582" t="str">
        <f t="shared" si="19"/>
        <v>Row 75 - If ‘TEU type’ is ‘TEU’ then ‘TEU Id’ is required</v>
      </c>
      <c r="L582" t="s">
        <v>33308</v>
      </c>
    </row>
    <row r="583" spans="7:12" x14ac:dyDescent="0.2">
      <c r="G583" t="b">
        <f>IF(OR(INDEX(IHZ_HAZ_UNITTYPE,76,1)="TEU",),INDEX(IHZ_HAZ_TEUID,76,1)&lt;&gt;"",TRUE)</f>
        <v>1</v>
      </c>
      <c r="H583" t="str">
        <f t="shared" si="18"/>
        <v>Row 76 - If ‘TEU type’ is ‘TEU’ then ‘TEU Id’ is required</v>
      </c>
      <c r="I583" t="s">
        <v>33308</v>
      </c>
      <c r="J583" t="b">
        <f>IF(OR(INDEX(OHZ_HAZ_UNITTYPE,76,1)="TEU",),INDEX(OHZ_HAZ_TEUID,76,1)&lt;&gt;"",TRUE)</f>
        <v>1</v>
      </c>
      <c r="K583" t="str">
        <f t="shared" si="19"/>
        <v>Row 76 - If ‘TEU type’ is ‘TEU’ then ‘TEU Id’ is required</v>
      </c>
      <c r="L583" t="s">
        <v>33308</v>
      </c>
    </row>
    <row r="584" spans="7:12" x14ac:dyDescent="0.2">
      <c r="G584" t="b">
        <f>IF(OR(INDEX(IHZ_HAZ_UNITTYPE,77,1)="TEU",),INDEX(IHZ_HAZ_TEUID,77,1)&lt;&gt;"",TRUE)</f>
        <v>1</v>
      </c>
      <c r="H584" t="str">
        <f t="shared" si="18"/>
        <v>Row 77 - If ‘TEU type’ is ‘TEU’ then ‘TEU Id’ is required</v>
      </c>
      <c r="I584" t="s">
        <v>33308</v>
      </c>
      <c r="J584" t="b">
        <f>IF(OR(INDEX(OHZ_HAZ_UNITTYPE,77,1)="TEU",),INDEX(OHZ_HAZ_TEUID,77,1)&lt;&gt;"",TRUE)</f>
        <v>1</v>
      </c>
      <c r="K584" t="str">
        <f t="shared" si="19"/>
        <v>Row 77 - If ‘TEU type’ is ‘TEU’ then ‘TEU Id’ is required</v>
      </c>
      <c r="L584" t="s">
        <v>33308</v>
      </c>
    </row>
    <row r="585" spans="7:12" x14ac:dyDescent="0.2">
      <c r="G585" t="b">
        <f>IF(OR(INDEX(IHZ_HAZ_UNITTYPE,78,1)="TEU",),INDEX(IHZ_HAZ_TEUID,78,1)&lt;&gt;"",TRUE)</f>
        <v>1</v>
      </c>
      <c r="H585" t="str">
        <f t="shared" si="18"/>
        <v>Row 78 - If ‘TEU type’ is ‘TEU’ then ‘TEU Id’ is required</v>
      </c>
      <c r="I585" t="s">
        <v>33308</v>
      </c>
      <c r="J585" t="b">
        <f>IF(OR(INDEX(OHZ_HAZ_UNITTYPE,78,1)="TEU",),INDEX(OHZ_HAZ_TEUID,78,1)&lt;&gt;"",TRUE)</f>
        <v>1</v>
      </c>
      <c r="K585" t="str">
        <f t="shared" si="19"/>
        <v>Row 78 - If ‘TEU type’ is ‘TEU’ then ‘TEU Id’ is required</v>
      </c>
      <c r="L585" t="s">
        <v>33308</v>
      </c>
    </row>
    <row r="586" spans="7:12" x14ac:dyDescent="0.2">
      <c r="G586" t="b">
        <f>IF(OR(INDEX(IHZ_HAZ_UNITTYPE,79,1)="TEU",),INDEX(IHZ_HAZ_TEUID,79,1)&lt;&gt;"",TRUE)</f>
        <v>1</v>
      </c>
      <c r="H586" t="str">
        <f t="shared" si="18"/>
        <v>Row 79 - If ‘TEU type’ is ‘TEU’ then ‘TEU Id’ is required</v>
      </c>
      <c r="I586" t="s">
        <v>33308</v>
      </c>
      <c r="J586" t="b">
        <f>IF(OR(INDEX(OHZ_HAZ_UNITTYPE,79,1)="TEU",),INDEX(OHZ_HAZ_TEUID,79,1)&lt;&gt;"",TRUE)</f>
        <v>1</v>
      </c>
      <c r="K586" t="str">
        <f t="shared" si="19"/>
        <v>Row 79 - If ‘TEU type’ is ‘TEU’ then ‘TEU Id’ is required</v>
      </c>
      <c r="L586" t="s">
        <v>33308</v>
      </c>
    </row>
    <row r="587" spans="7:12" x14ac:dyDescent="0.2">
      <c r="G587" t="b">
        <f>IF(OR(INDEX(IHZ_HAZ_UNITTYPE,80,1)="TEU",),INDEX(IHZ_HAZ_TEUID,80,1)&lt;&gt;"",TRUE)</f>
        <v>1</v>
      </c>
      <c r="H587" t="str">
        <f t="shared" si="18"/>
        <v>Row 80 - If ‘TEU type’ is ‘TEU’ then ‘TEU Id’ is required</v>
      </c>
      <c r="I587" t="s">
        <v>33308</v>
      </c>
      <c r="J587" t="b">
        <f>IF(OR(INDEX(OHZ_HAZ_UNITTYPE,80,1)="TEU",),INDEX(OHZ_HAZ_TEUID,80,1)&lt;&gt;"",TRUE)</f>
        <v>1</v>
      </c>
      <c r="K587" t="str">
        <f t="shared" si="19"/>
        <v>Row 80 - If ‘TEU type’ is ‘TEU’ then ‘TEU Id’ is required</v>
      </c>
      <c r="L587" t="s">
        <v>33308</v>
      </c>
    </row>
    <row r="588" spans="7:12" x14ac:dyDescent="0.2">
      <c r="G588" t="b">
        <f>IF(OR(INDEX(IHZ_HAZ_UNITTYPE,81,1)="TEU",),INDEX(IHZ_HAZ_TEUID,81,1)&lt;&gt;"",TRUE)</f>
        <v>1</v>
      </c>
      <c r="H588" t="str">
        <f t="shared" si="18"/>
        <v>Row 81 - If ‘TEU type’ is ‘TEU’ then ‘TEU Id’ is required</v>
      </c>
      <c r="I588" t="s">
        <v>33308</v>
      </c>
      <c r="J588" t="b">
        <f>IF(OR(INDEX(OHZ_HAZ_UNITTYPE,81,1)="TEU",),INDEX(OHZ_HAZ_TEUID,81,1)&lt;&gt;"",TRUE)</f>
        <v>1</v>
      </c>
      <c r="K588" t="str">
        <f t="shared" si="19"/>
        <v>Row 81 - If ‘TEU type’ is ‘TEU’ then ‘TEU Id’ is required</v>
      </c>
      <c r="L588" t="s">
        <v>33308</v>
      </c>
    </row>
    <row r="589" spans="7:12" x14ac:dyDescent="0.2">
      <c r="G589" t="b">
        <f>IF(OR(INDEX(IHZ_HAZ_UNITTYPE,82,1)="TEU",),INDEX(IHZ_HAZ_TEUID,82,1)&lt;&gt;"",TRUE)</f>
        <v>1</v>
      </c>
      <c r="H589" t="str">
        <f t="shared" si="18"/>
        <v>Row 82 - If ‘TEU type’ is ‘TEU’ then ‘TEU Id’ is required</v>
      </c>
      <c r="I589" t="s">
        <v>33308</v>
      </c>
      <c r="J589" t="b">
        <f>IF(OR(INDEX(OHZ_HAZ_UNITTYPE,82,1)="TEU",),INDEX(OHZ_HAZ_TEUID,82,1)&lt;&gt;"",TRUE)</f>
        <v>1</v>
      </c>
      <c r="K589" t="str">
        <f t="shared" si="19"/>
        <v>Row 82 - If ‘TEU type’ is ‘TEU’ then ‘TEU Id’ is required</v>
      </c>
      <c r="L589" t="s">
        <v>33308</v>
      </c>
    </row>
    <row r="590" spans="7:12" x14ac:dyDescent="0.2">
      <c r="G590" t="b">
        <f>IF(OR(INDEX(IHZ_HAZ_UNITTYPE,83,1)="TEU",),INDEX(IHZ_HAZ_TEUID,83,1)&lt;&gt;"",TRUE)</f>
        <v>1</v>
      </c>
      <c r="H590" t="str">
        <f t="shared" si="18"/>
        <v>Row 83 - If ‘TEU type’ is ‘TEU’ then ‘TEU Id’ is required</v>
      </c>
      <c r="I590" t="s">
        <v>33308</v>
      </c>
      <c r="J590" t="b">
        <f>IF(OR(INDEX(OHZ_HAZ_UNITTYPE,83,1)="TEU",),INDEX(OHZ_HAZ_TEUID,83,1)&lt;&gt;"",TRUE)</f>
        <v>1</v>
      </c>
      <c r="K590" t="str">
        <f t="shared" si="19"/>
        <v>Row 83 - If ‘TEU type’ is ‘TEU’ then ‘TEU Id’ is required</v>
      </c>
      <c r="L590" t="s">
        <v>33308</v>
      </c>
    </row>
    <row r="591" spans="7:12" x14ac:dyDescent="0.2">
      <c r="G591" t="b">
        <f>IF(OR(INDEX(IHZ_HAZ_UNITTYPE,84,1)="TEU",),INDEX(IHZ_HAZ_TEUID,84,1)&lt;&gt;"",TRUE)</f>
        <v>1</v>
      </c>
      <c r="H591" t="str">
        <f t="shared" si="18"/>
        <v>Row 84 - If ‘TEU type’ is ‘TEU’ then ‘TEU Id’ is required</v>
      </c>
      <c r="I591" t="s">
        <v>33308</v>
      </c>
      <c r="J591" t="b">
        <f>IF(OR(INDEX(OHZ_HAZ_UNITTYPE,84,1)="TEU",),INDEX(OHZ_HAZ_TEUID,84,1)&lt;&gt;"",TRUE)</f>
        <v>1</v>
      </c>
      <c r="K591" t="str">
        <f t="shared" si="19"/>
        <v>Row 84 - If ‘TEU type’ is ‘TEU’ then ‘TEU Id’ is required</v>
      </c>
      <c r="L591" t="s">
        <v>33308</v>
      </c>
    </row>
    <row r="592" spans="7:12" x14ac:dyDescent="0.2">
      <c r="G592" t="b">
        <f>IF(OR(INDEX(IHZ_HAZ_UNITTYPE,85,1)="TEU",),INDEX(IHZ_HAZ_TEUID,85,1)&lt;&gt;"",TRUE)</f>
        <v>1</v>
      </c>
      <c r="H592" t="str">
        <f t="shared" si="18"/>
        <v>Row 85 - If ‘TEU type’ is ‘TEU’ then ‘TEU Id’ is required</v>
      </c>
      <c r="I592" t="s">
        <v>33308</v>
      </c>
      <c r="J592" t="b">
        <f>IF(OR(INDEX(OHZ_HAZ_UNITTYPE,85,1)="TEU",),INDEX(OHZ_HAZ_TEUID,85,1)&lt;&gt;"",TRUE)</f>
        <v>1</v>
      </c>
      <c r="K592" t="str">
        <f t="shared" si="19"/>
        <v>Row 85 - If ‘TEU type’ is ‘TEU’ then ‘TEU Id’ is required</v>
      </c>
      <c r="L592" t="s">
        <v>33308</v>
      </c>
    </row>
    <row r="593" spans="7:12" x14ac:dyDescent="0.2">
      <c r="G593" t="b">
        <f>IF(OR(INDEX(IHZ_HAZ_UNITTYPE,86,1)="TEU",),INDEX(IHZ_HAZ_TEUID,86,1)&lt;&gt;"",TRUE)</f>
        <v>1</v>
      </c>
      <c r="H593" t="str">
        <f t="shared" si="18"/>
        <v>Row 86 - If ‘TEU type’ is ‘TEU’ then ‘TEU Id’ is required</v>
      </c>
      <c r="I593" t="s">
        <v>33308</v>
      </c>
      <c r="J593" t="b">
        <f>IF(OR(INDEX(OHZ_HAZ_UNITTYPE,86,1)="TEU",),INDEX(OHZ_HAZ_TEUID,86,1)&lt;&gt;"",TRUE)</f>
        <v>1</v>
      </c>
      <c r="K593" t="str">
        <f t="shared" si="19"/>
        <v>Row 86 - If ‘TEU type’ is ‘TEU’ then ‘TEU Id’ is required</v>
      </c>
      <c r="L593" t="s">
        <v>33308</v>
      </c>
    </row>
    <row r="594" spans="7:12" x14ac:dyDescent="0.2">
      <c r="G594" t="b">
        <f>IF(OR(INDEX(IHZ_HAZ_UNITTYPE,87,1)="TEU",),INDEX(IHZ_HAZ_TEUID,87,1)&lt;&gt;"",TRUE)</f>
        <v>1</v>
      </c>
      <c r="H594" t="str">
        <f t="shared" si="18"/>
        <v>Row 87 - If ‘TEU type’ is ‘TEU’ then ‘TEU Id’ is required</v>
      </c>
      <c r="I594" t="s">
        <v>33308</v>
      </c>
      <c r="J594" t="b">
        <f>IF(OR(INDEX(OHZ_HAZ_UNITTYPE,87,1)="TEU",),INDEX(OHZ_HAZ_TEUID,87,1)&lt;&gt;"",TRUE)</f>
        <v>1</v>
      </c>
      <c r="K594" t="str">
        <f t="shared" si="19"/>
        <v>Row 87 - If ‘TEU type’ is ‘TEU’ then ‘TEU Id’ is required</v>
      </c>
      <c r="L594" t="s">
        <v>33308</v>
      </c>
    </row>
    <row r="595" spans="7:12" x14ac:dyDescent="0.2">
      <c r="G595" t="b">
        <f>IF(OR(INDEX(IHZ_HAZ_UNITTYPE,88,1)="TEU",),INDEX(IHZ_HAZ_TEUID,88,1)&lt;&gt;"",TRUE)</f>
        <v>1</v>
      </c>
      <c r="H595" t="str">
        <f t="shared" si="18"/>
        <v>Row 88 - If ‘TEU type’ is ‘TEU’ then ‘TEU Id’ is required</v>
      </c>
      <c r="I595" t="s">
        <v>33308</v>
      </c>
      <c r="J595" t="b">
        <f>IF(OR(INDEX(OHZ_HAZ_UNITTYPE,88,1)="TEU",),INDEX(OHZ_HAZ_TEUID,88,1)&lt;&gt;"",TRUE)</f>
        <v>1</v>
      </c>
      <c r="K595" t="str">
        <f t="shared" si="19"/>
        <v>Row 88 - If ‘TEU type’ is ‘TEU’ then ‘TEU Id’ is required</v>
      </c>
      <c r="L595" t="s">
        <v>33308</v>
      </c>
    </row>
    <row r="596" spans="7:12" x14ac:dyDescent="0.2">
      <c r="G596" t="b">
        <f>IF(OR(INDEX(IHZ_HAZ_UNITTYPE,89,1)="TEU",),INDEX(IHZ_HAZ_TEUID,89,1)&lt;&gt;"",TRUE)</f>
        <v>1</v>
      </c>
      <c r="H596" t="str">
        <f t="shared" si="18"/>
        <v>Row 89 - If ‘TEU type’ is ‘TEU’ then ‘TEU Id’ is required</v>
      </c>
      <c r="I596" t="s">
        <v>33308</v>
      </c>
      <c r="J596" t="b">
        <f>IF(OR(INDEX(OHZ_HAZ_UNITTYPE,89,1)="TEU",),INDEX(OHZ_HAZ_TEUID,89,1)&lt;&gt;"",TRUE)</f>
        <v>1</v>
      </c>
      <c r="K596" t="str">
        <f t="shared" si="19"/>
        <v>Row 89 - If ‘TEU type’ is ‘TEU’ then ‘TEU Id’ is required</v>
      </c>
      <c r="L596" t="s">
        <v>33308</v>
      </c>
    </row>
    <row r="597" spans="7:12" x14ac:dyDescent="0.2">
      <c r="G597" t="b">
        <f>IF(OR(INDEX(IHZ_HAZ_UNITTYPE,90,1)="TEU",),INDEX(IHZ_HAZ_TEUID,90,1)&lt;&gt;"",TRUE)</f>
        <v>1</v>
      </c>
      <c r="H597" t="str">
        <f t="shared" si="18"/>
        <v>Row 90 - If ‘TEU type’ is ‘TEU’ then ‘TEU Id’ is required</v>
      </c>
      <c r="I597" t="s">
        <v>33308</v>
      </c>
      <c r="J597" t="b">
        <f>IF(OR(INDEX(OHZ_HAZ_UNITTYPE,90,1)="TEU",),INDEX(OHZ_HAZ_TEUID,90,1)&lt;&gt;"",TRUE)</f>
        <v>1</v>
      </c>
      <c r="K597" t="str">
        <f t="shared" si="19"/>
        <v>Row 90 - If ‘TEU type’ is ‘TEU’ then ‘TEU Id’ is required</v>
      </c>
      <c r="L597" t="s">
        <v>33308</v>
      </c>
    </row>
    <row r="598" spans="7:12" x14ac:dyDescent="0.2">
      <c r="G598" t="b">
        <f>IF(OR(INDEX(IHZ_HAZ_UNITTYPE,91,1)="TEU",),INDEX(IHZ_HAZ_TEUID,91,1)&lt;&gt;"",TRUE)</f>
        <v>1</v>
      </c>
      <c r="H598" t="str">
        <f t="shared" si="18"/>
        <v>Row 91 - If ‘TEU type’ is ‘TEU’ then ‘TEU Id’ is required</v>
      </c>
      <c r="I598" t="s">
        <v>33308</v>
      </c>
      <c r="J598" t="b">
        <f>IF(OR(INDEX(OHZ_HAZ_UNITTYPE,91,1)="TEU",),INDEX(OHZ_HAZ_TEUID,91,1)&lt;&gt;"",TRUE)</f>
        <v>1</v>
      </c>
      <c r="K598" t="str">
        <f t="shared" si="19"/>
        <v>Row 91 - If ‘TEU type’ is ‘TEU’ then ‘TEU Id’ is required</v>
      </c>
      <c r="L598" t="s">
        <v>33308</v>
      </c>
    </row>
    <row r="599" spans="7:12" x14ac:dyDescent="0.2">
      <c r="G599" t="b">
        <f>IF(OR(INDEX(IHZ_HAZ_UNITTYPE,92,1)="TEU",),INDEX(IHZ_HAZ_TEUID,92,1)&lt;&gt;"",TRUE)</f>
        <v>1</v>
      </c>
      <c r="H599" t="str">
        <f t="shared" si="18"/>
        <v>Row 92 - If ‘TEU type’ is ‘TEU’ then ‘TEU Id’ is required</v>
      </c>
      <c r="I599" t="s">
        <v>33308</v>
      </c>
      <c r="J599" t="b">
        <f>IF(OR(INDEX(OHZ_HAZ_UNITTYPE,92,1)="TEU",),INDEX(OHZ_HAZ_TEUID,92,1)&lt;&gt;"",TRUE)</f>
        <v>1</v>
      </c>
      <c r="K599" t="str">
        <f t="shared" si="19"/>
        <v>Row 92 - If ‘TEU type’ is ‘TEU’ then ‘TEU Id’ is required</v>
      </c>
      <c r="L599" t="s">
        <v>33308</v>
      </c>
    </row>
    <row r="600" spans="7:12" x14ac:dyDescent="0.2">
      <c r="G600" t="b">
        <f>IF(OR(INDEX(IHZ_HAZ_UNITTYPE,93,1)="TEU",),INDEX(IHZ_HAZ_TEUID,93,1)&lt;&gt;"",TRUE)</f>
        <v>1</v>
      </c>
      <c r="H600" t="str">
        <f t="shared" si="18"/>
        <v>Row 93 - If ‘TEU type’ is ‘TEU’ then ‘TEU Id’ is required</v>
      </c>
      <c r="I600" t="s">
        <v>33308</v>
      </c>
      <c r="J600" t="b">
        <f>IF(OR(INDEX(OHZ_HAZ_UNITTYPE,93,1)="TEU",),INDEX(OHZ_HAZ_TEUID,93,1)&lt;&gt;"",TRUE)</f>
        <v>1</v>
      </c>
      <c r="K600" t="str">
        <f t="shared" si="19"/>
        <v>Row 93 - If ‘TEU type’ is ‘TEU’ then ‘TEU Id’ is required</v>
      </c>
      <c r="L600" t="s">
        <v>33308</v>
      </c>
    </row>
    <row r="601" spans="7:12" x14ac:dyDescent="0.2">
      <c r="G601" t="b">
        <f>IF(OR(INDEX(IHZ_HAZ_UNITTYPE,94,1)="TEU",),INDEX(IHZ_HAZ_TEUID,94,1)&lt;&gt;"",TRUE)</f>
        <v>1</v>
      </c>
      <c r="H601" t="str">
        <f t="shared" si="18"/>
        <v>Row 94 - If ‘TEU type’ is ‘TEU’ then ‘TEU Id’ is required</v>
      </c>
      <c r="I601" t="s">
        <v>33308</v>
      </c>
      <c r="J601" t="b">
        <f>IF(OR(INDEX(OHZ_HAZ_UNITTYPE,94,1)="TEU",),INDEX(OHZ_HAZ_TEUID,94,1)&lt;&gt;"",TRUE)</f>
        <v>1</v>
      </c>
      <c r="K601" t="str">
        <f t="shared" si="19"/>
        <v>Row 94 - If ‘TEU type’ is ‘TEU’ then ‘TEU Id’ is required</v>
      </c>
      <c r="L601" t="s">
        <v>33308</v>
      </c>
    </row>
    <row r="602" spans="7:12" x14ac:dyDescent="0.2">
      <c r="G602" t="b">
        <f>IF(OR(INDEX(IHZ_HAZ_UNITTYPE,95,1)="TEU",),INDEX(IHZ_HAZ_TEUID,95,1)&lt;&gt;"",TRUE)</f>
        <v>1</v>
      </c>
      <c r="H602" t="str">
        <f t="shared" si="18"/>
        <v>Row 95 - If ‘TEU type’ is ‘TEU’ then ‘TEU Id’ is required</v>
      </c>
      <c r="I602" t="s">
        <v>33308</v>
      </c>
      <c r="J602" t="b">
        <f>IF(OR(INDEX(OHZ_HAZ_UNITTYPE,95,1)="TEU",),INDEX(OHZ_HAZ_TEUID,95,1)&lt;&gt;"",TRUE)</f>
        <v>1</v>
      </c>
      <c r="K602" t="str">
        <f t="shared" si="19"/>
        <v>Row 95 - If ‘TEU type’ is ‘TEU’ then ‘TEU Id’ is required</v>
      </c>
      <c r="L602" t="s">
        <v>33308</v>
      </c>
    </row>
    <row r="603" spans="7:12" x14ac:dyDescent="0.2">
      <c r="G603" t="b">
        <f>IF(OR(INDEX(IHZ_HAZ_UNITTYPE,96,1)="TEU",),INDEX(IHZ_HAZ_TEUID,96,1)&lt;&gt;"",TRUE)</f>
        <v>1</v>
      </c>
      <c r="H603" t="str">
        <f t="shared" si="18"/>
        <v>Row 96 - If ‘TEU type’ is ‘TEU’ then ‘TEU Id’ is required</v>
      </c>
      <c r="I603" t="s">
        <v>33308</v>
      </c>
      <c r="J603" t="b">
        <f>IF(OR(INDEX(OHZ_HAZ_UNITTYPE,96,1)="TEU",),INDEX(OHZ_HAZ_TEUID,96,1)&lt;&gt;"",TRUE)</f>
        <v>1</v>
      </c>
      <c r="K603" t="str">
        <f t="shared" si="19"/>
        <v>Row 96 - If ‘TEU type’ is ‘TEU’ then ‘TEU Id’ is required</v>
      </c>
      <c r="L603" t="s">
        <v>33308</v>
      </c>
    </row>
    <row r="604" spans="7:12" x14ac:dyDescent="0.2">
      <c r="G604" t="b">
        <f>IF(OR(INDEX(IHZ_HAZ_UNITTYPE,97,1)="TEU",),INDEX(IHZ_HAZ_TEUID,97,1)&lt;&gt;"",TRUE)</f>
        <v>1</v>
      </c>
      <c r="H604" t="str">
        <f t="shared" si="18"/>
        <v>Row 97 - If ‘TEU type’ is ‘TEU’ then ‘TEU Id’ is required</v>
      </c>
      <c r="I604" t="s">
        <v>33308</v>
      </c>
      <c r="J604" t="b">
        <f>IF(OR(INDEX(OHZ_HAZ_UNITTYPE,97,1)="TEU",),INDEX(OHZ_HAZ_TEUID,97,1)&lt;&gt;"",TRUE)</f>
        <v>1</v>
      </c>
      <c r="K604" t="str">
        <f t="shared" si="19"/>
        <v>Row 97 - If ‘TEU type’ is ‘TEU’ then ‘TEU Id’ is required</v>
      </c>
      <c r="L604" t="s">
        <v>33308</v>
      </c>
    </row>
    <row r="605" spans="7:12" x14ac:dyDescent="0.2">
      <c r="G605" t="b">
        <f>IF(OR(INDEX(IHZ_HAZ_UNITTYPE,98,1)="TEU",),INDEX(IHZ_HAZ_TEUID,98,1)&lt;&gt;"",TRUE)</f>
        <v>1</v>
      </c>
      <c r="H605" t="str">
        <f t="shared" si="18"/>
        <v>Row 98 - If ‘TEU type’ is ‘TEU’ then ‘TEU Id’ is required</v>
      </c>
      <c r="I605" t="s">
        <v>33308</v>
      </c>
      <c r="J605" t="b">
        <f>IF(OR(INDEX(OHZ_HAZ_UNITTYPE,98,1)="TEU",),INDEX(OHZ_HAZ_TEUID,98,1)&lt;&gt;"",TRUE)</f>
        <v>1</v>
      </c>
      <c r="K605" t="str">
        <f t="shared" si="19"/>
        <v>Row 98 - If ‘TEU type’ is ‘TEU’ then ‘TEU Id’ is required</v>
      </c>
      <c r="L605" t="s">
        <v>33308</v>
      </c>
    </row>
    <row r="606" spans="7:12" x14ac:dyDescent="0.2">
      <c r="G606" t="b">
        <f>IF(OR(INDEX(IHZ_HAZ_UNITTYPE,99,1)="TEU",),INDEX(IHZ_HAZ_TEUID,99,1)&lt;&gt;"",TRUE)</f>
        <v>1</v>
      </c>
      <c r="H606" t="str">
        <f t="shared" si="18"/>
        <v>Row 99 - If ‘TEU type’ is ‘TEU’ then ‘TEU Id’ is required</v>
      </c>
      <c r="I606" t="s">
        <v>33308</v>
      </c>
      <c r="J606" t="b">
        <f>IF(OR(INDEX(OHZ_HAZ_UNITTYPE,99,1)="TEU",),INDEX(OHZ_HAZ_TEUID,99,1)&lt;&gt;"",TRUE)</f>
        <v>1</v>
      </c>
      <c r="K606" t="str">
        <f t="shared" si="19"/>
        <v>Row 99 - If ‘TEU type’ is ‘TEU’ then ‘TEU Id’ is required</v>
      </c>
      <c r="L606" t="s">
        <v>33308</v>
      </c>
    </row>
    <row r="607" spans="7:12" x14ac:dyDescent="0.2">
      <c r="G607" t="b">
        <f>IF(OR(INDEX(IHZ_HAZ_UNITTYPE,100,1)="TEU",),INDEX(IHZ_HAZ_TEUID,100,1)&lt;&gt;"",TRUE)</f>
        <v>1</v>
      </c>
      <c r="H607" t="str">
        <f t="shared" si="18"/>
        <v>Row 100 - If ‘TEU type’ is ‘TEU’ then ‘TEU Id’ is required</v>
      </c>
      <c r="I607" t="s">
        <v>33308</v>
      </c>
      <c r="J607" t="b">
        <f>IF(OR(INDEX(OHZ_HAZ_UNITTYPE,100,1)="TEU",),INDEX(OHZ_HAZ_TEUID,100,1)&lt;&gt;"",TRUE)</f>
        <v>1</v>
      </c>
      <c r="K607" t="str">
        <f t="shared" si="19"/>
        <v>Row 100 - If ‘TEU type’ is ‘TEU’ then ‘TEU Id’ is required</v>
      </c>
      <c r="L607" t="s">
        <v>33308</v>
      </c>
    </row>
    <row r="608" spans="7:12" x14ac:dyDescent="0.2">
      <c r="G608" t="b">
        <f>IF(OR(INDEX(IHZ_HAZ_UNITTYPE,101,1)="TEU",),INDEX(IHZ_HAZ_TEUID,101,1)&lt;&gt;"",TRUE)</f>
        <v>1</v>
      </c>
      <c r="H608" t="str">
        <f t="shared" si="18"/>
        <v>Row 101 - If ‘TEU type’ is ‘TEU’ then ‘TEU Id’ is required</v>
      </c>
      <c r="I608" t="s">
        <v>33308</v>
      </c>
      <c r="J608" t="b">
        <f>IF(OR(INDEX(OHZ_HAZ_UNITTYPE,101,1)="TEU",),INDEX(OHZ_HAZ_TEUID,101,1)&lt;&gt;"",TRUE)</f>
        <v>1</v>
      </c>
      <c r="K608" t="str">
        <f t="shared" si="19"/>
        <v>Row 101 - If ‘TEU type’ is ‘TEU’ then ‘TEU Id’ is required</v>
      </c>
      <c r="L608" t="s">
        <v>33308</v>
      </c>
    </row>
    <row r="609" spans="7:12" x14ac:dyDescent="0.2">
      <c r="G609" t="b">
        <f>IF(OR(INDEX(IHZ_HAZ_UNITTYPE,102,1)="TEU",),INDEX(IHZ_HAZ_TEUID,102,1)&lt;&gt;"",TRUE)</f>
        <v>1</v>
      </c>
      <c r="H609" t="str">
        <f t="shared" si="18"/>
        <v>Row 102 - If ‘TEU type’ is ‘TEU’ then ‘TEU Id’ is required</v>
      </c>
      <c r="I609" t="s">
        <v>33308</v>
      </c>
      <c r="J609" t="b">
        <f>IF(OR(INDEX(OHZ_HAZ_UNITTYPE,102,1)="TEU",),INDEX(OHZ_HAZ_TEUID,102,1)&lt;&gt;"",TRUE)</f>
        <v>1</v>
      </c>
      <c r="K609" t="str">
        <f t="shared" si="19"/>
        <v>Row 102 - If ‘TEU type’ is ‘TEU’ then ‘TEU Id’ is required</v>
      </c>
      <c r="L609" t="s">
        <v>33308</v>
      </c>
    </row>
    <row r="610" spans="7:12" x14ac:dyDescent="0.2">
      <c r="G610" t="b">
        <f>IF(OR(INDEX(IHZ_HAZ_UNITTYPE,103,1)="TEU",),INDEX(IHZ_HAZ_TEUID,103,1)&lt;&gt;"",TRUE)</f>
        <v>1</v>
      </c>
      <c r="H610" t="str">
        <f t="shared" si="18"/>
        <v>Row 103 - If ‘TEU type’ is ‘TEU’ then ‘TEU Id’ is required</v>
      </c>
      <c r="I610" t="s">
        <v>33308</v>
      </c>
      <c r="J610" t="b">
        <f>IF(OR(INDEX(OHZ_HAZ_UNITTYPE,103,1)="TEU",),INDEX(OHZ_HAZ_TEUID,103,1)&lt;&gt;"",TRUE)</f>
        <v>1</v>
      </c>
      <c r="K610" t="str">
        <f t="shared" si="19"/>
        <v>Row 103 - If ‘TEU type’ is ‘TEU’ then ‘TEU Id’ is required</v>
      </c>
      <c r="L610" t="s">
        <v>33308</v>
      </c>
    </row>
    <row r="611" spans="7:12" x14ac:dyDescent="0.2">
      <c r="G611" t="b">
        <f>IF(OR(INDEX(IHZ_HAZ_UNITTYPE,104,1)="TEU",),INDEX(IHZ_HAZ_TEUID,104,1)&lt;&gt;"",TRUE)</f>
        <v>1</v>
      </c>
      <c r="H611" t="str">
        <f t="shared" si="18"/>
        <v>Row 104 - If ‘TEU type’ is ‘TEU’ then ‘TEU Id’ is required</v>
      </c>
      <c r="I611" t="s">
        <v>33308</v>
      </c>
      <c r="J611" t="b">
        <f>IF(OR(INDEX(OHZ_HAZ_UNITTYPE,104,1)="TEU",),INDEX(OHZ_HAZ_TEUID,104,1)&lt;&gt;"",TRUE)</f>
        <v>1</v>
      </c>
      <c r="K611" t="str">
        <f t="shared" si="19"/>
        <v>Row 104 - If ‘TEU type’ is ‘TEU’ then ‘TEU Id’ is required</v>
      </c>
      <c r="L611" t="s">
        <v>33308</v>
      </c>
    </row>
    <row r="612" spans="7:12" x14ac:dyDescent="0.2">
      <c r="G612" t="b">
        <f>IF(OR(INDEX(IHZ_HAZ_UNITTYPE,105,1)="TEU",),INDEX(IHZ_HAZ_TEUID,105,1)&lt;&gt;"",TRUE)</f>
        <v>1</v>
      </c>
      <c r="H612" t="str">
        <f t="shared" si="18"/>
        <v>Row 105 - If ‘TEU type’ is ‘TEU’ then ‘TEU Id’ is required</v>
      </c>
      <c r="I612" t="s">
        <v>33308</v>
      </c>
      <c r="J612" t="b">
        <f>IF(OR(INDEX(OHZ_HAZ_UNITTYPE,105,1)="TEU",),INDEX(OHZ_HAZ_TEUID,105,1)&lt;&gt;"",TRUE)</f>
        <v>1</v>
      </c>
      <c r="K612" t="str">
        <f t="shared" si="19"/>
        <v>Row 105 - If ‘TEU type’ is ‘TEU’ then ‘TEU Id’ is required</v>
      </c>
      <c r="L612" t="s">
        <v>33308</v>
      </c>
    </row>
    <row r="613" spans="7:12" x14ac:dyDescent="0.2">
      <c r="G613" t="b">
        <f>IF(OR(INDEX(IHZ_HAZ_UNITTYPE,106,1)="TEU",),INDEX(IHZ_HAZ_TEUID,106,1)&lt;&gt;"",TRUE)</f>
        <v>1</v>
      </c>
      <c r="H613" t="str">
        <f t="shared" si="18"/>
        <v>Row 106 - If ‘TEU type’ is ‘TEU’ then ‘TEU Id’ is required</v>
      </c>
      <c r="I613" t="s">
        <v>33308</v>
      </c>
      <c r="J613" t="b">
        <f>IF(OR(INDEX(OHZ_HAZ_UNITTYPE,106,1)="TEU",),INDEX(OHZ_HAZ_TEUID,106,1)&lt;&gt;"",TRUE)</f>
        <v>1</v>
      </c>
      <c r="K613" t="str">
        <f t="shared" si="19"/>
        <v>Row 106 - If ‘TEU type’ is ‘TEU’ then ‘TEU Id’ is required</v>
      </c>
      <c r="L613" t="s">
        <v>33308</v>
      </c>
    </row>
    <row r="614" spans="7:12" x14ac:dyDescent="0.2">
      <c r="G614" t="b">
        <f>IF(OR(INDEX(IHZ_HAZ_UNITTYPE,107,1)="TEU",),INDEX(IHZ_HAZ_TEUID,107,1)&lt;&gt;"",TRUE)</f>
        <v>1</v>
      </c>
      <c r="H614" t="str">
        <f t="shared" si="18"/>
        <v>Row 107 - If ‘TEU type’ is ‘TEU’ then ‘TEU Id’ is required</v>
      </c>
      <c r="I614" t="s">
        <v>33308</v>
      </c>
      <c r="J614" t="b">
        <f>IF(OR(INDEX(OHZ_HAZ_UNITTYPE,107,1)="TEU",),INDEX(OHZ_HAZ_TEUID,107,1)&lt;&gt;"",TRUE)</f>
        <v>1</v>
      </c>
      <c r="K614" t="str">
        <f t="shared" si="19"/>
        <v>Row 107 - If ‘TEU type’ is ‘TEU’ then ‘TEU Id’ is required</v>
      </c>
      <c r="L614" t="s">
        <v>33308</v>
      </c>
    </row>
    <row r="615" spans="7:12" x14ac:dyDescent="0.2">
      <c r="G615" t="b">
        <f>IF(OR(INDEX(IHZ_HAZ_UNITTYPE,108,1)="TEU",),INDEX(IHZ_HAZ_TEUID,108,1)&lt;&gt;"",TRUE)</f>
        <v>1</v>
      </c>
      <c r="H615" t="str">
        <f t="shared" si="18"/>
        <v>Row 108 - If ‘TEU type’ is ‘TEU’ then ‘TEU Id’ is required</v>
      </c>
      <c r="I615" t="s">
        <v>33308</v>
      </c>
      <c r="J615" t="b">
        <f>IF(OR(INDEX(OHZ_HAZ_UNITTYPE,108,1)="TEU",),INDEX(OHZ_HAZ_TEUID,108,1)&lt;&gt;"",TRUE)</f>
        <v>1</v>
      </c>
      <c r="K615" t="str">
        <f t="shared" si="19"/>
        <v>Row 108 - If ‘TEU type’ is ‘TEU’ then ‘TEU Id’ is required</v>
      </c>
      <c r="L615" t="s">
        <v>33308</v>
      </c>
    </row>
    <row r="616" spans="7:12" x14ac:dyDescent="0.2">
      <c r="G616" t="b">
        <f>IF(OR(INDEX(IHZ_HAZ_UNITTYPE,109,1)="TEU",),INDEX(IHZ_HAZ_TEUID,109,1)&lt;&gt;"",TRUE)</f>
        <v>1</v>
      </c>
      <c r="H616" t="str">
        <f t="shared" si="18"/>
        <v>Row 109 - If ‘TEU type’ is ‘TEU’ then ‘TEU Id’ is required</v>
      </c>
      <c r="I616" t="s">
        <v>33308</v>
      </c>
      <c r="J616" t="b">
        <f>IF(OR(INDEX(OHZ_HAZ_UNITTYPE,109,1)="TEU",),INDEX(OHZ_HAZ_TEUID,109,1)&lt;&gt;"",TRUE)</f>
        <v>1</v>
      </c>
      <c r="K616" t="str">
        <f t="shared" si="19"/>
        <v>Row 109 - If ‘TEU type’ is ‘TEU’ then ‘TEU Id’ is required</v>
      </c>
      <c r="L616" t="s">
        <v>33308</v>
      </c>
    </row>
    <row r="617" spans="7:12" x14ac:dyDescent="0.2">
      <c r="G617" t="b">
        <f>IF(OR(INDEX(IHZ_HAZ_UNITTYPE,110,1)="TEU",),INDEX(IHZ_HAZ_TEUID,110,1)&lt;&gt;"",TRUE)</f>
        <v>1</v>
      </c>
      <c r="H617" t="str">
        <f t="shared" si="18"/>
        <v>Row 110 - If ‘TEU type’ is ‘TEU’ then ‘TEU Id’ is required</v>
      </c>
      <c r="I617" t="s">
        <v>33308</v>
      </c>
      <c r="J617" t="b">
        <f>IF(OR(INDEX(OHZ_HAZ_UNITTYPE,110,1)="TEU",),INDEX(OHZ_HAZ_TEUID,110,1)&lt;&gt;"",TRUE)</f>
        <v>1</v>
      </c>
      <c r="K617" t="str">
        <f t="shared" si="19"/>
        <v>Row 110 - If ‘TEU type’ is ‘TEU’ then ‘TEU Id’ is required</v>
      </c>
      <c r="L617" t="s">
        <v>33308</v>
      </c>
    </row>
    <row r="618" spans="7:12" x14ac:dyDescent="0.2">
      <c r="G618" t="b">
        <f>IF(OR(INDEX(IHZ_HAZ_UNITTYPE,111,1)="TEU",),INDEX(IHZ_HAZ_TEUID,111,1)&lt;&gt;"",TRUE)</f>
        <v>1</v>
      </c>
      <c r="H618" t="str">
        <f t="shared" si="18"/>
        <v>Row 111 - If ‘TEU type’ is ‘TEU’ then ‘TEU Id’ is required</v>
      </c>
      <c r="I618" t="s">
        <v>33308</v>
      </c>
      <c r="J618" t="b">
        <f>IF(OR(INDEX(OHZ_HAZ_UNITTYPE,111,1)="TEU",),INDEX(OHZ_HAZ_TEUID,111,1)&lt;&gt;"",TRUE)</f>
        <v>1</v>
      </c>
      <c r="K618" t="str">
        <f t="shared" si="19"/>
        <v>Row 111 - If ‘TEU type’ is ‘TEU’ then ‘TEU Id’ is required</v>
      </c>
      <c r="L618" t="s">
        <v>33308</v>
      </c>
    </row>
    <row r="619" spans="7:12" x14ac:dyDescent="0.2">
      <c r="G619" t="b">
        <f>IF(OR(INDEX(IHZ_HAZ_UNITTYPE,112,1)="TEU",),INDEX(IHZ_HAZ_TEUID,112,1)&lt;&gt;"",TRUE)</f>
        <v>1</v>
      </c>
      <c r="H619" t="str">
        <f t="shared" si="18"/>
        <v>Row 112 - If ‘TEU type’ is ‘TEU’ then ‘TEU Id’ is required</v>
      </c>
      <c r="I619" t="s">
        <v>33308</v>
      </c>
      <c r="J619" t="b">
        <f>IF(OR(INDEX(OHZ_HAZ_UNITTYPE,112,1)="TEU",),INDEX(OHZ_HAZ_TEUID,112,1)&lt;&gt;"",TRUE)</f>
        <v>1</v>
      </c>
      <c r="K619" t="str">
        <f t="shared" si="19"/>
        <v>Row 112 - If ‘TEU type’ is ‘TEU’ then ‘TEU Id’ is required</v>
      </c>
      <c r="L619" t="s">
        <v>33308</v>
      </c>
    </row>
    <row r="620" spans="7:12" x14ac:dyDescent="0.2">
      <c r="G620" t="b">
        <f>IF(OR(INDEX(IHZ_HAZ_UNITTYPE,113,1)="TEU",),INDEX(IHZ_HAZ_TEUID,113,1)&lt;&gt;"",TRUE)</f>
        <v>1</v>
      </c>
      <c r="H620" t="str">
        <f t="shared" si="18"/>
        <v>Row 113 - If ‘TEU type’ is ‘TEU’ then ‘TEU Id’ is required</v>
      </c>
      <c r="I620" t="s">
        <v>33308</v>
      </c>
      <c r="J620" t="b">
        <f>IF(OR(INDEX(OHZ_HAZ_UNITTYPE,113,1)="TEU",),INDEX(OHZ_HAZ_TEUID,113,1)&lt;&gt;"",TRUE)</f>
        <v>1</v>
      </c>
      <c r="K620" t="str">
        <f t="shared" si="19"/>
        <v>Row 113 - If ‘TEU type’ is ‘TEU’ then ‘TEU Id’ is required</v>
      </c>
      <c r="L620" t="s">
        <v>33308</v>
      </c>
    </row>
    <row r="621" spans="7:12" x14ac:dyDescent="0.2">
      <c r="G621" t="b">
        <f>IF(OR(INDEX(IHZ_HAZ_UNITTYPE,114,1)="TEU",),INDEX(IHZ_HAZ_TEUID,114,1)&lt;&gt;"",TRUE)</f>
        <v>1</v>
      </c>
      <c r="H621" t="str">
        <f t="shared" si="18"/>
        <v>Row 114 - If ‘TEU type’ is ‘TEU’ then ‘TEU Id’ is required</v>
      </c>
      <c r="I621" t="s">
        <v>33308</v>
      </c>
      <c r="J621" t="b">
        <f>IF(OR(INDEX(OHZ_HAZ_UNITTYPE,114,1)="TEU",),INDEX(OHZ_HAZ_TEUID,114,1)&lt;&gt;"",TRUE)</f>
        <v>1</v>
      </c>
      <c r="K621" t="str">
        <f t="shared" si="19"/>
        <v>Row 114 - If ‘TEU type’ is ‘TEU’ then ‘TEU Id’ is required</v>
      </c>
      <c r="L621" t="s">
        <v>33308</v>
      </c>
    </row>
    <row r="622" spans="7:12" x14ac:dyDescent="0.2">
      <c r="G622" t="b">
        <f>IF(OR(INDEX(IHZ_HAZ_UNITTYPE,115,1)="TEU",),INDEX(IHZ_HAZ_TEUID,115,1)&lt;&gt;"",TRUE)</f>
        <v>1</v>
      </c>
      <c r="H622" t="str">
        <f t="shared" si="18"/>
        <v>Row 115 - If ‘TEU type’ is ‘TEU’ then ‘TEU Id’ is required</v>
      </c>
      <c r="I622" t="s">
        <v>33308</v>
      </c>
      <c r="J622" t="b">
        <f>IF(OR(INDEX(OHZ_HAZ_UNITTYPE,115,1)="TEU",),INDEX(OHZ_HAZ_TEUID,115,1)&lt;&gt;"",TRUE)</f>
        <v>1</v>
      </c>
      <c r="K622" t="str">
        <f t="shared" si="19"/>
        <v>Row 115 - If ‘TEU type’ is ‘TEU’ then ‘TEU Id’ is required</v>
      </c>
      <c r="L622" t="s">
        <v>33308</v>
      </c>
    </row>
    <row r="623" spans="7:12" x14ac:dyDescent="0.2">
      <c r="G623" t="b">
        <f>IF(OR(INDEX(IHZ_HAZ_UNITTYPE,116,1)="TEU",),INDEX(IHZ_HAZ_TEUID,116,1)&lt;&gt;"",TRUE)</f>
        <v>1</v>
      </c>
      <c r="H623" t="str">
        <f t="shared" si="18"/>
        <v>Row 116 - If ‘TEU type’ is ‘TEU’ then ‘TEU Id’ is required</v>
      </c>
      <c r="I623" t="s">
        <v>33308</v>
      </c>
      <c r="J623" t="b">
        <f>IF(OR(INDEX(OHZ_HAZ_UNITTYPE,116,1)="TEU",),INDEX(OHZ_HAZ_TEUID,116,1)&lt;&gt;"",TRUE)</f>
        <v>1</v>
      </c>
      <c r="K623" t="str">
        <f t="shared" si="19"/>
        <v>Row 116 - If ‘TEU type’ is ‘TEU’ then ‘TEU Id’ is required</v>
      </c>
      <c r="L623" t="s">
        <v>33308</v>
      </c>
    </row>
    <row r="624" spans="7:12" x14ac:dyDescent="0.2">
      <c r="G624" t="b">
        <f>IF(OR(INDEX(IHZ_HAZ_UNITTYPE,117,1)="TEU",),INDEX(IHZ_HAZ_TEUID,117,1)&lt;&gt;"",TRUE)</f>
        <v>1</v>
      </c>
      <c r="H624" t="str">
        <f t="shared" si="18"/>
        <v>Row 117 - If ‘TEU type’ is ‘TEU’ then ‘TEU Id’ is required</v>
      </c>
      <c r="I624" t="s">
        <v>33308</v>
      </c>
      <c r="J624" t="b">
        <f>IF(OR(INDEX(OHZ_HAZ_UNITTYPE,117,1)="TEU",),INDEX(OHZ_HAZ_TEUID,117,1)&lt;&gt;"",TRUE)</f>
        <v>1</v>
      </c>
      <c r="K624" t="str">
        <f t="shared" si="19"/>
        <v>Row 117 - If ‘TEU type’ is ‘TEU’ then ‘TEU Id’ is required</v>
      </c>
      <c r="L624" t="s">
        <v>33308</v>
      </c>
    </row>
    <row r="625" spans="7:12" x14ac:dyDescent="0.2">
      <c r="G625" t="b">
        <f>IF(OR(INDEX(IHZ_HAZ_UNITTYPE,118,1)="TEU",),INDEX(IHZ_HAZ_TEUID,118,1)&lt;&gt;"",TRUE)</f>
        <v>1</v>
      </c>
      <c r="H625" t="str">
        <f t="shared" si="18"/>
        <v>Row 118 - If ‘TEU type’ is ‘TEU’ then ‘TEU Id’ is required</v>
      </c>
      <c r="I625" t="s">
        <v>33308</v>
      </c>
      <c r="J625" t="b">
        <f>IF(OR(INDEX(OHZ_HAZ_UNITTYPE,118,1)="TEU",),INDEX(OHZ_HAZ_TEUID,118,1)&lt;&gt;"",TRUE)</f>
        <v>1</v>
      </c>
      <c r="K625" t="str">
        <f t="shared" si="19"/>
        <v>Row 118 - If ‘TEU type’ is ‘TEU’ then ‘TEU Id’ is required</v>
      </c>
      <c r="L625" t="s">
        <v>33308</v>
      </c>
    </row>
    <row r="626" spans="7:12" x14ac:dyDescent="0.2">
      <c r="G626" t="b">
        <f>IF(OR(INDEX(IHZ_HAZ_UNITTYPE,119,1)="TEU",),INDEX(IHZ_HAZ_TEUID,119,1)&lt;&gt;"",TRUE)</f>
        <v>1</v>
      </c>
      <c r="H626" t="str">
        <f t="shared" si="18"/>
        <v>Row 119 - If ‘TEU type’ is ‘TEU’ then ‘TEU Id’ is required</v>
      </c>
      <c r="I626" t="s">
        <v>33308</v>
      </c>
      <c r="J626" t="b">
        <f>IF(OR(INDEX(OHZ_HAZ_UNITTYPE,119,1)="TEU",),INDEX(OHZ_HAZ_TEUID,119,1)&lt;&gt;"",TRUE)</f>
        <v>1</v>
      </c>
      <c r="K626" t="str">
        <f t="shared" si="19"/>
        <v>Row 119 - If ‘TEU type’ is ‘TEU’ then ‘TEU Id’ is required</v>
      </c>
      <c r="L626" t="s">
        <v>33308</v>
      </c>
    </row>
    <row r="627" spans="7:12" x14ac:dyDescent="0.2">
      <c r="G627" t="b">
        <f>IF(OR(INDEX(IHZ_HAZ_UNITTYPE,120,1)="TEU",),INDEX(IHZ_HAZ_TEUID,120,1)&lt;&gt;"",TRUE)</f>
        <v>1</v>
      </c>
      <c r="H627" t="str">
        <f t="shared" si="18"/>
        <v>Row 120 - If ‘TEU type’ is ‘TEU’ then ‘TEU Id’ is required</v>
      </c>
      <c r="I627" t="s">
        <v>33308</v>
      </c>
      <c r="J627" t="b">
        <f>IF(OR(INDEX(OHZ_HAZ_UNITTYPE,120,1)="TEU",),INDEX(OHZ_HAZ_TEUID,120,1)&lt;&gt;"",TRUE)</f>
        <v>1</v>
      </c>
      <c r="K627" t="str">
        <f t="shared" si="19"/>
        <v>Row 120 - If ‘TEU type’ is ‘TEU’ then ‘TEU Id’ is required</v>
      </c>
      <c r="L627" t="s">
        <v>33308</v>
      </c>
    </row>
    <row r="628" spans="7:12" x14ac:dyDescent="0.2">
      <c r="G628" t="b">
        <f>IF(OR(INDEX(IHZ_HAZ_UNITTYPE,121,1)="TEU",),INDEX(IHZ_HAZ_TEUID,121,1)&lt;&gt;"",TRUE)</f>
        <v>1</v>
      </c>
      <c r="H628" t="str">
        <f t="shared" si="18"/>
        <v>Row 121 - If ‘TEU type’ is ‘TEU’ then ‘TEU Id’ is required</v>
      </c>
      <c r="I628" t="s">
        <v>33308</v>
      </c>
      <c r="J628" t="b">
        <f>IF(OR(INDEX(OHZ_HAZ_UNITTYPE,121,1)="TEU",),INDEX(OHZ_HAZ_TEUID,121,1)&lt;&gt;"",TRUE)</f>
        <v>1</v>
      </c>
      <c r="K628" t="str">
        <f t="shared" si="19"/>
        <v>Row 121 - If ‘TEU type’ is ‘TEU’ then ‘TEU Id’ is required</v>
      </c>
      <c r="L628" t="s">
        <v>33308</v>
      </c>
    </row>
    <row r="629" spans="7:12" x14ac:dyDescent="0.2">
      <c r="G629" t="b">
        <f>IF(OR(INDEX(IHZ_HAZ_UNITTYPE,122,1)="TEU",),INDEX(IHZ_HAZ_TEUID,122,1)&lt;&gt;"",TRUE)</f>
        <v>1</v>
      </c>
      <c r="H629" t="str">
        <f t="shared" si="18"/>
        <v>Row 122 - If ‘TEU type’ is ‘TEU’ then ‘TEU Id’ is required</v>
      </c>
      <c r="I629" t="s">
        <v>33308</v>
      </c>
      <c r="J629" t="b">
        <f>IF(OR(INDEX(OHZ_HAZ_UNITTYPE,122,1)="TEU",),INDEX(OHZ_HAZ_TEUID,122,1)&lt;&gt;"",TRUE)</f>
        <v>1</v>
      </c>
      <c r="K629" t="str">
        <f t="shared" si="19"/>
        <v>Row 122 - If ‘TEU type’ is ‘TEU’ then ‘TEU Id’ is required</v>
      </c>
      <c r="L629" t="s">
        <v>33308</v>
      </c>
    </row>
    <row r="630" spans="7:12" x14ac:dyDescent="0.2">
      <c r="G630" t="b">
        <f>IF(OR(INDEX(IHZ_HAZ_UNITTYPE,123,1)="TEU",),INDEX(IHZ_HAZ_TEUID,123,1)&lt;&gt;"",TRUE)</f>
        <v>1</v>
      </c>
      <c r="H630" t="str">
        <f t="shared" si="18"/>
        <v>Row 123 - If ‘TEU type’ is ‘TEU’ then ‘TEU Id’ is required</v>
      </c>
      <c r="I630" t="s">
        <v>33308</v>
      </c>
      <c r="J630" t="b">
        <f>IF(OR(INDEX(OHZ_HAZ_UNITTYPE,123,1)="TEU",),INDEX(OHZ_HAZ_TEUID,123,1)&lt;&gt;"",TRUE)</f>
        <v>1</v>
      </c>
      <c r="K630" t="str">
        <f t="shared" si="19"/>
        <v>Row 123 - If ‘TEU type’ is ‘TEU’ then ‘TEU Id’ is required</v>
      </c>
      <c r="L630" t="s">
        <v>33308</v>
      </c>
    </row>
    <row r="631" spans="7:12" x14ac:dyDescent="0.2">
      <c r="G631" t="b">
        <f>IF(OR(INDEX(IHZ_HAZ_UNITTYPE,124,1)="TEU",),INDEX(IHZ_HAZ_TEUID,124,1)&lt;&gt;"",TRUE)</f>
        <v>1</v>
      </c>
      <c r="H631" t="str">
        <f t="shared" si="18"/>
        <v>Row 124 - If ‘TEU type’ is ‘TEU’ then ‘TEU Id’ is required</v>
      </c>
      <c r="I631" t="s">
        <v>33308</v>
      </c>
      <c r="J631" t="b">
        <f>IF(OR(INDEX(OHZ_HAZ_UNITTYPE,124,1)="TEU",),INDEX(OHZ_HAZ_TEUID,124,1)&lt;&gt;"",TRUE)</f>
        <v>1</v>
      </c>
      <c r="K631" t="str">
        <f t="shared" si="19"/>
        <v>Row 124 - If ‘TEU type’ is ‘TEU’ then ‘TEU Id’ is required</v>
      </c>
      <c r="L631" t="s">
        <v>33308</v>
      </c>
    </row>
    <row r="632" spans="7:12" x14ac:dyDescent="0.2">
      <c r="G632" t="b">
        <f>IF(OR(INDEX(IHZ_HAZ_UNITTYPE,125,1)="TEU",),INDEX(IHZ_HAZ_TEUID,125,1)&lt;&gt;"",TRUE)</f>
        <v>1</v>
      </c>
      <c r="H632" t="str">
        <f t="shared" si="18"/>
        <v>Row 125 - If ‘TEU type’ is ‘TEU’ then ‘TEU Id’ is required</v>
      </c>
      <c r="I632" t="s">
        <v>33308</v>
      </c>
      <c r="J632" t="b">
        <f>IF(OR(INDEX(OHZ_HAZ_UNITTYPE,125,1)="TEU",),INDEX(OHZ_HAZ_TEUID,125,1)&lt;&gt;"",TRUE)</f>
        <v>1</v>
      </c>
      <c r="K632" t="str">
        <f t="shared" si="19"/>
        <v>Row 125 - If ‘TEU type’ is ‘TEU’ then ‘TEU Id’ is required</v>
      </c>
      <c r="L632" t="s">
        <v>33308</v>
      </c>
    </row>
    <row r="633" spans="7:12" x14ac:dyDescent="0.2">
      <c r="G633" t="b">
        <f>IF(OR(INDEX(IHZ_HAZ_UNITTYPE,126,1)="TEU",),INDEX(IHZ_HAZ_TEUID,126,1)&lt;&gt;"",TRUE)</f>
        <v>1</v>
      </c>
      <c r="H633" t="str">
        <f t="shared" si="18"/>
        <v>Row 126 - If ‘TEU type’ is ‘TEU’ then ‘TEU Id’ is required</v>
      </c>
      <c r="I633" t="s">
        <v>33308</v>
      </c>
      <c r="J633" t="b">
        <f>IF(OR(INDEX(OHZ_HAZ_UNITTYPE,126,1)="TEU",),INDEX(OHZ_HAZ_TEUID,126,1)&lt;&gt;"",TRUE)</f>
        <v>1</v>
      </c>
      <c r="K633" t="str">
        <f t="shared" si="19"/>
        <v>Row 126 - If ‘TEU type’ is ‘TEU’ then ‘TEU Id’ is required</v>
      </c>
      <c r="L633" t="s">
        <v>33308</v>
      </c>
    </row>
    <row r="634" spans="7:12" x14ac:dyDescent="0.2">
      <c r="G634" t="b">
        <f>IF(OR(INDEX(IHZ_HAZ_UNITTYPE,127,1)="TEU",),INDEX(IHZ_HAZ_TEUID,127,1)&lt;&gt;"",TRUE)</f>
        <v>1</v>
      </c>
      <c r="H634" t="str">
        <f t="shared" si="18"/>
        <v>Row 127 - If ‘TEU type’ is ‘TEU’ then ‘TEU Id’ is required</v>
      </c>
      <c r="I634" t="s">
        <v>33308</v>
      </c>
      <c r="J634" t="b">
        <f>IF(OR(INDEX(OHZ_HAZ_UNITTYPE,127,1)="TEU",),INDEX(OHZ_HAZ_TEUID,127,1)&lt;&gt;"",TRUE)</f>
        <v>1</v>
      </c>
      <c r="K634" t="str">
        <f t="shared" si="19"/>
        <v>Row 127 - If ‘TEU type’ is ‘TEU’ then ‘TEU Id’ is required</v>
      </c>
      <c r="L634" t="s">
        <v>33308</v>
      </c>
    </row>
    <row r="635" spans="7:12" x14ac:dyDescent="0.2">
      <c r="G635" t="b">
        <f>IF(OR(INDEX(IHZ_HAZ_UNITTYPE,128,1)="TEU",),INDEX(IHZ_HAZ_TEUID,128,1)&lt;&gt;"",TRUE)</f>
        <v>1</v>
      </c>
      <c r="H635" t="str">
        <f t="shared" si="18"/>
        <v>Row 128 - If ‘TEU type’ is ‘TEU’ then ‘TEU Id’ is required</v>
      </c>
      <c r="I635" t="s">
        <v>33308</v>
      </c>
      <c r="J635" t="b">
        <f>IF(OR(INDEX(OHZ_HAZ_UNITTYPE,128,1)="TEU",),INDEX(OHZ_HAZ_TEUID,128,1)&lt;&gt;"",TRUE)</f>
        <v>1</v>
      </c>
      <c r="K635" t="str">
        <f t="shared" si="19"/>
        <v>Row 128 - If ‘TEU type’ is ‘TEU’ then ‘TEU Id’ is required</v>
      </c>
      <c r="L635" t="s">
        <v>33308</v>
      </c>
    </row>
    <row r="636" spans="7:12" x14ac:dyDescent="0.2">
      <c r="G636" t="b">
        <f>IF(OR(INDEX(IHZ_HAZ_UNITTYPE,129,1)="TEU",),INDEX(IHZ_HAZ_TEUID,129,1)&lt;&gt;"",TRUE)</f>
        <v>1</v>
      </c>
      <c r="H636" t="str">
        <f t="shared" si="18"/>
        <v>Row 129 - If ‘TEU type’ is ‘TEU’ then ‘TEU Id’ is required</v>
      </c>
      <c r="I636" t="s">
        <v>33308</v>
      </c>
      <c r="J636" t="b">
        <f>IF(OR(INDEX(OHZ_HAZ_UNITTYPE,129,1)="TEU",),INDEX(OHZ_HAZ_TEUID,129,1)&lt;&gt;"",TRUE)</f>
        <v>1</v>
      </c>
      <c r="K636" t="str">
        <f t="shared" si="19"/>
        <v>Row 129 - If ‘TEU type’ is ‘TEU’ then ‘TEU Id’ is required</v>
      </c>
      <c r="L636" t="s">
        <v>33308</v>
      </c>
    </row>
    <row r="637" spans="7:12" x14ac:dyDescent="0.2">
      <c r="G637" t="b">
        <f>IF(OR(INDEX(IHZ_HAZ_UNITTYPE,130,1)="TEU",),INDEX(IHZ_HAZ_TEUID,130,1)&lt;&gt;"",TRUE)</f>
        <v>1</v>
      </c>
      <c r="H637" t="str">
        <f t="shared" ref="H637:H700" si="20">T130&amp;$V$3</f>
        <v>Row 130 - If ‘TEU type’ is ‘TEU’ then ‘TEU Id’ is required</v>
      </c>
      <c r="I637" t="s">
        <v>33308</v>
      </c>
      <c r="J637" t="b">
        <f>IF(OR(INDEX(OHZ_HAZ_UNITTYPE,130,1)="TEU",),INDEX(OHZ_HAZ_TEUID,130,1)&lt;&gt;"",TRUE)</f>
        <v>1</v>
      </c>
      <c r="K637" t="str">
        <f t="shared" ref="K637:K700" si="21">T130&amp;$V$3</f>
        <v>Row 130 - If ‘TEU type’ is ‘TEU’ then ‘TEU Id’ is required</v>
      </c>
      <c r="L637" t="s">
        <v>33308</v>
      </c>
    </row>
    <row r="638" spans="7:12" x14ac:dyDescent="0.2">
      <c r="G638" t="b">
        <f>IF(OR(INDEX(IHZ_HAZ_UNITTYPE,131,1)="TEU",),INDEX(IHZ_HAZ_TEUID,131,1)&lt;&gt;"",TRUE)</f>
        <v>1</v>
      </c>
      <c r="H638" t="str">
        <f t="shared" si="20"/>
        <v>Row 131 - If ‘TEU type’ is ‘TEU’ then ‘TEU Id’ is required</v>
      </c>
      <c r="I638" t="s">
        <v>33308</v>
      </c>
      <c r="J638" t="b">
        <f>IF(OR(INDEX(OHZ_HAZ_UNITTYPE,131,1)="TEU",),INDEX(OHZ_HAZ_TEUID,131,1)&lt;&gt;"",TRUE)</f>
        <v>1</v>
      </c>
      <c r="K638" t="str">
        <f t="shared" si="21"/>
        <v>Row 131 - If ‘TEU type’ is ‘TEU’ then ‘TEU Id’ is required</v>
      </c>
      <c r="L638" t="s">
        <v>33308</v>
      </c>
    </row>
    <row r="639" spans="7:12" x14ac:dyDescent="0.2">
      <c r="G639" t="b">
        <f>IF(OR(INDEX(IHZ_HAZ_UNITTYPE,132,1)="TEU",),INDEX(IHZ_HAZ_TEUID,132,1)&lt;&gt;"",TRUE)</f>
        <v>1</v>
      </c>
      <c r="H639" t="str">
        <f t="shared" si="20"/>
        <v>Row 132 - If ‘TEU type’ is ‘TEU’ then ‘TEU Id’ is required</v>
      </c>
      <c r="I639" t="s">
        <v>33308</v>
      </c>
      <c r="J639" t="b">
        <f>IF(OR(INDEX(OHZ_HAZ_UNITTYPE,132,1)="TEU",),INDEX(OHZ_HAZ_TEUID,132,1)&lt;&gt;"",TRUE)</f>
        <v>1</v>
      </c>
      <c r="K639" t="str">
        <f t="shared" si="21"/>
        <v>Row 132 - If ‘TEU type’ is ‘TEU’ then ‘TEU Id’ is required</v>
      </c>
      <c r="L639" t="s">
        <v>33308</v>
      </c>
    </row>
    <row r="640" spans="7:12" x14ac:dyDescent="0.2">
      <c r="G640" t="b">
        <f>IF(OR(INDEX(IHZ_HAZ_UNITTYPE,133,1)="TEU",),INDEX(IHZ_HAZ_TEUID,133,1)&lt;&gt;"",TRUE)</f>
        <v>1</v>
      </c>
      <c r="H640" t="str">
        <f t="shared" si="20"/>
        <v>Row 133 - If ‘TEU type’ is ‘TEU’ then ‘TEU Id’ is required</v>
      </c>
      <c r="I640" t="s">
        <v>33308</v>
      </c>
      <c r="J640" t="b">
        <f>IF(OR(INDEX(OHZ_HAZ_UNITTYPE,133,1)="TEU",),INDEX(OHZ_HAZ_TEUID,133,1)&lt;&gt;"",TRUE)</f>
        <v>1</v>
      </c>
      <c r="K640" t="str">
        <f t="shared" si="21"/>
        <v>Row 133 - If ‘TEU type’ is ‘TEU’ then ‘TEU Id’ is required</v>
      </c>
      <c r="L640" t="s">
        <v>33308</v>
      </c>
    </row>
    <row r="641" spans="7:12" x14ac:dyDescent="0.2">
      <c r="G641" t="b">
        <f>IF(OR(INDEX(IHZ_HAZ_UNITTYPE,134,1)="TEU",),INDEX(IHZ_HAZ_TEUID,134,1)&lt;&gt;"",TRUE)</f>
        <v>1</v>
      </c>
      <c r="H641" t="str">
        <f t="shared" si="20"/>
        <v>Row 134 - If ‘TEU type’ is ‘TEU’ then ‘TEU Id’ is required</v>
      </c>
      <c r="I641" t="s">
        <v>33308</v>
      </c>
      <c r="J641" t="b">
        <f>IF(OR(INDEX(OHZ_HAZ_UNITTYPE,134,1)="TEU",),INDEX(OHZ_HAZ_TEUID,134,1)&lt;&gt;"",TRUE)</f>
        <v>1</v>
      </c>
      <c r="K641" t="str">
        <f t="shared" si="21"/>
        <v>Row 134 - If ‘TEU type’ is ‘TEU’ then ‘TEU Id’ is required</v>
      </c>
      <c r="L641" t="s">
        <v>33308</v>
      </c>
    </row>
    <row r="642" spans="7:12" x14ac:dyDescent="0.2">
      <c r="G642" t="b">
        <f>IF(OR(INDEX(IHZ_HAZ_UNITTYPE,135,1)="TEU",),INDEX(IHZ_HAZ_TEUID,135,1)&lt;&gt;"",TRUE)</f>
        <v>1</v>
      </c>
      <c r="H642" t="str">
        <f t="shared" si="20"/>
        <v>Row 135 - If ‘TEU type’ is ‘TEU’ then ‘TEU Id’ is required</v>
      </c>
      <c r="I642" t="s">
        <v>33308</v>
      </c>
      <c r="J642" t="b">
        <f>IF(OR(INDEX(OHZ_HAZ_UNITTYPE,135,1)="TEU",),INDEX(OHZ_HAZ_TEUID,135,1)&lt;&gt;"",TRUE)</f>
        <v>1</v>
      </c>
      <c r="K642" t="str">
        <f t="shared" si="21"/>
        <v>Row 135 - If ‘TEU type’ is ‘TEU’ then ‘TEU Id’ is required</v>
      </c>
      <c r="L642" t="s">
        <v>33308</v>
      </c>
    </row>
    <row r="643" spans="7:12" x14ac:dyDescent="0.2">
      <c r="G643" t="b">
        <f>IF(OR(INDEX(IHZ_HAZ_UNITTYPE,136,1)="TEU",),INDEX(IHZ_HAZ_TEUID,136,1)&lt;&gt;"",TRUE)</f>
        <v>1</v>
      </c>
      <c r="H643" t="str">
        <f t="shared" si="20"/>
        <v>Row 136 - If ‘TEU type’ is ‘TEU’ then ‘TEU Id’ is required</v>
      </c>
      <c r="I643" t="s">
        <v>33308</v>
      </c>
      <c r="J643" t="b">
        <f>IF(OR(INDEX(OHZ_HAZ_UNITTYPE,136,1)="TEU",),INDEX(OHZ_HAZ_TEUID,136,1)&lt;&gt;"",TRUE)</f>
        <v>1</v>
      </c>
      <c r="K643" t="str">
        <f t="shared" si="21"/>
        <v>Row 136 - If ‘TEU type’ is ‘TEU’ then ‘TEU Id’ is required</v>
      </c>
      <c r="L643" t="s">
        <v>33308</v>
      </c>
    </row>
    <row r="644" spans="7:12" x14ac:dyDescent="0.2">
      <c r="G644" t="b">
        <f>IF(OR(INDEX(IHZ_HAZ_UNITTYPE,137,1)="TEU",),INDEX(IHZ_HAZ_TEUID,137,1)&lt;&gt;"",TRUE)</f>
        <v>1</v>
      </c>
      <c r="H644" t="str">
        <f t="shared" si="20"/>
        <v>Row 137 - If ‘TEU type’ is ‘TEU’ then ‘TEU Id’ is required</v>
      </c>
      <c r="I644" t="s">
        <v>33308</v>
      </c>
      <c r="J644" t="b">
        <f>IF(OR(INDEX(OHZ_HAZ_UNITTYPE,137,1)="TEU",),INDEX(OHZ_HAZ_TEUID,137,1)&lt;&gt;"",TRUE)</f>
        <v>1</v>
      </c>
      <c r="K644" t="str">
        <f t="shared" si="21"/>
        <v>Row 137 - If ‘TEU type’ is ‘TEU’ then ‘TEU Id’ is required</v>
      </c>
      <c r="L644" t="s">
        <v>33308</v>
      </c>
    </row>
    <row r="645" spans="7:12" x14ac:dyDescent="0.2">
      <c r="G645" t="b">
        <f>IF(OR(INDEX(IHZ_HAZ_UNITTYPE,138,1)="TEU",),INDEX(IHZ_HAZ_TEUID,138,1)&lt;&gt;"",TRUE)</f>
        <v>1</v>
      </c>
      <c r="H645" t="str">
        <f t="shared" si="20"/>
        <v>Row 138 - If ‘TEU type’ is ‘TEU’ then ‘TEU Id’ is required</v>
      </c>
      <c r="I645" t="s">
        <v>33308</v>
      </c>
      <c r="J645" t="b">
        <f>IF(OR(INDEX(OHZ_HAZ_UNITTYPE,138,1)="TEU",),INDEX(OHZ_HAZ_TEUID,138,1)&lt;&gt;"",TRUE)</f>
        <v>1</v>
      </c>
      <c r="K645" t="str">
        <f t="shared" si="21"/>
        <v>Row 138 - If ‘TEU type’ is ‘TEU’ then ‘TEU Id’ is required</v>
      </c>
      <c r="L645" t="s">
        <v>33308</v>
      </c>
    </row>
    <row r="646" spans="7:12" x14ac:dyDescent="0.2">
      <c r="G646" t="b">
        <f>IF(OR(INDEX(IHZ_HAZ_UNITTYPE,139,1)="TEU",),INDEX(IHZ_HAZ_TEUID,139,1)&lt;&gt;"",TRUE)</f>
        <v>1</v>
      </c>
      <c r="H646" t="str">
        <f t="shared" si="20"/>
        <v>Row 139 - If ‘TEU type’ is ‘TEU’ then ‘TEU Id’ is required</v>
      </c>
      <c r="I646" t="s">
        <v>33308</v>
      </c>
      <c r="J646" t="b">
        <f>IF(OR(INDEX(OHZ_HAZ_UNITTYPE,139,1)="TEU",),INDEX(OHZ_HAZ_TEUID,139,1)&lt;&gt;"",TRUE)</f>
        <v>1</v>
      </c>
      <c r="K646" t="str">
        <f t="shared" si="21"/>
        <v>Row 139 - If ‘TEU type’ is ‘TEU’ then ‘TEU Id’ is required</v>
      </c>
      <c r="L646" t="s">
        <v>33308</v>
      </c>
    </row>
    <row r="647" spans="7:12" x14ac:dyDescent="0.2">
      <c r="G647" t="b">
        <f>IF(OR(INDEX(IHZ_HAZ_UNITTYPE,140,1)="TEU",),INDEX(IHZ_HAZ_TEUID,140,1)&lt;&gt;"",TRUE)</f>
        <v>1</v>
      </c>
      <c r="H647" t="str">
        <f t="shared" si="20"/>
        <v>Row 140 - If ‘TEU type’ is ‘TEU’ then ‘TEU Id’ is required</v>
      </c>
      <c r="I647" t="s">
        <v>33308</v>
      </c>
      <c r="J647" t="b">
        <f>IF(OR(INDEX(OHZ_HAZ_UNITTYPE,140,1)="TEU",),INDEX(OHZ_HAZ_TEUID,140,1)&lt;&gt;"",TRUE)</f>
        <v>1</v>
      </c>
      <c r="K647" t="str">
        <f t="shared" si="21"/>
        <v>Row 140 - If ‘TEU type’ is ‘TEU’ then ‘TEU Id’ is required</v>
      </c>
      <c r="L647" t="s">
        <v>33308</v>
      </c>
    </row>
    <row r="648" spans="7:12" x14ac:dyDescent="0.2">
      <c r="G648" t="b">
        <f>IF(OR(INDEX(IHZ_HAZ_UNITTYPE,141,1)="TEU",),INDEX(IHZ_HAZ_TEUID,141,1)&lt;&gt;"",TRUE)</f>
        <v>1</v>
      </c>
      <c r="H648" t="str">
        <f t="shared" si="20"/>
        <v>Row 141 - If ‘TEU type’ is ‘TEU’ then ‘TEU Id’ is required</v>
      </c>
      <c r="I648" t="s">
        <v>33308</v>
      </c>
      <c r="J648" t="b">
        <f>IF(OR(INDEX(OHZ_HAZ_UNITTYPE,141,1)="TEU",),INDEX(OHZ_HAZ_TEUID,141,1)&lt;&gt;"",TRUE)</f>
        <v>1</v>
      </c>
      <c r="K648" t="str">
        <f t="shared" si="21"/>
        <v>Row 141 - If ‘TEU type’ is ‘TEU’ then ‘TEU Id’ is required</v>
      </c>
      <c r="L648" t="s">
        <v>33308</v>
      </c>
    </row>
    <row r="649" spans="7:12" x14ac:dyDescent="0.2">
      <c r="G649" t="b">
        <f>IF(OR(INDEX(IHZ_HAZ_UNITTYPE,142,1)="TEU",),INDEX(IHZ_HAZ_TEUID,142,1)&lt;&gt;"",TRUE)</f>
        <v>1</v>
      </c>
      <c r="H649" t="str">
        <f t="shared" si="20"/>
        <v>Row 142 - If ‘TEU type’ is ‘TEU’ then ‘TEU Id’ is required</v>
      </c>
      <c r="I649" t="s">
        <v>33308</v>
      </c>
      <c r="J649" t="b">
        <f>IF(OR(INDEX(OHZ_HAZ_UNITTYPE,142,1)="TEU",),INDEX(OHZ_HAZ_TEUID,142,1)&lt;&gt;"",TRUE)</f>
        <v>1</v>
      </c>
      <c r="K649" t="str">
        <f t="shared" si="21"/>
        <v>Row 142 - If ‘TEU type’ is ‘TEU’ then ‘TEU Id’ is required</v>
      </c>
      <c r="L649" t="s">
        <v>33308</v>
      </c>
    </row>
    <row r="650" spans="7:12" x14ac:dyDescent="0.2">
      <c r="G650" t="b">
        <f>IF(OR(INDEX(IHZ_HAZ_UNITTYPE,143,1)="TEU",),INDEX(IHZ_HAZ_TEUID,143,1)&lt;&gt;"",TRUE)</f>
        <v>1</v>
      </c>
      <c r="H650" t="str">
        <f t="shared" si="20"/>
        <v>Row 143 - If ‘TEU type’ is ‘TEU’ then ‘TEU Id’ is required</v>
      </c>
      <c r="I650" t="s">
        <v>33308</v>
      </c>
      <c r="J650" t="b">
        <f>IF(OR(INDEX(OHZ_HAZ_UNITTYPE,143,1)="TEU",),INDEX(OHZ_HAZ_TEUID,143,1)&lt;&gt;"",TRUE)</f>
        <v>1</v>
      </c>
      <c r="K650" t="str">
        <f t="shared" si="21"/>
        <v>Row 143 - If ‘TEU type’ is ‘TEU’ then ‘TEU Id’ is required</v>
      </c>
      <c r="L650" t="s">
        <v>33308</v>
      </c>
    </row>
    <row r="651" spans="7:12" x14ac:dyDescent="0.2">
      <c r="G651" t="b">
        <f>IF(OR(INDEX(IHZ_HAZ_UNITTYPE,144,1)="TEU",),INDEX(IHZ_HAZ_TEUID,144,1)&lt;&gt;"",TRUE)</f>
        <v>1</v>
      </c>
      <c r="H651" t="str">
        <f t="shared" si="20"/>
        <v>Row 144 - If ‘TEU type’ is ‘TEU’ then ‘TEU Id’ is required</v>
      </c>
      <c r="I651" t="s">
        <v>33308</v>
      </c>
      <c r="J651" t="b">
        <f>IF(OR(INDEX(OHZ_HAZ_UNITTYPE,144,1)="TEU",),INDEX(OHZ_HAZ_TEUID,144,1)&lt;&gt;"",TRUE)</f>
        <v>1</v>
      </c>
      <c r="K651" t="str">
        <f t="shared" si="21"/>
        <v>Row 144 - If ‘TEU type’ is ‘TEU’ then ‘TEU Id’ is required</v>
      </c>
      <c r="L651" t="s">
        <v>33308</v>
      </c>
    </row>
    <row r="652" spans="7:12" x14ac:dyDescent="0.2">
      <c r="G652" t="b">
        <f>IF(OR(INDEX(IHZ_HAZ_UNITTYPE,145,1)="TEU",),INDEX(IHZ_HAZ_TEUID,145,1)&lt;&gt;"",TRUE)</f>
        <v>1</v>
      </c>
      <c r="H652" t="str">
        <f t="shared" si="20"/>
        <v>Row 145 - If ‘TEU type’ is ‘TEU’ then ‘TEU Id’ is required</v>
      </c>
      <c r="I652" t="s">
        <v>33308</v>
      </c>
      <c r="J652" t="b">
        <f>IF(OR(INDEX(OHZ_HAZ_UNITTYPE,145,1)="TEU",),INDEX(OHZ_HAZ_TEUID,145,1)&lt;&gt;"",TRUE)</f>
        <v>1</v>
      </c>
      <c r="K652" t="str">
        <f t="shared" si="21"/>
        <v>Row 145 - If ‘TEU type’ is ‘TEU’ then ‘TEU Id’ is required</v>
      </c>
      <c r="L652" t="s">
        <v>33308</v>
      </c>
    </row>
    <row r="653" spans="7:12" x14ac:dyDescent="0.2">
      <c r="G653" t="b">
        <f>IF(OR(INDEX(IHZ_HAZ_UNITTYPE,146,1)="TEU",),INDEX(IHZ_HAZ_TEUID,146,1)&lt;&gt;"",TRUE)</f>
        <v>1</v>
      </c>
      <c r="H653" t="str">
        <f t="shared" si="20"/>
        <v>Row 146 - If ‘TEU type’ is ‘TEU’ then ‘TEU Id’ is required</v>
      </c>
      <c r="I653" t="s">
        <v>33308</v>
      </c>
      <c r="J653" t="b">
        <f>IF(OR(INDEX(OHZ_HAZ_UNITTYPE,146,1)="TEU",),INDEX(OHZ_HAZ_TEUID,146,1)&lt;&gt;"",TRUE)</f>
        <v>1</v>
      </c>
      <c r="K653" t="str">
        <f t="shared" si="21"/>
        <v>Row 146 - If ‘TEU type’ is ‘TEU’ then ‘TEU Id’ is required</v>
      </c>
      <c r="L653" t="s">
        <v>33308</v>
      </c>
    </row>
    <row r="654" spans="7:12" x14ac:dyDescent="0.2">
      <c r="G654" t="b">
        <f>IF(OR(INDEX(IHZ_HAZ_UNITTYPE,147,1)="TEU",),INDEX(IHZ_HAZ_TEUID,147,1)&lt;&gt;"",TRUE)</f>
        <v>1</v>
      </c>
      <c r="H654" t="str">
        <f t="shared" si="20"/>
        <v>Row 147 - If ‘TEU type’ is ‘TEU’ then ‘TEU Id’ is required</v>
      </c>
      <c r="I654" t="s">
        <v>33308</v>
      </c>
      <c r="J654" t="b">
        <f>IF(OR(INDEX(OHZ_HAZ_UNITTYPE,147,1)="TEU",),INDEX(OHZ_HAZ_TEUID,147,1)&lt;&gt;"",TRUE)</f>
        <v>1</v>
      </c>
      <c r="K654" t="str">
        <f t="shared" si="21"/>
        <v>Row 147 - If ‘TEU type’ is ‘TEU’ then ‘TEU Id’ is required</v>
      </c>
      <c r="L654" t="s">
        <v>33308</v>
      </c>
    </row>
    <row r="655" spans="7:12" x14ac:dyDescent="0.2">
      <c r="G655" t="b">
        <f>IF(OR(INDEX(IHZ_HAZ_UNITTYPE,148,1)="TEU",),INDEX(IHZ_HAZ_TEUID,148,1)&lt;&gt;"",TRUE)</f>
        <v>1</v>
      </c>
      <c r="H655" t="str">
        <f t="shared" si="20"/>
        <v>Row 148 - If ‘TEU type’ is ‘TEU’ then ‘TEU Id’ is required</v>
      </c>
      <c r="I655" t="s">
        <v>33308</v>
      </c>
      <c r="J655" t="b">
        <f>IF(OR(INDEX(OHZ_HAZ_UNITTYPE,148,1)="TEU",),INDEX(OHZ_HAZ_TEUID,148,1)&lt;&gt;"",TRUE)</f>
        <v>1</v>
      </c>
      <c r="K655" t="str">
        <f t="shared" si="21"/>
        <v>Row 148 - If ‘TEU type’ is ‘TEU’ then ‘TEU Id’ is required</v>
      </c>
      <c r="L655" t="s">
        <v>33308</v>
      </c>
    </row>
    <row r="656" spans="7:12" x14ac:dyDescent="0.2">
      <c r="G656" t="b">
        <f>IF(OR(INDEX(IHZ_HAZ_UNITTYPE,149,1)="TEU",),INDEX(IHZ_HAZ_TEUID,149,1)&lt;&gt;"",TRUE)</f>
        <v>1</v>
      </c>
      <c r="H656" t="str">
        <f t="shared" si="20"/>
        <v>Row 149 - If ‘TEU type’ is ‘TEU’ then ‘TEU Id’ is required</v>
      </c>
      <c r="I656" t="s">
        <v>33308</v>
      </c>
      <c r="J656" t="b">
        <f>IF(OR(INDEX(OHZ_HAZ_UNITTYPE,149,1)="TEU",),INDEX(OHZ_HAZ_TEUID,149,1)&lt;&gt;"",TRUE)</f>
        <v>1</v>
      </c>
      <c r="K656" t="str">
        <f t="shared" si="21"/>
        <v>Row 149 - If ‘TEU type’ is ‘TEU’ then ‘TEU Id’ is required</v>
      </c>
      <c r="L656" t="s">
        <v>33308</v>
      </c>
    </row>
    <row r="657" spans="7:12" x14ac:dyDescent="0.2">
      <c r="G657" t="b">
        <f>IF(OR(INDEX(IHZ_HAZ_UNITTYPE,150,1)="TEU",),INDEX(IHZ_HAZ_TEUID,150,1)&lt;&gt;"",TRUE)</f>
        <v>1</v>
      </c>
      <c r="H657" t="str">
        <f t="shared" si="20"/>
        <v>Row 150 - If ‘TEU type’ is ‘TEU’ then ‘TEU Id’ is required</v>
      </c>
      <c r="I657" t="s">
        <v>33308</v>
      </c>
      <c r="J657" t="b">
        <f>IF(OR(INDEX(OHZ_HAZ_UNITTYPE,150,1)="TEU",),INDEX(OHZ_HAZ_TEUID,150,1)&lt;&gt;"",TRUE)</f>
        <v>1</v>
      </c>
      <c r="K657" t="str">
        <f t="shared" si="21"/>
        <v>Row 150 - If ‘TEU type’ is ‘TEU’ then ‘TEU Id’ is required</v>
      </c>
      <c r="L657" t="s">
        <v>33308</v>
      </c>
    </row>
    <row r="658" spans="7:12" x14ac:dyDescent="0.2">
      <c r="G658" t="b">
        <f>IF(OR(INDEX(IHZ_HAZ_UNITTYPE,151,1)="TEU",),INDEX(IHZ_HAZ_TEUID,151,1)&lt;&gt;"",TRUE)</f>
        <v>1</v>
      </c>
      <c r="H658" t="str">
        <f t="shared" si="20"/>
        <v>Row 151 - If ‘TEU type’ is ‘TEU’ then ‘TEU Id’ is required</v>
      </c>
      <c r="I658" t="s">
        <v>33308</v>
      </c>
      <c r="J658" t="b">
        <f>IF(OR(INDEX(OHZ_HAZ_UNITTYPE,151,1)="TEU",),INDEX(OHZ_HAZ_TEUID,151,1)&lt;&gt;"",TRUE)</f>
        <v>1</v>
      </c>
      <c r="K658" t="str">
        <f t="shared" si="21"/>
        <v>Row 151 - If ‘TEU type’ is ‘TEU’ then ‘TEU Id’ is required</v>
      </c>
      <c r="L658" t="s">
        <v>33308</v>
      </c>
    </row>
    <row r="659" spans="7:12" x14ac:dyDescent="0.2">
      <c r="G659" t="b">
        <f>IF(OR(INDEX(IHZ_HAZ_UNITTYPE,152,1)="TEU",),INDEX(IHZ_HAZ_TEUID,152,1)&lt;&gt;"",TRUE)</f>
        <v>1</v>
      </c>
      <c r="H659" t="str">
        <f t="shared" si="20"/>
        <v>Row 152 - If ‘TEU type’ is ‘TEU’ then ‘TEU Id’ is required</v>
      </c>
      <c r="I659" t="s">
        <v>33308</v>
      </c>
      <c r="J659" t="b">
        <f>IF(OR(INDEX(OHZ_HAZ_UNITTYPE,152,1)="TEU",),INDEX(OHZ_HAZ_TEUID,152,1)&lt;&gt;"",TRUE)</f>
        <v>1</v>
      </c>
      <c r="K659" t="str">
        <f t="shared" si="21"/>
        <v>Row 152 - If ‘TEU type’ is ‘TEU’ then ‘TEU Id’ is required</v>
      </c>
      <c r="L659" t="s">
        <v>33308</v>
      </c>
    </row>
    <row r="660" spans="7:12" x14ac:dyDescent="0.2">
      <c r="G660" t="b">
        <f>IF(OR(INDEX(IHZ_HAZ_UNITTYPE,153,1)="TEU",),INDEX(IHZ_HAZ_TEUID,153,1)&lt;&gt;"",TRUE)</f>
        <v>1</v>
      </c>
      <c r="H660" t="str">
        <f t="shared" si="20"/>
        <v>Row 153 - If ‘TEU type’ is ‘TEU’ then ‘TEU Id’ is required</v>
      </c>
      <c r="I660" t="s">
        <v>33308</v>
      </c>
      <c r="J660" t="b">
        <f>IF(OR(INDEX(OHZ_HAZ_UNITTYPE,153,1)="TEU",),INDEX(OHZ_HAZ_TEUID,153,1)&lt;&gt;"",TRUE)</f>
        <v>1</v>
      </c>
      <c r="K660" t="str">
        <f t="shared" si="21"/>
        <v>Row 153 - If ‘TEU type’ is ‘TEU’ then ‘TEU Id’ is required</v>
      </c>
      <c r="L660" t="s">
        <v>33308</v>
      </c>
    </row>
    <row r="661" spans="7:12" x14ac:dyDescent="0.2">
      <c r="G661" t="b">
        <f>IF(OR(INDEX(IHZ_HAZ_UNITTYPE,154,1)="TEU",),INDEX(IHZ_HAZ_TEUID,154,1)&lt;&gt;"",TRUE)</f>
        <v>1</v>
      </c>
      <c r="H661" t="str">
        <f t="shared" si="20"/>
        <v>Row 154 - If ‘TEU type’ is ‘TEU’ then ‘TEU Id’ is required</v>
      </c>
      <c r="I661" t="s">
        <v>33308</v>
      </c>
      <c r="J661" t="b">
        <f>IF(OR(INDEX(OHZ_HAZ_UNITTYPE,154,1)="TEU",),INDEX(OHZ_HAZ_TEUID,154,1)&lt;&gt;"",TRUE)</f>
        <v>1</v>
      </c>
      <c r="K661" t="str">
        <f t="shared" si="21"/>
        <v>Row 154 - If ‘TEU type’ is ‘TEU’ then ‘TEU Id’ is required</v>
      </c>
      <c r="L661" t="s">
        <v>33308</v>
      </c>
    </row>
    <row r="662" spans="7:12" x14ac:dyDescent="0.2">
      <c r="G662" t="b">
        <f>IF(OR(INDEX(IHZ_HAZ_UNITTYPE,155,1)="TEU",),INDEX(IHZ_HAZ_TEUID,155,1)&lt;&gt;"",TRUE)</f>
        <v>1</v>
      </c>
      <c r="H662" t="str">
        <f t="shared" si="20"/>
        <v>Row 155 - If ‘TEU type’ is ‘TEU’ then ‘TEU Id’ is required</v>
      </c>
      <c r="I662" t="s">
        <v>33308</v>
      </c>
      <c r="J662" t="b">
        <f>IF(OR(INDEX(OHZ_HAZ_UNITTYPE,155,1)="TEU",),INDEX(OHZ_HAZ_TEUID,155,1)&lt;&gt;"",TRUE)</f>
        <v>1</v>
      </c>
      <c r="K662" t="str">
        <f t="shared" si="21"/>
        <v>Row 155 - If ‘TEU type’ is ‘TEU’ then ‘TEU Id’ is required</v>
      </c>
      <c r="L662" t="s">
        <v>33308</v>
      </c>
    </row>
    <row r="663" spans="7:12" x14ac:dyDescent="0.2">
      <c r="G663" t="b">
        <f>IF(OR(INDEX(IHZ_HAZ_UNITTYPE,156,1)="TEU",),INDEX(IHZ_HAZ_TEUID,156,1)&lt;&gt;"",TRUE)</f>
        <v>1</v>
      </c>
      <c r="H663" t="str">
        <f t="shared" si="20"/>
        <v>Row 156 - If ‘TEU type’ is ‘TEU’ then ‘TEU Id’ is required</v>
      </c>
      <c r="I663" t="s">
        <v>33308</v>
      </c>
      <c r="J663" t="b">
        <f>IF(OR(INDEX(OHZ_HAZ_UNITTYPE,156,1)="TEU",),INDEX(OHZ_HAZ_TEUID,156,1)&lt;&gt;"",TRUE)</f>
        <v>1</v>
      </c>
      <c r="K663" t="str">
        <f t="shared" si="21"/>
        <v>Row 156 - If ‘TEU type’ is ‘TEU’ then ‘TEU Id’ is required</v>
      </c>
      <c r="L663" t="s">
        <v>33308</v>
      </c>
    </row>
    <row r="664" spans="7:12" x14ac:dyDescent="0.2">
      <c r="G664" t="b">
        <f>IF(OR(INDEX(IHZ_HAZ_UNITTYPE,157,1)="TEU",),INDEX(IHZ_HAZ_TEUID,157,1)&lt;&gt;"",TRUE)</f>
        <v>1</v>
      </c>
      <c r="H664" t="str">
        <f t="shared" si="20"/>
        <v>Row 157 - If ‘TEU type’ is ‘TEU’ then ‘TEU Id’ is required</v>
      </c>
      <c r="I664" t="s">
        <v>33308</v>
      </c>
      <c r="J664" t="b">
        <f>IF(OR(INDEX(OHZ_HAZ_UNITTYPE,157,1)="TEU",),INDEX(OHZ_HAZ_TEUID,157,1)&lt;&gt;"",TRUE)</f>
        <v>1</v>
      </c>
      <c r="K664" t="str">
        <f t="shared" si="21"/>
        <v>Row 157 - If ‘TEU type’ is ‘TEU’ then ‘TEU Id’ is required</v>
      </c>
      <c r="L664" t="s">
        <v>33308</v>
      </c>
    </row>
    <row r="665" spans="7:12" x14ac:dyDescent="0.2">
      <c r="G665" t="b">
        <f>IF(OR(INDEX(IHZ_HAZ_UNITTYPE,158,1)="TEU",),INDEX(IHZ_HAZ_TEUID,158,1)&lt;&gt;"",TRUE)</f>
        <v>1</v>
      </c>
      <c r="H665" t="str">
        <f t="shared" si="20"/>
        <v>Row 158 - If ‘TEU type’ is ‘TEU’ then ‘TEU Id’ is required</v>
      </c>
      <c r="I665" t="s">
        <v>33308</v>
      </c>
      <c r="J665" t="b">
        <f>IF(OR(INDEX(OHZ_HAZ_UNITTYPE,158,1)="TEU",),INDEX(OHZ_HAZ_TEUID,158,1)&lt;&gt;"",TRUE)</f>
        <v>1</v>
      </c>
      <c r="K665" t="str">
        <f t="shared" si="21"/>
        <v>Row 158 - If ‘TEU type’ is ‘TEU’ then ‘TEU Id’ is required</v>
      </c>
      <c r="L665" t="s">
        <v>33308</v>
      </c>
    </row>
    <row r="666" spans="7:12" x14ac:dyDescent="0.2">
      <c r="G666" t="b">
        <f>IF(OR(INDEX(IHZ_HAZ_UNITTYPE,159,1)="TEU",),INDEX(IHZ_HAZ_TEUID,159,1)&lt;&gt;"",TRUE)</f>
        <v>1</v>
      </c>
      <c r="H666" t="str">
        <f t="shared" si="20"/>
        <v>Row 159 - If ‘TEU type’ is ‘TEU’ then ‘TEU Id’ is required</v>
      </c>
      <c r="I666" t="s">
        <v>33308</v>
      </c>
      <c r="J666" t="b">
        <f>IF(OR(INDEX(OHZ_HAZ_UNITTYPE,159,1)="TEU",),INDEX(OHZ_HAZ_TEUID,159,1)&lt;&gt;"",TRUE)</f>
        <v>1</v>
      </c>
      <c r="K666" t="str">
        <f t="shared" si="21"/>
        <v>Row 159 - If ‘TEU type’ is ‘TEU’ then ‘TEU Id’ is required</v>
      </c>
      <c r="L666" t="s">
        <v>33308</v>
      </c>
    </row>
    <row r="667" spans="7:12" x14ac:dyDescent="0.2">
      <c r="G667" t="b">
        <f>IF(OR(INDEX(IHZ_HAZ_UNITTYPE,160,1)="TEU",),INDEX(IHZ_HAZ_TEUID,160,1)&lt;&gt;"",TRUE)</f>
        <v>1</v>
      </c>
      <c r="H667" t="str">
        <f t="shared" si="20"/>
        <v>Row 160 - If ‘TEU type’ is ‘TEU’ then ‘TEU Id’ is required</v>
      </c>
      <c r="I667" t="s">
        <v>33308</v>
      </c>
      <c r="J667" t="b">
        <f>IF(OR(INDEX(OHZ_HAZ_UNITTYPE,160,1)="TEU",),INDEX(OHZ_HAZ_TEUID,160,1)&lt;&gt;"",TRUE)</f>
        <v>1</v>
      </c>
      <c r="K667" t="str">
        <f t="shared" si="21"/>
        <v>Row 160 - If ‘TEU type’ is ‘TEU’ then ‘TEU Id’ is required</v>
      </c>
      <c r="L667" t="s">
        <v>33308</v>
      </c>
    </row>
    <row r="668" spans="7:12" x14ac:dyDescent="0.2">
      <c r="G668" t="b">
        <f>IF(OR(INDEX(IHZ_HAZ_UNITTYPE,161,1)="TEU",),INDEX(IHZ_HAZ_TEUID,161,1)&lt;&gt;"",TRUE)</f>
        <v>1</v>
      </c>
      <c r="H668" t="str">
        <f t="shared" si="20"/>
        <v>Row 161 - If ‘TEU type’ is ‘TEU’ then ‘TEU Id’ is required</v>
      </c>
      <c r="I668" t="s">
        <v>33308</v>
      </c>
      <c r="J668" t="b">
        <f>IF(OR(INDEX(OHZ_HAZ_UNITTYPE,161,1)="TEU",),INDEX(OHZ_HAZ_TEUID,161,1)&lt;&gt;"",TRUE)</f>
        <v>1</v>
      </c>
      <c r="K668" t="str">
        <f t="shared" si="21"/>
        <v>Row 161 - If ‘TEU type’ is ‘TEU’ then ‘TEU Id’ is required</v>
      </c>
      <c r="L668" t="s">
        <v>33308</v>
      </c>
    </row>
    <row r="669" spans="7:12" x14ac:dyDescent="0.2">
      <c r="G669" t="b">
        <f>IF(OR(INDEX(IHZ_HAZ_UNITTYPE,162,1)="TEU",),INDEX(IHZ_HAZ_TEUID,162,1)&lt;&gt;"",TRUE)</f>
        <v>1</v>
      </c>
      <c r="H669" t="str">
        <f t="shared" si="20"/>
        <v>Row 162 - If ‘TEU type’ is ‘TEU’ then ‘TEU Id’ is required</v>
      </c>
      <c r="I669" t="s">
        <v>33308</v>
      </c>
      <c r="J669" t="b">
        <f>IF(OR(INDEX(OHZ_HAZ_UNITTYPE,162,1)="TEU",),INDEX(OHZ_HAZ_TEUID,162,1)&lt;&gt;"",TRUE)</f>
        <v>1</v>
      </c>
      <c r="K669" t="str">
        <f t="shared" si="21"/>
        <v>Row 162 - If ‘TEU type’ is ‘TEU’ then ‘TEU Id’ is required</v>
      </c>
      <c r="L669" t="s">
        <v>33308</v>
      </c>
    </row>
    <row r="670" spans="7:12" x14ac:dyDescent="0.2">
      <c r="G670" t="b">
        <f>IF(OR(INDEX(IHZ_HAZ_UNITTYPE,163,1)="TEU",),INDEX(IHZ_HAZ_TEUID,163,1)&lt;&gt;"",TRUE)</f>
        <v>1</v>
      </c>
      <c r="H670" t="str">
        <f t="shared" si="20"/>
        <v>Row 163 - If ‘TEU type’ is ‘TEU’ then ‘TEU Id’ is required</v>
      </c>
      <c r="I670" t="s">
        <v>33308</v>
      </c>
      <c r="J670" t="b">
        <f>IF(OR(INDEX(OHZ_HAZ_UNITTYPE,163,1)="TEU",),INDEX(OHZ_HAZ_TEUID,163,1)&lt;&gt;"",TRUE)</f>
        <v>1</v>
      </c>
      <c r="K670" t="str">
        <f t="shared" si="21"/>
        <v>Row 163 - If ‘TEU type’ is ‘TEU’ then ‘TEU Id’ is required</v>
      </c>
      <c r="L670" t="s">
        <v>33308</v>
      </c>
    </row>
    <row r="671" spans="7:12" x14ac:dyDescent="0.2">
      <c r="G671" t="b">
        <f>IF(OR(INDEX(IHZ_HAZ_UNITTYPE,164,1)="TEU",),INDEX(IHZ_HAZ_TEUID,164,1)&lt;&gt;"",TRUE)</f>
        <v>1</v>
      </c>
      <c r="H671" t="str">
        <f t="shared" si="20"/>
        <v>Row 164 - If ‘TEU type’ is ‘TEU’ then ‘TEU Id’ is required</v>
      </c>
      <c r="I671" t="s">
        <v>33308</v>
      </c>
      <c r="J671" t="b">
        <f>IF(OR(INDEX(OHZ_HAZ_UNITTYPE,164,1)="TEU",),INDEX(OHZ_HAZ_TEUID,164,1)&lt;&gt;"",TRUE)</f>
        <v>1</v>
      </c>
      <c r="K671" t="str">
        <f t="shared" si="21"/>
        <v>Row 164 - If ‘TEU type’ is ‘TEU’ then ‘TEU Id’ is required</v>
      </c>
      <c r="L671" t="s">
        <v>33308</v>
      </c>
    </row>
    <row r="672" spans="7:12" x14ac:dyDescent="0.2">
      <c r="G672" t="b">
        <f>IF(OR(INDEX(IHZ_HAZ_UNITTYPE,165,1)="TEU",),INDEX(IHZ_HAZ_TEUID,165,1)&lt;&gt;"",TRUE)</f>
        <v>1</v>
      </c>
      <c r="H672" t="str">
        <f t="shared" si="20"/>
        <v>Row 165 - If ‘TEU type’ is ‘TEU’ then ‘TEU Id’ is required</v>
      </c>
      <c r="I672" t="s">
        <v>33308</v>
      </c>
      <c r="J672" t="b">
        <f>IF(OR(INDEX(OHZ_HAZ_UNITTYPE,165,1)="TEU",),INDEX(OHZ_HAZ_TEUID,165,1)&lt;&gt;"",TRUE)</f>
        <v>1</v>
      </c>
      <c r="K672" t="str">
        <f t="shared" si="21"/>
        <v>Row 165 - If ‘TEU type’ is ‘TEU’ then ‘TEU Id’ is required</v>
      </c>
      <c r="L672" t="s">
        <v>33308</v>
      </c>
    </row>
    <row r="673" spans="7:12" x14ac:dyDescent="0.2">
      <c r="G673" t="b">
        <f>IF(OR(INDEX(IHZ_HAZ_UNITTYPE,166,1)="TEU",),INDEX(IHZ_HAZ_TEUID,166,1)&lt;&gt;"",TRUE)</f>
        <v>1</v>
      </c>
      <c r="H673" t="str">
        <f t="shared" si="20"/>
        <v>Row 166 - If ‘TEU type’ is ‘TEU’ then ‘TEU Id’ is required</v>
      </c>
      <c r="I673" t="s">
        <v>33308</v>
      </c>
      <c r="J673" t="b">
        <f>IF(OR(INDEX(OHZ_HAZ_UNITTYPE,166,1)="TEU",),INDEX(OHZ_HAZ_TEUID,166,1)&lt;&gt;"",TRUE)</f>
        <v>1</v>
      </c>
      <c r="K673" t="str">
        <f t="shared" si="21"/>
        <v>Row 166 - If ‘TEU type’ is ‘TEU’ then ‘TEU Id’ is required</v>
      </c>
      <c r="L673" t="s">
        <v>33308</v>
      </c>
    </row>
    <row r="674" spans="7:12" x14ac:dyDescent="0.2">
      <c r="G674" t="b">
        <f>IF(OR(INDEX(IHZ_HAZ_UNITTYPE,167,1)="TEU",),INDEX(IHZ_HAZ_TEUID,167,1)&lt;&gt;"",TRUE)</f>
        <v>1</v>
      </c>
      <c r="H674" t="str">
        <f t="shared" si="20"/>
        <v>Row 167 - If ‘TEU type’ is ‘TEU’ then ‘TEU Id’ is required</v>
      </c>
      <c r="I674" t="s">
        <v>33308</v>
      </c>
      <c r="J674" t="b">
        <f>IF(OR(INDEX(OHZ_HAZ_UNITTYPE,167,1)="TEU",),INDEX(OHZ_HAZ_TEUID,167,1)&lt;&gt;"",TRUE)</f>
        <v>1</v>
      </c>
      <c r="K674" t="str">
        <f t="shared" si="21"/>
        <v>Row 167 - If ‘TEU type’ is ‘TEU’ then ‘TEU Id’ is required</v>
      </c>
      <c r="L674" t="s">
        <v>33308</v>
      </c>
    </row>
    <row r="675" spans="7:12" x14ac:dyDescent="0.2">
      <c r="G675" t="b">
        <f>IF(OR(INDEX(IHZ_HAZ_UNITTYPE,168,1)="TEU",),INDEX(IHZ_HAZ_TEUID,168,1)&lt;&gt;"",TRUE)</f>
        <v>1</v>
      </c>
      <c r="H675" t="str">
        <f t="shared" si="20"/>
        <v>Row 168 - If ‘TEU type’ is ‘TEU’ then ‘TEU Id’ is required</v>
      </c>
      <c r="I675" t="s">
        <v>33308</v>
      </c>
      <c r="J675" t="b">
        <f>IF(OR(INDEX(OHZ_HAZ_UNITTYPE,168,1)="TEU",),INDEX(OHZ_HAZ_TEUID,168,1)&lt;&gt;"",TRUE)</f>
        <v>1</v>
      </c>
      <c r="K675" t="str">
        <f t="shared" si="21"/>
        <v>Row 168 - If ‘TEU type’ is ‘TEU’ then ‘TEU Id’ is required</v>
      </c>
      <c r="L675" t="s">
        <v>33308</v>
      </c>
    </row>
    <row r="676" spans="7:12" x14ac:dyDescent="0.2">
      <c r="G676" t="b">
        <f>IF(OR(INDEX(IHZ_HAZ_UNITTYPE,169,1)="TEU",),INDEX(IHZ_HAZ_TEUID,169,1)&lt;&gt;"",TRUE)</f>
        <v>1</v>
      </c>
      <c r="H676" t="str">
        <f t="shared" si="20"/>
        <v>Row 169 - If ‘TEU type’ is ‘TEU’ then ‘TEU Id’ is required</v>
      </c>
      <c r="I676" t="s">
        <v>33308</v>
      </c>
      <c r="J676" t="b">
        <f>IF(OR(INDEX(OHZ_HAZ_UNITTYPE,169,1)="TEU",),INDEX(OHZ_HAZ_TEUID,169,1)&lt;&gt;"",TRUE)</f>
        <v>1</v>
      </c>
      <c r="K676" t="str">
        <f t="shared" si="21"/>
        <v>Row 169 - If ‘TEU type’ is ‘TEU’ then ‘TEU Id’ is required</v>
      </c>
      <c r="L676" t="s">
        <v>33308</v>
      </c>
    </row>
    <row r="677" spans="7:12" x14ac:dyDescent="0.2">
      <c r="G677" t="b">
        <f>IF(OR(INDEX(IHZ_HAZ_UNITTYPE,170,1)="TEU",),INDEX(IHZ_HAZ_TEUID,170,1)&lt;&gt;"",TRUE)</f>
        <v>1</v>
      </c>
      <c r="H677" t="str">
        <f t="shared" si="20"/>
        <v>Row 170 - If ‘TEU type’ is ‘TEU’ then ‘TEU Id’ is required</v>
      </c>
      <c r="I677" t="s">
        <v>33308</v>
      </c>
      <c r="J677" t="b">
        <f>IF(OR(INDEX(OHZ_HAZ_UNITTYPE,170,1)="TEU",),INDEX(OHZ_HAZ_TEUID,170,1)&lt;&gt;"",TRUE)</f>
        <v>1</v>
      </c>
      <c r="K677" t="str">
        <f t="shared" si="21"/>
        <v>Row 170 - If ‘TEU type’ is ‘TEU’ then ‘TEU Id’ is required</v>
      </c>
      <c r="L677" t="s">
        <v>33308</v>
      </c>
    </row>
    <row r="678" spans="7:12" x14ac:dyDescent="0.2">
      <c r="G678" t="b">
        <f>IF(OR(INDEX(IHZ_HAZ_UNITTYPE,171,1)="TEU",),INDEX(IHZ_HAZ_TEUID,171,1)&lt;&gt;"",TRUE)</f>
        <v>1</v>
      </c>
      <c r="H678" t="str">
        <f t="shared" si="20"/>
        <v>Row 171 - If ‘TEU type’ is ‘TEU’ then ‘TEU Id’ is required</v>
      </c>
      <c r="I678" t="s">
        <v>33308</v>
      </c>
      <c r="J678" t="b">
        <f>IF(OR(INDEX(OHZ_HAZ_UNITTYPE,171,1)="TEU",),INDEX(OHZ_HAZ_TEUID,171,1)&lt;&gt;"",TRUE)</f>
        <v>1</v>
      </c>
      <c r="K678" t="str">
        <f t="shared" si="21"/>
        <v>Row 171 - If ‘TEU type’ is ‘TEU’ then ‘TEU Id’ is required</v>
      </c>
      <c r="L678" t="s">
        <v>33308</v>
      </c>
    </row>
    <row r="679" spans="7:12" x14ac:dyDescent="0.2">
      <c r="G679" t="b">
        <f>IF(OR(INDEX(IHZ_HAZ_UNITTYPE,172,1)="TEU",),INDEX(IHZ_HAZ_TEUID,172,1)&lt;&gt;"",TRUE)</f>
        <v>1</v>
      </c>
      <c r="H679" t="str">
        <f t="shared" si="20"/>
        <v>Row 172 - If ‘TEU type’ is ‘TEU’ then ‘TEU Id’ is required</v>
      </c>
      <c r="I679" t="s">
        <v>33308</v>
      </c>
      <c r="J679" t="b">
        <f>IF(OR(INDEX(OHZ_HAZ_UNITTYPE,172,1)="TEU",),INDEX(OHZ_HAZ_TEUID,172,1)&lt;&gt;"",TRUE)</f>
        <v>1</v>
      </c>
      <c r="K679" t="str">
        <f t="shared" si="21"/>
        <v>Row 172 - If ‘TEU type’ is ‘TEU’ then ‘TEU Id’ is required</v>
      </c>
      <c r="L679" t="s">
        <v>33308</v>
      </c>
    </row>
    <row r="680" spans="7:12" x14ac:dyDescent="0.2">
      <c r="G680" t="b">
        <f>IF(OR(INDEX(IHZ_HAZ_UNITTYPE,173,1)="TEU",),INDEX(IHZ_HAZ_TEUID,173,1)&lt;&gt;"",TRUE)</f>
        <v>1</v>
      </c>
      <c r="H680" t="str">
        <f t="shared" si="20"/>
        <v>Row 173 - If ‘TEU type’ is ‘TEU’ then ‘TEU Id’ is required</v>
      </c>
      <c r="I680" t="s">
        <v>33308</v>
      </c>
      <c r="J680" t="b">
        <f>IF(OR(INDEX(OHZ_HAZ_UNITTYPE,173,1)="TEU",),INDEX(OHZ_HAZ_TEUID,173,1)&lt;&gt;"",TRUE)</f>
        <v>1</v>
      </c>
      <c r="K680" t="str">
        <f t="shared" si="21"/>
        <v>Row 173 - If ‘TEU type’ is ‘TEU’ then ‘TEU Id’ is required</v>
      </c>
      <c r="L680" t="s">
        <v>33308</v>
      </c>
    </row>
    <row r="681" spans="7:12" x14ac:dyDescent="0.2">
      <c r="G681" t="b">
        <f>IF(OR(INDEX(IHZ_HAZ_UNITTYPE,174,1)="TEU",),INDEX(IHZ_HAZ_TEUID,174,1)&lt;&gt;"",TRUE)</f>
        <v>1</v>
      </c>
      <c r="H681" t="str">
        <f t="shared" si="20"/>
        <v>Row 174 - If ‘TEU type’ is ‘TEU’ then ‘TEU Id’ is required</v>
      </c>
      <c r="I681" t="s">
        <v>33308</v>
      </c>
      <c r="J681" t="b">
        <f>IF(OR(INDEX(OHZ_HAZ_UNITTYPE,174,1)="TEU",),INDEX(OHZ_HAZ_TEUID,174,1)&lt;&gt;"",TRUE)</f>
        <v>1</v>
      </c>
      <c r="K681" t="str">
        <f t="shared" si="21"/>
        <v>Row 174 - If ‘TEU type’ is ‘TEU’ then ‘TEU Id’ is required</v>
      </c>
      <c r="L681" t="s">
        <v>33308</v>
      </c>
    </row>
    <row r="682" spans="7:12" x14ac:dyDescent="0.2">
      <c r="G682" t="b">
        <f>IF(OR(INDEX(IHZ_HAZ_UNITTYPE,175,1)="TEU",),INDEX(IHZ_HAZ_TEUID,175,1)&lt;&gt;"",TRUE)</f>
        <v>1</v>
      </c>
      <c r="H682" t="str">
        <f t="shared" si="20"/>
        <v>Row 175 - If ‘TEU type’ is ‘TEU’ then ‘TEU Id’ is required</v>
      </c>
      <c r="I682" t="s">
        <v>33308</v>
      </c>
      <c r="J682" t="b">
        <f>IF(OR(INDEX(OHZ_HAZ_UNITTYPE,175,1)="TEU",),INDEX(OHZ_HAZ_TEUID,175,1)&lt;&gt;"",TRUE)</f>
        <v>1</v>
      </c>
      <c r="K682" t="str">
        <f t="shared" si="21"/>
        <v>Row 175 - If ‘TEU type’ is ‘TEU’ then ‘TEU Id’ is required</v>
      </c>
      <c r="L682" t="s">
        <v>33308</v>
      </c>
    </row>
    <row r="683" spans="7:12" x14ac:dyDescent="0.2">
      <c r="G683" t="b">
        <f>IF(OR(INDEX(IHZ_HAZ_UNITTYPE,176,1)="TEU",),INDEX(IHZ_HAZ_TEUID,176,1)&lt;&gt;"",TRUE)</f>
        <v>1</v>
      </c>
      <c r="H683" t="str">
        <f t="shared" si="20"/>
        <v>Row 176 - If ‘TEU type’ is ‘TEU’ then ‘TEU Id’ is required</v>
      </c>
      <c r="I683" t="s">
        <v>33308</v>
      </c>
      <c r="J683" t="b">
        <f>IF(OR(INDEX(OHZ_HAZ_UNITTYPE,176,1)="TEU",),INDEX(OHZ_HAZ_TEUID,176,1)&lt;&gt;"",TRUE)</f>
        <v>1</v>
      </c>
      <c r="K683" t="str">
        <f t="shared" si="21"/>
        <v>Row 176 - If ‘TEU type’ is ‘TEU’ then ‘TEU Id’ is required</v>
      </c>
      <c r="L683" t="s">
        <v>33308</v>
      </c>
    </row>
    <row r="684" spans="7:12" x14ac:dyDescent="0.2">
      <c r="G684" t="b">
        <f>IF(OR(INDEX(IHZ_HAZ_UNITTYPE,177,1)="TEU",),INDEX(IHZ_HAZ_TEUID,177,1)&lt;&gt;"",TRUE)</f>
        <v>1</v>
      </c>
      <c r="H684" t="str">
        <f t="shared" si="20"/>
        <v>Row 177 - If ‘TEU type’ is ‘TEU’ then ‘TEU Id’ is required</v>
      </c>
      <c r="I684" t="s">
        <v>33308</v>
      </c>
      <c r="J684" t="b">
        <f>IF(OR(INDEX(OHZ_HAZ_UNITTYPE,177,1)="TEU",),INDEX(OHZ_HAZ_TEUID,177,1)&lt;&gt;"",TRUE)</f>
        <v>1</v>
      </c>
      <c r="K684" t="str">
        <f t="shared" si="21"/>
        <v>Row 177 - If ‘TEU type’ is ‘TEU’ then ‘TEU Id’ is required</v>
      </c>
      <c r="L684" t="s">
        <v>33308</v>
      </c>
    </row>
    <row r="685" spans="7:12" x14ac:dyDescent="0.2">
      <c r="G685" t="b">
        <f>IF(OR(INDEX(IHZ_HAZ_UNITTYPE,178,1)="TEU",),INDEX(IHZ_HAZ_TEUID,178,1)&lt;&gt;"",TRUE)</f>
        <v>1</v>
      </c>
      <c r="H685" t="str">
        <f t="shared" si="20"/>
        <v>Row 178 - If ‘TEU type’ is ‘TEU’ then ‘TEU Id’ is required</v>
      </c>
      <c r="I685" t="s">
        <v>33308</v>
      </c>
      <c r="J685" t="b">
        <f>IF(OR(INDEX(OHZ_HAZ_UNITTYPE,178,1)="TEU",),INDEX(OHZ_HAZ_TEUID,178,1)&lt;&gt;"",TRUE)</f>
        <v>1</v>
      </c>
      <c r="K685" t="str">
        <f t="shared" si="21"/>
        <v>Row 178 - If ‘TEU type’ is ‘TEU’ then ‘TEU Id’ is required</v>
      </c>
      <c r="L685" t="s">
        <v>33308</v>
      </c>
    </row>
    <row r="686" spans="7:12" x14ac:dyDescent="0.2">
      <c r="G686" t="b">
        <f>IF(OR(INDEX(IHZ_HAZ_UNITTYPE,179,1)="TEU",),INDEX(IHZ_HAZ_TEUID,179,1)&lt;&gt;"",TRUE)</f>
        <v>1</v>
      </c>
      <c r="H686" t="str">
        <f t="shared" si="20"/>
        <v>Row 179 - If ‘TEU type’ is ‘TEU’ then ‘TEU Id’ is required</v>
      </c>
      <c r="I686" t="s">
        <v>33308</v>
      </c>
      <c r="J686" t="b">
        <f>IF(OR(INDEX(OHZ_HAZ_UNITTYPE,179,1)="TEU",),INDEX(OHZ_HAZ_TEUID,179,1)&lt;&gt;"",TRUE)</f>
        <v>1</v>
      </c>
      <c r="K686" t="str">
        <f t="shared" si="21"/>
        <v>Row 179 - If ‘TEU type’ is ‘TEU’ then ‘TEU Id’ is required</v>
      </c>
      <c r="L686" t="s">
        <v>33308</v>
      </c>
    </row>
    <row r="687" spans="7:12" x14ac:dyDescent="0.2">
      <c r="G687" t="b">
        <f>IF(OR(INDEX(IHZ_HAZ_UNITTYPE,180,1)="TEU",),INDEX(IHZ_HAZ_TEUID,180,1)&lt;&gt;"",TRUE)</f>
        <v>1</v>
      </c>
      <c r="H687" t="str">
        <f t="shared" si="20"/>
        <v>Row 180 - If ‘TEU type’ is ‘TEU’ then ‘TEU Id’ is required</v>
      </c>
      <c r="I687" t="s">
        <v>33308</v>
      </c>
      <c r="J687" t="b">
        <f>IF(OR(INDEX(OHZ_HAZ_UNITTYPE,180,1)="TEU",),INDEX(OHZ_HAZ_TEUID,180,1)&lt;&gt;"",TRUE)</f>
        <v>1</v>
      </c>
      <c r="K687" t="str">
        <f t="shared" si="21"/>
        <v>Row 180 - If ‘TEU type’ is ‘TEU’ then ‘TEU Id’ is required</v>
      </c>
      <c r="L687" t="s">
        <v>33308</v>
      </c>
    </row>
    <row r="688" spans="7:12" x14ac:dyDescent="0.2">
      <c r="G688" t="b">
        <f>IF(OR(INDEX(IHZ_HAZ_UNITTYPE,181,1)="TEU",),INDEX(IHZ_HAZ_TEUID,181,1)&lt;&gt;"",TRUE)</f>
        <v>1</v>
      </c>
      <c r="H688" t="str">
        <f t="shared" si="20"/>
        <v>Row 181 - If ‘TEU type’ is ‘TEU’ then ‘TEU Id’ is required</v>
      </c>
      <c r="I688" t="s">
        <v>33308</v>
      </c>
      <c r="J688" t="b">
        <f>IF(OR(INDEX(OHZ_HAZ_UNITTYPE,181,1)="TEU",),INDEX(OHZ_HAZ_TEUID,181,1)&lt;&gt;"",TRUE)</f>
        <v>1</v>
      </c>
      <c r="K688" t="str">
        <f t="shared" si="21"/>
        <v>Row 181 - If ‘TEU type’ is ‘TEU’ then ‘TEU Id’ is required</v>
      </c>
      <c r="L688" t="s">
        <v>33308</v>
      </c>
    </row>
    <row r="689" spans="7:12" x14ac:dyDescent="0.2">
      <c r="G689" t="b">
        <f>IF(OR(INDEX(IHZ_HAZ_UNITTYPE,182,1)="TEU",),INDEX(IHZ_HAZ_TEUID,182,1)&lt;&gt;"",TRUE)</f>
        <v>1</v>
      </c>
      <c r="H689" t="str">
        <f t="shared" si="20"/>
        <v>Row 182 - If ‘TEU type’ is ‘TEU’ then ‘TEU Id’ is required</v>
      </c>
      <c r="I689" t="s">
        <v>33308</v>
      </c>
      <c r="J689" t="b">
        <f>IF(OR(INDEX(OHZ_HAZ_UNITTYPE,182,1)="TEU",),INDEX(OHZ_HAZ_TEUID,182,1)&lt;&gt;"",TRUE)</f>
        <v>1</v>
      </c>
      <c r="K689" t="str">
        <f t="shared" si="21"/>
        <v>Row 182 - If ‘TEU type’ is ‘TEU’ then ‘TEU Id’ is required</v>
      </c>
      <c r="L689" t="s">
        <v>33308</v>
      </c>
    </row>
    <row r="690" spans="7:12" x14ac:dyDescent="0.2">
      <c r="G690" t="b">
        <f>IF(OR(INDEX(IHZ_HAZ_UNITTYPE,183,1)="TEU",),INDEX(IHZ_HAZ_TEUID,183,1)&lt;&gt;"",TRUE)</f>
        <v>1</v>
      </c>
      <c r="H690" t="str">
        <f t="shared" si="20"/>
        <v>Row 183 - If ‘TEU type’ is ‘TEU’ then ‘TEU Id’ is required</v>
      </c>
      <c r="I690" t="s">
        <v>33308</v>
      </c>
      <c r="J690" t="b">
        <f>IF(OR(INDEX(OHZ_HAZ_UNITTYPE,183,1)="TEU",),INDEX(OHZ_HAZ_TEUID,183,1)&lt;&gt;"",TRUE)</f>
        <v>1</v>
      </c>
      <c r="K690" t="str">
        <f t="shared" si="21"/>
        <v>Row 183 - If ‘TEU type’ is ‘TEU’ then ‘TEU Id’ is required</v>
      </c>
      <c r="L690" t="s">
        <v>33308</v>
      </c>
    </row>
    <row r="691" spans="7:12" x14ac:dyDescent="0.2">
      <c r="G691" t="b">
        <f>IF(OR(INDEX(IHZ_HAZ_UNITTYPE,184,1)="TEU",),INDEX(IHZ_HAZ_TEUID,184,1)&lt;&gt;"",TRUE)</f>
        <v>1</v>
      </c>
      <c r="H691" t="str">
        <f t="shared" si="20"/>
        <v>Row 184 - If ‘TEU type’ is ‘TEU’ then ‘TEU Id’ is required</v>
      </c>
      <c r="I691" t="s">
        <v>33308</v>
      </c>
      <c r="J691" t="b">
        <f>IF(OR(INDEX(OHZ_HAZ_UNITTYPE,184,1)="TEU",),INDEX(OHZ_HAZ_TEUID,184,1)&lt;&gt;"",TRUE)</f>
        <v>1</v>
      </c>
      <c r="K691" t="str">
        <f t="shared" si="21"/>
        <v>Row 184 - If ‘TEU type’ is ‘TEU’ then ‘TEU Id’ is required</v>
      </c>
      <c r="L691" t="s">
        <v>33308</v>
      </c>
    </row>
    <row r="692" spans="7:12" x14ac:dyDescent="0.2">
      <c r="G692" t="b">
        <f>IF(OR(INDEX(IHZ_HAZ_UNITTYPE,185,1)="TEU",),INDEX(IHZ_HAZ_TEUID,185,1)&lt;&gt;"",TRUE)</f>
        <v>1</v>
      </c>
      <c r="H692" t="str">
        <f t="shared" si="20"/>
        <v>Row 185 - If ‘TEU type’ is ‘TEU’ then ‘TEU Id’ is required</v>
      </c>
      <c r="I692" t="s">
        <v>33308</v>
      </c>
      <c r="J692" t="b">
        <f>IF(OR(INDEX(OHZ_HAZ_UNITTYPE,185,1)="TEU",),INDEX(OHZ_HAZ_TEUID,185,1)&lt;&gt;"",TRUE)</f>
        <v>1</v>
      </c>
      <c r="K692" t="str">
        <f t="shared" si="21"/>
        <v>Row 185 - If ‘TEU type’ is ‘TEU’ then ‘TEU Id’ is required</v>
      </c>
      <c r="L692" t="s">
        <v>33308</v>
      </c>
    </row>
    <row r="693" spans="7:12" x14ac:dyDescent="0.2">
      <c r="G693" t="b">
        <f>IF(OR(INDEX(IHZ_HAZ_UNITTYPE,186,1)="TEU",),INDEX(IHZ_HAZ_TEUID,186,1)&lt;&gt;"",TRUE)</f>
        <v>1</v>
      </c>
      <c r="H693" t="str">
        <f t="shared" si="20"/>
        <v>Row 186 - If ‘TEU type’ is ‘TEU’ then ‘TEU Id’ is required</v>
      </c>
      <c r="I693" t="s">
        <v>33308</v>
      </c>
      <c r="J693" t="b">
        <f>IF(OR(INDEX(OHZ_HAZ_UNITTYPE,186,1)="TEU",),INDEX(OHZ_HAZ_TEUID,186,1)&lt;&gt;"",TRUE)</f>
        <v>1</v>
      </c>
      <c r="K693" t="str">
        <f t="shared" si="21"/>
        <v>Row 186 - If ‘TEU type’ is ‘TEU’ then ‘TEU Id’ is required</v>
      </c>
      <c r="L693" t="s">
        <v>33308</v>
      </c>
    </row>
    <row r="694" spans="7:12" x14ac:dyDescent="0.2">
      <c r="G694" t="b">
        <f>IF(OR(INDEX(IHZ_HAZ_UNITTYPE,187,1)="TEU",),INDEX(IHZ_HAZ_TEUID,187,1)&lt;&gt;"",TRUE)</f>
        <v>1</v>
      </c>
      <c r="H694" t="str">
        <f t="shared" si="20"/>
        <v>Row 187 - If ‘TEU type’ is ‘TEU’ then ‘TEU Id’ is required</v>
      </c>
      <c r="I694" t="s">
        <v>33308</v>
      </c>
      <c r="J694" t="b">
        <f>IF(OR(INDEX(OHZ_HAZ_UNITTYPE,187,1)="TEU",),INDEX(OHZ_HAZ_TEUID,187,1)&lt;&gt;"",TRUE)</f>
        <v>1</v>
      </c>
      <c r="K694" t="str">
        <f t="shared" si="21"/>
        <v>Row 187 - If ‘TEU type’ is ‘TEU’ then ‘TEU Id’ is required</v>
      </c>
      <c r="L694" t="s">
        <v>33308</v>
      </c>
    </row>
    <row r="695" spans="7:12" x14ac:dyDescent="0.2">
      <c r="G695" t="b">
        <f>IF(OR(INDEX(IHZ_HAZ_UNITTYPE,188,1)="TEU",),INDEX(IHZ_HAZ_TEUID,188,1)&lt;&gt;"",TRUE)</f>
        <v>1</v>
      </c>
      <c r="H695" t="str">
        <f t="shared" si="20"/>
        <v>Row 188 - If ‘TEU type’ is ‘TEU’ then ‘TEU Id’ is required</v>
      </c>
      <c r="I695" t="s">
        <v>33308</v>
      </c>
      <c r="J695" t="b">
        <f>IF(OR(INDEX(OHZ_HAZ_UNITTYPE,188,1)="TEU",),INDEX(OHZ_HAZ_TEUID,188,1)&lt;&gt;"",TRUE)</f>
        <v>1</v>
      </c>
      <c r="K695" t="str">
        <f t="shared" si="21"/>
        <v>Row 188 - If ‘TEU type’ is ‘TEU’ then ‘TEU Id’ is required</v>
      </c>
      <c r="L695" t="s">
        <v>33308</v>
      </c>
    </row>
    <row r="696" spans="7:12" x14ac:dyDescent="0.2">
      <c r="G696" t="b">
        <f>IF(OR(INDEX(IHZ_HAZ_UNITTYPE,189,1)="TEU",),INDEX(IHZ_HAZ_TEUID,189,1)&lt;&gt;"",TRUE)</f>
        <v>1</v>
      </c>
      <c r="H696" t="str">
        <f t="shared" si="20"/>
        <v>Row 189 - If ‘TEU type’ is ‘TEU’ then ‘TEU Id’ is required</v>
      </c>
      <c r="I696" t="s">
        <v>33308</v>
      </c>
      <c r="J696" t="b">
        <f>IF(OR(INDEX(OHZ_HAZ_UNITTYPE,189,1)="TEU",),INDEX(OHZ_HAZ_TEUID,189,1)&lt;&gt;"",TRUE)</f>
        <v>1</v>
      </c>
      <c r="K696" t="str">
        <f t="shared" si="21"/>
        <v>Row 189 - If ‘TEU type’ is ‘TEU’ then ‘TEU Id’ is required</v>
      </c>
      <c r="L696" t="s">
        <v>33308</v>
      </c>
    </row>
    <row r="697" spans="7:12" x14ac:dyDescent="0.2">
      <c r="G697" t="b">
        <f>IF(OR(INDEX(IHZ_HAZ_UNITTYPE,190,1)="TEU",),INDEX(IHZ_HAZ_TEUID,190,1)&lt;&gt;"",TRUE)</f>
        <v>1</v>
      </c>
      <c r="H697" t="str">
        <f t="shared" si="20"/>
        <v>Row 190 - If ‘TEU type’ is ‘TEU’ then ‘TEU Id’ is required</v>
      </c>
      <c r="I697" t="s">
        <v>33308</v>
      </c>
      <c r="J697" t="b">
        <f>IF(OR(INDEX(OHZ_HAZ_UNITTYPE,190,1)="TEU",),INDEX(OHZ_HAZ_TEUID,190,1)&lt;&gt;"",TRUE)</f>
        <v>1</v>
      </c>
      <c r="K697" t="str">
        <f t="shared" si="21"/>
        <v>Row 190 - If ‘TEU type’ is ‘TEU’ then ‘TEU Id’ is required</v>
      </c>
      <c r="L697" t="s">
        <v>33308</v>
      </c>
    </row>
    <row r="698" spans="7:12" x14ac:dyDescent="0.2">
      <c r="G698" t="b">
        <f>IF(OR(INDEX(IHZ_HAZ_UNITTYPE,191,1)="TEU",),INDEX(IHZ_HAZ_TEUID,191,1)&lt;&gt;"",TRUE)</f>
        <v>1</v>
      </c>
      <c r="H698" t="str">
        <f t="shared" si="20"/>
        <v>Row 191 - If ‘TEU type’ is ‘TEU’ then ‘TEU Id’ is required</v>
      </c>
      <c r="I698" t="s">
        <v>33308</v>
      </c>
      <c r="J698" t="b">
        <f>IF(OR(INDEX(OHZ_HAZ_UNITTYPE,191,1)="TEU",),INDEX(OHZ_HAZ_TEUID,191,1)&lt;&gt;"",TRUE)</f>
        <v>1</v>
      </c>
      <c r="K698" t="str">
        <f t="shared" si="21"/>
        <v>Row 191 - If ‘TEU type’ is ‘TEU’ then ‘TEU Id’ is required</v>
      </c>
      <c r="L698" t="s">
        <v>33308</v>
      </c>
    </row>
    <row r="699" spans="7:12" x14ac:dyDescent="0.2">
      <c r="G699" t="b">
        <f>IF(OR(INDEX(IHZ_HAZ_UNITTYPE,192,1)="TEU",),INDEX(IHZ_HAZ_TEUID,192,1)&lt;&gt;"",TRUE)</f>
        <v>1</v>
      </c>
      <c r="H699" t="str">
        <f t="shared" si="20"/>
        <v>Row 192 - If ‘TEU type’ is ‘TEU’ then ‘TEU Id’ is required</v>
      </c>
      <c r="I699" t="s">
        <v>33308</v>
      </c>
      <c r="J699" t="b">
        <f>IF(OR(INDEX(OHZ_HAZ_UNITTYPE,192,1)="TEU",),INDEX(OHZ_HAZ_TEUID,192,1)&lt;&gt;"",TRUE)</f>
        <v>1</v>
      </c>
      <c r="K699" t="str">
        <f t="shared" si="21"/>
        <v>Row 192 - If ‘TEU type’ is ‘TEU’ then ‘TEU Id’ is required</v>
      </c>
      <c r="L699" t="s">
        <v>33308</v>
      </c>
    </row>
    <row r="700" spans="7:12" x14ac:dyDescent="0.2">
      <c r="G700" t="b">
        <f>IF(OR(INDEX(IHZ_HAZ_UNITTYPE,193,1)="TEU",),INDEX(IHZ_HAZ_TEUID,193,1)&lt;&gt;"",TRUE)</f>
        <v>1</v>
      </c>
      <c r="H700" t="str">
        <f t="shared" si="20"/>
        <v>Row 193 - If ‘TEU type’ is ‘TEU’ then ‘TEU Id’ is required</v>
      </c>
      <c r="I700" t="s">
        <v>33308</v>
      </c>
      <c r="J700" t="b">
        <f>IF(OR(INDEX(OHZ_HAZ_UNITTYPE,193,1)="TEU",),INDEX(OHZ_HAZ_TEUID,193,1)&lt;&gt;"",TRUE)</f>
        <v>1</v>
      </c>
      <c r="K700" t="str">
        <f t="shared" si="21"/>
        <v>Row 193 - If ‘TEU type’ is ‘TEU’ then ‘TEU Id’ is required</v>
      </c>
      <c r="L700" t="s">
        <v>33308</v>
      </c>
    </row>
    <row r="701" spans="7:12" x14ac:dyDescent="0.2">
      <c r="G701" t="b">
        <f>IF(OR(INDEX(IHZ_HAZ_UNITTYPE,194,1)="TEU",),INDEX(IHZ_HAZ_TEUID,194,1)&lt;&gt;"",TRUE)</f>
        <v>1</v>
      </c>
      <c r="H701" t="str">
        <f t="shared" ref="H701:H757" si="22">T194&amp;$V$3</f>
        <v>Row 194 - If ‘TEU type’ is ‘TEU’ then ‘TEU Id’ is required</v>
      </c>
      <c r="I701" t="s">
        <v>33308</v>
      </c>
      <c r="J701" t="b">
        <f>IF(OR(INDEX(OHZ_HAZ_UNITTYPE,194,1)="TEU",),INDEX(OHZ_HAZ_TEUID,194,1)&lt;&gt;"",TRUE)</f>
        <v>1</v>
      </c>
      <c r="K701" t="str">
        <f t="shared" ref="K701:K757" si="23">T194&amp;$V$3</f>
        <v>Row 194 - If ‘TEU type’ is ‘TEU’ then ‘TEU Id’ is required</v>
      </c>
      <c r="L701" t="s">
        <v>33308</v>
      </c>
    </row>
    <row r="702" spans="7:12" x14ac:dyDescent="0.2">
      <c r="G702" t="b">
        <f>IF(OR(INDEX(IHZ_HAZ_UNITTYPE,195,1)="TEU",),INDEX(IHZ_HAZ_TEUID,195,1)&lt;&gt;"",TRUE)</f>
        <v>1</v>
      </c>
      <c r="H702" t="str">
        <f t="shared" si="22"/>
        <v>Row 195 - If ‘TEU type’ is ‘TEU’ then ‘TEU Id’ is required</v>
      </c>
      <c r="I702" t="s">
        <v>33308</v>
      </c>
      <c r="J702" t="b">
        <f>IF(OR(INDEX(OHZ_HAZ_UNITTYPE,195,1)="TEU",),INDEX(OHZ_HAZ_TEUID,195,1)&lt;&gt;"",TRUE)</f>
        <v>1</v>
      </c>
      <c r="K702" t="str">
        <f t="shared" si="23"/>
        <v>Row 195 - If ‘TEU type’ is ‘TEU’ then ‘TEU Id’ is required</v>
      </c>
      <c r="L702" t="s">
        <v>33308</v>
      </c>
    </row>
    <row r="703" spans="7:12" x14ac:dyDescent="0.2">
      <c r="G703" t="b">
        <f>IF(OR(INDEX(IHZ_HAZ_UNITTYPE,196,1)="TEU",),INDEX(IHZ_HAZ_TEUID,196,1)&lt;&gt;"",TRUE)</f>
        <v>1</v>
      </c>
      <c r="H703" t="str">
        <f t="shared" si="22"/>
        <v>Row 196 - If ‘TEU type’ is ‘TEU’ then ‘TEU Id’ is required</v>
      </c>
      <c r="I703" t="s">
        <v>33308</v>
      </c>
      <c r="J703" t="b">
        <f>IF(OR(INDEX(OHZ_HAZ_UNITTYPE,196,1)="TEU",),INDEX(OHZ_HAZ_TEUID,196,1)&lt;&gt;"",TRUE)</f>
        <v>1</v>
      </c>
      <c r="K703" t="str">
        <f t="shared" si="23"/>
        <v>Row 196 - If ‘TEU type’ is ‘TEU’ then ‘TEU Id’ is required</v>
      </c>
      <c r="L703" t="s">
        <v>33308</v>
      </c>
    </row>
    <row r="704" spans="7:12" x14ac:dyDescent="0.2">
      <c r="G704" t="b">
        <f>IF(OR(INDEX(IHZ_HAZ_UNITTYPE,197,1)="TEU",),INDEX(IHZ_HAZ_TEUID,197,1)&lt;&gt;"",TRUE)</f>
        <v>1</v>
      </c>
      <c r="H704" t="str">
        <f t="shared" si="22"/>
        <v>Row 197 - If ‘TEU type’ is ‘TEU’ then ‘TEU Id’ is required</v>
      </c>
      <c r="I704" t="s">
        <v>33308</v>
      </c>
      <c r="J704" t="b">
        <f>IF(OR(INDEX(OHZ_HAZ_UNITTYPE,197,1)="TEU",),INDEX(OHZ_HAZ_TEUID,197,1)&lt;&gt;"",TRUE)</f>
        <v>1</v>
      </c>
      <c r="K704" t="str">
        <f t="shared" si="23"/>
        <v>Row 197 - If ‘TEU type’ is ‘TEU’ then ‘TEU Id’ is required</v>
      </c>
      <c r="L704" t="s">
        <v>33308</v>
      </c>
    </row>
    <row r="705" spans="7:12" x14ac:dyDescent="0.2">
      <c r="G705" t="b">
        <f>IF(OR(INDEX(IHZ_HAZ_UNITTYPE,198,1)="TEU",),INDEX(IHZ_HAZ_TEUID,198,1)&lt;&gt;"",TRUE)</f>
        <v>1</v>
      </c>
      <c r="H705" t="str">
        <f t="shared" si="22"/>
        <v>Row 198 - If ‘TEU type’ is ‘TEU’ then ‘TEU Id’ is required</v>
      </c>
      <c r="I705" t="s">
        <v>33308</v>
      </c>
      <c r="J705" t="b">
        <f>IF(OR(INDEX(OHZ_HAZ_UNITTYPE,198,1)="TEU",),INDEX(OHZ_HAZ_TEUID,198,1)&lt;&gt;"",TRUE)</f>
        <v>1</v>
      </c>
      <c r="K705" t="str">
        <f t="shared" si="23"/>
        <v>Row 198 - If ‘TEU type’ is ‘TEU’ then ‘TEU Id’ is required</v>
      </c>
      <c r="L705" t="s">
        <v>33308</v>
      </c>
    </row>
    <row r="706" spans="7:12" x14ac:dyDescent="0.2">
      <c r="G706" t="b">
        <f>IF(OR(INDEX(IHZ_HAZ_UNITTYPE,199,1)="TEU",),INDEX(IHZ_HAZ_TEUID,199,1)&lt;&gt;"",TRUE)</f>
        <v>1</v>
      </c>
      <c r="H706" t="str">
        <f t="shared" si="22"/>
        <v>Row 199 - If ‘TEU type’ is ‘TEU’ then ‘TEU Id’ is required</v>
      </c>
      <c r="I706" t="s">
        <v>33308</v>
      </c>
      <c r="J706" t="b">
        <f>IF(OR(INDEX(OHZ_HAZ_UNITTYPE,199,1)="TEU",),INDEX(OHZ_HAZ_TEUID,199,1)&lt;&gt;"",TRUE)</f>
        <v>1</v>
      </c>
      <c r="K706" t="str">
        <f t="shared" si="23"/>
        <v>Row 199 - If ‘TEU type’ is ‘TEU’ then ‘TEU Id’ is required</v>
      </c>
      <c r="L706" t="s">
        <v>33308</v>
      </c>
    </row>
    <row r="707" spans="7:12" x14ac:dyDescent="0.2">
      <c r="G707" t="b">
        <f>IF(OR(INDEX(IHZ_HAZ_UNITTYPE,200,1)="TEU",),INDEX(IHZ_HAZ_TEUID,200,1)&lt;&gt;"",TRUE)</f>
        <v>1</v>
      </c>
      <c r="H707" t="str">
        <f t="shared" si="22"/>
        <v>Row 200 - If ‘TEU type’ is ‘TEU’ then ‘TEU Id’ is required</v>
      </c>
      <c r="I707" t="s">
        <v>33308</v>
      </c>
      <c r="J707" t="b">
        <f>IF(OR(INDEX(OHZ_HAZ_UNITTYPE,200,1)="TEU",),INDEX(OHZ_HAZ_TEUID,200,1)&lt;&gt;"",TRUE)</f>
        <v>1</v>
      </c>
      <c r="K707" t="str">
        <f t="shared" si="23"/>
        <v>Row 200 - If ‘TEU type’ is ‘TEU’ then ‘TEU Id’ is required</v>
      </c>
      <c r="L707" t="s">
        <v>33308</v>
      </c>
    </row>
    <row r="708" spans="7:12" x14ac:dyDescent="0.2">
      <c r="G708" t="b">
        <f>IF(OR(INDEX(IHZ_HAZ_UNITTYPE,201,1)="TEU",),INDEX(IHZ_HAZ_TEUID,201,1)&lt;&gt;"",TRUE)</f>
        <v>1</v>
      </c>
      <c r="H708" t="str">
        <f t="shared" si="22"/>
        <v>Row 201 - If ‘TEU type’ is ‘TEU’ then ‘TEU Id’ is required</v>
      </c>
      <c r="I708" t="s">
        <v>33308</v>
      </c>
      <c r="J708" t="b">
        <f>IF(OR(INDEX(OHZ_HAZ_UNITTYPE,201,1)="TEU",),INDEX(OHZ_HAZ_TEUID,201,1)&lt;&gt;"",TRUE)</f>
        <v>1</v>
      </c>
      <c r="K708" t="str">
        <f t="shared" si="23"/>
        <v>Row 201 - If ‘TEU type’ is ‘TEU’ then ‘TEU Id’ is required</v>
      </c>
      <c r="L708" t="s">
        <v>33308</v>
      </c>
    </row>
    <row r="709" spans="7:12" x14ac:dyDescent="0.2">
      <c r="G709" t="b">
        <f>IF(OR(INDEX(IHZ_HAZ_UNITTYPE,202,1)="TEU",),INDEX(IHZ_HAZ_TEUID,202,1)&lt;&gt;"",TRUE)</f>
        <v>1</v>
      </c>
      <c r="H709" t="str">
        <f t="shared" si="22"/>
        <v>Row 202 - If ‘TEU type’ is ‘TEU’ then ‘TEU Id’ is required</v>
      </c>
      <c r="I709" t="s">
        <v>33308</v>
      </c>
      <c r="J709" t="b">
        <f>IF(OR(INDEX(OHZ_HAZ_UNITTYPE,202,1)="TEU",),INDEX(OHZ_HAZ_TEUID,202,1)&lt;&gt;"",TRUE)</f>
        <v>1</v>
      </c>
      <c r="K709" t="str">
        <f t="shared" si="23"/>
        <v>Row 202 - If ‘TEU type’ is ‘TEU’ then ‘TEU Id’ is required</v>
      </c>
      <c r="L709" t="s">
        <v>33308</v>
      </c>
    </row>
    <row r="710" spans="7:12" x14ac:dyDescent="0.2">
      <c r="G710" t="b">
        <f>IF(OR(INDEX(IHZ_HAZ_UNITTYPE,203,1)="TEU",),INDEX(IHZ_HAZ_TEUID,203,1)&lt;&gt;"",TRUE)</f>
        <v>1</v>
      </c>
      <c r="H710" t="str">
        <f t="shared" si="22"/>
        <v>Row 203 - If ‘TEU type’ is ‘TEU’ then ‘TEU Id’ is required</v>
      </c>
      <c r="I710" t="s">
        <v>33308</v>
      </c>
      <c r="J710" t="b">
        <f>IF(OR(INDEX(OHZ_HAZ_UNITTYPE,203,1)="TEU",),INDEX(OHZ_HAZ_TEUID,203,1)&lt;&gt;"",TRUE)</f>
        <v>1</v>
      </c>
      <c r="K710" t="str">
        <f t="shared" si="23"/>
        <v>Row 203 - If ‘TEU type’ is ‘TEU’ then ‘TEU Id’ is required</v>
      </c>
      <c r="L710" t="s">
        <v>33308</v>
      </c>
    </row>
    <row r="711" spans="7:12" x14ac:dyDescent="0.2">
      <c r="G711" t="b">
        <f>IF(OR(INDEX(IHZ_HAZ_UNITTYPE,204,1)="TEU",),INDEX(IHZ_HAZ_TEUID,204,1)&lt;&gt;"",TRUE)</f>
        <v>1</v>
      </c>
      <c r="H711" t="str">
        <f t="shared" si="22"/>
        <v>Row 204 - If ‘TEU type’ is ‘TEU’ then ‘TEU Id’ is required</v>
      </c>
      <c r="I711" t="s">
        <v>33308</v>
      </c>
      <c r="J711" t="b">
        <f>IF(OR(INDEX(OHZ_HAZ_UNITTYPE,204,1)="TEU",),INDEX(OHZ_HAZ_TEUID,204,1)&lt;&gt;"",TRUE)</f>
        <v>1</v>
      </c>
      <c r="K711" t="str">
        <f t="shared" si="23"/>
        <v>Row 204 - If ‘TEU type’ is ‘TEU’ then ‘TEU Id’ is required</v>
      </c>
      <c r="L711" t="s">
        <v>33308</v>
      </c>
    </row>
    <row r="712" spans="7:12" x14ac:dyDescent="0.2">
      <c r="G712" t="b">
        <f>IF(OR(INDEX(IHZ_HAZ_UNITTYPE,205,1)="TEU",),INDEX(IHZ_HAZ_TEUID,205,1)&lt;&gt;"",TRUE)</f>
        <v>1</v>
      </c>
      <c r="H712" t="str">
        <f t="shared" si="22"/>
        <v>Row 205 - If ‘TEU type’ is ‘TEU’ then ‘TEU Id’ is required</v>
      </c>
      <c r="I712" t="s">
        <v>33308</v>
      </c>
      <c r="J712" t="b">
        <f>IF(OR(INDEX(OHZ_HAZ_UNITTYPE,205,1)="TEU",),INDEX(OHZ_HAZ_TEUID,205,1)&lt;&gt;"",TRUE)</f>
        <v>1</v>
      </c>
      <c r="K712" t="str">
        <f t="shared" si="23"/>
        <v>Row 205 - If ‘TEU type’ is ‘TEU’ then ‘TEU Id’ is required</v>
      </c>
      <c r="L712" t="s">
        <v>33308</v>
      </c>
    </row>
    <row r="713" spans="7:12" x14ac:dyDescent="0.2">
      <c r="G713" t="b">
        <f>IF(OR(INDEX(IHZ_HAZ_UNITTYPE,206,1)="TEU",),INDEX(IHZ_HAZ_TEUID,206,1)&lt;&gt;"",TRUE)</f>
        <v>1</v>
      </c>
      <c r="H713" t="str">
        <f t="shared" si="22"/>
        <v>Row 206 - If ‘TEU type’ is ‘TEU’ then ‘TEU Id’ is required</v>
      </c>
      <c r="I713" t="s">
        <v>33308</v>
      </c>
      <c r="J713" t="b">
        <f>IF(OR(INDEX(OHZ_HAZ_UNITTYPE,206,1)="TEU",),INDEX(OHZ_HAZ_TEUID,206,1)&lt;&gt;"",TRUE)</f>
        <v>1</v>
      </c>
      <c r="K713" t="str">
        <f t="shared" si="23"/>
        <v>Row 206 - If ‘TEU type’ is ‘TEU’ then ‘TEU Id’ is required</v>
      </c>
      <c r="L713" t="s">
        <v>33308</v>
      </c>
    </row>
    <row r="714" spans="7:12" x14ac:dyDescent="0.2">
      <c r="G714" t="b">
        <f>IF(OR(INDEX(IHZ_HAZ_UNITTYPE,207,1)="TEU",),INDEX(IHZ_HAZ_TEUID,207,1)&lt;&gt;"",TRUE)</f>
        <v>1</v>
      </c>
      <c r="H714" t="str">
        <f t="shared" si="22"/>
        <v>Row 207 - If ‘TEU type’ is ‘TEU’ then ‘TEU Id’ is required</v>
      </c>
      <c r="I714" t="s">
        <v>33308</v>
      </c>
      <c r="J714" t="b">
        <f>IF(OR(INDEX(OHZ_HAZ_UNITTYPE,207,1)="TEU",),INDEX(OHZ_HAZ_TEUID,207,1)&lt;&gt;"",TRUE)</f>
        <v>1</v>
      </c>
      <c r="K714" t="str">
        <f t="shared" si="23"/>
        <v>Row 207 - If ‘TEU type’ is ‘TEU’ then ‘TEU Id’ is required</v>
      </c>
      <c r="L714" t="s">
        <v>33308</v>
      </c>
    </row>
    <row r="715" spans="7:12" x14ac:dyDescent="0.2">
      <c r="G715" t="b">
        <f>IF(OR(INDEX(IHZ_HAZ_UNITTYPE,208,1)="TEU",),INDEX(IHZ_HAZ_TEUID,208,1)&lt;&gt;"",TRUE)</f>
        <v>1</v>
      </c>
      <c r="H715" t="str">
        <f t="shared" si="22"/>
        <v>Row 208 - If ‘TEU type’ is ‘TEU’ then ‘TEU Id’ is required</v>
      </c>
      <c r="I715" t="s">
        <v>33308</v>
      </c>
      <c r="J715" t="b">
        <f>IF(OR(INDEX(OHZ_HAZ_UNITTYPE,208,1)="TEU",),INDEX(OHZ_HAZ_TEUID,208,1)&lt;&gt;"",TRUE)</f>
        <v>1</v>
      </c>
      <c r="K715" t="str">
        <f t="shared" si="23"/>
        <v>Row 208 - If ‘TEU type’ is ‘TEU’ then ‘TEU Id’ is required</v>
      </c>
      <c r="L715" t="s">
        <v>33308</v>
      </c>
    </row>
    <row r="716" spans="7:12" x14ac:dyDescent="0.2">
      <c r="G716" t="b">
        <f>IF(OR(INDEX(IHZ_HAZ_UNITTYPE,209,1)="TEU",),INDEX(IHZ_HAZ_TEUID,209,1)&lt;&gt;"",TRUE)</f>
        <v>1</v>
      </c>
      <c r="H716" t="str">
        <f t="shared" si="22"/>
        <v>Row 209 - If ‘TEU type’ is ‘TEU’ then ‘TEU Id’ is required</v>
      </c>
      <c r="I716" t="s">
        <v>33308</v>
      </c>
      <c r="J716" t="b">
        <f>IF(OR(INDEX(OHZ_HAZ_UNITTYPE,209,1)="TEU",),INDEX(OHZ_HAZ_TEUID,209,1)&lt;&gt;"",TRUE)</f>
        <v>1</v>
      </c>
      <c r="K716" t="str">
        <f t="shared" si="23"/>
        <v>Row 209 - If ‘TEU type’ is ‘TEU’ then ‘TEU Id’ is required</v>
      </c>
      <c r="L716" t="s">
        <v>33308</v>
      </c>
    </row>
    <row r="717" spans="7:12" x14ac:dyDescent="0.2">
      <c r="G717" t="b">
        <f>IF(OR(INDEX(IHZ_HAZ_UNITTYPE,210,1)="TEU",),INDEX(IHZ_HAZ_TEUID,210,1)&lt;&gt;"",TRUE)</f>
        <v>1</v>
      </c>
      <c r="H717" t="str">
        <f t="shared" si="22"/>
        <v>Row 210 - If ‘TEU type’ is ‘TEU’ then ‘TEU Id’ is required</v>
      </c>
      <c r="I717" t="s">
        <v>33308</v>
      </c>
      <c r="J717" t="b">
        <f>IF(OR(INDEX(OHZ_HAZ_UNITTYPE,210,1)="TEU",),INDEX(OHZ_HAZ_TEUID,210,1)&lt;&gt;"",TRUE)</f>
        <v>1</v>
      </c>
      <c r="K717" t="str">
        <f t="shared" si="23"/>
        <v>Row 210 - If ‘TEU type’ is ‘TEU’ then ‘TEU Id’ is required</v>
      </c>
      <c r="L717" t="s">
        <v>33308</v>
      </c>
    </row>
    <row r="718" spans="7:12" x14ac:dyDescent="0.2">
      <c r="G718" t="b">
        <f>IF(OR(INDEX(IHZ_HAZ_UNITTYPE,211,1)="TEU",),INDEX(IHZ_HAZ_TEUID,211,1)&lt;&gt;"",TRUE)</f>
        <v>1</v>
      </c>
      <c r="H718" t="str">
        <f t="shared" si="22"/>
        <v>Row 211 - If ‘TEU type’ is ‘TEU’ then ‘TEU Id’ is required</v>
      </c>
      <c r="I718" t="s">
        <v>33308</v>
      </c>
      <c r="J718" t="b">
        <f>IF(OR(INDEX(OHZ_HAZ_UNITTYPE,211,1)="TEU",),INDEX(OHZ_HAZ_TEUID,211,1)&lt;&gt;"",TRUE)</f>
        <v>1</v>
      </c>
      <c r="K718" t="str">
        <f t="shared" si="23"/>
        <v>Row 211 - If ‘TEU type’ is ‘TEU’ then ‘TEU Id’ is required</v>
      </c>
      <c r="L718" t="s">
        <v>33308</v>
      </c>
    </row>
    <row r="719" spans="7:12" x14ac:dyDescent="0.2">
      <c r="G719" t="b">
        <f>IF(OR(INDEX(IHZ_HAZ_UNITTYPE,212,1)="TEU",),INDEX(IHZ_HAZ_TEUID,212,1)&lt;&gt;"",TRUE)</f>
        <v>1</v>
      </c>
      <c r="H719" t="str">
        <f t="shared" si="22"/>
        <v>Row 212 - If ‘TEU type’ is ‘TEU’ then ‘TEU Id’ is required</v>
      </c>
      <c r="I719" t="s">
        <v>33308</v>
      </c>
      <c r="J719" t="b">
        <f>IF(OR(INDEX(OHZ_HAZ_UNITTYPE,212,1)="TEU",),INDEX(OHZ_HAZ_TEUID,212,1)&lt;&gt;"",TRUE)</f>
        <v>1</v>
      </c>
      <c r="K719" t="str">
        <f t="shared" si="23"/>
        <v>Row 212 - If ‘TEU type’ is ‘TEU’ then ‘TEU Id’ is required</v>
      </c>
      <c r="L719" t="s">
        <v>33308</v>
      </c>
    </row>
    <row r="720" spans="7:12" x14ac:dyDescent="0.2">
      <c r="G720" t="b">
        <f>IF(OR(INDEX(IHZ_HAZ_UNITTYPE,213,1)="TEU",),INDEX(IHZ_HAZ_TEUID,213,1)&lt;&gt;"",TRUE)</f>
        <v>1</v>
      </c>
      <c r="H720" t="str">
        <f t="shared" si="22"/>
        <v>Row 213 - If ‘TEU type’ is ‘TEU’ then ‘TEU Id’ is required</v>
      </c>
      <c r="I720" t="s">
        <v>33308</v>
      </c>
      <c r="J720" t="b">
        <f>IF(OR(INDEX(OHZ_HAZ_UNITTYPE,213,1)="TEU",),INDEX(OHZ_HAZ_TEUID,213,1)&lt;&gt;"",TRUE)</f>
        <v>1</v>
      </c>
      <c r="K720" t="str">
        <f t="shared" si="23"/>
        <v>Row 213 - If ‘TEU type’ is ‘TEU’ then ‘TEU Id’ is required</v>
      </c>
      <c r="L720" t="s">
        <v>33308</v>
      </c>
    </row>
    <row r="721" spans="7:12" x14ac:dyDescent="0.2">
      <c r="G721" t="b">
        <f>IF(OR(INDEX(IHZ_HAZ_UNITTYPE,214,1)="TEU",),INDEX(IHZ_HAZ_TEUID,214,1)&lt;&gt;"",TRUE)</f>
        <v>1</v>
      </c>
      <c r="H721" t="str">
        <f t="shared" si="22"/>
        <v>Row 214 - If ‘TEU type’ is ‘TEU’ then ‘TEU Id’ is required</v>
      </c>
      <c r="I721" t="s">
        <v>33308</v>
      </c>
      <c r="J721" t="b">
        <f>IF(OR(INDEX(OHZ_HAZ_UNITTYPE,214,1)="TEU",),INDEX(OHZ_HAZ_TEUID,214,1)&lt;&gt;"",TRUE)</f>
        <v>1</v>
      </c>
      <c r="K721" t="str">
        <f t="shared" si="23"/>
        <v>Row 214 - If ‘TEU type’ is ‘TEU’ then ‘TEU Id’ is required</v>
      </c>
      <c r="L721" t="s">
        <v>33308</v>
      </c>
    </row>
    <row r="722" spans="7:12" x14ac:dyDescent="0.2">
      <c r="G722" t="b">
        <f>IF(OR(INDEX(IHZ_HAZ_UNITTYPE,215,1)="TEU",),INDEX(IHZ_HAZ_TEUID,215,1)&lt;&gt;"",TRUE)</f>
        <v>1</v>
      </c>
      <c r="H722" t="str">
        <f t="shared" si="22"/>
        <v>Row 215 - If ‘TEU type’ is ‘TEU’ then ‘TEU Id’ is required</v>
      </c>
      <c r="I722" t="s">
        <v>33308</v>
      </c>
      <c r="J722" t="b">
        <f>IF(OR(INDEX(OHZ_HAZ_UNITTYPE,215,1)="TEU",),INDEX(OHZ_HAZ_TEUID,215,1)&lt;&gt;"",TRUE)</f>
        <v>1</v>
      </c>
      <c r="K722" t="str">
        <f t="shared" si="23"/>
        <v>Row 215 - If ‘TEU type’ is ‘TEU’ then ‘TEU Id’ is required</v>
      </c>
      <c r="L722" t="s">
        <v>33308</v>
      </c>
    </row>
    <row r="723" spans="7:12" x14ac:dyDescent="0.2">
      <c r="G723" t="b">
        <f>IF(OR(INDEX(IHZ_HAZ_UNITTYPE,216,1)="TEU",),INDEX(IHZ_HAZ_TEUID,216,1)&lt;&gt;"",TRUE)</f>
        <v>1</v>
      </c>
      <c r="H723" t="str">
        <f t="shared" si="22"/>
        <v>Row 216 - If ‘TEU type’ is ‘TEU’ then ‘TEU Id’ is required</v>
      </c>
      <c r="I723" t="s">
        <v>33308</v>
      </c>
      <c r="J723" t="b">
        <f>IF(OR(INDEX(OHZ_HAZ_UNITTYPE,216,1)="TEU",),INDEX(OHZ_HAZ_TEUID,216,1)&lt;&gt;"",TRUE)</f>
        <v>1</v>
      </c>
      <c r="K723" t="str">
        <f t="shared" si="23"/>
        <v>Row 216 - If ‘TEU type’ is ‘TEU’ then ‘TEU Id’ is required</v>
      </c>
      <c r="L723" t="s">
        <v>33308</v>
      </c>
    </row>
    <row r="724" spans="7:12" x14ac:dyDescent="0.2">
      <c r="G724" t="b">
        <f>IF(OR(INDEX(IHZ_HAZ_UNITTYPE,217,1)="TEU",),INDEX(IHZ_HAZ_TEUID,217,1)&lt;&gt;"",TRUE)</f>
        <v>1</v>
      </c>
      <c r="H724" t="str">
        <f t="shared" si="22"/>
        <v>Row 217 - If ‘TEU type’ is ‘TEU’ then ‘TEU Id’ is required</v>
      </c>
      <c r="I724" t="s">
        <v>33308</v>
      </c>
      <c r="J724" t="b">
        <f>IF(OR(INDEX(OHZ_HAZ_UNITTYPE,217,1)="TEU",),INDEX(OHZ_HAZ_TEUID,217,1)&lt;&gt;"",TRUE)</f>
        <v>1</v>
      </c>
      <c r="K724" t="str">
        <f t="shared" si="23"/>
        <v>Row 217 - If ‘TEU type’ is ‘TEU’ then ‘TEU Id’ is required</v>
      </c>
      <c r="L724" t="s">
        <v>33308</v>
      </c>
    </row>
    <row r="725" spans="7:12" x14ac:dyDescent="0.2">
      <c r="G725" t="b">
        <f>IF(OR(INDEX(IHZ_HAZ_UNITTYPE,218,1)="TEU",),INDEX(IHZ_HAZ_TEUID,218,1)&lt;&gt;"",TRUE)</f>
        <v>1</v>
      </c>
      <c r="H725" t="str">
        <f t="shared" si="22"/>
        <v>Row 218 - If ‘TEU type’ is ‘TEU’ then ‘TEU Id’ is required</v>
      </c>
      <c r="I725" t="s">
        <v>33308</v>
      </c>
      <c r="J725" t="b">
        <f>IF(OR(INDEX(OHZ_HAZ_UNITTYPE,218,1)="TEU",),INDEX(OHZ_HAZ_TEUID,218,1)&lt;&gt;"",TRUE)</f>
        <v>1</v>
      </c>
      <c r="K725" t="str">
        <f t="shared" si="23"/>
        <v>Row 218 - If ‘TEU type’ is ‘TEU’ then ‘TEU Id’ is required</v>
      </c>
      <c r="L725" t="s">
        <v>33308</v>
      </c>
    </row>
    <row r="726" spans="7:12" x14ac:dyDescent="0.2">
      <c r="G726" t="b">
        <f>IF(OR(INDEX(IHZ_HAZ_UNITTYPE,219,1)="TEU",),INDEX(IHZ_HAZ_TEUID,219,1)&lt;&gt;"",TRUE)</f>
        <v>1</v>
      </c>
      <c r="H726" t="str">
        <f t="shared" si="22"/>
        <v>Row 219 - If ‘TEU type’ is ‘TEU’ then ‘TEU Id’ is required</v>
      </c>
      <c r="I726" t="s">
        <v>33308</v>
      </c>
      <c r="J726" t="b">
        <f>IF(OR(INDEX(OHZ_HAZ_UNITTYPE,219,1)="TEU",),INDEX(OHZ_HAZ_TEUID,219,1)&lt;&gt;"",TRUE)</f>
        <v>1</v>
      </c>
      <c r="K726" t="str">
        <f t="shared" si="23"/>
        <v>Row 219 - If ‘TEU type’ is ‘TEU’ then ‘TEU Id’ is required</v>
      </c>
      <c r="L726" t="s">
        <v>33308</v>
      </c>
    </row>
    <row r="727" spans="7:12" x14ac:dyDescent="0.2">
      <c r="G727" t="b">
        <f>IF(OR(INDEX(IHZ_HAZ_UNITTYPE,220,1)="TEU",),INDEX(IHZ_HAZ_TEUID,220,1)&lt;&gt;"",TRUE)</f>
        <v>1</v>
      </c>
      <c r="H727" t="str">
        <f t="shared" si="22"/>
        <v>Row 220 - If ‘TEU type’ is ‘TEU’ then ‘TEU Id’ is required</v>
      </c>
      <c r="I727" t="s">
        <v>33308</v>
      </c>
      <c r="J727" t="b">
        <f>IF(OR(INDEX(OHZ_HAZ_UNITTYPE,220,1)="TEU",),INDEX(OHZ_HAZ_TEUID,220,1)&lt;&gt;"",TRUE)</f>
        <v>1</v>
      </c>
      <c r="K727" t="str">
        <f t="shared" si="23"/>
        <v>Row 220 - If ‘TEU type’ is ‘TEU’ then ‘TEU Id’ is required</v>
      </c>
      <c r="L727" t="s">
        <v>33308</v>
      </c>
    </row>
    <row r="728" spans="7:12" x14ac:dyDescent="0.2">
      <c r="G728" t="b">
        <f>IF(OR(INDEX(IHZ_HAZ_UNITTYPE,221,1)="TEU",),INDEX(IHZ_HAZ_TEUID,221,1)&lt;&gt;"",TRUE)</f>
        <v>1</v>
      </c>
      <c r="H728" t="str">
        <f t="shared" si="22"/>
        <v>Row 221 - If ‘TEU type’ is ‘TEU’ then ‘TEU Id’ is required</v>
      </c>
      <c r="I728" t="s">
        <v>33308</v>
      </c>
      <c r="J728" t="b">
        <f>IF(OR(INDEX(OHZ_HAZ_UNITTYPE,221,1)="TEU",),INDEX(OHZ_HAZ_TEUID,221,1)&lt;&gt;"",TRUE)</f>
        <v>1</v>
      </c>
      <c r="K728" t="str">
        <f t="shared" si="23"/>
        <v>Row 221 - If ‘TEU type’ is ‘TEU’ then ‘TEU Id’ is required</v>
      </c>
      <c r="L728" t="s">
        <v>33308</v>
      </c>
    </row>
    <row r="729" spans="7:12" x14ac:dyDescent="0.2">
      <c r="G729" t="b">
        <f>IF(OR(INDEX(IHZ_HAZ_UNITTYPE,222,1)="TEU",),INDEX(IHZ_HAZ_TEUID,222,1)&lt;&gt;"",TRUE)</f>
        <v>1</v>
      </c>
      <c r="H729" t="str">
        <f t="shared" si="22"/>
        <v>Row 222 - If ‘TEU type’ is ‘TEU’ then ‘TEU Id’ is required</v>
      </c>
      <c r="I729" t="s">
        <v>33308</v>
      </c>
      <c r="J729" t="b">
        <f>IF(OR(INDEX(OHZ_HAZ_UNITTYPE,222,1)="TEU",),INDEX(OHZ_HAZ_TEUID,222,1)&lt;&gt;"",TRUE)</f>
        <v>1</v>
      </c>
      <c r="K729" t="str">
        <f t="shared" si="23"/>
        <v>Row 222 - If ‘TEU type’ is ‘TEU’ then ‘TEU Id’ is required</v>
      </c>
      <c r="L729" t="s">
        <v>33308</v>
      </c>
    </row>
    <row r="730" spans="7:12" x14ac:dyDescent="0.2">
      <c r="G730" t="b">
        <f>IF(OR(INDEX(IHZ_HAZ_UNITTYPE,223,1)="TEU",),INDEX(IHZ_HAZ_TEUID,223,1)&lt;&gt;"",TRUE)</f>
        <v>1</v>
      </c>
      <c r="H730" t="str">
        <f t="shared" si="22"/>
        <v>Row 223 - If ‘TEU type’ is ‘TEU’ then ‘TEU Id’ is required</v>
      </c>
      <c r="I730" t="s">
        <v>33308</v>
      </c>
      <c r="J730" t="b">
        <f>IF(OR(INDEX(OHZ_HAZ_UNITTYPE,223,1)="TEU",),INDEX(OHZ_HAZ_TEUID,223,1)&lt;&gt;"",TRUE)</f>
        <v>1</v>
      </c>
      <c r="K730" t="str">
        <f t="shared" si="23"/>
        <v>Row 223 - If ‘TEU type’ is ‘TEU’ then ‘TEU Id’ is required</v>
      </c>
      <c r="L730" t="s">
        <v>33308</v>
      </c>
    </row>
    <row r="731" spans="7:12" x14ac:dyDescent="0.2">
      <c r="G731" t="b">
        <f>IF(OR(INDEX(IHZ_HAZ_UNITTYPE,224,1)="TEU",),INDEX(IHZ_HAZ_TEUID,224,1)&lt;&gt;"",TRUE)</f>
        <v>1</v>
      </c>
      <c r="H731" t="str">
        <f t="shared" si="22"/>
        <v>Row 224 - If ‘TEU type’ is ‘TEU’ then ‘TEU Id’ is required</v>
      </c>
      <c r="I731" t="s">
        <v>33308</v>
      </c>
      <c r="J731" t="b">
        <f>IF(OR(INDEX(OHZ_HAZ_UNITTYPE,224,1)="TEU",),INDEX(OHZ_HAZ_TEUID,224,1)&lt;&gt;"",TRUE)</f>
        <v>1</v>
      </c>
      <c r="K731" t="str">
        <f t="shared" si="23"/>
        <v>Row 224 - If ‘TEU type’ is ‘TEU’ then ‘TEU Id’ is required</v>
      </c>
      <c r="L731" t="s">
        <v>33308</v>
      </c>
    </row>
    <row r="732" spans="7:12" x14ac:dyDescent="0.2">
      <c r="G732" t="b">
        <f>IF(OR(INDEX(IHZ_HAZ_UNITTYPE,225,1)="TEU",),INDEX(IHZ_HAZ_TEUID,225,1)&lt;&gt;"",TRUE)</f>
        <v>1</v>
      </c>
      <c r="H732" t="str">
        <f t="shared" si="22"/>
        <v>Row 225 - If ‘TEU type’ is ‘TEU’ then ‘TEU Id’ is required</v>
      </c>
      <c r="I732" t="s">
        <v>33308</v>
      </c>
      <c r="J732" t="b">
        <f>IF(OR(INDEX(OHZ_HAZ_UNITTYPE,225,1)="TEU",),INDEX(OHZ_HAZ_TEUID,225,1)&lt;&gt;"",TRUE)</f>
        <v>1</v>
      </c>
      <c r="K732" t="str">
        <f t="shared" si="23"/>
        <v>Row 225 - If ‘TEU type’ is ‘TEU’ then ‘TEU Id’ is required</v>
      </c>
      <c r="L732" t="s">
        <v>33308</v>
      </c>
    </row>
    <row r="733" spans="7:12" x14ac:dyDescent="0.2">
      <c r="G733" t="b">
        <f>IF(OR(INDEX(IHZ_HAZ_UNITTYPE,226,1)="TEU",),INDEX(IHZ_HAZ_TEUID,226,1)&lt;&gt;"",TRUE)</f>
        <v>1</v>
      </c>
      <c r="H733" t="str">
        <f t="shared" si="22"/>
        <v>Row 226 - If ‘TEU type’ is ‘TEU’ then ‘TEU Id’ is required</v>
      </c>
      <c r="I733" t="s">
        <v>33308</v>
      </c>
      <c r="J733" t="b">
        <f>IF(OR(INDEX(OHZ_HAZ_UNITTYPE,226,1)="TEU",),INDEX(OHZ_HAZ_TEUID,226,1)&lt;&gt;"",TRUE)</f>
        <v>1</v>
      </c>
      <c r="K733" t="str">
        <f t="shared" si="23"/>
        <v>Row 226 - If ‘TEU type’ is ‘TEU’ then ‘TEU Id’ is required</v>
      </c>
      <c r="L733" t="s">
        <v>33308</v>
      </c>
    </row>
    <row r="734" spans="7:12" x14ac:dyDescent="0.2">
      <c r="G734" t="b">
        <f>IF(OR(INDEX(IHZ_HAZ_UNITTYPE,227,1)="TEU",),INDEX(IHZ_HAZ_TEUID,227,1)&lt;&gt;"",TRUE)</f>
        <v>1</v>
      </c>
      <c r="H734" t="str">
        <f t="shared" si="22"/>
        <v>Row 227 - If ‘TEU type’ is ‘TEU’ then ‘TEU Id’ is required</v>
      </c>
      <c r="I734" t="s">
        <v>33308</v>
      </c>
      <c r="J734" t="b">
        <f>IF(OR(INDEX(OHZ_HAZ_UNITTYPE,227,1)="TEU",),INDEX(OHZ_HAZ_TEUID,227,1)&lt;&gt;"",TRUE)</f>
        <v>1</v>
      </c>
      <c r="K734" t="str">
        <f t="shared" si="23"/>
        <v>Row 227 - If ‘TEU type’ is ‘TEU’ then ‘TEU Id’ is required</v>
      </c>
      <c r="L734" t="s">
        <v>33308</v>
      </c>
    </row>
    <row r="735" spans="7:12" x14ac:dyDescent="0.2">
      <c r="G735" t="b">
        <f>IF(OR(INDEX(IHZ_HAZ_UNITTYPE,228,1)="TEU",),INDEX(IHZ_HAZ_TEUID,228,1)&lt;&gt;"",TRUE)</f>
        <v>1</v>
      </c>
      <c r="H735" t="str">
        <f t="shared" si="22"/>
        <v>Row 228 - If ‘TEU type’ is ‘TEU’ then ‘TEU Id’ is required</v>
      </c>
      <c r="I735" t="s">
        <v>33308</v>
      </c>
      <c r="J735" t="b">
        <f>IF(OR(INDEX(OHZ_HAZ_UNITTYPE,228,1)="TEU",),INDEX(OHZ_HAZ_TEUID,228,1)&lt;&gt;"",TRUE)</f>
        <v>1</v>
      </c>
      <c r="K735" t="str">
        <f t="shared" si="23"/>
        <v>Row 228 - If ‘TEU type’ is ‘TEU’ then ‘TEU Id’ is required</v>
      </c>
      <c r="L735" t="s">
        <v>33308</v>
      </c>
    </row>
    <row r="736" spans="7:12" x14ac:dyDescent="0.2">
      <c r="G736" t="b">
        <f>IF(OR(INDEX(IHZ_HAZ_UNITTYPE,229,1)="TEU",),INDEX(IHZ_HAZ_TEUID,229,1)&lt;&gt;"",TRUE)</f>
        <v>1</v>
      </c>
      <c r="H736" t="str">
        <f t="shared" si="22"/>
        <v>Row 229 - If ‘TEU type’ is ‘TEU’ then ‘TEU Id’ is required</v>
      </c>
      <c r="I736" t="s">
        <v>33308</v>
      </c>
      <c r="J736" t="b">
        <f>IF(OR(INDEX(OHZ_HAZ_UNITTYPE,229,1)="TEU",),INDEX(OHZ_HAZ_TEUID,229,1)&lt;&gt;"",TRUE)</f>
        <v>1</v>
      </c>
      <c r="K736" t="str">
        <f t="shared" si="23"/>
        <v>Row 229 - If ‘TEU type’ is ‘TEU’ then ‘TEU Id’ is required</v>
      </c>
      <c r="L736" t="s">
        <v>33308</v>
      </c>
    </row>
    <row r="737" spans="7:12" x14ac:dyDescent="0.2">
      <c r="G737" t="b">
        <f>IF(OR(INDEX(IHZ_HAZ_UNITTYPE,230,1)="TEU",),INDEX(IHZ_HAZ_TEUID,230,1)&lt;&gt;"",TRUE)</f>
        <v>1</v>
      </c>
      <c r="H737" t="str">
        <f t="shared" si="22"/>
        <v>Row 230 - If ‘TEU type’ is ‘TEU’ then ‘TEU Id’ is required</v>
      </c>
      <c r="I737" t="s">
        <v>33308</v>
      </c>
      <c r="J737" t="b">
        <f>IF(OR(INDEX(OHZ_HAZ_UNITTYPE,230,1)="TEU",),INDEX(OHZ_HAZ_TEUID,230,1)&lt;&gt;"",TRUE)</f>
        <v>1</v>
      </c>
      <c r="K737" t="str">
        <f t="shared" si="23"/>
        <v>Row 230 - If ‘TEU type’ is ‘TEU’ then ‘TEU Id’ is required</v>
      </c>
      <c r="L737" t="s">
        <v>33308</v>
      </c>
    </row>
    <row r="738" spans="7:12" x14ac:dyDescent="0.2">
      <c r="G738" t="b">
        <f>IF(OR(INDEX(IHZ_HAZ_UNITTYPE,231,1)="TEU",),INDEX(IHZ_HAZ_TEUID,231,1)&lt;&gt;"",TRUE)</f>
        <v>1</v>
      </c>
      <c r="H738" t="str">
        <f t="shared" si="22"/>
        <v>Row 231 - If ‘TEU type’ is ‘TEU’ then ‘TEU Id’ is required</v>
      </c>
      <c r="I738" t="s">
        <v>33308</v>
      </c>
      <c r="J738" t="b">
        <f>IF(OR(INDEX(OHZ_HAZ_UNITTYPE,231,1)="TEU",),INDEX(OHZ_HAZ_TEUID,231,1)&lt;&gt;"",TRUE)</f>
        <v>1</v>
      </c>
      <c r="K738" t="str">
        <f t="shared" si="23"/>
        <v>Row 231 - If ‘TEU type’ is ‘TEU’ then ‘TEU Id’ is required</v>
      </c>
      <c r="L738" t="s">
        <v>33308</v>
      </c>
    </row>
    <row r="739" spans="7:12" x14ac:dyDescent="0.2">
      <c r="G739" t="b">
        <f>IF(OR(INDEX(IHZ_HAZ_UNITTYPE,232,1)="TEU",),INDEX(IHZ_HAZ_TEUID,232,1)&lt;&gt;"",TRUE)</f>
        <v>1</v>
      </c>
      <c r="H739" t="str">
        <f t="shared" si="22"/>
        <v>Row 232 - If ‘TEU type’ is ‘TEU’ then ‘TEU Id’ is required</v>
      </c>
      <c r="I739" t="s">
        <v>33308</v>
      </c>
      <c r="J739" t="b">
        <f>IF(OR(INDEX(OHZ_HAZ_UNITTYPE,232,1)="TEU",),INDEX(OHZ_HAZ_TEUID,232,1)&lt;&gt;"",TRUE)</f>
        <v>1</v>
      </c>
      <c r="K739" t="str">
        <f t="shared" si="23"/>
        <v>Row 232 - If ‘TEU type’ is ‘TEU’ then ‘TEU Id’ is required</v>
      </c>
      <c r="L739" t="s">
        <v>33308</v>
      </c>
    </row>
    <row r="740" spans="7:12" x14ac:dyDescent="0.2">
      <c r="G740" t="b">
        <f>IF(OR(INDEX(IHZ_HAZ_UNITTYPE,233,1)="TEU",),INDEX(IHZ_HAZ_TEUID,233,1)&lt;&gt;"",TRUE)</f>
        <v>1</v>
      </c>
      <c r="H740" t="str">
        <f t="shared" si="22"/>
        <v>Row 233 - If ‘TEU type’ is ‘TEU’ then ‘TEU Id’ is required</v>
      </c>
      <c r="I740" t="s">
        <v>33308</v>
      </c>
      <c r="J740" t="b">
        <f>IF(OR(INDEX(OHZ_HAZ_UNITTYPE,233,1)="TEU",),INDEX(OHZ_HAZ_TEUID,233,1)&lt;&gt;"",TRUE)</f>
        <v>1</v>
      </c>
      <c r="K740" t="str">
        <f t="shared" si="23"/>
        <v>Row 233 - If ‘TEU type’ is ‘TEU’ then ‘TEU Id’ is required</v>
      </c>
      <c r="L740" t="s">
        <v>33308</v>
      </c>
    </row>
    <row r="741" spans="7:12" x14ac:dyDescent="0.2">
      <c r="G741" t="b">
        <f>IF(OR(INDEX(IHZ_HAZ_UNITTYPE,234,1)="TEU",),INDEX(IHZ_HAZ_TEUID,234,1)&lt;&gt;"",TRUE)</f>
        <v>1</v>
      </c>
      <c r="H741" t="str">
        <f t="shared" si="22"/>
        <v>Row 234 - If ‘TEU type’ is ‘TEU’ then ‘TEU Id’ is required</v>
      </c>
      <c r="I741" t="s">
        <v>33308</v>
      </c>
      <c r="J741" t="b">
        <f>IF(OR(INDEX(OHZ_HAZ_UNITTYPE,234,1)="TEU",),INDEX(OHZ_HAZ_TEUID,234,1)&lt;&gt;"",TRUE)</f>
        <v>1</v>
      </c>
      <c r="K741" t="str">
        <f t="shared" si="23"/>
        <v>Row 234 - If ‘TEU type’ is ‘TEU’ then ‘TEU Id’ is required</v>
      </c>
      <c r="L741" t="s">
        <v>33308</v>
      </c>
    </row>
    <row r="742" spans="7:12" x14ac:dyDescent="0.2">
      <c r="G742" t="b">
        <f>IF(OR(INDEX(IHZ_HAZ_UNITTYPE,235,1)="TEU",),INDEX(IHZ_HAZ_TEUID,235,1)&lt;&gt;"",TRUE)</f>
        <v>1</v>
      </c>
      <c r="H742" t="str">
        <f t="shared" si="22"/>
        <v>Row 235 - If ‘TEU type’ is ‘TEU’ then ‘TEU Id’ is required</v>
      </c>
      <c r="I742" t="s">
        <v>33308</v>
      </c>
      <c r="J742" t="b">
        <f>IF(OR(INDEX(OHZ_HAZ_UNITTYPE,235,1)="TEU",),INDEX(OHZ_HAZ_TEUID,235,1)&lt;&gt;"",TRUE)</f>
        <v>1</v>
      </c>
      <c r="K742" t="str">
        <f t="shared" si="23"/>
        <v>Row 235 - If ‘TEU type’ is ‘TEU’ then ‘TEU Id’ is required</v>
      </c>
      <c r="L742" t="s">
        <v>33308</v>
      </c>
    </row>
    <row r="743" spans="7:12" x14ac:dyDescent="0.2">
      <c r="G743" t="b">
        <f>IF(OR(INDEX(IHZ_HAZ_UNITTYPE,236,1)="TEU",),INDEX(IHZ_HAZ_TEUID,236,1)&lt;&gt;"",TRUE)</f>
        <v>1</v>
      </c>
      <c r="H743" t="str">
        <f t="shared" si="22"/>
        <v>Row 236 - If ‘TEU type’ is ‘TEU’ then ‘TEU Id’ is required</v>
      </c>
      <c r="I743" t="s">
        <v>33308</v>
      </c>
      <c r="J743" t="b">
        <f>IF(OR(INDEX(OHZ_HAZ_UNITTYPE,236,1)="TEU",),INDEX(OHZ_HAZ_TEUID,236,1)&lt;&gt;"",TRUE)</f>
        <v>1</v>
      </c>
      <c r="K743" t="str">
        <f t="shared" si="23"/>
        <v>Row 236 - If ‘TEU type’ is ‘TEU’ then ‘TEU Id’ is required</v>
      </c>
      <c r="L743" t="s">
        <v>33308</v>
      </c>
    </row>
    <row r="744" spans="7:12" x14ac:dyDescent="0.2">
      <c r="G744" t="b">
        <f>IF(OR(INDEX(IHZ_HAZ_UNITTYPE,237,1)="TEU",),INDEX(IHZ_HAZ_TEUID,237,1)&lt;&gt;"",TRUE)</f>
        <v>1</v>
      </c>
      <c r="H744" t="str">
        <f t="shared" si="22"/>
        <v>Row 237 - If ‘TEU type’ is ‘TEU’ then ‘TEU Id’ is required</v>
      </c>
      <c r="I744" t="s">
        <v>33308</v>
      </c>
      <c r="J744" t="b">
        <f>IF(OR(INDEX(OHZ_HAZ_UNITTYPE,237,1)="TEU",),INDEX(OHZ_HAZ_TEUID,237,1)&lt;&gt;"",TRUE)</f>
        <v>1</v>
      </c>
      <c r="K744" t="str">
        <f t="shared" si="23"/>
        <v>Row 237 - If ‘TEU type’ is ‘TEU’ then ‘TEU Id’ is required</v>
      </c>
      <c r="L744" t="s">
        <v>33308</v>
      </c>
    </row>
    <row r="745" spans="7:12" x14ac:dyDescent="0.2">
      <c r="G745" t="b">
        <f>IF(OR(INDEX(IHZ_HAZ_UNITTYPE,238,1)="TEU",),INDEX(IHZ_HAZ_TEUID,238,1)&lt;&gt;"",TRUE)</f>
        <v>1</v>
      </c>
      <c r="H745" t="str">
        <f t="shared" si="22"/>
        <v>Row 238 - If ‘TEU type’ is ‘TEU’ then ‘TEU Id’ is required</v>
      </c>
      <c r="I745" t="s">
        <v>33308</v>
      </c>
      <c r="J745" t="b">
        <f>IF(OR(INDEX(OHZ_HAZ_UNITTYPE,238,1)="TEU",),INDEX(OHZ_HAZ_TEUID,238,1)&lt;&gt;"",TRUE)</f>
        <v>1</v>
      </c>
      <c r="K745" t="str">
        <f t="shared" si="23"/>
        <v>Row 238 - If ‘TEU type’ is ‘TEU’ then ‘TEU Id’ is required</v>
      </c>
      <c r="L745" t="s">
        <v>33308</v>
      </c>
    </row>
    <row r="746" spans="7:12" x14ac:dyDescent="0.2">
      <c r="G746" t="b">
        <f>IF(OR(INDEX(IHZ_HAZ_UNITTYPE,239,1)="TEU",),INDEX(IHZ_HAZ_TEUID,239,1)&lt;&gt;"",TRUE)</f>
        <v>1</v>
      </c>
      <c r="H746" t="str">
        <f t="shared" si="22"/>
        <v>Row 239 - If ‘TEU type’ is ‘TEU’ then ‘TEU Id’ is required</v>
      </c>
      <c r="I746" t="s">
        <v>33308</v>
      </c>
      <c r="J746" t="b">
        <f>IF(OR(INDEX(OHZ_HAZ_UNITTYPE,239,1)="TEU",),INDEX(OHZ_HAZ_TEUID,239,1)&lt;&gt;"",TRUE)</f>
        <v>1</v>
      </c>
      <c r="K746" t="str">
        <f t="shared" si="23"/>
        <v>Row 239 - If ‘TEU type’ is ‘TEU’ then ‘TEU Id’ is required</v>
      </c>
      <c r="L746" t="s">
        <v>33308</v>
      </c>
    </row>
    <row r="747" spans="7:12" x14ac:dyDescent="0.2">
      <c r="G747" t="b">
        <f>IF(OR(INDEX(IHZ_HAZ_UNITTYPE,240,1)="TEU",),INDEX(IHZ_HAZ_TEUID,240,1)&lt;&gt;"",TRUE)</f>
        <v>1</v>
      </c>
      <c r="H747" t="str">
        <f t="shared" si="22"/>
        <v>Row 240 - If ‘TEU type’ is ‘TEU’ then ‘TEU Id’ is required</v>
      </c>
      <c r="I747" t="s">
        <v>33308</v>
      </c>
      <c r="J747" t="b">
        <f>IF(OR(INDEX(OHZ_HAZ_UNITTYPE,240,1)="TEU",),INDEX(OHZ_HAZ_TEUID,240,1)&lt;&gt;"",TRUE)</f>
        <v>1</v>
      </c>
      <c r="K747" t="str">
        <f t="shared" si="23"/>
        <v>Row 240 - If ‘TEU type’ is ‘TEU’ then ‘TEU Id’ is required</v>
      </c>
      <c r="L747" t="s">
        <v>33308</v>
      </c>
    </row>
    <row r="748" spans="7:12" x14ac:dyDescent="0.2">
      <c r="G748" t="b">
        <f>IF(OR(INDEX(IHZ_HAZ_UNITTYPE,241,1)="TEU",),INDEX(IHZ_HAZ_TEUID,241,1)&lt;&gt;"",TRUE)</f>
        <v>1</v>
      </c>
      <c r="H748" t="str">
        <f t="shared" si="22"/>
        <v>Row 241 - If ‘TEU type’ is ‘TEU’ then ‘TEU Id’ is required</v>
      </c>
      <c r="I748" t="s">
        <v>33308</v>
      </c>
      <c r="J748" t="b">
        <f>IF(OR(INDEX(OHZ_HAZ_UNITTYPE,241,1)="TEU",),INDEX(OHZ_HAZ_TEUID,241,1)&lt;&gt;"",TRUE)</f>
        <v>1</v>
      </c>
      <c r="K748" t="str">
        <f t="shared" si="23"/>
        <v>Row 241 - If ‘TEU type’ is ‘TEU’ then ‘TEU Id’ is required</v>
      </c>
      <c r="L748" t="s">
        <v>33308</v>
      </c>
    </row>
    <row r="749" spans="7:12" x14ac:dyDescent="0.2">
      <c r="G749" t="b">
        <f>IF(OR(INDEX(IHZ_HAZ_UNITTYPE,242,1)="TEU",),INDEX(IHZ_HAZ_TEUID,242,1)&lt;&gt;"",TRUE)</f>
        <v>1</v>
      </c>
      <c r="H749" t="str">
        <f t="shared" si="22"/>
        <v>Row 242 - If ‘TEU type’ is ‘TEU’ then ‘TEU Id’ is required</v>
      </c>
      <c r="I749" t="s">
        <v>33308</v>
      </c>
      <c r="J749" t="b">
        <f>IF(OR(INDEX(OHZ_HAZ_UNITTYPE,242,1)="TEU",),INDEX(OHZ_HAZ_TEUID,242,1)&lt;&gt;"",TRUE)</f>
        <v>1</v>
      </c>
      <c r="K749" t="str">
        <f t="shared" si="23"/>
        <v>Row 242 - If ‘TEU type’ is ‘TEU’ then ‘TEU Id’ is required</v>
      </c>
      <c r="L749" t="s">
        <v>33308</v>
      </c>
    </row>
    <row r="750" spans="7:12" x14ac:dyDescent="0.2">
      <c r="G750" t="b">
        <f>IF(OR(INDEX(IHZ_HAZ_UNITTYPE,243,1)="TEU",),INDEX(IHZ_HAZ_TEUID,243,1)&lt;&gt;"",TRUE)</f>
        <v>1</v>
      </c>
      <c r="H750" t="str">
        <f t="shared" si="22"/>
        <v>Row 243 - If ‘TEU type’ is ‘TEU’ then ‘TEU Id’ is required</v>
      </c>
      <c r="I750" t="s">
        <v>33308</v>
      </c>
      <c r="J750" t="b">
        <f>IF(OR(INDEX(OHZ_HAZ_UNITTYPE,243,1)="TEU",),INDEX(OHZ_HAZ_TEUID,243,1)&lt;&gt;"",TRUE)</f>
        <v>1</v>
      </c>
      <c r="K750" t="str">
        <f t="shared" si="23"/>
        <v>Row 243 - If ‘TEU type’ is ‘TEU’ then ‘TEU Id’ is required</v>
      </c>
      <c r="L750" t="s">
        <v>33308</v>
      </c>
    </row>
    <row r="751" spans="7:12" x14ac:dyDescent="0.2">
      <c r="G751" t="b">
        <f>IF(OR(INDEX(IHZ_HAZ_UNITTYPE,244,1)="TEU",),INDEX(IHZ_HAZ_TEUID,244,1)&lt;&gt;"",TRUE)</f>
        <v>1</v>
      </c>
      <c r="H751" t="str">
        <f t="shared" si="22"/>
        <v>Row 244 - If ‘TEU type’ is ‘TEU’ then ‘TEU Id’ is required</v>
      </c>
      <c r="I751" t="s">
        <v>33308</v>
      </c>
      <c r="J751" t="b">
        <f>IF(OR(INDEX(OHZ_HAZ_UNITTYPE,244,1)="TEU",),INDEX(OHZ_HAZ_TEUID,244,1)&lt;&gt;"",TRUE)</f>
        <v>1</v>
      </c>
      <c r="K751" t="str">
        <f t="shared" si="23"/>
        <v>Row 244 - If ‘TEU type’ is ‘TEU’ then ‘TEU Id’ is required</v>
      </c>
      <c r="L751" t="s">
        <v>33308</v>
      </c>
    </row>
    <row r="752" spans="7:12" x14ac:dyDescent="0.2">
      <c r="G752" t="b">
        <f>IF(OR(INDEX(IHZ_HAZ_UNITTYPE,245,1)="TEU",),INDEX(IHZ_HAZ_TEUID,245,1)&lt;&gt;"",TRUE)</f>
        <v>1</v>
      </c>
      <c r="H752" t="str">
        <f t="shared" si="22"/>
        <v>Row 245 - If ‘TEU type’ is ‘TEU’ then ‘TEU Id’ is required</v>
      </c>
      <c r="I752" t="s">
        <v>33308</v>
      </c>
      <c r="J752" t="b">
        <f>IF(OR(INDEX(OHZ_HAZ_UNITTYPE,245,1)="TEU",),INDEX(OHZ_HAZ_TEUID,245,1)&lt;&gt;"",TRUE)</f>
        <v>1</v>
      </c>
      <c r="K752" t="str">
        <f t="shared" si="23"/>
        <v>Row 245 - If ‘TEU type’ is ‘TEU’ then ‘TEU Id’ is required</v>
      </c>
      <c r="L752" t="s">
        <v>33308</v>
      </c>
    </row>
    <row r="753" spans="7:12" x14ac:dyDescent="0.2">
      <c r="G753" t="b">
        <f>IF(OR(INDEX(IHZ_HAZ_UNITTYPE,246,1)="TEU",),INDEX(IHZ_HAZ_TEUID,246,1)&lt;&gt;"",TRUE)</f>
        <v>1</v>
      </c>
      <c r="H753" t="str">
        <f t="shared" si="22"/>
        <v>Row 246 - If ‘TEU type’ is ‘TEU’ then ‘TEU Id’ is required</v>
      </c>
      <c r="I753" t="s">
        <v>33308</v>
      </c>
      <c r="J753" t="b">
        <f>IF(OR(INDEX(OHZ_HAZ_UNITTYPE,246,1)="TEU",),INDEX(OHZ_HAZ_TEUID,246,1)&lt;&gt;"",TRUE)</f>
        <v>1</v>
      </c>
      <c r="K753" t="str">
        <f t="shared" si="23"/>
        <v>Row 246 - If ‘TEU type’ is ‘TEU’ then ‘TEU Id’ is required</v>
      </c>
      <c r="L753" t="s">
        <v>33308</v>
      </c>
    </row>
    <row r="754" spans="7:12" x14ac:dyDescent="0.2">
      <c r="G754" t="b">
        <f>IF(OR(INDEX(IHZ_HAZ_UNITTYPE,247,1)="TEU",),INDEX(IHZ_HAZ_TEUID,247,1)&lt;&gt;"",TRUE)</f>
        <v>1</v>
      </c>
      <c r="H754" t="str">
        <f t="shared" si="22"/>
        <v>Row 247 - If ‘TEU type’ is ‘TEU’ then ‘TEU Id’ is required</v>
      </c>
      <c r="I754" t="s">
        <v>33308</v>
      </c>
      <c r="J754" t="b">
        <f>IF(OR(INDEX(OHZ_HAZ_UNITTYPE,247,1)="TEU",),INDEX(OHZ_HAZ_TEUID,247,1)&lt;&gt;"",TRUE)</f>
        <v>1</v>
      </c>
      <c r="K754" t="str">
        <f t="shared" si="23"/>
        <v>Row 247 - If ‘TEU type’ is ‘TEU’ then ‘TEU Id’ is required</v>
      </c>
      <c r="L754" t="s">
        <v>33308</v>
      </c>
    </row>
    <row r="755" spans="7:12" x14ac:dyDescent="0.2">
      <c r="G755" t="b">
        <f>IF(OR(INDEX(IHZ_HAZ_UNITTYPE,248,1)="TEU",),INDEX(IHZ_HAZ_TEUID,248,1)&lt;&gt;"",TRUE)</f>
        <v>1</v>
      </c>
      <c r="H755" t="str">
        <f t="shared" si="22"/>
        <v>Row 248 - If ‘TEU type’ is ‘TEU’ then ‘TEU Id’ is required</v>
      </c>
      <c r="I755" t="s">
        <v>33308</v>
      </c>
      <c r="J755" t="b">
        <f>IF(OR(INDEX(OHZ_HAZ_UNITTYPE,248,1)="TEU",),INDEX(OHZ_HAZ_TEUID,248,1)&lt;&gt;"",TRUE)</f>
        <v>1</v>
      </c>
      <c r="K755" t="str">
        <f t="shared" si="23"/>
        <v>Row 248 - If ‘TEU type’ is ‘TEU’ then ‘TEU Id’ is required</v>
      </c>
      <c r="L755" t="s">
        <v>33308</v>
      </c>
    </row>
    <row r="756" spans="7:12" x14ac:dyDescent="0.2">
      <c r="G756" t="b">
        <f>IF(OR(INDEX(IHZ_HAZ_UNITTYPE,249,1)="TEU",),INDEX(IHZ_HAZ_TEUID,249,1)&lt;&gt;"",TRUE)</f>
        <v>1</v>
      </c>
      <c r="H756" t="str">
        <f t="shared" si="22"/>
        <v>Row 249 - If ‘TEU type’ is ‘TEU’ then ‘TEU Id’ is required</v>
      </c>
      <c r="I756" t="s">
        <v>33308</v>
      </c>
      <c r="J756" t="b">
        <f>IF(OR(INDEX(OHZ_HAZ_UNITTYPE,249,1)="TEU",),INDEX(OHZ_HAZ_TEUID,249,1)&lt;&gt;"",TRUE)</f>
        <v>1</v>
      </c>
      <c r="K756" t="str">
        <f t="shared" si="23"/>
        <v>Row 249 - If ‘TEU type’ is ‘TEU’ then ‘TEU Id’ is required</v>
      </c>
      <c r="L756" t="s">
        <v>33308</v>
      </c>
    </row>
    <row r="757" spans="7:12" x14ac:dyDescent="0.2">
      <c r="G757" t="b">
        <f>IF(OR(INDEX(IHZ_HAZ_UNITTYPE,250,1)="TEU",),INDEX(IHZ_HAZ_TEUID,250,1)&lt;&gt;"",TRUE)</f>
        <v>1</v>
      </c>
      <c r="H757" t="str">
        <f t="shared" si="22"/>
        <v>Row 250 - If ‘TEU type’ is ‘TEU’ then ‘TEU Id’ is required</v>
      </c>
      <c r="I757" t="s">
        <v>33308</v>
      </c>
      <c r="J757" t="b">
        <f>IF(OR(INDEX(OHZ_HAZ_UNITTYPE,250,1)="TEU",),INDEX(OHZ_HAZ_TEUID,250,1)&lt;&gt;"",TRUE)</f>
        <v>1</v>
      </c>
      <c r="K757" t="str">
        <f t="shared" si="23"/>
        <v>Row 250 - If ‘TEU type’ is ‘TEU’ then ‘TEU Id’ is required</v>
      </c>
      <c r="L757" t="s">
        <v>33308</v>
      </c>
    </row>
    <row r="758" spans="7:12" x14ac:dyDescent="0.2">
      <c r="G758" t="b">
        <f>IF(OR(INDEX(IHZ_HAZ_UNITTYPE,1,1)&lt;&gt;"",),IF(OR(INDEX(IHZ_HAZ_LOCATION,1,1)="",INDEX(IHZ_HAZ_AMOUNT,1,1)="",),FALSE,TRUE),TRUE)</f>
        <v>1</v>
      </c>
      <c r="H758" t="str">
        <f>T1&amp;$V$4</f>
        <v>Row 1 - For a ‘Transport unit’ both ‘Location on board’ and ‘Amount’ are required</v>
      </c>
      <c r="I758" t="s">
        <v>33308</v>
      </c>
      <c r="J758" t="b">
        <f>IF(OR(INDEX(OHZ_HAZ_UNITTYPE,1,1)&lt;&gt;"",),IF(OR(INDEX(OHZ_HAZ_LOCATION,1,1)="",INDEX(OHZ_HAZ_AMOUNT,1,1)="",),FALSE,TRUE),TRUE)</f>
        <v>1</v>
      </c>
      <c r="K758" t="str">
        <f>T1&amp;$V$4</f>
        <v>Row 1 - For a ‘Transport unit’ both ‘Location on board’ and ‘Amount’ are required</v>
      </c>
      <c r="L758" t="s">
        <v>33308</v>
      </c>
    </row>
    <row r="759" spans="7:12" x14ac:dyDescent="0.2">
      <c r="G759" t="b">
        <f>IF(OR(INDEX(IHZ_HAZ_UNITTYPE,2,1)&lt;&gt;"",),IF(OR(INDEX(IHZ_HAZ_LOCATION,2,1)="",INDEX(IHZ_HAZ_AMOUNT,2,1)="",),FALSE,TRUE),TRUE)</f>
        <v>1</v>
      </c>
      <c r="H759" t="str">
        <f t="shared" ref="H759:H822" si="24">T2&amp;$V$4</f>
        <v>Row 2 - For a ‘Transport unit’ both ‘Location on board’ and ‘Amount’ are required</v>
      </c>
      <c r="I759" t="s">
        <v>33308</v>
      </c>
      <c r="J759" t="b">
        <f>IF(OR(INDEX(OHZ_HAZ_UNITTYPE,2,1)&lt;&gt;"",),IF(OR(INDEX(OHZ_HAZ_LOCATION,2,1)="",INDEX(OHZ_HAZ_AMOUNT,2,1)="",),FALSE,TRUE),TRUE)</f>
        <v>1</v>
      </c>
      <c r="K759" t="str">
        <f t="shared" ref="K759:K822" si="25">T2&amp;$V$4</f>
        <v>Row 2 - For a ‘Transport unit’ both ‘Location on board’ and ‘Amount’ are required</v>
      </c>
      <c r="L759" t="s">
        <v>33308</v>
      </c>
    </row>
    <row r="760" spans="7:12" x14ac:dyDescent="0.2">
      <c r="G760" t="b">
        <f>IF(OR(INDEX(IHZ_HAZ_UNITTYPE,3,1)&lt;&gt;"",),IF(OR(INDEX(IHZ_HAZ_LOCATION,3,1)="",INDEX(IHZ_HAZ_AMOUNT,3,1)="",),FALSE,TRUE),TRUE)</f>
        <v>1</v>
      </c>
      <c r="H760" t="str">
        <f t="shared" si="24"/>
        <v>Row 3 - For a ‘Transport unit’ both ‘Location on board’ and ‘Amount’ are required</v>
      </c>
      <c r="I760" t="s">
        <v>33308</v>
      </c>
      <c r="J760" t="b">
        <f>IF(OR(INDEX(OHZ_HAZ_UNITTYPE,3,1)&lt;&gt;"",),IF(OR(INDEX(OHZ_HAZ_LOCATION,3,1)="",INDEX(OHZ_HAZ_AMOUNT,3,1)="",),FALSE,TRUE),TRUE)</f>
        <v>1</v>
      </c>
      <c r="K760" t="str">
        <f t="shared" si="25"/>
        <v>Row 3 - For a ‘Transport unit’ both ‘Location on board’ and ‘Amount’ are required</v>
      </c>
      <c r="L760" t="s">
        <v>33308</v>
      </c>
    </row>
    <row r="761" spans="7:12" x14ac:dyDescent="0.2">
      <c r="G761" t="b">
        <f>IF(OR(INDEX(IHZ_HAZ_UNITTYPE,4,1)&lt;&gt;"",),IF(OR(INDEX(IHZ_HAZ_LOCATION,4,1)="",INDEX(IHZ_HAZ_AMOUNT,4,1)="",),FALSE,TRUE),TRUE)</f>
        <v>1</v>
      </c>
      <c r="H761" t="str">
        <f t="shared" si="24"/>
        <v>Row 4 - For a ‘Transport unit’ both ‘Location on board’ and ‘Amount’ are required</v>
      </c>
      <c r="I761" t="s">
        <v>33308</v>
      </c>
      <c r="J761" t="b">
        <f>IF(OR(INDEX(OHZ_HAZ_UNITTYPE,4,1)&lt;&gt;"",),IF(OR(INDEX(OHZ_HAZ_LOCATION,4,1)="",INDEX(OHZ_HAZ_AMOUNT,4,1)="",),FALSE,TRUE),TRUE)</f>
        <v>1</v>
      </c>
      <c r="K761" t="str">
        <f t="shared" si="25"/>
        <v>Row 4 - For a ‘Transport unit’ both ‘Location on board’ and ‘Amount’ are required</v>
      </c>
      <c r="L761" t="s">
        <v>33308</v>
      </c>
    </row>
    <row r="762" spans="7:12" x14ac:dyDescent="0.2">
      <c r="G762" t="b">
        <f>IF(OR(INDEX(IHZ_HAZ_UNITTYPE,5,1)&lt;&gt;"",),IF(OR(INDEX(IHZ_HAZ_LOCATION,5,1)="",INDEX(IHZ_HAZ_AMOUNT,5,1)="",),FALSE,TRUE),TRUE)</f>
        <v>1</v>
      </c>
      <c r="H762" t="str">
        <f t="shared" si="24"/>
        <v>Row 5 - For a ‘Transport unit’ both ‘Location on board’ and ‘Amount’ are required</v>
      </c>
      <c r="I762" t="s">
        <v>33308</v>
      </c>
      <c r="J762" t="b">
        <f>IF(OR(INDEX(OHZ_HAZ_UNITTYPE,5,1)&lt;&gt;"",),IF(OR(INDEX(OHZ_HAZ_LOCATION,5,1)="",INDEX(OHZ_HAZ_AMOUNT,5,1)="",),FALSE,TRUE),TRUE)</f>
        <v>1</v>
      </c>
      <c r="K762" t="str">
        <f t="shared" si="25"/>
        <v>Row 5 - For a ‘Transport unit’ both ‘Location on board’ and ‘Amount’ are required</v>
      </c>
      <c r="L762" t="s">
        <v>33308</v>
      </c>
    </row>
    <row r="763" spans="7:12" x14ac:dyDescent="0.2">
      <c r="G763" t="b">
        <f>IF(OR(INDEX(IHZ_HAZ_UNITTYPE,6,1)&lt;&gt;"",),IF(OR(INDEX(IHZ_HAZ_LOCATION,6,1)="",INDEX(IHZ_HAZ_AMOUNT,6,1)="",),FALSE,TRUE),TRUE)</f>
        <v>1</v>
      </c>
      <c r="H763" t="str">
        <f t="shared" si="24"/>
        <v>Row 6 - For a ‘Transport unit’ both ‘Location on board’ and ‘Amount’ are required</v>
      </c>
      <c r="I763" t="s">
        <v>33308</v>
      </c>
      <c r="J763" t="b">
        <f>IF(OR(INDEX(OHZ_HAZ_UNITTYPE,6,1)&lt;&gt;"",),IF(OR(INDEX(OHZ_HAZ_LOCATION,6,1)="",INDEX(OHZ_HAZ_AMOUNT,6,1)="",),FALSE,TRUE),TRUE)</f>
        <v>1</v>
      </c>
      <c r="K763" t="str">
        <f t="shared" si="25"/>
        <v>Row 6 - For a ‘Transport unit’ both ‘Location on board’ and ‘Amount’ are required</v>
      </c>
      <c r="L763" t="s">
        <v>33308</v>
      </c>
    </row>
    <row r="764" spans="7:12" x14ac:dyDescent="0.2">
      <c r="G764" t="b">
        <f>IF(OR(INDEX(IHZ_HAZ_UNITTYPE,7,1)&lt;&gt;"",),IF(OR(INDEX(IHZ_HAZ_LOCATION,7,1)="",INDEX(IHZ_HAZ_AMOUNT,7,1)="",),FALSE,TRUE),TRUE)</f>
        <v>1</v>
      </c>
      <c r="H764" t="str">
        <f t="shared" si="24"/>
        <v>Row 7 - For a ‘Transport unit’ both ‘Location on board’ and ‘Amount’ are required</v>
      </c>
      <c r="I764" t="s">
        <v>33308</v>
      </c>
      <c r="J764" t="b">
        <f>IF(OR(INDEX(OHZ_HAZ_UNITTYPE,7,1)&lt;&gt;"",),IF(OR(INDEX(OHZ_HAZ_LOCATION,7,1)="",INDEX(OHZ_HAZ_AMOUNT,7,1)="",),FALSE,TRUE),TRUE)</f>
        <v>1</v>
      </c>
      <c r="K764" t="str">
        <f t="shared" si="25"/>
        <v>Row 7 - For a ‘Transport unit’ both ‘Location on board’ and ‘Amount’ are required</v>
      </c>
      <c r="L764" t="s">
        <v>33308</v>
      </c>
    </row>
    <row r="765" spans="7:12" x14ac:dyDescent="0.2">
      <c r="G765" t="b">
        <f>IF(OR(INDEX(IHZ_HAZ_UNITTYPE,8,1)&lt;&gt;"",),IF(OR(INDEX(IHZ_HAZ_LOCATION,8,1)="",INDEX(IHZ_HAZ_AMOUNT,8,1)="",),FALSE,TRUE),TRUE)</f>
        <v>1</v>
      </c>
      <c r="H765" t="str">
        <f t="shared" si="24"/>
        <v>Row 8 - For a ‘Transport unit’ both ‘Location on board’ and ‘Amount’ are required</v>
      </c>
      <c r="I765" t="s">
        <v>33308</v>
      </c>
      <c r="J765" t="b">
        <f>IF(OR(INDEX(OHZ_HAZ_UNITTYPE,8,1)&lt;&gt;"",),IF(OR(INDEX(OHZ_HAZ_LOCATION,8,1)="",INDEX(OHZ_HAZ_AMOUNT,8,1)="",),FALSE,TRUE),TRUE)</f>
        <v>1</v>
      </c>
      <c r="K765" t="str">
        <f t="shared" si="25"/>
        <v>Row 8 - For a ‘Transport unit’ both ‘Location on board’ and ‘Amount’ are required</v>
      </c>
      <c r="L765" t="s">
        <v>33308</v>
      </c>
    </row>
    <row r="766" spans="7:12" x14ac:dyDescent="0.2">
      <c r="G766" t="b">
        <f>IF(OR(INDEX(IHZ_HAZ_UNITTYPE,9,1)&lt;&gt;"",),IF(OR(INDEX(IHZ_HAZ_LOCATION,9,1)="",INDEX(IHZ_HAZ_AMOUNT,9,1)="",),FALSE,TRUE),TRUE)</f>
        <v>1</v>
      </c>
      <c r="H766" t="str">
        <f t="shared" si="24"/>
        <v>Row 9 - For a ‘Transport unit’ both ‘Location on board’ and ‘Amount’ are required</v>
      </c>
      <c r="I766" t="s">
        <v>33308</v>
      </c>
      <c r="J766" t="b">
        <f>IF(OR(INDEX(OHZ_HAZ_UNITTYPE,9,1)&lt;&gt;"",),IF(OR(INDEX(OHZ_HAZ_LOCATION,9,1)="",INDEX(OHZ_HAZ_AMOUNT,9,1)="",),FALSE,TRUE),TRUE)</f>
        <v>1</v>
      </c>
      <c r="K766" t="str">
        <f t="shared" si="25"/>
        <v>Row 9 - For a ‘Transport unit’ both ‘Location on board’ and ‘Amount’ are required</v>
      </c>
      <c r="L766" t="s">
        <v>33308</v>
      </c>
    </row>
    <row r="767" spans="7:12" x14ac:dyDescent="0.2">
      <c r="G767" t="b">
        <f>IF(OR(INDEX(IHZ_HAZ_UNITTYPE,10,1)&lt;&gt;"",),IF(OR(INDEX(IHZ_HAZ_LOCATION,10,1)="",INDEX(IHZ_HAZ_AMOUNT,10,1)="",),FALSE,TRUE),TRUE)</f>
        <v>1</v>
      </c>
      <c r="H767" t="str">
        <f t="shared" si="24"/>
        <v>Row 10 - For a ‘Transport unit’ both ‘Location on board’ and ‘Amount’ are required</v>
      </c>
      <c r="I767" t="s">
        <v>33308</v>
      </c>
      <c r="J767" t="b">
        <f>IF(OR(INDEX(OHZ_HAZ_UNITTYPE,10,1)&lt;&gt;"",),IF(OR(INDEX(OHZ_HAZ_LOCATION,10,1)="",INDEX(OHZ_HAZ_AMOUNT,10,1)="",),FALSE,TRUE),TRUE)</f>
        <v>1</v>
      </c>
      <c r="K767" t="str">
        <f t="shared" si="25"/>
        <v>Row 10 - For a ‘Transport unit’ both ‘Location on board’ and ‘Amount’ are required</v>
      </c>
      <c r="L767" t="s">
        <v>33308</v>
      </c>
    </row>
    <row r="768" spans="7:12" x14ac:dyDescent="0.2">
      <c r="G768" t="b">
        <f>IF(OR(INDEX(IHZ_HAZ_UNITTYPE,11,1)&lt;&gt;"",),IF(OR(INDEX(IHZ_HAZ_LOCATION,11,1)="",INDEX(IHZ_HAZ_AMOUNT,11,1)="",),FALSE,TRUE),TRUE)</f>
        <v>1</v>
      </c>
      <c r="H768" t="str">
        <f t="shared" si="24"/>
        <v>Row 11 - For a ‘Transport unit’ both ‘Location on board’ and ‘Amount’ are required</v>
      </c>
      <c r="I768" t="s">
        <v>33308</v>
      </c>
      <c r="J768" t="b">
        <f>IF(OR(INDEX(OHZ_HAZ_UNITTYPE,11,1)&lt;&gt;"",),IF(OR(INDEX(OHZ_HAZ_LOCATION,11,1)="",INDEX(OHZ_HAZ_AMOUNT,11,1)="",),FALSE,TRUE),TRUE)</f>
        <v>1</v>
      </c>
      <c r="K768" t="str">
        <f t="shared" si="25"/>
        <v>Row 11 - For a ‘Transport unit’ both ‘Location on board’ and ‘Amount’ are required</v>
      </c>
      <c r="L768" t="s">
        <v>33308</v>
      </c>
    </row>
    <row r="769" spans="7:12" x14ac:dyDescent="0.2">
      <c r="G769" t="b">
        <f>IF(OR(INDEX(IHZ_HAZ_UNITTYPE,12,1)&lt;&gt;"",),IF(OR(INDEX(IHZ_HAZ_LOCATION,12,1)="",INDEX(IHZ_HAZ_AMOUNT,12,1)="",),FALSE,TRUE),TRUE)</f>
        <v>1</v>
      </c>
      <c r="H769" t="str">
        <f t="shared" si="24"/>
        <v>Row 12 - For a ‘Transport unit’ both ‘Location on board’ and ‘Amount’ are required</v>
      </c>
      <c r="I769" t="s">
        <v>33308</v>
      </c>
      <c r="J769" t="b">
        <f>IF(OR(INDEX(OHZ_HAZ_UNITTYPE,12,1)&lt;&gt;"",),IF(OR(INDEX(OHZ_HAZ_LOCATION,12,1)="",INDEX(OHZ_HAZ_AMOUNT,12,1)="",),FALSE,TRUE),TRUE)</f>
        <v>1</v>
      </c>
      <c r="K769" t="str">
        <f t="shared" si="25"/>
        <v>Row 12 - For a ‘Transport unit’ both ‘Location on board’ and ‘Amount’ are required</v>
      </c>
      <c r="L769" t="s">
        <v>33308</v>
      </c>
    </row>
    <row r="770" spans="7:12" x14ac:dyDescent="0.2">
      <c r="G770" t="b">
        <f>IF(OR(INDEX(IHZ_HAZ_UNITTYPE,13,1)&lt;&gt;"",),IF(OR(INDEX(IHZ_HAZ_LOCATION,13,1)="",INDEX(IHZ_HAZ_AMOUNT,13,1)="",),FALSE,TRUE),TRUE)</f>
        <v>1</v>
      </c>
      <c r="H770" t="str">
        <f t="shared" si="24"/>
        <v>Row 13 - For a ‘Transport unit’ both ‘Location on board’ and ‘Amount’ are required</v>
      </c>
      <c r="I770" t="s">
        <v>33308</v>
      </c>
      <c r="J770" t="b">
        <f>IF(OR(INDEX(OHZ_HAZ_UNITTYPE,13,1)&lt;&gt;"",),IF(OR(INDEX(OHZ_HAZ_LOCATION,13,1)="",INDEX(OHZ_HAZ_AMOUNT,13,1)="",),FALSE,TRUE),TRUE)</f>
        <v>1</v>
      </c>
      <c r="K770" t="str">
        <f t="shared" si="25"/>
        <v>Row 13 - For a ‘Transport unit’ both ‘Location on board’ and ‘Amount’ are required</v>
      </c>
      <c r="L770" t="s">
        <v>33308</v>
      </c>
    </row>
    <row r="771" spans="7:12" x14ac:dyDescent="0.2">
      <c r="G771" t="b">
        <f>IF(OR(INDEX(IHZ_HAZ_UNITTYPE,14,1)&lt;&gt;"",),IF(OR(INDEX(IHZ_HAZ_LOCATION,14,1)="",INDEX(IHZ_HAZ_AMOUNT,14,1)="",),FALSE,TRUE),TRUE)</f>
        <v>1</v>
      </c>
      <c r="H771" t="str">
        <f t="shared" si="24"/>
        <v>Row 14 - For a ‘Transport unit’ both ‘Location on board’ and ‘Amount’ are required</v>
      </c>
      <c r="I771" t="s">
        <v>33308</v>
      </c>
      <c r="J771" t="b">
        <f>IF(OR(INDEX(OHZ_HAZ_UNITTYPE,14,1)&lt;&gt;"",),IF(OR(INDEX(OHZ_HAZ_LOCATION,14,1)="",INDEX(OHZ_HAZ_AMOUNT,14,1)="",),FALSE,TRUE),TRUE)</f>
        <v>1</v>
      </c>
      <c r="K771" t="str">
        <f t="shared" si="25"/>
        <v>Row 14 - For a ‘Transport unit’ both ‘Location on board’ and ‘Amount’ are required</v>
      </c>
      <c r="L771" t="s">
        <v>33308</v>
      </c>
    </row>
    <row r="772" spans="7:12" x14ac:dyDescent="0.2">
      <c r="G772" t="b">
        <f>IF(OR(INDEX(IHZ_HAZ_UNITTYPE,15,1)&lt;&gt;"",),IF(OR(INDEX(IHZ_HAZ_LOCATION,15,1)="",INDEX(IHZ_HAZ_AMOUNT,15,1)="",),FALSE,TRUE),TRUE)</f>
        <v>1</v>
      </c>
      <c r="H772" t="str">
        <f t="shared" si="24"/>
        <v>Row 15 - For a ‘Transport unit’ both ‘Location on board’ and ‘Amount’ are required</v>
      </c>
      <c r="I772" t="s">
        <v>33308</v>
      </c>
      <c r="J772" t="b">
        <f>IF(OR(INDEX(OHZ_HAZ_UNITTYPE,15,1)&lt;&gt;"",),IF(OR(INDEX(OHZ_HAZ_LOCATION,15,1)="",INDEX(OHZ_HAZ_AMOUNT,15,1)="",),FALSE,TRUE),TRUE)</f>
        <v>1</v>
      </c>
      <c r="K772" t="str">
        <f t="shared" si="25"/>
        <v>Row 15 - For a ‘Transport unit’ both ‘Location on board’ and ‘Amount’ are required</v>
      </c>
      <c r="L772" t="s">
        <v>33308</v>
      </c>
    </row>
    <row r="773" spans="7:12" x14ac:dyDescent="0.2">
      <c r="G773" t="b">
        <f>IF(OR(INDEX(IHZ_HAZ_UNITTYPE,16,1)&lt;&gt;"",),IF(OR(INDEX(IHZ_HAZ_LOCATION,16,1)="",INDEX(IHZ_HAZ_AMOUNT,16,1)="",),FALSE,TRUE),TRUE)</f>
        <v>1</v>
      </c>
      <c r="H773" t="str">
        <f t="shared" si="24"/>
        <v>Row 16 - For a ‘Transport unit’ both ‘Location on board’ and ‘Amount’ are required</v>
      </c>
      <c r="I773" t="s">
        <v>33308</v>
      </c>
      <c r="J773" t="b">
        <f>IF(OR(INDEX(OHZ_HAZ_UNITTYPE,16,1)&lt;&gt;"",),IF(OR(INDEX(OHZ_HAZ_LOCATION,16,1)="",INDEX(OHZ_HAZ_AMOUNT,16,1)="",),FALSE,TRUE),TRUE)</f>
        <v>1</v>
      </c>
      <c r="K773" t="str">
        <f t="shared" si="25"/>
        <v>Row 16 - For a ‘Transport unit’ both ‘Location on board’ and ‘Amount’ are required</v>
      </c>
      <c r="L773" t="s">
        <v>33308</v>
      </c>
    </row>
    <row r="774" spans="7:12" x14ac:dyDescent="0.2">
      <c r="G774" t="b">
        <f>IF(OR(INDEX(IHZ_HAZ_UNITTYPE,17,1)&lt;&gt;"",),IF(OR(INDEX(IHZ_HAZ_LOCATION,17,1)="",INDEX(IHZ_HAZ_AMOUNT,17,1)="",),FALSE,TRUE),TRUE)</f>
        <v>1</v>
      </c>
      <c r="H774" t="str">
        <f t="shared" si="24"/>
        <v>Row 17 - For a ‘Transport unit’ both ‘Location on board’ and ‘Amount’ are required</v>
      </c>
      <c r="I774" t="s">
        <v>33308</v>
      </c>
      <c r="J774" t="b">
        <f>IF(OR(INDEX(OHZ_HAZ_UNITTYPE,17,1)&lt;&gt;"",),IF(OR(INDEX(OHZ_HAZ_LOCATION,17,1)="",INDEX(OHZ_HAZ_AMOUNT,17,1)="",),FALSE,TRUE),TRUE)</f>
        <v>1</v>
      </c>
      <c r="K774" t="str">
        <f t="shared" si="25"/>
        <v>Row 17 - For a ‘Transport unit’ both ‘Location on board’ and ‘Amount’ are required</v>
      </c>
      <c r="L774" t="s">
        <v>33308</v>
      </c>
    </row>
    <row r="775" spans="7:12" x14ac:dyDescent="0.2">
      <c r="G775" t="b">
        <f>IF(OR(INDEX(IHZ_HAZ_UNITTYPE,18,1)&lt;&gt;"",),IF(OR(INDEX(IHZ_HAZ_LOCATION,18,1)="",INDEX(IHZ_HAZ_AMOUNT,18,1)="",),FALSE,TRUE),TRUE)</f>
        <v>1</v>
      </c>
      <c r="H775" t="str">
        <f t="shared" si="24"/>
        <v>Row 18 - For a ‘Transport unit’ both ‘Location on board’ and ‘Amount’ are required</v>
      </c>
      <c r="I775" t="s">
        <v>33308</v>
      </c>
      <c r="J775" t="b">
        <f>IF(OR(INDEX(OHZ_HAZ_UNITTYPE,18,1)&lt;&gt;"",),IF(OR(INDEX(OHZ_HAZ_LOCATION,18,1)="",INDEX(OHZ_HAZ_AMOUNT,18,1)="",),FALSE,TRUE),TRUE)</f>
        <v>1</v>
      </c>
      <c r="K775" t="str">
        <f t="shared" si="25"/>
        <v>Row 18 - For a ‘Transport unit’ both ‘Location on board’ and ‘Amount’ are required</v>
      </c>
      <c r="L775" t="s">
        <v>33308</v>
      </c>
    </row>
    <row r="776" spans="7:12" x14ac:dyDescent="0.2">
      <c r="G776" t="b">
        <f>IF(OR(INDEX(IHZ_HAZ_UNITTYPE,19,1)&lt;&gt;"",),IF(OR(INDEX(IHZ_HAZ_LOCATION,19,1)="",INDEX(IHZ_HAZ_AMOUNT,19,1)="",),FALSE,TRUE),TRUE)</f>
        <v>1</v>
      </c>
      <c r="H776" t="str">
        <f t="shared" si="24"/>
        <v>Row 19 - For a ‘Transport unit’ both ‘Location on board’ and ‘Amount’ are required</v>
      </c>
      <c r="I776" t="s">
        <v>33308</v>
      </c>
      <c r="J776" t="b">
        <f>IF(OR(INDEX(OHZ_HAZ_UNITTYPE,19,1)&lt;&gt;"",),IF(OR(INDEX(OHZ_HAZ_LOCATION,19,1)="",INDEX(OHZ_HAZ_AMOUNT,19,1)="",),FALSE,TRUE),TRUE)</f>
        <v>1</v>
      </c>
      <c r="K776" t="str">
        <f t="shared" si="25"/>
        <v>Row 19 - For a ‘Transport unit’ both ‘Location on board’ and ‘Amount’ are required</v>
      </c>
      <c r="L776" t="s">
        <v>33308</v>
      </c>
    </row>
    <row r="777" spans="7:12" x14ac:dyDescent="0.2">
      <c r="G777" t="b">
        <f>IF(OR(INDEX(IHZ_HAZ_UNITTYPE,20,1)&lt;&gt;"",),IF(OR(INDEX(IHZ_HAZ_LOCATION,20,1)="",INDEX(IHZ_HAZ_AMOUNT,20,1)="",),FALSE,TRUE),TRUE)</f>
        <v>1</v>
      </c>
      <c r="H777" t="str">
        <f t="shared" si="24"/>
        <v>Row 20 - For a ‘Transport unit’ both ‘Location on board’ and ‘Amount’ are required</v>
      </c>
      <c r="I777" t="s">
        <v>33308</v>
      </c>
      <c r="J777" t="b">
        <f>IF(OR(INDEX(OHZ_HAZ_UNITTYPE,20,1)&lt;&gt;"",),IF(OR(INDEX(OHZ_HAZ_LOCATION,20,1)="",INDEX(OHZ_HAZ_AMOUNT,20,1)="",),FALSE,TRUE),TRUE)</f>
        <v>1</v>
      </c>
      <c r="K777" t="str">
        <f t="shared" si="25"/>
        <v>Row 20 - For a ‘Transport unit’ both ‘Location on board’ and ‘Amount’ are required</v>
      </c>
      <c r="L777" t="s">
        <v>33308</v>
      </c>
    </row>
    <row r="778" spans="7:12" x14ac:dyDescent="0.2">
      <c r="G778" t="b">
        <f>IF(OR(INDEX(IHZ_HAZ_UNITTYPE,21,1)&lt;&gt;"",),IF(OR(INDEX(IHZ_HAZ_LOCATION,21,1)="",INDEX(IHZ_HAZ_AMOUNT,21,1)="",),FALSE,TRUE),TRUE)</f>
        <v>1</v>
      </c>
      <c r="H778" t="str">
        <f t="shared" si="24"/>
        <v>Row 21 - For a ‘Transport unit’ both ‘Location on board’ and ‘Amount’ are required</v>
      </c>
      <c r="I778" t="s">
        <v>33308</v>
      </c>
      <c r="J778" t="b">
        <f>IF(OR(INDEX(OHZ_HAZ_UNITTYPE,21,1)&lt;&gt;"",),IF(OR(INDEX(OHZ_HAZ_LOCATION,21,1)="",INDEX(OHZ_HAZ_AMOUNT,21,1)="",),FALSE,TRUE),TRUE)</f>
        <v>1</v>
      </c>
      <c r="K778" t="str">
        <f t="shared" si="25"/>
        <v>Row 21 - For a ‘Transport unit’ both ‘Location on board’ and ‘Amount’ are required</v>
      </c>
      <c r="L778" t="s">
        <v>33308</v>
      </c>
    </row>
    <row r="779" spans="7:12" x14ac:dyDescent="0.2">
      <c r="G779" t="b">
        <f>IF(OR(INDEX(IHZ_HAZ_UNITTYPE,22,1)&lt;&gt;"",),IF(OR(INDEX(IHZ_HAZ_LOCATION,22,1)="",INDEX(IHZ_HAZ_AMOUNT,22,1)="",),FALSE,TRUE),TRUE)</f>
        <v>1</v>
      </c>
      <c r="H779" t="str">
        <f t="shared" si="24"/>
        <v>Row 22 - For a ‘Transport unit’ both ‘Location on board’ and ‘Amount’ are required</v>
      </c>
      <c r="I779" t="s">
        <v>33308</v>
      </c>
      <c r="J779" t="b">
        <f>IF(OR(INDEX(OHZ_HAZ_UNITTYPE,22,1)&lt;&gt;"",),IF(OR(INDEX(OHZ_HAZ_LOCATION,22,1)="",INDEX(OHZ_HAZ_AMOUNT,22,1)="",),FALSE,TRUE),TRUE)</f>
        <v>1</v>
      </c>
      <c r="K779" t="str">
        <f t="shared" si="25"/>
        <v>Row 22 - For a ‘Transport unit’ both ‘Location on board’ and ‘Amount’ are required</v>
      </c>
      <c r="L779" t="s">
        <v>33308</v>
      </c>
    </row>
    <row r="780" spans="7:12" x14ac:dyDescent="0.2">
      <c r="G780" t="b">
        <f>IF(OR(INDEX(IHZ_HAZ_UNITTYPE,23,1)&lt;&gt;"",),IF(OR(INDEX(IHZ_HAZ_LOCATION,23,1)="",INDEX(IHZ_HAZ_AMOUNT,23,1)="",),FALSE,TRUE),TRUE)</f>
        <v>1</v>
      </c>
      <c r="H780" t="str">
        <f t="shared" si="24"/>
        <v>Row 23 - For a ‘Transport unit’ both ‘Location on board’ and ‘Amount’ are required</v>
      </c>
      <c r="I780" t="s">
        <v>33308</v>
      </c>
      <c r="J780" t="b">
        <f>IF(OR(INDEX(OHZ_HAZ_UNITTYPE,23,1)&lt;&gt;"",),IF(OR(INDEX(OHZ_HAZ_LOCATION,23,1)="",INDEX(OHZ_HAZ_AMOUNT,23,1)="",),FALSE,TRUE),TRUE)</f>
        <v>1</v>
      </c>
      <c r="K780" t="str">
        <f t="shared" si="25"/>
        <v>Row 23 - For a ‘Transport unit’ both ‘Location on board’ and ‘Amount’ are required</v>
      </c>
      <c r="L780" t="s">
        <v>33308</v>
      </c>
    </row>
    <row r="781" spans="7:12" x14ac:dyDescent="0.2">
      <c r="G781" t="b">
        <f>IF(OR(INDEX(IHZ_HAZ_UNITTYPE,24,1)&lt;&gt;"",),IF(OR(INDEX(IHZ_HAZ_LOCATION,24,1)="",INDEX(IHZ_HAZ_AMOUNT,24,1)="",),FALSE,TRUE),TRUE)</f>
        <v>1</v>
      </c>
      <c r="H781" t="str">
        <f t="shared" si="24"/>
        <v>Row 24 - For a ‘Transport unit’ both ‘Location on board’ and ‘Amount’ are required</v>
      </c>
      <c r="I781" t="s">
        <v>33308</v>
      </c>
      <c r="J781" t="b">
        <f>IF(OR(INDEX(OHZ_HAZ_UNITTYPE,24,1)&lt;&gt;"",),IF(OR(INDEX(OHZ_HAZ_LOCATION,24,1)="",INDEX(OHZ_HAZ_AMOUNT,24,1)="",),FALSE,TRUE),TRUE)</f>
        <v>1</v>
      </c>
      <c r="K781" t="str">
        <f t="shared" si="25"/>
        <v>Row 24 - For a ‘Transport unit’ both ‘Location on board’ and ‘Amount’ are required</v>
      </c>
      <c r="L781" t="s">
        <v>33308</v>
      </c>
    </row>
    <row r="782" spans="7:12" x14ac:dyDescent="0.2">
      <c r="G782" t="b">
        <f>IF(OR(INDEX(IHZ_HAZ_UNITTYPE,25,1)&lt;&gt;"",),IF(OR(INDEX(IHZ_HAZ_LOCATION,25,1)="",INDEX(IHZ_HAZ_AMOUNT,25,1)="",),FALSE,TRUE),TRUE)</f>
        <v>1</v>
      </c>
      <c r="H782" t="str">
        <f t="shared" si="24"/>
        <v>Row 25 - For a ‘Transport unit’ both ‘Location on board’ and ‘Amount’ are required</v>
      </c>
      <c r="I782" t="s">
        <v>33308</v>
      </c>
      <c r="J782" t="b">
        <f>IF(OR(INDEX(OHZ_HAZ_UNITTYPE,25,1)&lt;&gt;"",),IF(OR(INDEX(OHZ_HAZ_LOCATION,25,1)="",INDEX(OHZ_HAZ_AMOUNT,25,1)="",),FALSE,TRUE),TRUE)</f>
        <v>1</v>
      </c>
      <c r="K782" t="str">
        <f t="shared" si="25"/>
        <v>Row 25 - For a ‘Transport unit’ both ‘Location on board’ and ‘Amount’ are required</v>
      </c>
      <c r="L782" t="s">
        <v>33308</v>
      </c>
    </row>
    <row r="783" spans="7:12" x14ac:dyDescent="0.2">
      <c r="G783" t="b">
        <f>IF(OR(INDEX(IHZ_HAZ_UNITTYPE,26,1)&lt;&gt;"",),IF(OR(INDEX(IHZ_HAZ_LOCATION,26,1)="",INDEX(IHZ_HAZ_AMOUNT,26,1)="",),FALSE,TRUE),TRUE)</f>
        <v>1</v>
      </c>
      <c r="H783" t="str">
        <f t="shared" si="24"/>
        <v>Row 26 - For a ‘Transport unit’ both ‘Location on board’ and ‘Amount’ are required</v>
      </c>
      <c r="I783" t="s">
        <v>33308</v>
      </c>
      <c r="J783" t="b">
        <f>IF(OR(INDEX(OHZ_HAZ_UNITTYPE,26,1)&lt;&gt;"",),IF(OR(INDEX(OHZ_HAZ_LOCATION,26,1)="",INDEX(OHZ_HAZ_AMOUNT,26,1)="",),FALSE,TRUE),TRUE)</f>
        <v>1</v>
      </c>
      <c r="K783" t="str">
        <f t="shared" si="25"/>
        <v>Row 26 - For a ‘Transport unit’ both ‘Location on board’ and ‘Amount’ are required</v>
      </c>
      <c r="L783" t="s">
        <v>33308</v>
      </c>
    </row>
    <row r="784" spans="7:12" x14ac:dyDescent="0.2">
      <c r="G784" t="b">
        <f>IF(OR(INDEX(IHZ_HAZ_UNITTYPE,27,1)&lt;&gt;"",),IF(OR(INDEX(IHZ_HAZ_LOCATION,27,1)="",INDEX(IHZ_HAZ_AMOUNT,27,1)="",),FALSE,TRUE),TRUE)</f>
        <v>1</v>
      </c>
      <c r="H784" t="str">
        <f t="shared" si="24"/>
        <v>Row 27 - For a ‘Transport unit’ both ‘Location on board’ and ‘Amount’ are required</v>
      </c>
      <c r="I784" t="s">
        <v>33308</v>
      </c>
      <c r="J784" t="b">
        <f>IF(OR(INDEX(OHZ_HAZ_UNITTYPE,27,1)&lt;&gt;"",),IF(OR(INDEX(OHZ_HAZ_LOCATION,27,1)="",INDEX(OHZ_HAZ_AMOUNT,27,1)="",),FALSE,TRUE),TRUE)</f>
        <v>1</v>
      </c>
      <c r="K784" t="str">
        <f t="shared" si="25"/>
        <v>Row 27 - For a ‘Transport unit’ both ‘Location on board’ and ‘Amount’ are required</v>
      </c>
      <c r="L784" t="s">
        <v>33308</v>
      </c>
    </row>
    <row r="785" spans="7:12" x14ac:dyDescent="0.2">
      <c r="G785" t="b">
        <f>IF(OR(INDEX(IHZ_HAZ_UNITTYPE,28,1)&lt;&gt;"",),IF(OR(INDEX(IHZ_HAZ_LOCATION,28,1)="",INDEX(IHZ_HAZ_AMOUNT,28,1)="",),FALSE,TRUE),TRUE)</f>
        <v>1</v>
      </c>
      <c r="H785" t="str">
        <f t="shared" si="24"/>
        <v>Row 28 - For a ‘Transport unit’ both ‘Location on board’ and ‘Amount’ are required</v>
      </c>
      <c r="I785" t="s">
        <v>33308</v>
      </c>
      <c r="J785" t="b">
        <f>IF(OR(INDEX(OHZ_HAZ_UNITTYPE,28,1)&lt;&gt;"",),IF(OR(INDEX(OHZ_HAZ_LOCATION,28,1)="",INDEX(OHZ_HAZ_AMOUNT,28,1)="",),FALSE,TRUE),TRUE)</f>
        <v>1</v>
      </c>
      <c r="K785" t="str">
        <f t="shared" si="25"/>
        <v>Row 28 - For a ‘Transport unit’ both ‘Location on board’ and ‘Amount’ are required</v>
      </c>
      <c r="L785" t="s">
        <v>33308</v>
      </c>
    </row>
    <row r="786" spans="7:12" x14ac:dyDescent="0.2">
      <c r="G786" t="b">
        <f>IF(OR(INDEX(IHZ_HAZ_UNITTYPE,29,1)&lt;&gt;"",),IF(OR(INDEX(IHZ_HAZ_LOCATION,29,1)="",INDEX(IHZ_HAZ_AMOUNT,29,1)="",),FALSE,TRUE),TRUE)</f>
        <v>1</v>
      </c>
      <c r="H786" t="str">
        <f t="shared" si="24"/>
        <v>Row 29 - For a ‘Transport unit’ both ‘Location on board’ and ‘Amount’ are required</v>
      </c>
      <c r="I786" t="s">
        <v>33308</v>
      </c>
      <c r="J786" t="b">
        <f>IF(OR(INDEX(OHZ_HAZ_UNITTYPE,29,1)&lt;&gt;"",),IF(OR(INDEX(OHZ_HAZ_LOCATION,29,1)="",INDEX(OHZ_HAZ_AMOUNT,29,1)="",),FALSE,TRUE),TRUE)</f>
        <v>1</v>
      </c>
      <c r="K786" t="str">
        <f t="shared" si="25"/>
        <v>Row 29 - For a ‘Transport unit’ both ‘Location on board’ and ‘Amount’ are required</v>
      </c>
      <c r="L786" t="s">
        <v>33308</v>
      </c>
    </row>
    <row r="787" spans="7:12" x14ac:dyDescent="0.2">
      <c r="G787" t="b">
        <f>IF(OR(INDEX(IHZ_HAZ_UNITTYPE,30,1)&lt;&gt;"",),IF(OR(INDEX(IHZ_HAZ_LOCATION,30,1)="",INDEX(IHZ_HAZ_AMOUNT,30,1)="",),FALSE,TRUE),TRUE)</f>
        <v>1</v>
      </c>
      <c r="H787" t="str">
        <f t="shared" si="24"/>
        <v>Row 30 - For a ‘Transport unit’ both ‘Location on board’ and ‘Amount’ are required</v>
      </c>
      <c r="I787" t="s">
        <v>33308</v>
      </c>
      <c r="J787" t="b">
        <f>IF(OR(INDEX(OHZ_HAZ_UNITTYPE,30,1)&lt;&gt;"",),IF(OR(INDEX(OHZ_HAZ_LOCATION,30,1)="",INDEX(OHZ_HAZ_AMOUNT,30,1)="",),FALSE,TRUE),TRUE)</f>
        <v>1</v>
      </c>
      <c r="K787" t="str">
        <f t="shared" si="25"/>
        <v>Row 30 - For a ‘Transport unit’ both ‘Location on board’ and ‘Amount’ are required</v>
      </c>
      <c r="L787" t="s">
        <v>33308</v>
      </c>
    </row>
    <row r="788" spans="7:12" x14ac:dyDescent="0.2">
      <c r="G788" t="b">
        <f>IF(OR(INDEX(IHZ_HAZ_UNITTYPE,31,1)&lt;&gt;"",),IF(OR(INDEX(IHZ_HAZ_LOCATION,31,1)="",INDEX(IHZ_HAZ_AMOUNT,31,1)="",),FALSE,TRUE),TRUE)</f>
        <v>1</v>
      </c>
      <c r="H788" t="str">
        <f t="shared" si="24"/>
        <v>Row 31 - For a ‘Transport unit’ both ‘Location on board’ and ‘Amount’ are required</v>
      </c>
      <c r="I788" t="s">
        <v>33308</v>
      </c>
      <c r="J788" t="b">
        <f>IF(OR(INDEX(OHZ_HAZ_UNITTYPE,31,1)&lt;&gt;"",),IF(OR(INDEX(OHZ_HAZ_LOCATION,31,1)="",INDEX(OHZ_HAZ_AMOUNT,31,1)="",),FALSE,TRUE),TRUE)</f>
        <v>1</v>
      </c>
      <c r="K788" t="str">
        <f t="shared" si="25"/>
        <v>Row 31 - For a ‘Transport unit’ both ‘Location on board’ and ‘Amount’ are required</v>
      </c>
      <c r="L788" t="s">
        <v>33308</v>
      </c>
    </row>
    <row r="789" spans="7:12" x14ac:dyDescent="0.2">
      <c r="G789" t="b">
        <f>IF(OR(INDEX(IHZ_HAZ_UNITTYPE,32,1)&lt;&gt;"",),IF(OR(INDEX(IHZ_HAZ_LOCATION,32,1)="",INDEX(IHZ_HAZ_AMOUNT,32,1)="",),FALSE,TRUE),TRUE)</f>
        <v>1</v>
      </c>
      <c r="H789" t="str">
        <f t="shared" si="24"/>
        <v>Row 32 - For a ‘Transport unit’ both ‘Location on board’ and ‘Amount’ are required</v>
      </c>
      <c r="I789" t="s">
        <v>33308</v>
      </c>
      <c r="J789" t="b">
        <f>IF(OR(INDEX(OHZ_HAZ_UNITTYPE,32,1)&lt;&gt;"",),IF(OR(INDEX(OHZ_HAZ_LOCATION,32,1)="",INDEX(OHZ_HAZ_AMOUNT,32,1)="",),FALSE,TRUE),TRUE)</f>
        <v>1</v>
      </c>
      <c r="K789" t="str">
        <f t="shared" si="25"/>
        <v>Row 32 - For a ‘Transport unit’ both ‘Location on board’ and ‘Amount’ are required</v>
      </c>
      <c r="L789" t="s">
        <v>33308</v>
      </c>
    </row>
    <row r="790" spans="7:12" x14ac:dyDescent="0.2">
      <c r="G790" t="b">
        <f>IF(OR(INDEX(IHZ_HAZ_UNITTYPE,33,1)&lt;&gt;"",),IF(OR(INDEX(IHZ_HAZ_LOCATION,33,1)="",INDEX(IHZ_HAZ_AMOUNT,33,1)="",),FALSE,TRUE),TRUE)</f>
        <v>1</v>
      </c>
      <c r="H790" t="str">
        <f t="shared" si="24"/>
        <v>Row 33 - For a ‘Transport unit’ both ‘Location on board’ and ‘Amount’ are required</v>
      </c>
      <c r="I790" t="s">
        <v>33308</v>
      </c>
      <c r="J790" t="b">
        <f>IF(OR(INDEX(OHZ_HAZ_UNITTYPE,33,1)&lt;&gt;"",),IF(OR(INDEX(OHZ_HAZ_LOCATION,33,1)="",INDEX(OHZ_HAZ_AMOUNT,33,1)="",),FALSE,TRUE),TRUE)</f>
        <v>1</v>
      </c>
      <c r="K790" t="str">
        <f t="shared" si="25"/>
        <v>Row 33 - For a ‘Transport unit’ both ‘Location on board’ and ‘Amount’ are required</v>
      </c>
      <c r="L790" t="s">
        <v>33308</v>
      </c>
    </row>
    <row r="791" spans="7:12" x14ac:dyDescent="0.2">
      <c r="G791" t="b">
        <f>IF(OR(INDEX(IHZ_HAZ_UNITTYPE,34,1)&lt;&gt;"",),IF(OR(INDEX(IHZ_HAZ_LOCATION,34,1)="",INDEX(IHZ_HAZ_AMOUNT,34,1)="",),FALSE,TRUE),TRUE)</f>
        <v>1</v>
      </c>
      <c r="H791" t="str">
        <f t="shared" si="24"/>
        <v>Row 34 - For a ‘Transport unit’ both ‘Location on board’ and ‘Amount’ are required</v>
      </c>
      <c r="I791" t="s">
        <v>33308</v>
      </c>
      <c r="J791" t="b">
        <f>IF(OR(INDEX(OHZ_HAZ_UNITTYPE,34,1)&lt;&gt;"",),IF(OR(INDEX(OHZ_HAZ_LOCATION,34,1)="",INDEX(OHZ_HAZ_AMOUNT,34,1)="",),FALSE,TRUE),TRUE)</f>
        <v>1</v>
      </c>
      <c r="K791" t="str">
        <f t="shared" si="25"/>
        <v>Row 34 - For a ‘Transport unit’ both ‘Location on board’ and ‘Amount’ are required</v>
      </c>
      <c r="L791" t="s">
        <v>33308</v>
      </c>
    </row>
    <row r="792" spans="7:12" x14ac:dyDescent="0.2">
      <c r="G792" t="b">
        <f>IF(OR(INDEX(IHZ_HAZ_UNITTYPE,35,1)&lt;&gt;"",),IF(OR(INDEX(IHZ_HAZ_LOCATION,35,1)="",INDEX(IHZ_HAZ_AMOUNT,35,1)="",),FALSE,TRUE),TRUE)</f>
        <v>1</v>
      </c>
      <c r="H792" t="str">
        <f t="shared" si="24"/>
        <v>Row 35 - For a ‘Transport unit’ both ‘Location on board’ and ‘Amount’ are required</v>
      </c>
      <c r="I792" t="s">
        <v>33308</v>
      </c>
      <c r="J792" t="b">
        <f>IF(OR(INDEX(OHZ_HAZ_UNITTYPE,35,1)&lt;&gt;"",),IF(OR(INDEX(OHZ_HAZ_LOCATION,35,1)="",INDEX(OHZ_HAZ_AMOUNT,35,1)="",),FALSE,TRUE),TRUE)</f>
        <v>1</v>
      </c>
      <c r="K792" t="str">
        <f t="shared" si="25"/>
        <v>Row 35 - For a ‘Transport unit’ both ‘Location on board’ and ‘Amount’ are required</v>
      </c>
      <c r="L792" t="s">
        <v>33308</v>
      </c>
    </row>
    <row r="793" spans="7:12" x14ac:dyDescent="0.2">
      <c r="G793" t="b">
        <f>IF(OR(INDEX(IHZ_HAZ_UNITTYPE,36,1)&lt;&gt;"",),IF(OR(INDEX(IHZ_HAZ_LOCATION,36,1)="",INDEX(IHZ_HAZ_AMOUNT,36,1)="",),FALSE,TRUE),TRUE)</f>
        <v>1</v>
      </c>
      <c r="H793" t="str">
        <f t="shared" si="24"/>
        <v>Row 36 - For a ‘Transport unit’ both ‘Location on board’ and ‘Amount’ are required</v>
      </c>
      <c r="I793" t="s">
        <v>33308</v>
      </c>
      <c r="J793" t="b">
        <f>IF(OR(INDEX(OHZ_HAZ_UNITTYPE,36,1)&lt;&gt;"",),IF(OR(INDEX(OHZ_HAZ_LOCATION,36,1)="",INDEX(OHZ_HAZ_AMOUNT,36,1)="",),FALSE,TRUE),TRUE)</f>
        <v>1</v>
      </c>
      <c r="K793" t="str">
        <f t="shared" si="25"/>
        <v>Row 36 - For a ‘Transport unit’ both ‘Location on board’ and ‘Amount’ are required</v>
      </c>
      <c r="L793" t="s">
        <v>33308</v>
      </c>
    </row>
    <row r="794" spans="7:12" x14ac:dyDescent="0.2">
      <c r="G794" t="b">
        <f>IF(OR(INDEX(IHZ_HAZ_UNITTYPE,37,1)&lt;&gt;"",),IF(OR(INDEX(IHZ_HAZ_LOCATION,37,1)="",INDEX(IHZ_HAZ_AMOUNT,37,1)="",),FALSE,TRUE),TRUE)</f>
        <v>1</v>
      </c>
      <c r="H794" t="str">
        <f t="shared" si="24"/>
        <v>Row 37 - For a ‘Transport unit’ both ‘Location on board’ and ‘Amount’ are required</v>
      </c>
      <c r="I794" t="s">
        <v>33308</v>
      </c>
      <c r="J794" t="b">
        <f>IF(OR(INDEX(OHZ_HAZ_UNITTYPE,37,1)&lt;&gt;"",),IF(OR(INDEX(OHZ_HAZ_LOCATION,37,1)="",INDEX(OHZ_HAZ_AMOUNT,37,1)="",),FALSE,TRUE),TRUE)</f>
        <v>1</v>
      </c>
      <c r="K794" t="str">
        <f t="shared" si="25"/>
        <v>Row 37 - For a ‘Transport unit’ both ‘Location on board’ and ‘Amount’ are required</v>
      </c>
      <c r="L794" t="s">
        <v>33308</v>
      </c>
    </row>
    <row r="795" spans="7:12" x14ac:dyDescent="0.2">
      <c r="G795" t="b">
        <f>IF(OR(INDEX(IHZ_HAZ_UNITTYPE,38,1)&lt;&gt;"",),IF(OR(INDEX(IHZ_HAZ_LOCATION,38,1)="",INDEX(IHZ_HAZ_AMOUNT,38,1)="",),FALSE,TRUE),TRUE)</f>
        <v>1</v>
      </c>
      <c r="H795" t="str">
        <f t="shared" si="24"/>
        <v>Row 38 - For a ‘Transport unit’ both ‘Location on board’ and ‘Amount’ are required</v>
      </c>
      <c r="I795" t="s">
        <v>33308</v>
      </c>
      <c r="J795" t="b">
        <f>IF(OR(INDEX(OHZ_HAZ_UNITTYPE,38,1)&lt;&gt;"",),IF(OR(INDEX(OHZ_HAZ_LOCATION,38,1)="",INDEX(OHZ_HAZ_AMOUNT,38,1)="",),FALSE,TRUE),TRUE)</f>
        <v>1</v>
      </c>
      <c r="K795" t="str">
        <f t="shared" si="25"/>
        <v>Row 38 - For a ‘Transport unit’ both ‘Location on board’ and ‘Amount’ are required</v>
      </c>
      <c r="L795" t="s">
        <v>33308</v>
      </c>
    </row>
    <row r="796" spans="7:12" x14ac:dyDescent="0.2">
      <c r="G796" t="b">
        <f>IF(OR(INDEX(IHZ_HAZ_UNITTYPE,39,1)&lt;&gt;"",),IF(OR(INDEX(IHZ_HAZ_LOCATION,39,1)="",INDEX(IHZ_HAZ_AMOUNT,39,1)="",),FALSE,TRUE),TRUE)</f>
        <v>1</v>
      </c>
      <c r="H796" t="str">
        <f t="shared" si="24"/>
        <v>Row 39 - For a ‘Transport unit’ both ‘Location on board’ and ‘Amount’ are required</v>
      </c>
      <c r="I796" t="s">
        <v>33308</v>
      </c>
      <c r="J796" t="b">
        <f>IF(OR(INDEX(OHZ_HAZ_UNITTYPE,39,1)&lt;&gt;"",),IF(OR(INDEX(OHZ_HAZ_LOCATION,39,1)="",INDEX(OHZ_HAZ_AMOUNT,39,1)="",),FALSE,TRUE),TRUE)</f>
        <v>1</v>
      </c>
      <c r="K796" t="str">
        <f t="shared" si="25"/>
        <v>Row 39 - For a ‘Transport unit’ both ‘Location on board’ and ‘Amount’ are required</v>
      </c>
      <c r="L796" t="s">
        <v>33308</v>
      </c>
    </row>
    <row r="797" spans="7:12" x14ac:dyDescent="0.2">
      <c r="G797" t="b">
        <f>IF(OR(INDEX(IHZ_HAZ_UNITTYPE,40,1)&lt;&gt;"",),IF(OR(INDEX(IHZ_HAZ_LOCATION,40,1)="",INDEX(IHZ_HAZ_AMOUNT,40,1)="",),FALSE,TRUE),TRUE)</f>
        <v>1</v>
      </c>
      <c r="H797" t="str">
        <f t="shared" si="24"/>
        <v>Row 40 - For a ‘Transport unit’ both ‘Location on board’ and ‘Amount’ are required</v>
      </c>
      <c r="I797" t="s">
        <v>33308</v>
      </c>
      <c r="J797" t="b">
        <f>IF(OR(INDEX(OHZ_HAZ_UNITTYPE,40,1)&lt;&gt;"",),IF(OR(INDEX(OHZ_HAZ_LOCATION,40,1)="",INDEX(OHZ_HAZ_AMOUNT,40,1)="",),FALSE,TRUE),TRUE)</f>
        <v>1</v>
      </c>
      <c r="K797" t="str">
        <f t="shared" si="25"/>
        <v>Row 40 - For a ‘Transport unit’ both ‘Location on board’ and ‘Amount’ are required</v>
      </c>
      <c r="L797" t="s">
        <v>33308</v>
      </c>
    </row>
    <row r="798" spans="7:12" x14ac:dyDescent="0.2">
      <c r="G798" t="b">
        <f>IF(OR(INDEX(IHZ_HAZ_UNITTYPE,41,1)&lt;&gt;"",),IF(OR(INDEX(IHZ_HAZ_LOCATION,41,1)="",INDEX(IHZ_HAZ_AMOUNT,41,1)="",),FALSE,TRUE),TRUE)</f>
        <v>1</v>
      </c>
      <c r="H798" t="str">
        <f t="shared" si="24"/>
        <v>Row 41 - For a ‘Transport unit’ both ‘Location on board’ and ‘Amount’ are required</v>
      </c>
      <c r="I798" t="s">
        <v>33308</v>
      </c>
      <c r="J798" t="b">
        <f>IF(OR(INDEX(OHZ_HAZ_UNITTYPE,41,1)&lt;&gt;"",),IF(OR(INDEX(OHZ_HAZ_LOCATION,41,1)="",INDEX(OHZ_HAZ_AMOUNT,41,1)="",),FALSE,TRUE),TRUE)</f>
        <v>1</v>
      </c>
      <c r="K798" t="str">
        <f t="shared" si="25"/>
        <v>Row 41 - For a ‘Transport unit’ both ‘Location on board’ and ‘Amount’ are required</v>
      </c>
      <c r="L798" t="s">
        <v>33308</v>
      </c>
    </row>
    <row r="799" spans="7:12" x14ac:dyDescent="0.2">
      <c r="G799" t="b">
        <f>IF(OR(INDEX(IHZ_HAZ_UNITTYPE,42,1)&lt;&gt;"",),IF(OR(INDEX(IHZ_HAZ_LOCATION,42,1)="",INDEX(IHZ_HAZ_AMOUNT,42,1)="",),FALSE,TRUE),TRUE)</f>
        <v>1</v>
      </c>
      <c r="H799" t="str">
        <f t="shared" si="24"/>
        <v>Row 42 - For a ‘Transport unit’ both ‘Location on board’ and ‘Amount’ are required</v>
      </c>
      <c r="I799" t="s">
        <v>33308</v>
      </c>
      <c r="J799" t="b">
        <f>IF(OR(INDEX(OHZ_HAZ_UNITTYPE,42,1)&lt;&gt;"",),IF(OR(INDEX(OHZ_HAZ_LOCATION,42,1)="",INDEX(OHZ_HAZ_AMOUNT,42,1)="",),FALSE,TRUE),TRUE)</f>
        <v>1</v>
      </c>
      <c r="K799" t="str">
        <f t="shared" si="25"/>
        <v>Row 42 - For a ‘Transport unit’ both ‘Location on board’ and ‘Amount’ are required</v>
      </c>
      <c r="L799" t="s">
        <v>33308</v>
      </c>
    </row>
    <row r="800" spans="7:12" x14ac:dyDescent="0.2">
      <c r="G800" t="b">
        <f>IF(OR(INDEX(IHZ_HAZ_UNITTYPE,43,1)&lt;&gt;"",),IF(OR(INDEX(IHZ_HAZ_LOCATION,43,1)="",INDEX(IHZ_HAZ_AMOUNT,43,1)="",),FALSE,TRUE),TRUE)</f>
        <v>1</v>
      </c>
      <c r="H800" t="str">
        <f t="shared" si="24"/>
        <v>Row 43 - For a ‘Transport unit’ both ‘Location on board’ and ‘Amount’ are required</v>
      </c>
      <c r="I800" t="s">
        <v>33308</v>
      </c>
      <c r="J800" t="b">
        <f>IF(OR(INDEX(OHZ_HAZ_UNITTYPE,43,1)&lt;&gt;"",),IF(OR(INDEX(OHZ_HAZ_LOCATION,43,1)="",INDEX(OHZ_HAZ_AMOUNT,43,1)="",),FALSE,TRUE),TRUE)</f>
        <v>1</v>
      </c>
      <c r="K800" t="str">
        <f t="shared" si="25"/>
        <v>Row 43 - For a ‘Transport unit’ both ‘Location on board’ and ‘Amount’ are required</v>
      </c>
      <c r="L800" t="s">
        <v>33308</v>
      </c>
    </row>
    <row r="801" spans="7:12" x14ac:dyDescent="0.2">
      <c r="G801" t="b">
        <f>IF(OR(INDEX(IHZ_HAZ_UNITTYPE,44,1)&lt;&gt;"",),IF(OR(INDEX(IHZ_HAZ_LOCATION,44,1)="",INDEX(IHZ_HAZ_AMOUNT,44,1)="",),FALSE,TRUE),TRUE)</f>
        <v>1</v>
      </c>
      <c r="H801" t="str">
        <f t="shared" si="24"/>
        <v>Row 44 - For a ‘Transport unit’ both ‘Location on board’ and ‘Amount’ are required</v>
      </c>
      <c r="I801" t="s">
        <v>33308</v>
      </c>
      <c r="J801" t="b">
        <f>IF(OR(INDEX(OHZ_HAZ_UNITTYPE,44,1)&lt;&gt;"",),IF(OR(INDEX(OHZ_HAZ_LOCATION,44,1)="",INDEX(OHZ_HAZ_AMOUNT,44,1)="",),FALSE,TRUE),TRUE)</f>
        <v>1</v>
      </c>
      <c r="K801" t="str">
        <f t="shared" si="25"/>
        <v>Row 44 - For a ‘Transport unit’ both ‘Location on board’ and ‘Amount’ are required</v>
      </c>
      <c r="L801" t="s">
        <v>33308</v>
      </c>
    </row>
    <row r="802" spans="7:12" x14ac:dyDescent="0.2">
      <c r="G802" t="b">
        <f>IF(OR(INDEX(IHZ_HAZ_UNITTYPE,45,1)&lt;&gt;"",),IF(OR(INDEX(IHZ_HAZ_LOCATION,45,1)="",INDEX(IHZ_HAZ_AMOUNT,45,1)="",),FALSE,TRUE),TRUE)</f>
        <v>1</v>
      </c>
      <c r="H802" t="str">
        <f t="shared" si="24"/>
        <v>Row 45 - For a ‘Transport unit’ both ‘Location on board’ and ‘Amount’ are required</v>
      </c>
      <c r="I802" t="s">
        <v>33308</v>
      </c>
      <c r="J802" t="b">
        <f>IF(OR(INDEX(OHZ_HAZ_UNITTYPE,45,1)&lt;&gt;"",),IF(OR(INDEX(OHZ_HAZ_LOCATION,45,1)="",INDEX(OHZ_HAZ_AMOUNT,45,1)="",),FALSE,TRUE),TRUE)</f>
        <v>1</v>
      </c>
      <c r="K802" t="str">
        <f t="shared" si="25"/>
        <v>Row 45 - For a ‘Transport unit’ both ‘Location on board’ and ‘Amount’ are required</v>
      </c>
      <c r="L802" t="s">
        <v>33308</v>
      </c>
    </row>
    <row r="803" spans="7:12" x14ac:dyDescent="0.2">
      <c r="G803" t="b">
        <f>IF(OR(INDEX(IHZ_HAZ_UNITTYPE,46,1)&lt;&gt;"",),IF(OR(INDEX(IHZ_HAZ_LOCATION,46,1)="",INDEX(IHZ_HAZ_AMOUNT,46,1)="",),FALSE,TRUE),TRUE)</f>
        <v>1</v>
      </c>
      <c r="H803" t="str">
        <f t="shared" si="24"/>
        <v>Row 46 - For a ‘Transport unit’ both ‘Location on board’ and ‘Amount’ are required</v>
      </c>
      <c r="I803" t="s">
        <v>33308</v>
      </c>
      <c r="J803" t="b">
        <f>IF(OR(INDEX(OHZ_HAZ_UNITTYPE,46,1)&lt;&gt;"",),IF(OR(INDEX(OHZ_HAZ_LOCATION,46,1)="",INDEX(OHZ_HAZ_AMOUNT,46,1)="",),FALSE,TRUE),TRUE)</f>
        <v>1</v>
      </c>
      <c r="K803" t="str">
        <f t="shared" si="25"/>
        <v>Row 46 - For a ‘Transport unit’ both ‘Location on board’ and ‘Amount’ are required</v>
      </c>
      <c r="L803" t="s">
        <v>33308</v>
      </c>
    </row>
    <row r="804" spans="7:12" x14ac:dyDescent="0.2">
      <c r="G804" t="b">
        <f>IF(OR(INDEX(IHZ_HAZ_UNITTYPE,47,1)&lt;&gt;"",),IF(OR(INDEX(IHZ_HAZ_LOCATION,47,1)="",INDEX(IHZ_HAZ_AMOUNT,47,1)="",),FALSE,TRUE),TRUE)</f>
        <v>1</v>
      </c>
      <c r="H804" t="str">
        <f t="shared" si="24"/>
        <v>Row 47 - For a ‘Transport unit’ both ‘Location on board’ and ‘Amount’ are required</v>
      </c>
      <c r="I804" t="s">
        <v>33308</v>
      </c>
      <c r="J804" t="b">
        <f>IF(OR(INDEX(OHZ_HAZ_UNITTYPE,47,1)&lt;&gt;"",),IF(OR(INDEX(OHZ_HAZ_LOCATION,47,1)="",INDEX(OHZ_HAZ_AMOUNT,47,1)="",),FALSE,TRUE),TRUE)</f>
        <v>1</v>
      </c>
      <c r="K804" t="str">
        <f t="shared" si="25"/>
        <v>Row 47 - For a ‘Transport unit’ both ‘Location on board’ and ‘Amount’ are required</v>
      </c>
      <c r="L804" t="s">
        <v>33308</v>
      </c>
    </row>
    <row r="805" spans="7:12" x14ac:dyDescent="0.2">
      <c r="G805" t="b">
        <f>IF(OR(INDEX(IHZ_HAZ_UNITTYPE,48,1)&lt;&gt;"",),IF(OR(INDEX(IHZ_HAZ_LOCATION,48,1)="",INDEX(IHZ_HAZ_AMOUNT,48,1)="",),FALSE,TRUE),TRUE)</f>
        <v>1</v>
      </c>
      <c r="H805" t="str">
        <f t="shared" si="24"/>
        <v>Row 48 - For a ‘Transport unit’ both ‘Location on board’ and ‘Amount’ are required</v>
      </c>
      <c r="I805" t="s">
        <v>33308</v>
      </c>
      <c r="J805" t="b">
        <f>IF(OR(INDEX(OHZ_HAZ_UNITTYPE,48,1)&lt;&gt;"",),IF(OR(INDEX(OHZ_HAZ_LOCATION,48,1)="",INDEX(OHZ_HAZ_AMOUNT,48,1)="",),FALSE,TRUE),TRUE)</f>
        <v>1</v>
      </c>
      <c r="K805" t="str">
        <f t="shared" si="25"/>
        <v>Row 48 - For a ‘Transport unit’ both ‘Location on board’ and ‘Amount’ are required</v>
      </c>
      <c r="L805" t="s">
        <v>33308</v>
      </c>
    </row>
    <row r="806" spans="7:12" x14ac:dyDescent="0.2">
      <c r="G806" t="b">
        <f>IF(OR(INDEX(IHZ_HAZ_UNITTYPE,49,1)&lt;&gt;"",),IF(OR(INDEX(IHZ_HAZ_LOCATION,49,1)="",INDEX(IHZ_HAZ_AMOUNT,49,1)="",),FALSE,TRUE),TRUE)</f>
        <v>1</v>
      </c>
      <c r="H806" t="str">
        <f t="shared" si="24"/>
        <v>Row 49 - For a ‘Transport unit’ both ‘Location on board’ and ‘Amount’ are required</v>
      </c>
      <c r="I806" t="s">
        <v>33308</v>
      </c>
      <c r="J806" t="b">
        <f>IF(OR(INDEX(OHZ_HAZ_UNITTYPE,49,1)&lt;&gt;"",),IF(OR(INDEX(OHZ_HAZ_LOCATION,49,1)="",INDEX(OHZ_HAZ_AMOUNT,49,1)="",),FALSE,TRUE),TRUE)</f>
        <v>1</v>
      </c>
      <c r="K806" t="str">
        <f t="shared" si="25"/>
        <v>Row 49 - For a ‘Transport unit’ both ‘Location on board’ and ‘Amount’ are required</v>
      </c>
      <c r="L806" t="s">
        <v>33308</v>
      </c>
    </row>
    <row r="807" spans="7:12" x14ac:dyDescent="0.2">
      <c r="G807" t="b">
        <f>IF(OR(INDEX(IHZ_HAZ_UNITTYPE,50,1)&lt;&gt;"",),IF(OR(INDEX(IHZ_HAZ_LOCATION,50,1)="",INDEX(IHZ_HAZ_AMOUNT,50,1)="",),FALSE,TRUE),TRUE)</f>
        <v>1</v>
      </c>
      <c r="H807" t="str">
        <f t="shared" si="24"/>
        <v>Row 50 - For a ‘Transport unit’ both ‘Location on board’ and ‘Amount’ are required</v>
      </c>
      <c r="I807" t="s">
        <v>33308</v>
      </c>
      <c r="J807" t="b">
        <f>IF(OR(INDEX(OHZ_HAZ_UNITTYPE,50,1)&lt;&gt;"",),IF(OR(INDEX(OHZ_HAZ_LOCATION,50,1)="",INDEX(OHZ_HAZ_AMOUNT,50,1)="",),FALSE,TRUE),TRUE)</f>
        <v>1</v>
      </c>
      <c r="K807" t="str">
        <f t="shared" si="25"/>
        <v>Row 50 - For a ‘Transport unit’ both ‘Location on board’ and ‘Amount’ are required</v>
      </c>
      <c r="L807" t="s">
        <v>33308</v>
      </c>
    </row>
    <row r="808" spans="7:12" x14ac:dyDescent="0.2">
      <c r="G808" t="b">
        <f>IF(OR(INDEX(IHZ_HAZ_UNITTYPE,51,1)&lt;&gt;"",),IF(OR(INDEX(IHZ_HAZ_LOCATION,51,1)="",INDEX(IHZ_HAZ_AMOUNT,51,1)="",),FALSE,TRUE),TRUE)</f>
        <v>1</v>
      </c>
      <c r="H808" t="str">
        <f t="shared" si="24"/>
        <v>Row 51 - For a ‘Transport unit’ both ‘Location on board’ and ‘Amount’ are required</v>
      </c>
      <c r="I808" t="s">
        <v>33308</v>
      </c>
      <c r="J808" t="b">
        <f>IF(OR(INDEX(OHZ_HAZ_UNITTYPE,51,1)&lt;&gt;"",),IF(OR(INDEX(OHZ_HAZ_LOCATION,51,1)="",INDEX(OHZ_HAZ_AMOUNT,51,1)="",),FALSE,TRUE),TRUE)</f>
        <v>1</v>
      </c>
      <c r="K808" t="str">
        <f t="shared" si="25"/>
        <v>Row 51 - For a ‘Transport unit’ both ‘Location on board’ and ‘Amount’ are required</v>
      </c>
      <c r="L808" t="s">
        <v>33308</v>
      </c>
    </row>
    <row r="809" spans="7:12" x14ac:dyDescent="0.2">
      <c r="G809" t="b">
        <f>IF(OR(INDEX(IHZ_HAZ_UNITTYPE,52,1)&lt;&gt;"",),IF(OR(INDEX(IHZ_HAZ_LOCATION,52,1)="",INDEX(IHZ_HAZ_AMOUNT,52,1)="",),FALSE,TRUE),TRUE)</f>
        <v>1</v>
      </c>
      <c r="H809" t="str">
        <f t="shared" si="24"/>
        <v>Row 52 - For a ‘Transport unit’ both ‘Location on board’ and ‘Amount’ are required</v>
      </c>
      <c r="I809" t="s">
        <v>33308</v>
      </c>
      <c r="J809" t="b">
        <f>IF(OR(INDEX(OHZ_HAZ_UNITTYPE,52,1)&lt;&gt;"",),IF(OR(INDEX(OHZ_HAZ_LOCATION,52,1)="",INDEX(OHZ_HAZ_AMOUNT,52,1)="",),FALSE,TRUE),TRUE)</f>
        <v>1</v>
      </c>
      <c r="K809" t="str">
        <f t="shared" si="25"/>
        <v>Row 52 - For a ‘Transport unit’ both ‘Location on board’ and ‘Amount’ are required</v>
      </c>
      <c r="L809" t="s">
        <v>33308</v>
      </c>
    </row>
    <row r="810" spans="7:12" x14ac:dyDescent="0.2">
      <c r="G810" t="b">
        <f>IF(OR(INDEX(IHZ_HAZ_UNITTYPE,53,1)&lt;&gt;"",),IF(OR(INDEX(IHZ_HAZ_LOCATION,53,1)="",INDEX(IHZ_HAZ_AMOUNT,53,1)="",),FALSE,TRUE),TRUE)</f>
        <v>1</v>
      </c>
      <c r="H810" t="str">
        <f t="shared" si="24"/>
        <v>Row 53 - For a ‘Transport unit’ both ‘Location on board’ and ‘Amount’ are required</v>
      </c>
      <c r="I810" t="s">
        <v>33308</v>
      </c>
      <c r="J810" t="b">
        <f>IF(OR(INDEX(OHZ_HAZ_UNITTYPE,53,1)&lt;&gt;"",),IF(OR(INDEX(OHZ_HAZ_LOCATION,53,1)="",INDEX(OHZ_HAZ_AMOUNT,53,1)="",),FALSE,TRUE),TRUE)</f>
        <v>1</v>
      </c>
      <c r="K810" t="str">
        <f t="shared" si="25"/>
        <v>Row 53 - For a ‘Transport unit’ both ‘Location on board’ and ‘Amount’ are required</v>
      </c>
      <c r="L810" t="s">
        <v>33308</v>
      </c>
    </row>
    <row r="811" spans="7:12" x14ac:dyDescent="0.2">
      <c r="G811" t="b">
        <f>IF(OR(INDEX(IHZ_HAZ_UNITTYPE,54,1)&lt;&gt;"",),IF(OR(INDEX(IHZ_HAZ_LOCATION,54,1)="",INDEX(IHZ_HAZ_AMOUNT,54,1)="",),FALSE,TRUE),TRUE)</f>
        <v>1</v>
      </c>
      <c r="H811" t="str">
        <f t="shared" si="24"/>
        <v>Row 54 - For a ‘Transport unit’ both ‘Location on board’ and ‘Amount’ are required</v>
      </c>
      <c r="I811" t="s">
        <v>33308</v>
      </c>
      <c r="J811" t="b">
        <f>IF(OR(INDEX(OHZ_HAZ_UNITTYPE,54,1)&lt;&gt;"",),IF(OR(INDEX(OHZ_HAZ_LOCATION,54,1)="",INDEX(OHZ_HAZ_AMOUNT,54,1)="",),FALSE,TRUE),TRUE)</f>
        <v>1</v>
      </c>
      <c r="K811" t="str">
        <f t="shared" si="25"/>
        <v>Row 54 - For a ‘Transport unit’ both ‘Location on board’ and ‘Amount’ are required</v>
      </c>
      <c r="L811" t="s">
        <v>33308</v>
      </c>
    </row>
    <row r="812" spans="7:12" x14ac:dyDescent="0.2">
      <c r="G812" t="b">
        <f>IF(OR(INDEX(IHZ_HAZ_UNITTYPE,55,1)&lt;&gt;"",),IF(OR(INDEX(IHZ_HAZ_LOCATION,55,1)="",INDEX(IHZ_HAZ_AMOUNT,55,1)="",),FALSE,TRUE),TRUE)</f>
        <v>1</v>
      </c>
      <c r="H812" t="str">
        <f t="shared" si="24"/>
        <v>Row 55 - For a ‘Transport unit’ both ‘Location on board’ and ‘Amount’ are required</v>
      </c>
      <c r="I812" t="s">
        <v>33308</v>
      </c>
      <c r="J812" t="b">
        <f>IF(OR(INDEX(OHZ_HAZ_UNITTYPE,55,1)&lt;&gt;"",),IF(OR(INDEX(OHZ_HAZ_LOCATION,55,1)="",INDEX(OHZ_HAZ_AMOUNT,55,1)="",),FALSE,TRUE),TRUE)</f>
        <v>1</v>
      </c>
      <c r="K812" t="str">
        <f t="shared" si="25"/>
        <v>Row 55 - For a ‘Transport unit’ both ‘Location on board’ and ‘Amount’ are required</v>
      </c>
      <c r="L812" t="s">
        <v>33308</v>
      </c>
    </row>
    <row r="813" spans="7:12" x14ac:dyDescent="0.2">
      <c r="G813" t="b">
        <f>IF(OR(INDEX(IHZ_HAZ_UNITTYPE,56,1)&lt;&gt;"",),IF(OR(INDEX(IHZ_HAZ_LOCATION,56,1)="",INDEX(IHZ_HAZ_AMOUNT,56,1)="",),FALSE,TRUE),TRUE)</f>
        <v>1</v>
      </c>
      <c r="H813" t="str">
        <f t="shared" si="24"/>
        <v>Row 56 - For a ‘Transport unit’ both ‘Location on board’ and ‘Amount’ are required</v>
      </c>
      <c r="I813" t="s">
        <v>33308</v>
      </c>
      <c r="J813" t="b">
        <f>IF(OR(INDEX(OHZ_HAZ_UNITTYPE,56,1)&lt;&gt;"",),IF(OR(INDEX(OHZ_HAZ_LOCATION,56,1)="",INDEX(OHZ_HAZ_AMOUNT,56,1)="",),FALSE,TRUE),TRUE)</f>
        <v>1</v>
      </c>
      <c r="K813" t="str">
        <f t="shared" si="25"/>
        <v>Row 56 - For a ‘Transport unit’ both ‘Location on board’ and ‘Amount’ are required</v>
      </c>
      <c r="L813" t="s">
        <v>33308</v>
      </c>
    </row>
    <row r="814" spans="7:12" x14ac:dyDescent="0.2">
      <c r="G814" t="b">
        <f>IF(OR(INDEX(IHZ_HAZ_UNITTYPE,57,1)&lt;&gt;"",),IF(OR(INDEX(IHZ_HAZ_LOCATION,57,1)="",INDEX(IHZ_HAZ_AMOUNT,57,1)="",),FALSE,TRUE),TRUE)</f>
        <v>1</v>
      </c>
      <c r="H814" t="str">
        <f t="shared" si="24"/>
        <v>Row 57 - For a ‘Transport unit’ both ‘Location on board’ and ‘Amount’ are required</v>
      </c>
      <c r="I814" t="s">
        <v>33308</v>
      </c>
      <c r="J814" t="b">
        <f>IF(OR(INDEX(OHZ_HAZ_UNITTYPE,57,1)&lt;&gt;"",),IF(OR(INDEX(OHZ_HAZ_LOCATION,57,1)="",INDEX(OHZ_HAZ_AMOUNT,57,1)="",),FALSE,TRUE),TRUE)</f>
        <v>1</v>
      </c>
      <c r="K814" t="str">
        <f t="shared" si="25"/>
        <v>Row 57 - For a ‘Transport unit’ both ‘Location on board’ and ‘Amount’ are required</v>
      </c>
      <c r="L814" t="s">
        <v>33308</v>
      </c>
    </row>
    <row r="815" spans="7:12" x14ac:dyDescent="0.2">
      <c r="G815" t="b">
        <f>IF(OR(INDEX(IHZ_HAZ_UNITTYPE,58,1)&lt;&gt;"",),IF(OR(INDEX(IHZ_HAZ_LOCATION,58,1)="",INDEX(IHZ_HAZ_AMOUNT,58,1)="",),FALSE,TRUE),TRUE)</f>
        <v>1</v>
      </c>
      <c r="H815" t="str">
        <f t="shared" si="24"/>
        <v>Row 58 - For a ‘Transport unit’ both ‘Location on board’ and ‘Amount’ are required</v>
      </c>
      <c r="I815" t="s">
        <v>33308</v>
      </c>
      <c r="J815" t="b">
        <f>IF(OR(INDEX(OHZ_HAZ_UNITTYPE,58,1)&lt;&gt;"",),IF(OR(INDEX(OHZ_HAZ_LOCATION,58,1)="",INDEX(OHZ_HAZ_AMOUNT,58,1)="",),FALSE,TRUE),TRUE)</f>
        <v>1</v>
      </c>
      <c r="K815" t="str">
        <f t="shared" si="25"/>
        <v>Row 58 - For a ‘Transport unit’ both ‘Location on board’ and ‘Amount’ are required</v>
      </c>
      <c r="L815" t="s">
        <v>33308</v>
      </c>
    </row>
    <row r="816" spans="7:12" x14ac:dyDescent="0.2">
      <c r="G816" t="b">
        <f>IF(OR(INDEX(IHZ_HAZ_UNITTYPE,59,1)&lt;&gt;"",),IF(OR(INDEX(IHZ_HAZ_LOCATION,59,1)="",INDEX(IHZ_HAZ_AMOUNT,59,1)="",),FALSE,TRUE),TRUE)</f>
        <v>1</v>
      </c>
      <c r="H816" t="str">
        <f t="shared" si="24"/>
        <v>Row 59 - For a ‘Transport unit’ both ‘Location on board’ and ‘Amount’ are required</v>
      </c>
      <c r="I816" t="s">
        <v>33308</v>
      </c>
      <c r="J816" t="b">
        <f>IF(OR(INDEX(OHZ_HAZ_UNITTYPE,59,1)&lt;&gt;"",),IF(OR(INDEX(OHZ_HAZ_LOCATION,59,1)="",INDEX(OHZ_HAZ_AMOUNT,59,1)="",),FALSE,TRUE),TRUE)</f>
        <v>1</v>
      </c>
      <c r="K816" t="str">
        <f t="shared" si="25"/>
        <v>Row 59 - For a ‘Transport unit’ both ‘Location on board’ and ‘Amount’ are required</v>
      </c>
      <c r="L816" t="s">
        <v>33308</v>
      </c>
    </row>
    <row r="817" spans="7:12" x14ac:dyDescent="0.2">
      <c r="G817" t="b">
        <f>IF(OR(INDEX(IHZ_HAZ_UNITTYPE,60,1)&lt;&gt;"",),IF(OR(INDEX(IHZ_HAZ_LOCATION,60,1)="",INDEX(IHZ_HAZ_AMOUNT,60,1)="",),FALSE,TRUE),TRUE)</f>
        <v>1</v>
      </c>
      <c r="H817" t="str">
        <f t="shared" si="24"/>
        <v>Row 60 - For a ‘Transport unit’ both ‘Location on board’ and ‘Amount’ are required</v>
      </c>
      <c r="I817" t="s">
        <v>33308</v>
      </c>
      <c r="J817" t="b">
        <f>IF(OR(INDEX(OHZ_HAZ_UNITTYPE,60,1)&lt;&gt;"",),IF(OR(INDEX(OHZ_HAZ_LOCATION,60,1)="",INDEX(OHZ_HAZ_AMOUNT,60,1)="",),FALSE,TRUE),TRUE)</f>
        <v>1</v>
      </c>
      <c r="K817" t="str">
        <f t="shared" si="25"/>
        <v>Row 60 - For a ‘Transport unit’ both ‘Location on board’ and ‘Amount’ are required</v>
      </c>
      <c r="L817" t="s">
        <v>33308</v>
      </c>
    </row>
    <row r="818" spans="7:12" x14ac:dyDescent="0.2">
      <c r="G818" t="b">
        <f>IF(OR(INDEX(IHZ_HAZ_UNITTYPE,61,1)&lt;&gt;"",),IF(OR(INDEX(IHZ_HAZ_LOCATION,61,1)="",INDEX(IHZ_HAZ_AMOUNT,61,1)="",),FALSE,TRUE),TRUE)</f>
        <v>1</v>
      </c>
      <c r="H818" t="str">
        <f t="shared" si="24"/>
        <v>Row 61 - For a ‘Transport unit’ both ‘Location on board’ and ‘Amount’ are required</v>
      </c>
      <c r="I818" t="s">
        <v>33308</v>
      </c>
      <c r="J818" t="b">
        <f>IF(OR(INDEX(OHZ_HAZ_UNITTYPE,61,1)&lt;&gt;"",),IF(OR(INDEX(OHZ_HAZ_LOCATION,61,1)="",INDEX(OHZ_HAZ_AMOUNT,61,1)="",),FALSE,TRUE),TRUE)</f>
        <v>1</v>
      </c>
      <c r="K818" t="str">
        <f t="shared" si="25"/>
        <v>Row 61 - For a ‘Transport unit’ both ‘Location on board’ and ‘Amount’ are required</v>
      </c>
      <c r="L818" t="s">
        <v>33308</v>
      </c>
    </row>
    <row r="819" spans="7:12" x14ac:dyDescent="0.2">
      <c r="G819" t="b">
        <f>IF(OR(INDEX(IHZ_HAZ_UNITTYPE,62,1)&lt;&gt;"",),IF(OR(INDEX(IHZ_HAZ_LOCATION,62,1)="",INDEX(IHZ_HAZ_AMOUNT,62,1)="",),FALSE,TRUE),TRUE)</f>
        <v>1</v>
      </c>
      <c r="H819" t="str">
        <f t="shared" si="24"/>
        <v>Row 62 - For a ‘Transport unit’ both ‘Location on board’ and ‘Amount’ are required</v>
      </c>
      <c r="I819" t="s">
        <v>33308</v>
      </c>
      <c r="J819" t="b">
        <f>IF(OR(INDEX(OHZ_HAZ_UNITTYPE,62,1)&lt;&gt;"",),IF(OR(INDEX(OHZ_HAZ_LOCATION,62,1)="",INDEX(OHZ_HAZ_AMOUNT,62,1)="",),FALSE,TRUE),TRUE)</f>
        <v>1</v>
      </c>
      <c r="K819" t="str">
        <f t="shared" si="25"/>
        <v>Row 62 - For a ‘Transport unit’ both ‘Location on board’ and ‘Amount’ are required</v>
      </c>
      <c r="L819" t="s">
        <v>33308</v>
      </c>
    </row>
    <row r="820" spans="7:12" x14ac:dyDescent="0.2">
      <c r="G820" t="b">
        <f>IF(OR(INDEX(IHZ_HAZ_UNITTYPE,63,1)&lt;&gt;"",),IF(OR(INDEX(IHZ_HAZ_LOCATION,63,1)="",INDEX(IHZ_HAZ_AMOUNT,63,1)="",),FALSE,TRUE),TRUE)</f>
        <v>1</v>
      </c>
      <c r="H820" t="str">
        <f t="shared" si="24"/>
        <v>Row 63 - For a ‘Transport unit’ both ‘Location on board’ and ‘Amount’ are required</v>
      </c>
      <c r="I820" t="s">
        <v>33308</v>
      </c>
      <c r="J820" t="b">
        <f>IF(OR(INDEX(OHZ_HAZ_UNITTYPE,63,1)&lt;&gt;"",),IF(OR(INDEX(OHZ_HAZ_LOCATION,63,1)="",INDEX(OHZ_HAZ_AMOUNT,63,1)="",),FALSE,TRUE),TRUE)</f>
        <v>1</v>
      </c>
      <c r="K820" t="str">
        <f t="shared" si="25"/>
        <v>Row 63 - For a ‘Transport unit’ both ‘Location on board’ and ‘Amount’ are required</v>
      </c>
      <c r="L820" t="s">
        <v>33308</v>
      </c>
    </row>
    <row r="821" spans="7:12" x14ac:dyDescent="0.2">
      <c r="G821" t="b">
        <f>IF(OR(INDEX(IHZ_HAZ_UNITTYPE,64,1)&lt;&gt;"",),IF(OR(INDEX(IHZ_HAZ_LOCATION,64,1)="",INDEX(IHZ_HAZ_AMOUNT,64,1)="",),FALSE,TRUE),TRUE)</f>
        <v>1</v>
      </c>
      <c r="H821" t="str">
        <f t="shared" si="24"/>
        <v>Row 64 - For a ‘Transport unit’ both ‘Location on board’ and ‘Amount’ are required</v>
      </c>
      <c r="I821" t="s">
        <v>33308</v>
      </c>
      <c r="J821" t="b">
        <f>IF(OR(INDEX(OHZ_HAZ_UNITTYPE,64,1)&lt;&gt;"",),IF(OR(INDEX(OHZ_HAZ_LOCATION,64,1)="",INDEX(OHZ_HAZ_AMOUNT,64,1)="",),FALSE,TRUE),TRUE)</f>
        <v>1</v>
      </c>
      <c r="K821" t="str">
        <f t="shared" si="25"/>
        <v>Row 64 - For a ‘Transport unit’ both ‘Location on board’ and ‘Amount’ are required</v>
      </c>
      <c r="L821" t="s">
        <v>33308</v>
      </c>
    </row>
    <row r="822" spans="7:12" x14ac:dyDescent="0.2">
      <c r="G822" t="b">
        <f>IF(OR(INDEX(IHZ_HAZ_UNITTYPE,65,1)&lt;&gt;"",),IF(OR(INDEX(IHZ_HAZ_LOCATION,65,1)="",INDEX(IHZ_HAZ_AMOUNT,65,1)="",),FALSE,TRUE),TRUE)</f>
        <v>1</v>
      </c>
      <c r="H822" t="str">
        <f t="shared" si="24"/>
        <v>Row 65 - For a ‘Transport unit’ both ‘Location on board’ and ‘Amount’ are required</v>
      </c>
      <c r="I822" t="s">
        <v>33308</v>
      </c>
      <c r="J822" t="b">
        <f>IF(OR(INDEX(OHZ_HAZ_UNITTYPE,65,1)&lt;&gt;"",),IF(OR(INDEX(OHZ_HAZ_LOCATION,65,1)="",INDEX(OHZ_HAZ_AMOUNT,65,1)="",),FALSE,TRUE),TRUE)</f>
        <v>1</v>
      </c>
      <c r="K822" t="str">
        <f t="shared" si="25"/>
        <v>Row 65 - For a ‘Transport unit’ both ‘Location on board’ and ‘Amount’ are required</v>
      </c>
      <c r="L822" t="s">
        <v>33308</v>
      </c>
    </row>
    <row r="823" spans="7:12" x14ac:dyDescent="0.2">
      <c r="G823" t="b">
        <f>IF(OR(INDEX(IHZ_HAZ_UNITTYPE,66,1)&lt;&gt;"",),IF(OR(INDEX(IHZ_HAZ_LOCATION,66,1)="",INDEX(IHZ_HAZ_AMOUNT,66,1)="",),FALSE,TRUE),TRUE)</f>
        <v>1</v>
      </c>
      <c r="H823" t="str">
        <f t="shared" ref="H823:H886" si="26">T66&amp;$V$4</f>
        <v>Row 66 - For a ‘Transport unit’ both ‘Location on board’ and ‘Amount’ are required</v>
      </c>
      <c r="I823" t="s">
        <v>33308</v>
      </c>
      <c r="J823" t="b">
        <f>IF(OR(INDEX(OHZ_HAZ_UNITTYPE,66,1)&lt;&gt;"",),IF(OR(INDEX(OHZ_HAZ_LOCATION,66,1)="",INDEX(OHZ_HAZ_AMOUNT,66,1)="",),FALSE,TRUE),TRUE)</f>
        <v>1</v>
      </c>
      <c r="K823" t="str">
        <f t="shared" ref="K823:K886" si="27">T66&amp;$V$4</f>
        <v>Row 66 - For a ‘Transport unit’ both ‘Location on board’ and ‘Amount’ are required</v>
      </c>
      <c r="L823" t="s">
        <v>33308</v>
      </c>
    </row>
    <row r="824" spans="7:12" x14ac:dyDescent="0.2">
      <c r="G824" t="b">
        <f>IF(OR(INDEX(IHZ_HAZ_UNITTYPE,67,1)&lt;&gt;"",),IF(OR(INDEX(IHZ_HAZ_LOCATION,67,1)="",INDEX(IHZ_HAZ_AMOUNT,67,1)="",),FALSE,TRUE),TRUE)</f>
        <v>1</v>
      </c>
      <c r="H824" t="str">
        <f t="shared" si="26"/>
        <v>Row 67 - For a ‘Transport unit’ both ‘Location on board’ and ‘Amount’ are required</v>
      </c>
      <c r="I824" t="s">
        <v>33308</v>
      </c>
      <c r="J824" t="b">
        <f>IF(OR(INDEX(OHZ_HAZ_UNITTYPE,67,1)&lt;&gt;"",),IF(OR(INDEX(OHZ_HAZ_LOCATION,67,1)="",INDEX(OHZ_HAZ_AMOUNT,67,1)="",),FALSE,TRUE),TRUE)</f>
        <v>1</v>
      </c>
      <c r="K824" t="str">
        <f t="shared" si="27"/>
        <v>Row 67 - For a ‘Transport unit’ both ‘Location on board’ and ‘Amount’ are required</v>
      </c>
      <c r="L824" t="s">
        <v>33308</v>
      </c>
    </row>
    <row r="825" spans="7:12" x14ac:dyDescent="0.2">
      <c r="G825" t="b">
        <f>IF(OR(INDEX(IHZ_HAZ_UNITTYPE,68,1)&lt;&gt;"",),IF(OR(INDEX(IHZ_HAZ_LOCATION,68,1)="",INDEX(IHZ_HAZ_AMOUNT,68,1)="",),FALSE,TRUE),TRUE)</f>
        <v>1</v>
      </c>
      <c r="H825" t="str">
        <f t="shared" si="26"/>
        <v>Row 68 - For a ‘Transport unit’ both ‘Location on board’ and ‘Amount’ are required</v>
      </c>
      <c r="I825" t="s">
        <v>33308</v>
      </c>
      <c r="J825" t="b">
        <f>IF(OR(INDEX(OHZ_HAZ_UNITTYPE,68,1)&lt;&gt;"",),IF(OR(INDEX(OHZ_HAZ_LOCATION,68,1)="",INDEX(OHZ_HAZ_AMOUNT,68,1)="",),FALSE,TRUE),TRUE)</f>
        <v>1</v>
      </c>
      <c r="K825" t="str">
        <f t="shared" si="27"/>
        <v>Row 68 - For a ‘Transport unit’ both ‘Location on board’ and ‘Amount’ are required</v>
      </c>
      <c r="L825" t="s">
        <v>33308</v>
      </c>
    </row>
    <row r="826" spans="7:12" x14ac:dyDescent="0.2">
      <c r="G826" t="b">
        <f>IF(OR(INDEX(IHZ_HAZ_UNITTYPE,69,1)&lt;&gt;"",),IF(OR(INDEX(IHZ_HAZ_LOCATION,69,1)="",INDEX(IHZ_HAZ_AMOUNT,69,1)="",),FALSE,TRUE),TRUE)</f>
        <v>1</v>
      </c>
      <c r="H826" t="str">
        <f t="shared" si="26"/>
        <v>Row 69 - For a ‘Transport unit’ both ‘Location on board’ and ‘Amount’ are required</v>
      </c>
      <c r="I826" t="s">
        <v>33308</v>
      </c>
      <c r="J826" t="b">
        <f>IF(OR(INDEX(OHZ_HAZ_UNITTYPE,69,1)&lt;&gt;"",),IF(OR(INDEX(OHZ_HAZ_LOCATION,69,1)="",INDEX(OHZ_HAZ_AMOUNT,69,1)="",),FALSE,TRUE),TRUE)</f>
        <v>1</v>
      </c>
      <c r="K826" t="str">
        <f t="shared" si="27"/>
        <v>Row 69 - For a ‘Transport unit’ both ‘Location on board’ and ‘Amount’ are required</v>
      </c>
      <c r="L826" t="s">
        <v>33308</v>
      </c>
    </row>
    <row r="827" spans="7:12" x14ac:dyDescent="0.2">
      <c r="G827" t="b">
        <f>IF(OR(INDEX(IHZ_HAZ_UNITTYPE,70,1)&lt;&gt;"",),IF(OR(INDEX(IHZ_HAZ_LOCATION,70,1)="",INDEX(IHZ_HAZ_AMOUNT,70,1)="",),FALSE,TRUE),TRUE)</f>
        <v>1</v>
      </c>
      <c r="H827" t="str">
        <f t="shared" si="26"/>
        <v>Row 70 - For a ‘Transport unit’ both ‘Location on board’ and ‘Amount’ are required</v>
      </c>
      <c r="I827" t="s">
        <v>33308</v>
      </c>
      <c r="J827" t="b">
        <f>IF(OR(INDEX(OHZ_HAZ_UNITTYPE,70,1)&lt;&gt;"",),IF(OR(INDEX(OHZ_HAZ_LOCATION,70,1)="",INDEX(OHZ_HAZ_AMOUNT,70,1)="",),FALSE,TRUE),TRUE)</f>
        <v>1</v>
      </c>
      <c r="K827" t="str">
        <f t="shared" si="27"/>
        <v>Row 70 - For a ‘Transport unit’ both ‘Location on board’ and ‘Amount’ are required</v>
      </c>
      <c r="L827" t="s">
        <v>33308</v>
      </c>
    </row>
    <row r="828" spans="7:12" x14ac:dyDescent="0.2">
      <c r="G828" t="b">
        <f>IF(OR(INDEX(IHZ_HAZ_UNITTYPE,71,1)&lt;&gt;"",),IF(OR(INDEX(IHZ_HAZ_LOCATION,71,1)="",INDEX(IHZ_HAZ_AMOUNT,71,1)="",),FALSE,TRUE),TRUE)</f>
        <v>1</v>
      </c>
      <c r="H828" t="str">
        <f t="shared" si="26"/>
        <v>Row 71 - For a ‘Transport unit’ both ‘Location on board’ and ‘Amount’ are required</v>
      </c>
      <c r="I828" t="s">
        <v>33308</v>
      </c>
      <c r="J828" t="b">
        <f>IF(OR(INDEX(OHZ_HAZ_UNITTYPE,71,1)&lt;&gt;"",),IF(OR(INDEX(OHZ_HAZ_LOCATION,71,1)="",INDEX(OHZ_HAZ_AMOUNT,71,1)="",),FALSE,TRUE),TRUE)</f>
        <v>1</v>
      </c>
      <c r="K828" t="str">
        <f t="shared" si="27"/>
        <v>Row 71 - For a ‘Transport unit’ both ‘Location on board’ and ‘Amount’ are required</v>
      </c>
      <c r="L828" t="s">
        <v>33308</v>
      </c>
    </row>
    <row r="829" spans="7:12" x14ac:dyDescent="0.2">
      <c r="G829" t="b">
        <f>IF(OR(INDEX(IHZ_HAZ_UNITTYPE,72,1)&lt;&gt;"",),IF(OR(INDEX(IHZ_HAZ_LOCATION,72,1)="",INDEX(IHZ_HAZ_AMOUNT,72,1)="",),FALSE,TRUE),TRUE)</f>
        <v>1</v>
      </c>
      <c r="H829" t="str">
        <f t="shared" si="26"/>
        <v>Row 72 - For a ‘Transport unit’ both ‘Location on board’ and ‘Amount’ are required</v>
      </c>
      <c r="I829" t="s">
        <v>33308</v>
      </c>
      <c r="J829" t="b">
        <f>IF(OR(INDEX(OHZ_HAZ_UNITTYPE,72,1)&lt;&gt;"",),IF(OR(INDEX(OHZ_HAZ_LOCATION,72,1)="",INDEX(OHZ_HAZ_AMOUNT,72,1)="",),FALSE,TRUE),TRUE)</f>
        <v>1</v>
      </c>
      <c r="K829" t="str">
        <f t="shared" si="27"/>
        <v>Row 72 - For a ‘Transport unit’ both ‘Location on board’ and ‘Amount’ are required</v>
      </c>
      <c r="L829" t="s">
        <v>33308</v>
      </c>
    </row>
    <row r="830" spans="7:12" x14ac:dyDescent="0.2">
      <c r="G830" t="b">
        <f>IF(OR(INDEX(IHZ_HAZ_UNITTYPE,73,1)&lt;&gt;"",),IF(OR(INDEX(IHZ_HAZ_LOCATION,73,1)="",INDEX(IHZ_HAZ_AMOUNT,73,1)="",),FALSE,TRUE),TRUE)</f>
        <v>1</v>
      </c>
      <c r="H830" t="str">
        <f t="shared" si="26"/>
        <v>Row 73 - For a ‘Transport unit’ both ‘Location on board’ and ‘Amount’ are required</v>
      </c>
      <c r="I830" t="s">
        <v>33308</v>
      </c>
      <c r="J830" t="b">
        <f>IF(OR(INDEX(OHZ_HAZ_UNITTYPE,73,1)&lt;&gt;"",),IF(OR(INDEX(OHZ_HAZ_LOCATION,73,1)="",INDEX(OHZ_HAZ_AMOUNT,73,1)="",),FALSE,TRUE),TRUE)</f>
        <v>1</v>
      </c>
      <c r="K830" t="str">
        <f t="shared" si="27"/>
        <v>Row 73 - For a ‘Transport unit’ both ‘Location on board’ and ‘Amount’ are required</v>
      </c>
      <c r="L830" t="s">
        <v>33308</v>
      </c>
    </row>
    <row r="831" spans="7:12" x14ac:dyDescent="0.2">
      <c r="G831" t="b">
        <f>IF(OR(INDEX(IHZ_HAZ_UNITTYPE,74,1)&lt;&gt;"",),IF(OR(INDEX(IHZ_HAZ_LOCATION,74,1)="",INDEX(IHZ_HAZ_AMOUNT,74,1)="",),FALSE,TRUE),TRUE)</f>
        <v>1</v>
      </c>
      <c r="H831" t="str">
        <f t="shared" si="26"/>
        <v>Row 74 - For a ‘Transport unit’ both ‘Location on board’ and ‘Amount’ are required</v>
      </c>
      <c r="I831" t="s">
        <v>33308</v>
      </c>
      <c r="J831" t="b">
        <f>IF(OR(INDEX(OHZ_HAZ_UNITTYPE,74,1)&lt;&gt;"",),IF(OR(INDEX(OHZ_HAZ_LOCATION,74,1)="",INDEX(OHZ_HAZ_AMOUNT,74,1)="",),FALSE,TRUE),TRUE)</f>
        <v>1</v>
      </c>
      <c r="K831" t="str">
        <f t="shared" si="27"/>
        <v>Row 74 - For a ‘Transport unit’ both ‘Location on board’ and ‘Amount’ are required</v>
      </c>
      <c r="L831" t="s">
        <v>33308</v>
      </c>
    </row>
    <row r="832" spans="7:12" x14ac:dyDescent="0.2">
      <c r="G832" t="b">
        <f>IF(OR(INDEX(IHZ_HAZ_UNITTYPE,75,1)&lt;&gt;"",),IF(OR(INDEX(IHZ_HAZ_LOCATION,75,1)="",INDEX(IHZ_HAZ_AMOUNT,75,1)="",),FALSE,TRUE),TRUE)</f>
        <v>1</v>
      </c>
      <c r="H832" t="str">
        <f t="shared" si="26"/>
        <v>Row 75 - For a ‘Transport unit’ both ‘Location on board’ and ‘Amount’ are required</v>
      </c>
      <c r="I832" t="s">
        <v>33308</v>
      </c>
      <c r="J832" t="b">
        <f>IF(OR(INDEX(OHZ_HAZ_UNITTYPE,75,1)&lt;&gt;"",),IF(OR(INDEX(OHZ_HAZ_LOCATION,75,1)="",INDEX(OHZ_HAZ_AMOUNT,75,1)="",),FALSE,TRUE),TRUE)</f>
        <v>1</v>
      </c>
      <c r="K832" t="str">
        <f t="shared" si="27"/>
        <v>Row 75 - For a ‘Transport unit’ both ‘Location on board’ and ‘Amount’ are required</v>
      </c>
      <c r="L832" t="s">
        <v>33308</v>
      </c>
    </row>
    <row r="833" spans="7:12" x14ac:dyDescent="0.2">
      <c r="G833" t="b">
        <f>IF(OR(INDEX(IHZ_HAZ_UNITTYPE,76,1)&lt;&gt;"",),IF(OR(INDEX(IHZ_HAZ_LOCATION,76,1)="",INDEX(IHZ_HAZ_AMOUNT,76,1)="",),FALSE,TRUE),TRUE)</f>
        <v>1</v>
      </c>
      <c r="H833" t="str">
        <f t="shared" si="26"/>
        <v>Row 76 - For a ‘Transport unit’ both ‘Location on board’ and ‘Amount’ are required</v>
      </c>
      <c r="I833" t="s">
        <v>33308</v>
      </c>
      <c r="J833" t="b">
        <f>IF(OR(INDEX(OHZ_HAZ_UNITTYPE,76,1)&lt;&gt;"",),IF(OR(INDEX(OHZ_HAZ_LOCATION,76,1)="",INDEX(OHZ_HAZ_AMOUNT,76,1)="",),FALSE,TRUE),TRUE)</f>
        <v>1</v>
      </c>
      <c r="K833" t="str">
        <f t="shared" si="27"/>
        <v>Row 76 - For a ‘Transport unit’ both ‘Location on board’ and ‘Amount’ are required</v>
      </c>
      <c r="L833" t="s">
        <v>33308</v>
      </c>
    </row>
    <row r="834" spans="7:12" x14ac:dyDescent="0.2">
      <c r="G834" t="b">
        <f>IF(OR(INDEX(IHZ_HAZ_UNITTYPE,77,1)&lt;&gt;"",),IF(OR(INDEX(IHZ_HAZ_LOCATION,77,1)="",INDEX(IHZ_HAZ_AMOUNT,77,1)="",),FALSE,TRUE),TRUE)</f>
        <v>1</v>
      </c>
      <c r="H834" t="str">
        <f t="shared" si="26"/>
        <v>Row 77 - For a ‘Transport unit’ both ‘Location on board’ and ‘Amount’ are required</v>
      </c>
      <c r="I834" t="s">
        <v>33308</v>
      </c>
      <c r="J834" t="b">
        <f>IF(OR(INDEX(OHZ_HAZ_UNITTYPE,77,1)&lt;&gt;"",),IF(OR(INDEX(OHZ_HAZ_LOCATION,77,1)="",INDEX(OHZ_HAZ_AMOUNT,77,1)="",),FALSE,TRUE),TRUE)</f>
        <v>1</v>
      </c>
      <c r="K834" t="str">
        <f t="shared" si="27"/>
        <v>Row 77 - For a ‘Transport unit’ both ‘Location on board’ and ‘Amount’ are required</v>
      </c>
      <c r="L834" t="s">
        <v>33308</v>
      </c>
    </row>
    <row r="835" spans="7:12" x14ac:dyDescent="0.2">
      <c r="G835" t="b">
        <f>IF(OR(INDEX(IHZ_HAZ_UNITTYPE,78,1)&lt;&gt;"",),IF(OR(INDEX(IHZ_HAZ_LOCATION,78,1)="",INDEX(IHZ_HAZ_AMOUNT,78,1)="",),FALSE,TRUE),TRUE)</f>
        <v>1</v>
      </c>
      <c r="H835" t="str">
        <f t="shared" si="26"/>
        <v>Row 78 - For a ‘Transport unit’ both ‘Location on board’ and ‘Amount’ are required</v>
      </c>
      <c r="I835" t="s">
        <v>33308</v>
      </c>
      <c r="J835" t="b">
        <f>IF(OR(INDEX(OHZ_HAZ_UNITTYPE,78,1)&lt;&gt;"",),IF(OR(INDEX(OHZ_HAZ_LOCATION,78,1)="",INDEX(OHZ_HAZ_AMOUNT,78,1)="",),FALSE,TRUE),TRUE)</f>
        <v>1</v>
      </c>
      <c r="K835" t="str">
        <f t="shared" si="27"/>
        <v>Row 78 - For a ‘Transport unit’ both ‘Location on board’ and ‘Amount’ are required</v>
      </c>
      <c r="L835" t="s">
        <v>33308</v>
      </c>
    </row>
    <row r="836" spans="7:12" x14ac:dyDescent="0.2">
      <c r="G836" t="b">
        <f>IF(OR(INDEX(IHZ_HAZ_UNITTYPE,79,1)&lt;&gt;"",),IF(OR(INDEX(IHZ_HAZ_LOCATION,79,1)="",INDEX(IHZ_HAZ_AMOUNT,79,1)="",),FALSE,TRUE),TRUE)</f>
        <v>1</v>
      </c>
      <c r="H836" t="str">
        <f t="shared" si="26"/>
        <v>Row 79 - For a ‘Transport unit’ both ‘Location on board’ and ‘Amount’ are required</v>
      </c>
      <c r="I836" t="s">
        <v>33308</v>
      </c>
      <c r="J836" t="b">
        <f>IF(OR(INDEX(OHZ_HAZ_UNITTYPE,79,1)&lt;&gt;"",),IF(OR(INDEX(OHZ_HAZ_LOCATION,79,1)="",INDEX(OHZ_HAZ_AMOUNT,79,1)="",),FALSE,TRUE),TRUE)</f>
        <v>1</v>
      </c>
      <c r="K836" t="str">
        <f t="shared" si="27"/>
        <v>Row 79 - For a ‘Transport unit’ both ‘Location on board’ and ‘Amount’ are required</v>
      </c>
      <c r="L836" t="s">
        <v>33308</v>
      </c>
    </row>
    <row r="837" spans="7:12" x14ac:dyDescent="0.2">
      <c r="G837" t="b">
        <f>IF(OR(INDEX(IHZ_HAZ_UNITTYPE,80,1)&lt;&gt;"",),IF(OR(INDEX(IHZ_HAZ_LOCATION,80,1)="",INDEX(IHZ_HAZ_AMOUNT,80,1)="",),FALSE,TRUE),TRUE)</f>
        <v>1</v>
      </c>
      <c r="H837" t="str">
        <f t="shared" si="26"/>
        <v>Row 80 - For a ‘Transport unit’ both ‘Location on board’ and ‘Amount’ are required</v>
      </c>
      <c r="I837" t="s">
        <v>33308</v>
      </c>
      <c r="J837" t="b">
        <f>IF(OR(INDEX(OHZ_HAZ_UNITTYPE,80,1)&lt;&gt;"",),IF(OR(INDEX(OHZ_HAZ_LOCATION,80,1)="",INDEX(OHZ_HAZ_AMOUNT,80,1)="",),FALSE,TRUE),TRUE)</f>
        <v>1</v>
      </c>
      <c r="K837" t="str">
        <f t="shared" si="27"/>
        <v>Row 80 - For a ‘Transport unit’ both ‘Location on board’ and ‘Amount’ are required</v>
      </c>
      <c r="L837" t="s">
        <v>33308</v>
      </c>
    </row>
    <row r="838" spans="7:12" x14ac:dyDescent="0.2">
      <c r="G838" t="b">
        <f>IF(OR(INDEX(IHZ_HAZ_UNITTYPE,81,1)&lt;&gt;"",),IF(OR(INDEX(IHZ_HAZ_LOCATION,81,1)="",INDEX(IHZ_HAZ_AMOUNT,81,1)="",),FALSE,TRUE),TRUE)</f>
        <v>1</v>
      </c>
      <c r="H838" t="str">
        <f t="shared" si="26"/>
        <v>Row 81 - For a ‘Transport unit’ both ‘Location on board’ and ‘Amount’ are required</v>
      </c>
      <c r="I838" t="s">
        <v>33308</v>
      </c>
      <c r="J838" t="b">
        <f>IF(OR(INDEX(OHZ_HAZ_UNITTYPE,81,1)&lt;&gt;"",),IF(OR(INDEX(OHZ_HAZ_LOCATION,81,1)="",INDEX(OHZ_HAZ_AMOUNT,81,1)="",),FALSE,TRUE),TRUE)</f>
        <v>1</v>
      </c>
      <c r="K838" t="str">
        <f t="shared" si="27"/>
        <v>Row 81 - For a ‘Transport unit’ both ‘Location on board’ and ‘Amount’ are required</v>
      </c>
      <c r="L838" t="s">
        <v>33308</v>
      </c>
    </row>
    <row r="839" spans="7:12" x14ac:dyDescent="0.2">
      <c r="G839" t="b">
        <f>IF(OR(INDEX(IHZ_HAZ_UNITTYPE,82,1)&lt;&gt;"",),IF(OR(INDEX(IHZ_HAZ_LOCATION,82,1)="",INDEX(IHZ_HAZ_AMOUNT,82,1)="",),FALSE,TRUE),TRUE)</f>
        <v>1</v>
      </c>
      <c r="H839" t="str">
        <f t="shared" si="26"/>
        <v>Row 82 - For a ‘Transport unit’ both ‘Location on board’ and ‘Amount’ are required</v>
      </c>
      <c r="I839" t="s">
        <v>33308</v>
      </c>
      <c r="J839" t="b">
        <f>IF(OR(INDEX(OHZ_HAZ_UNITTYPE,82,1)&lt;&gt;"",),IF(OR(INDEX(OHZ_HAZ_LOCATION,82,1)="",INDEX(OHZ_HAZ_AMOUNT,82,1)="",),FALSE,TRUE),TRUE)</f>
        <v>1</v>
      </c>
      <c r="K839" t="str">
        <f t="shared" si="27"/>
        <v>Row 82 - For a ‘Transport unit’ both ‘Location on board’ and ‘Amount’ are required</v>
      </c>
      <c r="L839" t="s">
        <v>33308</v>
      </c>
    </row>
    <row r="840" spans="7:12" x14ac:dyDescent="0.2">
      <c r="G840" t="b">
        <f>IF(OR(INDEX(IHZ_HAZ_UNITTYPE,83,1)&lt;&gt;"",),IF(OR(INDEX(IHZ_HAZ_LOCATION,83,1)="",INDEX(IHZ_HAZ_AMOUNT,83,1)="",),FALSE,TRUE),TRUE)</f>
        <v>1</v>
      </c>
      <c r="H840" t="str">
        <f t="shared" si="26"/>
        <v>Row 83 - For a ‘Transport unit’ both ‘Location on board’ and ‘Amount’ are required</v>
      </c>
      <c r="I840" t="s">
        <v>33308</v>
      </c>
      <c r="J840" t="b">
        <f>IF(OR(INDEX(OHZ_HAZ_UNITTYPE,83,1)&lt;&gt;"",),IF(OR(INDEX(OHZ_HAZ_LOCATION,83,1)="",INDEX(OHZ_HAZ_AMOUNT,83,1)="",),FALSE,TRUE),TRUE)</f>
        <v>1</v>
      </c>
      <c r="K840" t="str">
        <f t="shared" si="27"/>
        <v>Row 83 - For a ‘Transport unit’ both ‘Location on board’ and ‘Amount’ are required</v>
      </c>
      <c r="L840" t="s">
        <v>33308</v>
      </c>
    </row>
    <row r="841" spans="7:12" x14ac:dyDescent="0.2">
      <c r="G841" t="b">
        <f>IF(OR(INDEX(IHZ_HAZ_UNITTYPE,84,1)&lt;&gt;"",),IF(OR(INDEX(IHZ_HAZ_LOCATION,84,1)="",INDEX(IHZ_HAZ_AMOUNT,84,1)="",),FALSE,TRUE),TRUE)</f>
        <v>1</v>
      </c>
      <c r="H841" t="str">
        <f t="shared" si="26"/>
        <v>Row 84 - For a ‘Transport unit’ both ‘Location on board’ and ‘Amount’ are required</v>
      </c>
      <c r="I841" t="s">
        <v>33308</v>
      </c>
      <c r="J841" t="b">
        <f>IF(OR(INDEX(OHZ_HAZ_UNITTYPE,84,1)&lt;&gt;"",),IF(OR(INDEX(OHZ_HAZ_LOCATION,84,1)="",INDEX(OHZ_HAZ_AMOUNT,84,1)="",),FALSE,TRUE),TRUE)</f>
        <v>1</v>
      </c>
      <c r="K841" t="str">
        <f t="shared" si="27"/>
        <v>Row 84 - For a ‘Transport unit’ both ‘Location on board’ and ‘Amount’ are required</v>
      </c>
      <c r="L841" t="s">
        <v>33308</v>
      </c>
    </row>
    <row r="842" spans="7:12" x14ac:dyDescent="0.2">
      <c r="G842" t="b">
        <f>IF(OR(INDEX(IHZ_HAZ_UNITTYPE,85,1)&lt;&gt;"",),IF(OR(INDEX(IHZ_HAZ_LOCATION,85,1)="",INDEX(IHZ_HAZ_AMOUNT,85,1)="",),FALSE,TRUE),TRUE)</f>
        <v>1</v>
      </c>
      <c r="H842" t="str">
        <f t="shared" si="26"/>
        <v>Row 85 - For a ‘Transport unit’ both ‘Location on board’ and ‘Amount’ are required</v>
      </c>
      <c r="I842" t="s">
        <v>33308</v>
      </c>
      <c r="J842" t="b">
        <f>IF(OR(INDEX(OHZ_HAZ_UNITTYPE,85,1)&lt;&gt;"",),IF(OR(INDEX(OHZ_HAZ_LOCATION,85,1)="",INDEX(OHZ_HAZ_AMOUNT,85,1)="",),FALSE,TRUE),TRUE)</f>
        <v>1</v>
      </c>
      <c r="K842" t="str">
        <f t="shared" si="27"/>
        <v>Row 85 - For a ‘Transport unit’ both ‘Location on board’ and ‘Amount’ are required</v>
      </c>
      <c r="L842" t="s">
        <v>33308</v>
      </c>
    </row>
    <row r="843" spans="7:12" x14ac:dyDescent="0.2">
      <c r="G843" t="b">
        <f>IF(OR(INDEX(IHZ_HAZ_UNITTYPE,86,1)&lt;&gt;"",),IF(OR(INDEX(IHZ_HAZ_LOCATION,86,1)="",INDEX(IHZ_HAZ_AMOUNT,86,1)="",),FALSE,TRUE),TRUE)</f>
        <v>1</v>
      </c>
      <c r="H843" t="str">
        <f t="shared" si="26"/>
        <v>Row 86 - For a ‘Transport unit’ both ‘Location on board’ and ‘Amount’ are required</v>
      </c>
      <c r="I843" t="s">
        <v>33308</v>
      </c>
      <c r="J843" t="b">
        <f>IF(OR(INDEX(OHZ_HAZ_UNITTYPE,86,1)&lt;&gt;"",),IF(OR(INDEX(OHZ_HAZ_LOCATION,86,1)="",INDEX(OHZ_HAZ_AMOUNT,86,1)="",),FALSE,TRUE),TRUE)</f>
        <v>1</v>
      </c>
      <c r="K843" t="str">
        <f t="shared" si="27"/>
        <v>Row 86 - For a ‘Transport unit’ both ‘Location on board’ and ‘Amount’ are required</v>
      </c>
      <c r="L843" t="s">
        <v>33308</v>
      </c>
    </row>
    <row r="844" spans="7:12" x14ac:dyDescent="0.2">
      <c r="G844" t="b">
        <f>IF(OR(INDEX(IHZ_HAZ_UNITTYPE,87,1)&lt;&gt;"",),IF(OR(INDEX(IHZ_HAZ_LOCATION,87,1)="",INDEX(IHZ_HAZ_AMOUNT,87,1)="",),FALSE,TRUE),TRUE)</f>
        <v>1</v>
      </c>
      <c r="H844" t="str">
        <f t="shared" si="26"/>
        <v>Row 87 - For a ‘Transport unit’ both ‘Location on board’ and ‘Amount’ are required</v>
      </c>
      <c r="I844" t="s">
        <v>33308</v>
      </c>
      <c r="J844" t="b">
        <f>IF(OR(INDEX(OHZ_HAZ_UNITTYPE,87,1)&lt;&gt;"",),IF(OR(INDEX(OHZ_HAZ_LOCATION,87,1)="",INDEX(OHZ_HAZ_AMOUNT,87,1)="",),FALSE,TRUE),TRUE)</f>
        <v>1</v>
      </c>
      <c r="K844" t="str">
        <f t="shared" si="27"/>
        <v>Row 87 - For a ‘Transport unit’ both ‘Location on board’ and ‘Amount’ are required</v>
      </c>
      <c r="L844" t="s">
        <v>33308</v>
      </c>
    </row>
    <row r="845" spans="7:12" x14ac:dyDescent="0.2">
      <c r="G845" t="b">
        <f>IF(OR(INDEX(IHZ_HAZ_UNITTYPE,88,1)&lt;&gt;"",),IF(OR(INDEX(IHZ_HAZ_LOCATION,88,1)="",INDEX(IHZ_HAZ_AMOUNT,88,1)="",),FALSE,TRUE),TRUE)</f>
        <v>1</v>
      </c>
      <c r="H845" t="str">
        <f t="shared" si="26"/>
        <v>Row 88 - For a ‘Transport unit’ both ‘Location on board’ and ‘Amount’ are required</v>
      </c>
      <c r="I845" t="s">
        <v>33308</v>
      </c>
      <c r="J845" t="b">
        <f>IF(OR(INDEX(OHZ_HAZ_UNITTYPE,88,1)&lt;&gt;"",),IF(OR(INDEX(OHZ_HAZ_LOCATION,88,1)="",INDEX(OHZ_HAZ_AMOUNT,88,1)="",),FALSE,TRUE),TRUE)</f>
        <v>1</v>
      </c>
      <c r="K845" t="str">
        <f t="shared" si="27"/>
        <v>Row 88 - For a ‘Transport unit’ both ‘Location on board’ and ‘Amount’ are required</v>
      </c>
      <c r="L845" t="s">
        <v>33308</v>
      </c>
    </row>
    <row r="846" spans="7:12" x14ac:dyDescent="0.2">
      <c r="G846" t="b">
        <f>IF(OR(INDEX(IHZ_HAZ_UNITTYPE,89,1)&lt;&gt;"",),IF(OR(INDEX(IHZ_HAZ_LOCATION,89,1)="",INDEX(IHZ_HAZ_AMOUNT,89,1)="",),FALSE,TRUE),TRUE)</f>
        <v>1</v>
      </c>
      <c r="H846" t="str">
        <f t="shared" si="26"/>
        <v>Row 89 - For a ‘Transport unit’ both ‘Location on board’ and ‘Amount’ are required</v>
      </c>
      <c r="I846" t="s">
        <v>33308</v>
      </c>
      <c r="J846" t="b">
        <f>IF(OR(INDEX(OHZ_HAZ_UNITTYPE,89,1)&lt;&gt;"",),IF(OR(INDEX(OHZ_HAZ_LOCATION,89,1)="",INDEX(OHZ_HAZ_AMOUNT,89,1)="",),FALSE,TRUE),TRUE)</f>
        <v>1</v>
      </c>
      <c r="K846" t="str">
        <f t="shared" si="27"/>
        <v>Row 89 - For a ‘Transport unit’ both ‘Location on board’ and ‘Amount’ are required</v>
      </c>
      <c r="L846" t="s">
        <v>33308</v>
      </c>
    </row>
    <row r="847" spans="7:12" x14ac:dyDescent="0.2">
      <c r="G847" t="b">
        <f>IF(OR(INDEX(IHZ_HAZ_UNITTYPE,90,1)&lt;&gt;"",),IF(OR(INDEX(IHZ_HAZ_LOCATION,90,1)="",INDEX(IHZ_HAZ_AMOUNT,90,1)="",),FALSE,TRUE),TRUE)</f>
        <v>1</v>
      </c>
      <c r="H847" t="str">
        <f t="shared" si="26"/>
        <v>Row 90 - For a ‘Transport unit’ both ‘Location on board’ and ‘Amount’ are required</v>
      </c>
      <c r="I847" t="s">
        <v>33308</v>
      </c>
      <c r="J847" t="b">
        <f>IF(OR(INDEX(OHZ_HAZ_UNITTYPE,90,1)&lt;&gt;"",),IF(OR(INDEX(OHZ_HAZ_LOCATION,90,1)="",INDEX(OHZ_HAZ_AMOUNT,90,1)="",),FALSE,TRUE),TRUE)</f>
        <v>1</v>
      </c>
      <c r="K847" t="str">
        <f t="shared" si="27"/>
        <v>Row 90 - For a ‘Transport unit’ both ‘Location on board’ and ‘Amount’ are required</v>
      </c>
      <c r="L847" t="s">
        <v>33308</v>
      </c>
    </row>
    <row r="848" spans="7:12" x14ac:dyDescent="0.2">
      <c r="G848" t="b">
        <f>IF(OR(INDEX(IHZ_HAZ_UNITTYPE,91,1)&lt;&gt;"",),IF(OR(INDEX(IHZ_HAZ_LOCATION,91,1)="",INDEX(IHZ_HAZ_AMOUNT,91,1)="",),FALSE,TRUE),TRUE)</f>
        <v>1</v>
      </c>
      <c r="H848" t="str">
        <f t="shared" si="26"/>
        <v>Row 91 - For a ‘Transport unit’ both ‘Location on board’ and ‘Amount’ are required</v>
      </c>
      <c r="I848" t="s">
        <v>33308</v>
      </c>
      <c r="J848" t="b">
        <f>IF(OR(INDEX(OHZ_HAZ_UNITTYPE,91,1)&lt;&gt;"",),IF(OR(INDEX(OHZ_HAZ_LOCATION,91,1)="",INDEX(OHZ_HAZ_AMOUNT,91,1)="",),FALSE,TRUE),TRUE)</f>
        <v>1</v>
      </c>
      <c r="K848" t="str">
        <f t="shared" si="27"/>
        <v>Row 91 - For a ‘Transport unit’ both ‘Location on board’ and ‘Amount’ are required</v>
      </c>
      <c r="L848" t="s">
        <v>33308</v>
      </c>
    </row>
    <row r="849" spans="7:12" x14ac:dyDescent="0.2">
      <c r="G849" t="b">
        <f>IF(OR(INDEX(IHZ_HAZ_UNITTYPE,92,1)&lt;&gt;"",),IF(OR(INDEX(IHZ_HAZ_LOCATION,92,1)="",INDEX(IHZ_HAZ_AMOUNT,92,1)="",),FALSE,TRUE),TRUE)</f>
        <v>1</v>
      </c>
      <c r="H849" t="str">
        <f t="shared" si="26"/>
        <v>Row 92 - For a ‘Transport unit’ both ‘Location on board’ and ‘Amount’ are required</v>
      </c>
      <c r="I849" t="s">
        <v>33308</v>
      </c>
      <c r="J849" t="b">
        <f>IF(OR(INDEX(OHZ_HAZ_UNITTYPE,92,1)&lt;&gt;"",),IF(OR(INDEX(OHZ_HAZ_LOCATION,92,1)="",INDEX(OHZ_HAZ_AMOUNT,92,1)="",),FALSE,TRUE),TRUE)</f>
        <v>1</v>
      </c>
      <c r="K849" t="str">
        <f t="shared" si="27"/>
        <v>Row 92 - For a ‘Transport unit’ both ‘Location on board’ and ‘Amount’ are required</v>
      </c>
      <c r="L849" t="s">
        <v>33308</v>
      </c>
    </row>
    <row r="850" spans="7:12" x14ac:dyDescent="0.2">
      <c r="G850" t="b">
        <f>IF(OR(INDEX(IHZ_HAZ_UNITTYPE,93,1)&lt;&gt;"",),IF(OR(INDEX(IHZ_HAZ_LOCATION,93,1)="",INDEX(IHZ_HAZ_AMOUNT,93,1)="",),FALSE,TRUE),TRUE)</f>
        <v>1</v>
      </c>
      <c r="H850" t="str">
        <f t="shared" si="26"/>
        <v>Row 93 - For a ‘Transport unit’ both ‘Location on board’ and ‘Amount’ are required</v>
      </c>
      <c r="I850" t="s">
        <v>33308</v>
      </c>
      <c r="J850" t="b">
        <f>IF(OR(INDEX(OHZ_HAZ_UNITTYPE,93,1)&lt;&gt;"",),IF(OR(INDEX(OHZ_HAZ_LOCATION,93,1)="",INDEX(OHZ_HAZ_AMOUNT,93,1)="",),FALSE,TRUE),TRUE)</f>
        <v>1</v>
      </c>
      <c r="K850" t="str">
        <f t="shared" si="27"/>
        <v>Row 93 - For a ‘Transport unit’ both ‘Location on board’ and ‘Amount’ are required</v>
      </c>
      <c r="L850" t="s">
        <v>33308</v>
      </c>
    </row>
    <row r="851" spans="7:12" x14ac:dyDescent="0.2">
      <c r="G851" t="b">
        <f>IF(OR(INDEX(IHZ_HAZ_UNITTYPE,94,1)&lt;&gt;"",),IF(OR(INDEX(IHZ_HAZ_LOCATION,94,1)="",INDEX(IHZ_HAZ_AMOUNT,94,1)="",),FALSE,TRUE),TRUE)</f>
        <v>1</v>
      </c>
      <c r="H851" t="str">
        <f t="shared" si="26"/>
        <v>Row 94 - For a ‘Transport unit’ both ‘Location on board’ and ‘Amount’ are required</v>
      </c>
      <c r="I851" t="s">
        <v>33308</v>
      </c>
      <c r="J851" t="b">
        <f>IF(OR(INDEX(OHZ_HAZ_UNITTYPE,94,1)&lt;&gt;"",),IF(OR(INDEX(OHZ_HAZ_LOCATION,94,1)="",INDEX(OHZ_HAZ_AMOUNT,94,1)="",),FALSE,TRUE),TRUE)</f>
        <v>1</v>
      </c>
      <c r="K851" t="str">
        <f t="shared" si="27"/>
        <v>Row 94 - For a ‘Transport unit’ both ‘Location on board’ and ‘Amount’ are required</v>
      </c>
      <c r="L851" t="s">
        <v>33308</v>
      </c>
    </row>
    <row r="852" spans="7:12" x14ac:dyDescent="0.2">
      <c r="G852" t="b">
        <f>IF(OR(INDEX(IHZ_HAZ_UNITTYPE,95,1)&lt;&gt;"",),IF(OR(INDEX(IHZ_HAZ_LOCATION,95,1)="",INDEX(IHZ_HAZ_AMOUNT,95,1)="",),FALSE,TRUE),TRUE)</f>
        <v>1</v>
      </c>
      <c r="H852" t="str">
        <f t="shared" si="26"/>
        <v>Row 95 - For a ‘Transport unit’ both ‘Location on board’ and ‘Amount’ are required</v>
      </c>
      <c r="I852" t="s">
        <v>33308</v>
      </c>
      <c r="J852" t="b">
        <f>IF(OR(INDEX(OHZ_HAZ_UNITTYPE,95,1)&lt;&gt;"",),IF(OR(INDEX(OHZ_HAZ_LOCATION,95,1)="",INDEX(OHZ_HAZ_AMOUNT,95,1)="",),FALSE,TRUE),TRUE)</f>
        <v>1</v>
      </c>
      <c r="K852" t="str">
        <f t="shared" si="27"/>
        <v>Row 95 - For a ‘Transport unit’ both ‘Location on board’ and ‘Amount’ are required</v>
      </c>
      <c r="L852" t="s">
        <v>33308</v>
      </c>
    </row>
    <row r="853" spans="7:12" x14ac:dyDescent="0.2">
      <c r="G853" t="b">
        <f>IF(OR(INDEX(IHZ_HAZ_UNITTYPE,96,1)&lt;&gt;"",),IF(OR(INDEX(IHZ_HAZ_LOCATION,96,1)="",INDEX(IHZ_HAZ_AMOUNT,96,1)="",),FALSE,TRUE),TRUE)</f>
        <v>1</v>
      </c>
      <c r="H853" t="str">
        <f t="shared" si="26"/>
        <v>Row 96 - For a ‘Transport unit’ both ‘Location on board’ and ‘Amount’ are required</v>
      </c>
      <c r="I853" t="s">
        <v>33308</v>
      </c>
      <c r="J853" t="b">
        <f>IF(OR(INDEX(OHZ_HAZ_UNITTYPE,96,1)&lt;&gt;"",),IF(OR(INDEX(OHZ_HAZ_LOCATION,96,1)="",INDEX(OHZ_HAZ_AMOUNT,96,1)="",),FALSE,TRUE),TRUE)</f>
        <v>1</v>
      </c>
      <c r="K853" t="str">
        <f t="shared" si="27"/>
        <v>Row 96 - For a ‘Transport unit’ both ‘Location on board’ and ‘Amount’ are required</v>
      </c>
      <c r="L853" t="s">
        <v>33308</v>
      </c>
    </row>
    <row r="854" spans="7:12" x14ac:dyDescent="0.2">
      <c r="G854" t="b">
        <f>IF(OR(INDEX(IHZ_HAZ_UNITTYPE,97,1)&lt;&gt;"",),IF(OR(INDEX(IHZ_HAZ_LOCATION,97,1)="",INDEX(IHZ_HAZ_AMOUNT,97,1)="",),FALSE,TRUE),TRUE)</f>
        <v>1</v>
      </c>
      <c r="H854" t="str">
        <f t="shared" si="26"/>
        <v>Row 97 - For a ‘Transport unit’ both ‘Location on board’ and ‘Amount’ are required</v>
      </c>
      <c r="I854" t="s">
        <v>33308</v>
      </c>
      <c r="J854" t="b">
        <f>IF(OR(INDEX(OHZ_HAZ_UNITTYPE,97,1)&lt;&gt;"",),IF(OR(INDEX(OHZ_HAZ_LOCATION,97,1)="",INDEX(OHZ_HAZ_AMOUNT,97,1)="",),FALSE,TRUE),TRUE)</f>
        <v>1</v>
      </c>
      <c r="K854" t="str">
        <f t="shared" si="27"/>
        <v>Row 97 - For a ‘Transport unit’ both ‘Location on board’ and ‘Amount’ are required</v>
      </c>
      <c r="L854" t="s">
        <v>33308</v>
      </c>
    </row>
    <row r="855" spans="7:12" x14ac:dyDescent="0.2">
      <c r="G855" t="b">
        <f>IF(OR(INDEX(IHZ_HAZ_UNITTYPE,98,1)&lt;&gt;"",),IF(OR(INDEX(IHZ_HAZ_LOCATION,98,1)="",INDEX(IHZ_HAZ_AMOUNT,98,1)="",),FALSE,TRUE),TRUE)</f>
        <v>1</v>
      </c>
      <c r="H855" t="str">
        <f t="shared" si="26"/>
        <v>Row 98 - For a ‘Transport unit’ both ‘Location on board’ and ‘Amount’ are required</v>
      </c>
      <c r="I855" t="s">
        <v>33308</v>
      </c>
      <c r="J855" t="b">
        <f>IF(OR(INDEX(OHZ_HAZ_UNITTYPE,98,1)&lt;&gt;"",),IF(OR(INDEX(OHZ_HAZ_LOCATION,98,1)="",INDEX(OHZ_HAZ_AMOUNT,98,1)="",),FALSE,TRUE),TRUE)</f>
        <v>1</v>
      </c>
      <c r="K855" t="str">
        <f t="shared" si="27"/>
        <v>Row 98 - For a ‘Transport unit’ both ‘Location on board’ and ‘Amount’ are required</v>
      </c>
      <c r="L855" t="s">
        <v>33308</v>
      </c>
    </row>
    <row r="856" spans="7:12" x14ac:dyDescent="0.2">
      <c r="G856" t="b">
        <f>IF(OR(INDEX(IHZ_HAZ_UNITTYPE,99,1)&lt;&gt;"",),IF(OR(INDEX(IHZ_HAZ_LOCATION,99,1)="",INDEX(IHZ_HAZ_AMOUNT,99,1)="",),FALSE,TRUE),TRUE)</f>
        <v>1</v>
      </c>
      <c r="H856" t="str">
        <f t="shared" si="26"/>
        <v>Row 99 - For a ‘Transport unit’ both ‘Location on board’ and ‘Amount’ are required</v>
      </c>
      <c r="I856" t="s">
        <v>33308</v>
      </c>
      <c r="J856" t="b">
        <f>IF(OR(INDEX(OHZ_HAZ_UNITTYPE,99,1)&lt;&gt;"",),IF(OR(INDEX(OHZ_HAZ_LOCATION,99,1)="",INDEX(OHZ_HAZ_AMOUNT,99,1)="",),FALSE,TRUE),TRUE)</f>
        <v>1</v>
      </c>
      <c r="K856" t="str">
        <f t="shared" si="27"/>
        <v>Row 99 - For a ‘Transport unit’ both ‘Location on board’ and ‘Amount’ are required</v>
      </c>
      <c r="L856" t="s">
        <v>33308</v>
      </c>
    </row>
    <row r="857" spans="7:12" x14ac:dyDescent="0.2">
      <c r="G857" t="b">
        <f>IF(OR(INDEX(IHZ_HAZ_UNITTYPE,100,1)&lt;&gt;"",),IF(OR(INDEX(IHZ_HAZ_LOCATION,100,1)="",INDEX(IHZ_HAZ_AMOUNT,100,1)="",),FALSE,TRUE),TRUE)</f>
        <v>1</v>
      </c>
      <c r="H857" t="str">
        <f t="shared" si="26"/>
        <v>Row 100 - For a ‘Transport unit’ both ‘Location on board’ and ‘Amount’ are required</v>
      </c>
      <c r="I857" t="s">
        <v>33308</v>
      </c>
      <c r="J857" t="b">
        <f>IF(OR(INDEX(OHZ_HAZ_UNITTYPE,100,1)&lt;&gt;"",),IF(OR(INDEX(OHZ_HAZ_LOCATION,100,1)="",INDEX(OHZ_HAZ_AMOUNT,100,1)="",),FALSE,TRUE),TRUE)</f>
        <v>1</v>
      </c>
      <c r="K857" t="str">
        <f t="shared" si="27"/>
        <v>Row 100 - For a ‘Transport unit’ both ‘Location on board’ and ‘Amount’ are required</v>
      </c>
      <c r="L857" t="s">
        <v>33308</v>
      </c>
    </row>
    <row r="858" spans="7:12" x14ac:dyDescent="0.2">
      <c r="G858" t="b">
        <f>IF(OR(INDEX(IHZ_HAZ_UNITTYPE,101,1)&lt;&gt;"",),IF(OR(INDEX(IHZ_HAZ_LOCATION,101,1)="",INDEX(IHZ_HAZ_AMOUNT,101,1)="",),FALSE,TRUE),TRUE)</f>
        <v>1</v>
      </c>
      <c r="H858" t="str">
        <f t="shared" si="26"/>
        <v>Row 101 - For a ‘Transport unit’ both ‘Location on board’ and ‘Amount’ are required</v>
      </c>
      <c r="I858" t="s">
        <v>33308</v>
      </c>
      <c r="J858" t="b">
        <f>IF(OR(INDEX(OHZ_HAZ_UNITTYPE,101,1)&lt;&gt;"",),IF(OR(INDEX(OHZ_HAZ_LOCATION,101,1)="",INDEX(OHZ_HAZ_AMOUNT,101,1)="",),FALSE,TRUE),TRUE)</f>
        <v>1</v>
      </c>
      <c r="K858" t="str">
        <f t="shared" si="27"/>
        <v>Row 101 - For a ‘Transport unit’ both ‘Location on board’ and ‘Amount’ are required</v>
      </c>
      <c r="L858" t="s">
        <v>33308</v>
      </c>
    </row>
    <row r="859" spans="7:12" x14ac:dyDescent="0.2">
      <c r="G859" t="b">
        <f>IF(OR(INDEX(IHZ_HAZ_UNITTYPE,102,1)&lt;&gt;"",),IF(OR(INDEX(IHZ_HAZ_LOCATION,102,1)="",INDEX(IHZ_HAZ_AMOUNT,102,1)="",),FALSE,TRUE),TRUE)</f>
        <v>1</v>
      </c>
      <c r="H859" t="str">
        <f t="shared" si="26"/>
        <v>Row 102 - For a ‘Transport unit’ both ‘Location on board’ and ‘Amount’ are required</v>
      </c>
      <c r="I859" t="s">
        <v>33308</v>
      </c>
      <c r="J859" t="b">
        <f>IF(OR(INDEX(OHZ_HAZ_UNITTYPE,102,1)&lt;&gt;"",),IF(OR(INDEX(OHZ_HAZ_LOCATION,102,1)="",INDEX(OHZ_HAZ_AMOUNT,102,1)="",),FALSE,TRUE),TRUE)</f>
        <v>1</v>
      </c>
      <c r="K859" t="str">
        <f t="shared" si="27"/>
        <v>Row 102 - For a ‘Transport unit’ both ‘Location on board’ and ‘Amount’ are required</v>
      </c>
      <c r="L859" t="s">
        <v>33308</v>
      </c>
    </row>
    <row r="860" spans="7:12" x14ac:dyDescent="0.2">
      <c r="G860" t="b">
        <f>IF(OR(INDEX(IHZ_HAZ_UNITTYPE,103,1)&lt;&gt;"",),IF(OR(INDEX(IHZ_HAZ_LOCATION,103,1)="",INDEX(IHZ_HAZ_AMOUNT,103,1)="",),FALSE,TRUE),TRUE)</f>
        <v>1</v>
      </c>
      <c r="H860" t="str">
        <f t="shared" si="26"/>
        <v>Row 103 - For a ‘Transport unit’ both ‘Location on board’ and ‘Amount’ are required</v>
      </c>
      <c r="I860" t="s">
        <v>33308</v>
      </c>
      <c r="J860" t="b">
        <f>IF(OR(INDEX(OHZ_HAZ_UNITTYPE,103,1)&lt;&gt;"",),IF(OR(INDEX(OHZ_HAZ_LOCATION,103,1)="",INDEX(OHZ_HAZ_AMOUNT,103,1)="",),FALSE,TRUE),TRUE)</f>
        <v>1</v>
      </c>
      <c r="K860" t="str">
        <f t="shared" si="27"/>
        <v>Row 103 - For a ‘Transport unit’ both ‘Location on board’ and ‘Amount’ are required</v>
      </c>
      <c r="L860" t="s">
        <v>33308</v>
      </c>
    </row>
    <row r="861" spans="7:12" x14ac:dyDescent="0.2">
      <c r="G861" t="b">
        <f>IF(OR(INDEX(IHZ_HAZ_UNITTYPE,104,1)&lt;&gt;"",),IF(OR(INDEX(IHZ_HAZ_LOCATION,104,1)="",INDEX(IHZ_HAZ_AMOUNT,104,1)="",),FALSE,TRUE),TRUE)</f>
        <v>1</v>
      </c>
      <c r="H861" t="str">
        <f t="shared" si="26"/>
        <v>Row 104 - For a ‘Transport unit’ both ‘Location on board’ and ‘Amount’ are required</v>
      </c>
      <c r="I861" t="s">
        <v>33308</v>
      </c>
      <c r="J861" t="b">
        <f>IF(OR(INDEX(OHZ_HAZ_UNITTYPE,104,1)&lt;&gt;"",),IF(OR(INDEX(OHZ_HAZ_LOCATION,104,1)="",INDEX(OHZ_HAZ_AMOUNT,104,1)="",),FALSE,TRUE),TRUE)</f>
        <v>1</v>
      </c>
      <c r="K861" t="str">
        <f t="shared" si="27"/>
        <v>Row 104 - For a ‘Transport unit’ both ‘Location on board’ and ‘Amount’ are required</v>
      </c>
      <c r="L861" t="s">
        <v>33308</v>
      </c>
    </row>
    <row r="862" spans="7:12" x14ac:dyDescent="0.2">
      <c r="G862" t="b">
        <f>IF(OR(INDEX(IHZ_HAZ_UNITTYPE,105,1)&lt;&gt;"",),IF(OR(INDEX(IHZ_HAZ_LOCATION,105,1)="",INDEX(IHZ_HAZ_AMOUNT,105,1)="",),FALSE,TRUE),TRUE)</f>
        <v>1</v>
      </c>
      <c r="H862" t="str">
        <f t="shared" si="26"/>
        <v>Row 105 - For a ‘Transport unit’ both ‘Location on board’ and ‘Amount’ are required</v>
      </c>
      <c r="I862" t="s">
        <v>33308</v>
      </c>
      <c r="J862" t="b">
        <f>IF(OR(INDEX(OHZ_HAZ_UNITTYPE,105,1)&lt;&gt;"",),IF(OR(INDEX(OHZ_HAZ_LOCATION,105,1)="",INDEX(OHZ_HAZ_AMOUNT,105,1)="",),FALSE,TRUE),TRUE)</f>
        <v>1</v>
      </c>
      <c r="K862" t="str">
        <f t="shared" si="27"/>
        <v>Row 105 - For a ‘Transport unit’ both ‘Location on board’ and ‘Amount’ are required</v>
      </c>
      <c r="L862" t="s">
        <v>33308</v>
      </c>
    </row>
    <row r="863" spans="7:12" x14ac:dyDescent="0.2">
      <c r="G863" t="b">
        <f>IF(OR(INDEX(IHZ_HAZ_UNITTYPE,106,1)&lt;&gt;"",),IF(OR(INDEX(IHZ_HAZ_LOCATION,106,1)="",INDEX(IHZ_HAZ_AMOUNT,106,1)="",),FALSE,TRUE),TRUE)</f>
        <v>1</v>
      </c>
      <c r="H863" t="str">
        <f t="shared" si="26"/>
        <v>Row 106 - For a ‘Transport unit’ both ‘Location on board’ and ‘Amount’ are required</v>
      </c>
      <c r="I863" t="s">
        <v>33308</v>
      </c>
      <c r="J863" t="b">
        <f>IF(OR(INDEX(OHZ_HAZ_UNITTYPE,106,1)&lt;&gt;"",),IF(OR(INDEX(OHZ_HAZ_LOCATION,106,1)="",INDEX(OHZ_HAZ_AMOUNT,106,1)="",),FALSE,TRUE),TRUE)</f>
        <v>1</v>
      </c>
      <c r="K863" t="str">
        <f t="shared" si="27"/>
        <v>Row 106 - For a ‘Transport unit’ both ‘Location on board’ and ‘Amount’ are required</v>
      </c>
      <c r="L863" t="s">
        <v>33308</v>
      </c>
    </row>
    <row r="864" spans="7:12" x14ac:dyDescent="0.2">
      <c r="G864" t="b">
        <f>IF(OR(INDEX(IHZ_HAZ_UNITTYPE,107,1)&lt;&gt;"",),IF(OR(INDEX(IHZ_HAZ_LOCATION,107,1)="",INDEX(IHZ_HAZ_AMOUNT,107,1)="",),FALSE,TRUE),TRUE)</f>
        <v>1</v>
      </c>
      <c r="H864" t="str">
        <f t="shared" si="26"/>
        <v>Row 107 - For a ‘Transport unit’ both ‘Location on board’ and ‘Amount’ are required</v>
      </c>
      <c r="I864" t="s">
        <v>33308</v>
      </c>
      <c r="J864" t="b">
        <f>IF(OR(INDEX(OHZ_HAZ_UNITTYPE,107,1)&lt;&gt;"",),IF(OR(INDEX(OHZ_HAZ_LOCATION,107,1)="",INDEX(OHZ_HAZ_AMOUNT,107,1)="",),FALSE,TRUE),TRUE)</f>
        <v>1</v>
      </c>
      <c r="K864" t="str">
        <f t="shared" si="27"/>
        <v>Row 107 - For a ‘Transport unit’ both ‘Location on board’ and ‘Amount’ are required</v>
      </c>
      <c r="L864" t="s">
        <v>33308</v>
      </c>
    </row>
    <row r="865" spans="7:12" x14ac:dyDescent="0.2">
      <c r="G865" t="b">
        <f>IF(OR(INDEX(IHZ_HAZ_UNITTYPE,108,1)&lt;&gt;"",),IF(OR(INDEX(IHZ_HAZ_LOCATION,108,1)="",INDEX(IHZ_HAZ_AMOUNT,108,1)="",),FALSE,TRUE),TRUE)</f>
        <v>1</v>
      </c>
      <c r="H865" t="str">
        <f t="shared" si="26"/>
        <v>Row 108 - For a ‘Transport unit’ both ‘Location on board’ and ‘Amount’ are required</v>
      </c>
      <c r="I865" t="s">
        <v>33308</v>
      </c>
      <c r="J865" t="b">
        <f>IF(OR(INDEX(OHZ_HAZ_UNITTYPE,108,1)&lt;&gt;"",),IF(OR(INDEX(OHZ_HAZ_LOCATION,108,1)="",INDEX(OHZ_HAZ_AMOUNT,108,1)="",),FALSE,TRUE),TRUE)</f>
        <v>1</v>
      </c>
      <c r="K865" t="str">
        <f t="shared" si="27"/>
        <v>Row 108 - For a ‘Transport unit’ both ‘Location on board’ and ‘Amount’ are required</v>
      </c>
      <c r="L865" t="s">
        <v>33308</v>
      </c>
    </row>
    <row r="866" spans="7:12" x14ac:dyDescent="0.2">
      <c r="G866" t="b">
        <f>IF(OR(INDEX(IHZ_HAZ_UNITTYPE,109,1)&lt;&gt;"",),IF(OR(INDEX(IHZ_HAZ_LOCATION,109,1)="",INDEX(IHZ_HAZ_AMOUNT,109,1)="",),FALSE,TRUE),TRUE)</f>
        <v>1</v>
      </c>
      <c r="H866" t="str">
        <f t="shared" si="26"/>
        <v>Row 109 - For a ‘Transport unit’ both ‘Location on board’ and ‘Amount’ are required</v>
      </c>
      <c r="I866" t="s">
        <v>33308</v>
      </c>
      <c r="J866" t="b">
        <f>IF(OR(INDEX(OHZ_HAZ_UNITTYPE,109,1)&lt;&gt;"",),IF(OR(INDEX(OHZ_HAZ_LOCATION,109,1)="",INDEX(OHZ_HAZ_AMOUNT,109,1)="",),FALSE,TRUE),TRUE)</f>
        <v>1</v>
      </c>
      <c r="K866" t="str">
        <f t="shared" si="27"/>
        <v>Row 109 - For a ‘Transport unit’ both ‘Location on board’ and ‘Amount’ are required</v>
      </c>
      <c r="L866" t="s">
        <v>33308</v>
      </c>
    </row>
    <row r="867" spans="7:12" x14ac:dyDescent="0.2">
      <c r="G867" t="b">
        <f>IF(OR(INDEX(IHZ_HAZ_UNITTYPE,110,1)&lt;&gt;"",),IF(OR(INDEX(IHZ_HAZ_LOCATION,110,1)="",INDEX(IHZ_HAZ_AMOUNT,110,1)="",),FALSE,TRUE),TRUE)</f>
        <v>1</v>
      </c>
      <c r="H867" t="str">
        <f t="shared" si="26"/>
        <v>Row 110 - For a ‘Transport unit’ both ‘Location on board’ and ‘Amount’ are required</v>
      </c>
      <c r="I867" t="s">
        <v>33308</v>
      </c>
      <c r="J867" t="b">
        <f>IF(OR(INDEX(OHZ_HAZ_UNITTYPE,110,1)&lt;&gt;"",),IF(OR(INDEX(OHZ_HAZ_LOCATION,110,1)="",INDEX(OHZ_HAZ_AMOUNT,110,1)="",),FALSE,TRUE),TRUE)</f>
        <v>1</v>
      </c>
      <c r="K867" t="str">
        <f t="shared" si="27"/>
        <v>Row 110 - For a ‘Transport unit’ both ‘Location on board’ and ‘Amount’ are required</v>
      </c>
      <c r="L867" t="s">
        <v>33308</v>
      </c>
    </row>
    <row r="868" spans="7:12" x14ac:dyDescent="0.2">
      <c r="G868" t="b">
        <f>IF(OR(INDEX(IHZ_HAZ_UNITTYPE,111,1)&lt;&gt;"",),IF(OR(INDEX(IHZ_HAZ_LOCATION,111,1)="",INDEX(IHZ_HAZ_AMOUNT,111,1)="",),FALSE,TRUE),TRUE)</f>
        <v>1</v>
      </c>
      <c r="H868" t="str">
        <f t="shared" si="26"/>
        <v>Row 111 - For a ‘Transport unit’ both ‘Location on board’ and ‘Amount’ are required</v>
      </c>
      <c r="I868" t="s">
        <v>33308</v>
      </c>
      <c r="J868" t="b">
        <f>IF(OR(INDEX(OHZ_HAZ_UNITTYPE,111,1)&lt;&gt;"",),IF(OR(INDEX(OHZ_HAZ_LOCATION,111,1)="",INDEX(OHZ_HAZ_AMOUNT,111,1)="",),FALSE,TRUE),TRUE)</f>
        <v>1</v>
      </c>
      <c r="K868" t="str">
        <f t="shared" si="27"/>
        <v>Row 111 - For a ‘Transport unit’ both ‘Location on board’ and ‘Amount’ are required</v>
      </c>
      <c r="L868" t="s">
        <v>33308</v>
      </c>
    </row>
    <row r="869" spans="7:12" x14ac:dyDescent="0.2">
      <c r="G869" t="b">
        <f>IF(OR(INDEX(IHZ_HAZ_UNITTYPE,112,1)&lt;&gt;"",),IF(OR(INDEX(IHZ_HAZ_LOCATION,112,1)="",INDEX(IHZ_HAZ_AMOUNT,112,1)="",),FALSE,TRUE),TRUE)</f>
        <v>1</v>
      </c>
      <c r="H869" t="str">
        <f t="shared" si="26"/>
        <v>Row 112 - For a ‘Transport unit’ both ‘Location on board’ and ‘Amount’ are required</v>
      </c>
      <c r="I869" t="s">
        <v>33308</v>
      </c>
      <c r="J869" t="b">
        <f>IF(OR(INDEX(OHZ_HAZ_UNITTYPE,112,1)&lt;&gt;"",),IF(OR(INDEX(OHZ_HAZ_LOCATION,112,1)="",INDEX(OHZ_HAZ_AMOUNT,112,1)="",),FALSE,TRUE),TRUE)</f>
        <v>1</v>
      </c>
      <c r="K869" t="str">
        <f t="shared" si="27"/>
        <v>Row 112 - For a ‘Transport unit’ both ‘Location on board’ and ‘Amount’ are required</v>
      </c>
      <c r="L869" t="s">
        <v>33308</v>
      </c>
    </row>
    <row r="870" spans="7:12" x14ac:dyDescent="0.2">
      <c r="G870" t="b">
        <f>IF(OR(INDEX(IHZ_HAZ_UNITTYPE,113,1)&lt;&gt;"",),IF(OR(INDEX(IHZ_HAZ_LOCATION,113,1)="",INDEX(IHZ_HAZ_AMOUNT,113,1)="",),FALSE,TRUE),TRUE)</f>
        <v>1</v>
      </c>
      <c r="H870" t="str">
        <f t="shared" si="26"/>
        <v>Row 113 - For a ‘Transport unit’ both ‘Location on board’ and ‘Amount’ are required</v>
      </c>
      <c r="I870" t="s">
        <v>33308</v>
      </c>
      <c r="J870" t="b">
        <f>IF(OR(INDEX(OHZ_HAZ_UNITTYPE,113,1)&lt;&gt;"",),IF(OR(INDEX(OHZ_HAZ_LOCATION,113,1)="",INDEX(OHZ_HAZ_AMOUNT,113,1)="",),FALSE,TRUE),TRUE)</f>
        <v>1</v>
      </c>
      <c r="K870" t="str">
        <f t="shared" si="27"/>
        <v>Row 113 - For a ‘Transport unit’ both ‘Location on board’ and ‘Amount’ are required</v>
      </c>
      <c r="L870" t="s">
        <v>33308</v>
      </c>
    </row>
    <row r="871" spans="7:12" x14ac:dyDescent="0.2">
      <c r="G871" t="b">
        <f>IF(OR(INDEX(IHZ_HAZ_UNITTYPE,114,1)&lt;&gt;"",),IF(OR(INDEX(IHZ_HAZ_LOCATION,114,1)="",INDEX(IHZ_HAZ_AMOUNT,114,1)="",),FALSE,TRUE),TRUE)</f>
        <v>1</v>
      </c>
      <c r="H871" t="str">
        <f t="shared" si="26"/>
        <v>Row 114 - For a ‘Transport unit’ both ‘Location on board’ and ‘Amount’ are required</v>
      </c>
      <c r="I871" t="s">
        <v>33308</v>
      </c>
      <c r="J871" t="b">
        <f>IF(OR(INDEX(OHZ_HAZ_UNITTYPE,114,1)&lt;&gt;"",),IF(OR(INDEX(OHZ_HAZ_LOCATION,114,1)="",INDEX(OHZ_HAZ_AMOUNT,114,1)="",),FALSE,TRUE),TRUE)</f>
        <v>1</v>
      </c>
      <c r="K871" t="str">
        <f t="shared" si="27"/>
        <v>Row 114 - For a ‘Transport unit’ both ‘Location on board’ and ‘Amount’ are required</v>
      </c>
      <c r="L871" t="s">
        <v>33308</v>
      </c>
    </row>
    <row r="872" spans="7:12" x14ac:dyDescent="0.2">
      <c r="G872" t="b">
        <f>IF(OR(INDEX(IHZ_HAZ_UNITTYPE,115,1)&lt;&gt;"",),IF(OR(INDEX(IHZ_HAZ_LOCATION,115,1)="",INDEX(IHZ_HAZ_AMOUNT,115,1)="",),FALSE,TRUE),TRUE)</f>
        <v>1</v>
      </c>
      <c r="H872" t="str">
        <f t="shared" si="26"/>
        <v>Row 115 - For a ‘Transport unit’ both ‘Location on board’ and ‘Amount’ are required</v>
      </c>
      <c r="I872" t="s">
        <v>33308</v>
      </c>
      <c r="J872" t="b">
        <f>IF(OR(INDEX(OHZ_HAZ_UNITTYPE,115,1)&lt;&gt;"",),IF(OR(INDEX(OHZ_HAZ_LOCATION,115,1)="",INDEX(OHZ_HAZ_AMOUNT,115,1)="",),FALSE,TRUE),TRUE)</f>
        <v>1</v>
      </c>
      <c r="K872" t="str">
        <f t="shared" si="27"/>
        <v>Row 115 - For a ‘Transport unit’ both ‘Location on board’ and ‘Amount’ are required</v>
      </c>
      <c r="L872" t="s">
        <v>33308</v>
      </c>
    </row>
    <row r="873" spans="7:12" x14ac:dyDescent="0.2">
      <c r="G873" t="b">
        <f>IF(OR(INDEX(IHZ_HAZ_UNITTYPE,116,1)&lt;&gt;"",),IF(OR(INDEX(IHZ_HAZ_LOCATION,116,1)="",INDEX(IHZ_HAZ_AMOUNT,116,1)="",),FALSE,TRUE),TRUE)</f>
        <v>1</v>
      </c>
      <c r="H873" t="str">
        <f t="shared" si="26"/>
        <v>Row 116 - For a ‘Transport unit’ both ‘Location on board’ and ‘Amount’ are required</v>
      </c>
      <c r="I873" t="s">
        <v>33308</v>
      </c>
      <c r="J873" t="b">
        <f>IF(OR(INDEX(OHZ_HAZ_UNITTYPE,116,1)&lt;&gt;"",),IF(OR(INDEX(OHZ_HAZ_LOCATION,116,1)="",INDEX(OHZ_HAZ_AMOUNT,116,1)="",),FALSE,TRUE),TRUE)</f>
        <v>1</v>
      </c>
      <c r="K873" t="str">
        <f t="shared" si="27"/>
        <v>Row 116 - For a ‘Transport unit’ both ‘Location on board’ and ‘Amount’ are required</v>
      </c>
      <c r="L873" t="s">
        <v>33308</v>
      </c>
    </row>
    <row r="874" spans="7:12" x14ac:dyDescent="0.2">
      <c r="G874" t="b">
        <f>IF(OR(INDEX(IHZ_HAZ_UNITTYPE,117,1)&lt;&gt;"",),IF(OR(INDEX(IHZ_HAZ_LOCATION,117,1)="",INDEX(IHZ_HAZ_AMOUNT,117,1)="",),FALSE,TRUE),TRUE)</f>
        <v>1</v>
      </c>
      <c r="H874" t="str">
        <f t="shared" si="26"/>
        <v>Row 117 - For a ‘Transport unit’ both ‘Location on board’ and ‘Amount’ are required</v>
      </c>
      <c r="I874" t="s">
        <v>33308</v>
      </c>
      <c r="J874" t="b">
        <f>IF(OR(INDEX(OHZ_HAZ_UNITTYPE,117,1)&lt;&gt;"",),IF(OR(INDEX(OHZ_HAZ_LOCATION,117,1)="",INDEX(OHZ_HAZ_AMOUNT,117,1)="",),FALSE,TRUE),TRUE)</f>
        <v>1</v>
      </c>
      <c r="K874" t="str">
        <f t="shared" si="27"/>
        <v>Row 117 - For a ‘Transport unit’ both ‘Location on board’ and ‘Amount’ are required</v>
      </c>
      <c r="L874" t="s">
        <v>33308</v>
      </c>
    </row>
    <row r="875" spans="7:12" x14ac:dyDescent="0.2">
      <c r="G875" t="b">
        <f>IF(OR(INDEX(IHZ_HAZ_UNITTYPE,118,1)&lt;&gt;"",),IF(OR(INDEX(IHZ_HAZ_LOCATION,118,1)="",INDEX(IHZ_HAZ_AMOUNT,118,1)="",),FALSE,TRUE),TRUE)</f>
        <v>1</v>
      </c>
      <c r="H875" t="str">
        <f t="shared" si="26"/>
        <v>Row 118 - For a ‘Transport unit’ both ‘Location on board’ and ‘Amount’ are required</v>
      </c>
      <c r="I875" t="s">
        <v>33308</v>
      </c>
      <c r="J875" t="b">
        <f>IF(OR(INDEX(OHZ_HAZ_UNITTYPE,118,1)&lt;&gt;"",),IF(OR(INDEX(OHZ_HAZ_LOCATION,118,1)="",INDEX(OHZ_HAZ_AMOUNT,118,1)="",),FALSE,TRUE),TRUE)</f>
        <v>1</v>
      </c>
      <c r="K875" t="str">
        <f t="shared" si="27"/>
        <v>Row 118 - For a ‘Transport unit’ both ‘Location on board’ and ‘Amount’ are required</v>
      </c>
      <c r="L875" t="s">
        <v>33308</v>
      </c>
    </row>
    <row r="876" spans="7:12" x14ac:dyDescent="0.2">
      <c r="G876" t="b">
        <f>IF(OR(INDEX(IHZ_HAZ_UNITTYPE,119,1)&lt;&gt;"",),IF(OR(INDEX(IHZ_HAZ_LOCATION,119,1)="",INDEX(IHZ_HAZ_AMOUNT,119,1)="",),FALSE,TRUE),TRUE)</f>
        <v>1</v>
      </c>
      <c r="H876" t="str">
        <f t="shared" si="26"/>
        <v>Row 119 - For a ‘Transport unit’ both ‘Location on board’ and ‘Amount’ are required</v>
      </c>
      <c r="I876" t="s">
        <v>33308</v>
      </c>
      <c r="J876" t="b">
        <f>IF(OR(INDEX(OHZ_HAZ_UNITTYPE,119,1)&lt;&gt;"",),IF(OR(INDEX(OHZ_HAZ_LOCATION,119,1)="",INDEX(OHZ_HAZ_AMOUNT,119,1)="",),FALSE,TRUE),TRUE)</f>
        <v>1</v>
      </c>
      <c r="K876" t="str">
        <f t="shared" si="27"/>
        <v>Row 119 - For a ‘Transport unit’ both ‘Location on board’ and ‘Amount’ are required</v>
      </c>
      <c r="L876" t="s">
        <v>33308</v>
      </c>
    </row>
    <row r="877" spans="7:12" x14ac:dyDescent="0.2">
      <c r="G877" t="b">
        <f>IF(OR(INDEX(IHZ_HAZ_UNITTYPE,120,1)&lt;&gt;"",),IF(OR(INDEX(IHZ_HAZ_LOCATION,120,1)="",INDEX(IHZ_HAZ_AMOUNT,120,1)="",),FALSE,TRUE),TRUE)</f>
        <v>1</v>
      </c>
      <c r="H877" t="str">
        <f t="shared" si="26"/>
        <v>Row 120 - For a ‘Transport unit’ both ‘Location on board’ and ‘Amount’ are required</v>
      </c>
      <c r="I877" t="s">
        <v>33308</v>
      </c>
      <c r="J877" t="b">
        <f>IF(OR(INDEX(OHZ_HAZ_UNITTYPE,120,1)&lt;&gt;"",),IF(OR(INDEX(OHZ_HAZ_LOCATION,120,1)="",INDEX(OHZ_HAZ_AMOUNT,120,1)="",),FALSE,TRUE),TRUE)</f>
        <v>1</v>
      </c>
      <c r="K877" t="str">
        <f t="shared" si="27"/>
        <v>Row 120 - For a ‘Transport unit’ both ‘Location on board’ and ‘Amount’ are required</v>
      </c>
      <c r="L877" t="s">
        <v>33308</v>
      </c>
    </row>
    <row r="878" spans="7:12" x14ac:dyDescent="0.2">
      <c r="G878" t="b">
        <f>IF(OR(INDEX(IHZ_HAZ_UNITTYPE,121,1)&lt;&gt;"",),IF(OR(INDEX(IHZ_HAZ_LOCATION,121,1)="",INDEX(IHZ_HAZ_AMOUNT,121,1)="",),FALSE,TRUE),TRUE)</f>
        <v>1</v>
      </c>
      <c r="H878" t="str">
        <f t="shared" si="26"/>
        <v>Row 121 - For a ‘Transport unit’ both ‘Location on board’ and ‘Amount’ are required</v>
      </c>
      <c r="I878" t="s">
        <v>33308</v>
      </c>
      <c r="J878" t="b">
        <f>IF(OR(INDEX(OHZ_HAZ_UNITTYPE,121,1)&lt;&gt;"",),IF(OR(INDEX(OHZ_HAZ_LOCATION,121,1)="",INDEX(OHZ_HAZ_AMOUNT,121,1)="",),FALSE,TRUE),TRUE)</f>
        <v>1</v>
      </c>
      <c r="K878" t="str">
        <f t="shared" si="27"/>
        <v>Row 121 - For a ‘Transport unit’ both ‘Location on board’ and ‘Amount’ are required</v>
      </c>
      <c r="L878" t="s">
        <v>33308</v>
      </c>
    </row>
    <row r="879" spans="7:12" x14ac:dyDescent="0.2">
      <c r="G879" t="b">
        <f>IF(OR(INDEX(IHZ_HAZ_UNITTYPE,122,1)&lt;&gt;"",),IF(OR(INDEX(IHZ_HAZ_LOCATION,122,1)="",INDEX(IHZ_HAZ_AMOUNT,122,1)="",),FALSE,TRUE),TRUE)</f>
        <v>1</v>
      </c>
      <c r="H879" t="str">
        <f t="shared" si="26"/>
        <v>Row 122 - For a ‘Transport unit’ both ‘Location on board’ and ‘Amount’ are required</v>
      </c>
      <c r="I879" t="s">
        <v>33308</v>
      </c>
      <c r="J879" t="b">
        <f>IF(OR(INDEX(OHZ_HAZ_UNITTYPE,122,1)&lt;&gt;"",),IF(OR(INDEX(OHZ_HAZ_LOCATION,122,1)="",INDEX(OHZ_HAZ_AMOUNT,122,1)="",),FALSE,TRUE),TRUE)</f>
        <v>1</v>
      </c>
      <c r="K879" t="str">
        <f t="shared" si="27"/>
        <v>Row 122 - For a ‘Transport unit’ both ‘Location on board’ and ‘Amount’ are required</v>
      </c>
      <c r="L879" t="s">
        <v>33308</v>
      </c>
    </row>
    <row r="880" spans="7:12" x14ac:dyDescent="0.2">
      <c r="G880" t="b">
        <f>IF(OR(INDEX(IHZ_HAZ_UNITTYPE,123,1)&lt;&gt;"",),IF(OR(INDEX(IHZ_HAZ_LOCATION,123,1)="",INDEX(IHZ_HAZ_AMOUNT,123,1)="",),FALSE,TRUE),TRUE)</f>
        <v>1</v>
      </c>
      <c r="H880" t="str">
        <f t="shared" si="26"/>
        <v>Row 123 - For a ‘Transport unit’ both ‘Location on board’ and ‘Amount’ are required</v>
      </c>
      <c r="I880" t="s">
        <v>33308</v>
      </c>
      <c r="J880" t="b">
        <f>IF(OR(INDEX(OHZ_HAZ_UNITTYPE,123,1)&lt;&gt;"",),IF(OR(INDEX(OHZ_HAZ_LOCATION,123,1)="",INDEX(OHZ_HAZ_AMOUNT,123,1)="",),FALSE,TRUE),TRUE)</f>
        <v>1</v>
      </c>
      <c r="K880" t="str">
        <f t="shared" si="27"/>
        <v>Row 123 - For a ‘Transport unit’ both ‘Location on board’ and ‘Amount’ are required</v>
      </c>
      <c r="L880" t="s">
        <v>33308</v>
      </c>
    </row>
    <row r="881" spans="7:12" x14ac:dyDescent="0.2">
      <c r="G881" t="b">
        <f>IF(OR(INDEX(IHZ_HAZ_UNITTYPE,124,1)&lt;&gt;"",),IF(OR(INDEX(IHZ_HAZ_LOCATION,124,1)="",INDEX(IHZ_HAZ_AMOUNT,124,1)="",),FALSE,TRUE),TRUE)</f>
        <v>1</v>
      </c>
      <c r="H881" t="str">
        <f t="shared" si="26"/>
        <v>Row 124 - For a ‘Transport unit’ both ‘Location on board’ and ‘Amount’ are required</v>
      </c>
      <c r="I881" t="s">
        <v>33308</v>
      </c>
      <c r="J881" t="b">
        <f>IF(OR(INDEX(OHZ_HAZ_UNITTYPE,124,1)&lt;&gt;"",),IF(OR(INDEX(OHZ_HAZ_LOCATION,124,1)="",INDEX(OHZ_HAZ_AMOUNT,124,1)="",),FALSE,TRUE),TRUE)</f>
        <v>1</v>
      </c>
      <c r="K881" t="str">
        <f t="shared" si="27"/>
        <v>Row 124 - For a ‘Transport unit’ both ‘Location on board’ and ‘Amount’ are required</v>
      </c>
      <c r="L881" t="s">
        <v>33308</v>
      </c>
    </row>
    <row r="882" spans="7:12" x14ac:dyDescent="0.2">
      <c r="G882" t="b">
        <f>IF(OR(INDEX(IHZ_HAZ_UNITTYPE,125,1)&lt;&gt;"",),IF(OR(INDEX(IHZ_HAZ_LOCATION,125,1)="",INDEX(IHZ_HAZ_AMOUNT,125,1)="",),FALSE,TRUE),TRUE)</f>
        <v>1</v>
      </c>
      <c r="H882" t="str">
        <f t="shared" si="26"/>
        <v>Row 125 - For a ‘Transport unit’ both ‘Location on board’ and ‘Amount’ are required</v>
      </c>
      <c r="I882" t="s">
        <v>33308</v>
      </c>
      <c r="J882" t="b">
        <f>IF(OR(INDEX(OHZ_HAZ_UNITTYPE,125,1)&lt;&gt;"",),IF(OR(INDEX(OHZ_HAZ_LOCATION,125,1)="",INDEX(OHZ_HAZ_AMOUNT,125,1)="",),FALSE,TRUE),TRUE)</f>
        <v>1</v>
      </c>
      <c r="K882" t="str">
        <f t="shared" si="27"/>
        <v>Row 125 - For a ‘Transport unit’ both ‘Location on board’ and ‘Amount’ are required</v>
      </c>
      <c r="L882" t="s">
        <v>33308</v>
      </c>
    </row>
    <row r="883" spans="7:12" x14ac:dyDescent="0.2">
      <c r="G883" t="b">
        <f>IF(OR(INDEX(IHZ_HAZ_UNITTYPE,126,1)&lt;&gt;"",),IF(OR(INDEX(IHZ_HAZ_LOCATION,126,1)="",INDEX(IHZ_HAZ_AMOUNT,126,1)="",),FALSE,TRUE),TRUE)</f>
        <v>1</v>
      </c>
      <c r="H883" t="str">
        <f t="shared" si="26"/>
        <v>Row 126 - For a ‘Transport unit’ both ‘Location on board’ and ‘Amount’ are required</v>
      </c>
      <c r="I883" t="s">
        <v>33308</v>
      </c>
      <c r="J883" t="b">
        <f>IF(OR(INDEX(OHZ_HAZ_UNITTYPE,126,1)&lt;&gt;"",),IF(OR(INDEX(OHZ_HAZ_LOCATION,126,1)="",INDEX(OHZ_HAZ_AMOUNT,126,1)="",),FALSE,TRUE),TRUE)</f>
        <v>1</v>
      </c>
      <c r="K883" t="str">
        <f t="shared" si="27"/>
        <v>Row 126 - For a ‘Transport unit’ both ‘Location on board’ and ‘Amount’ are required</v>
      </c>
      <c r="L883" t="s">
        <v>33308</v>
      </c>
    </row>
    <row r="884" spans="7:12" x14ac:dyDescent="0.2">
      <c r="G884" t="b">
        <f>IF(OR(INDEX(IHZ_HAZ_UNITTYPE,127,1)&lt;&gt;"",),IF(OR(INDEX(IHZ_HAZ_LOCATION,127,1)="",INDEX(IHZ_HAZ_AMOUNT,127,1)="",),FALSE,TRUE),TRUE)</f>
        <v>1</v>
      </c>
      <c r="H884" t="str">
        <f t="shared" si="26"/>
        <v>Row 127 - For a ‘Transport unit’ both ‘Location on board’ and ‘Amount’ are required</v>
      </c>
      <c r="I884" t="s">
        <v>33308</v>
      </c>
      <c r="J884" t="b">
        <f>IF(OR(INDEX(OHZ_HAZ_UNITTYPE,127,1)&lt;&gt;"",),IF(OR(INDEX(OHZ_HAZ_LOCATION,127,1)="",INDEX(OHZ_HAZ_AMOUNT,127,1)="",),FALSE,TRUE),TRUE)</f>
        <v>1</v>
      </c>
      <c r="K884" t="str">
        <f t="shared" si="27"/>
        <v>Row 127 - For a ‘Transport unit’ both ‘Location on board’ and ‘Amount’ are required</v>
      </c>
      <c r="L884" t="s">
        <v>33308</v>
      </c>
    </row>
    <row r="885" spans="7:12" x14ac:dyDescent="0.2">
      <c r="G885" t="b">
        <f>IF(OR(INDEX(IHZ_HAZ_UNITTYPE,128,1)&lt;&gt;"",),IF(OR(INDEX(IHZ_HAZ_LOCATION,128,1)="",INDEX(IHZ_HAZ_AMOUNT,128,1)="",),FALSE,TRUE),TRUE)</f>
        <v>1</v>
      </c>
      <c r="H885" t="str">
        <f t="shared" si="26"/>
        <v>Row 128 - For a ‘Transport unit’ both ‘Location on board’ and ‘Amount’ are required</v>
      </c>
      <c r="I885" t="s">
        <v>33308</v>
      </c>
      <c r="J885" t="b">
        <f>IF(OR(INDEX(OHZ_HAZ_UNITTYPE,128,1)&lt;&gt;"",),IF(OR(INDEX(OHZ_HAZ_LOCATION,128,1)="",INDEX(OHZ_HAZ_AMOUNT,128,1)="",),FALSE,TRUE),TRUE)</f>
        <v>1</v>
      </c>
      <c r="K885" t="str">
        <f t="shared" si="27"/>
        <v>Row 128 - For a ‘Transport unit’ both ‘Location on board’ and ‘Amount’ are required</v>
      </c>
      <c r="L885" t="s">
        <v>33308</v>
      </c>
    </row>
    <row r="886" spans="7:12" x14ac:dyDescent="0.2">
      <c r="G886" t="b">
        <f>IF(OR(INDEX(IHZ_HAZ_UNITTYPE,129,1)&lt;&gt;"",),IF(OR(INDEX(IHZ_HAZ_LOCATION,129,1)="",INDEX(IHZ_HAZ_AMOUNT,129,1)="",),FALSE,TRUE),TRUE)</f>
        <v>1</v>
      </c>
      <c r="H886" t="str">
        <f t="shared" si="26"/>
        <v>Row 129 - For a ‘Transport unit’ both ‘Location on board’ and ‘Amount’ are required</v>
      </c>
      <c r="I886" t="s">
        <v>33308</v>
      </c>
      <c r="J886" t="b">
        <f>IF(OR(INDEX(OHZ_HAZ_UNITTYPE,129,1)&lt;&gt;"",),IF(OR(INDEX(OHZ_HAZ_LOCATION,129,1)="",INDEX(OHZ_HAZ_AMOUNT,129,1)="",),FALSE,TRUE),TRUE)</f>
        <v>1</v>
      </c>
      <c r="K886" t="str">
        <f t="shared" si="27"/>
        <v>Row 129 - For a ‘Transport unit’ both ‘Location on board’ and ‘Amount’ are required</v>
      </c>
      <c r="L886" t="s">
        <v>33308</v>
      </c>
    </row>
    <row r="887" spans="7:12" x14ac:dyDescent="0.2">
      <c r="G887" t="b">
        <f>IF(OR(INDEX(IHZ_HAZ_UNITTYPE,130,1)&lt;&gt;"",),IF(OR(INDEX(IHZ_HAZ_LOCATION,130,1)="",INDEX(IHZ_HAZ_AMOUNT,130,1)="",),FALSE,TRUE),TRUE)</f>
        <v>1</v>
      </c>
      <c r="H887" t="str">
        <f t="shared" ref="H887:H950" si="28">T130&amp;$V$4</f>
        <v>Row 130 - For a ‘Transport unit’ both ‘Location on board’ and ‘Amount’ are required</v>
      </c>
      <c r="I887" t="s">
        <v>33308</v>
      </c>
      <c r="J887" t="b">
        <f>IF(OR(INDEX(OHZ_HAZ_UNITTYPE,130,1)&lt;&gt;"",),IF(OR(INDEX(OHZ_HAZ_LOCATION,130,1)="",INDEX(OHZ_HAZ_AMOUNT,130,1)="",),FALSE,TRUE),TRUE)</f>
        <v>1</v>
      </c>
      <c r="K887" t="str">
        <f t="shared" ref="K887:K950" si="29">T130&amp;$V$4</f>
        <v>Row 130 - For a ‘Transport unit’ both ‘Location on board’ and ‘Amount’ are required</v>
      </c>
      <c r="L887" t="s">
        <v>33308</v>
      </c>
    </row>
    <row r="888" spans="7:12" x14ac:dyDescent="0.2">
      <c r="G888" t="b">
        <f>IF(OR(INDEX(IHZ_HAZ_UNITTYPE,131,1)&lt;&gt;"",),IF(OR(INDEX(IHZ_HAZ_LOCATION,131,1)="",INDEX(IHZ_HAZ_AMOUNT,131,1)="",),FALSE,TRUE),TRUE)</f>
        <v>1</v>
      </c>
      <c r="H888" t="str">
        <f t="shared" si="28"/>
        <v>Row 131 - For a ‘Transport unit’ both ‘Location on board’ and ‘Amount’ are required</v>
      </c>
      <c r="I888" t="s">
        <v>33308</v>
      </c>
      <c r="J888" t="b">
        <f>IF(OR(INDEX(OHZ_HAZ_UNITTYPE,131,1)&lt;&gt;"",),IF(OR(INDEX(OHZ_HAZ_LOCATION,131,1)="",INDEX(OHZ_HAZ_AMOUNT,131,1)="",),FALSE,TRUE),TRUE)</f>
        <v>1</v>
      </c>
      <c r="K888" t="str">
        <f t="shared" si="29"/>
        <v>Row 131 - For a ‘Transport unit’ both ‘Location on board’ and ‘Amount’ are required</v>
      </c>
      <c r="L888" t="s">
        <v>33308</v>
      </c>
    </row>
    <row r="889" spans="7:12" x14ac:dyDescent="0.2">
      <c r="G889" t="b">
        <f>IF(OR(INDEX(IHZ_HAZ_UNITTYPE,132,1)&lt;&gt;"",),IF(OR(INDEX(IHZ_HAZ_LOCATION,132,1)="",INDEX(IHZ_HAZ_AMOUNT,132,1)="",),FALSE,TRUE),TRUE)</f>
        <v>1</v>
      </c>
      <c r="H889" t="str">
        <f t="shared" si="28"/>
        <v>Row 132 - For a ‘Transport unit’ both ‘Location on board’ and ‘Amount’ are required</v>
      </c>
      <c r="I889" t="s">
        <v>33308</v>
      </c>
      <c r="J889" t="b">
        <f>IF(OR(INDEX(OHZ_HAZ_UNITTYPE,132,1)&lt;&gt;"",),IF(OR(INDEX(OHZ_HAZ_LOCATION,132,1)="",INDEX(OHZ_HAZ_AMOUNT,132,1)="",),FALSE,TRUE),TRUE)</f>
        <v>1</v>
      </c>
      <c r="K889" t="str">
        <f t="shared" si="29"/>
        <v>Row 132 - For a ‘Transport unit’ both ‘Location on board’ and ‘Amount’ are required</v>
      </c>
      <c r="L889" t="s">
        <v>33308</v>
      </c>
    </row>
    <row r="890" spans="7:12" x14ac:dyDescent="0.2">
      <c r="G890" t="b">
        <f>IF(OR(INDEX(IHZ_HAZ_UNITTYPE,133,1)&lt;&gt;"",),IF(OR(INDEX(IHZ_HAZ_LOCATION,133,1)="",INDEX(IHZ_HAZ_AMOUNT,133,1)="",),FALSE,TRUE),TRUE)</f>
        <v>1</v>
      </c>
      <c r="H890" t="str">
        <f t="shared" si="28"/>
        <v>Row 133 - For a ‘Transport unit’ both ‘Location on board’ and ‘Amount’ are required</v>
      </c>
      <c r="I890" t="s">
        <v>33308</v>
      </c>
      <c r="J890" t="b">
        <f>IF(OR(INDEX(OHZ_HAZ_UNITTYPE,133,1)&lt;&gt;"",),IF(OR(INDEX(OHZ_HAZ_LOCATION,133,1)="",INDEX(OHZ_HAZ_AMOUNT,133,1)="",),FALSE,TRUE),TRUE)</f>
        <v>1</v>
      </c>
      <c r="K890" t="str">
        <f t="shared" si="29"/>
        <v>Row 133 - For a ‘Transport unit’ both ‘Location on board’ and ‘Amount’ are required</v>
      </c>
      <c r="L890" t="s">
        <v>33308</v>
      </c>
    </row>
    <row r="891" spans="7:12" x14ac:dyDescent="0.2">
      <c r="G891" t="b">
        <f>IF(OR(INDEX(IHZ_HAZ_UNITTYPE,134,1)&lt;&gt;"",),IF(OR(INDEX(IHZ_HAZ_LOCATION,134,1)="",INDEX(IHZ_HAZ_AMOUNT,134,1)="",),FALSE,TRUE),TRUE)</f>
        <v>1</v>
      </c>
      <c r="H891" t="str">
        <f t="shared" si="28"/>
        <v>Row 134 - For a ‘Transport unit’ both ‘Location on board’ and ‘Amount’ are required</v>
      </c>
      <c r="I891" t="s">
        <v>33308</v>
      </c>
      <c r="J891" t="b">
        <f>IF(OR(INDEX(OHZ_HAZ_UNITTYPE,134,1)&lt;&gt;"",),IF(OR(INDEX(OHZ_HAZ_LOCATION,134,1)="",INDEX(OHZ_HAZ_AMOUNT,134,1)="",),FALSE,TRUE),TRUE)</f>
        <v>1</v>
      </c>
      <c r="K891" t="str">
        <f t="shared" si="29"/>
        <v>Row 134 - For a ‘Transport unit’ both ‘Location on board’ and ‘Amount’ are required</v>
      </c>
      <c r="L891" t="s">
        <v>33308</v>
      </c>
    </row>
    <row r="892" spans="7:12" x14ac:dyDescent="0.2">
      <c r="G892" t="b">
        <f>IF(OR(INDEX(IHZ_HAZ_UNITTYPE,135,1)&lt;&gt;"",),IF(OR(INDEX(IHZ_HAZ_LOCATION,135,1)="",INDEX(IHZ_HAZ_AMOUNT,135,1)="",),FALSE,TRUE),TRUE)</f>
        <v>1</v>
      </c>
      <c r="H892" t="str">
        <f t="shared" si="28"/>
        <v>Row 135 - For a ‘Transport unit’ both ‘Location on board’ and ‘Amount’ are required</v>
      </c>
      <c r="I892" t="s">
        <v>33308</v>
      </c>
      <c r="J892" t="b">
        <f>IF(OR(INDEX(OHZ_HAZ_UNITTYPE,135,1)&lt;&gt;"",),IF(OR(INDEX(OHZ_HAZ_LOCATION,135,1)="",INDEX(OHZ_HAZ_AMOUNT,135,1)="",),FALSE,TRUE),TRUE)</f>
        <v>1</v>
      </c>
      <c r="K892" t="str">
        <f t="shared" si="29"/>
        <v>Row 135 - For a ‘Transport unit’ both ‘Location on board’ and ‘Amount’ are required</v>
      </c>
      <c r="L892" t="s">
        <v>33308</v>
      </c>
    </row>
    <row r="893" spans="7:12" x14ac:dyDescent="0.2">
      <c r="G893" t="b">
        <f>IF(OR(INDEX(IHZ_HAZ_UNITTYPE,136,1)&lt;&gt;"",),IF(OR(INDEX(IHZ_HAZ_LOCATION,136,1)="",INDEX(IHZ_HAZ_AMOUNT,136,1)="",),FALSE,TRUE),TRUE)</f>
        <v>1</v>
      </c>
      <c r="H893" t="str">
        <f t="shared" si="28"/>
        <v>Row 136 - For a ‘Transport unit’ both ‘Location on board’ and ‘Amount’ are required</v>
      </c>
      <c r="I893" t="s">
        <v>33308</v>
      </c>
      <c r="J893" t="b">
        <f>IF(OR(INDEX(OHZ_HAZ_UNITTYPE,136,1)&lt;&gt;"",),IF(OR(INDEX(OHZ_HAZ_LOCATION,136,1)="",INDEX(OHZ_HAZ_AMOUNT,136,1)="",),FALSE,TRUE),TRUE)</f>
        <v>1</v>
      </c>
      <c r="K893" t="str">
        <f t="shared" si="29"/>
        <v>Row 136 - For a ‘Transport unit’ both ‘Location on board’ and ‘Amount’ are required</v>
      </c>
      <c r="L893" t="s">
        <v>33308</v>
      </c>
    </row>
    <row r="894" spans="7:12" x14ac:dyDescent="0.2">
      <c r="G894" t="b">
        <f>IF(OR(INDEX(IHZ_HAZ_UNITTYPE,137,1)&lt;&gt;"",),IF(OR(INDEX(IHZ_HAZ_LOCATION,137,1)="",INDEX(IHZ_HAZ_AMOUNT,137,1)="",),FALSE,TRUE),TRUE)</f>
        <v>1</v>
      </c>
      <c r="H894" t="str">
        <f t="shared" si="28"/>
        <v>Row 137 - For a ‘Transport unit’ both ‘Location on board’ and ‘Amount’ are required</v>
      </c>
      <c r="I894" t="s">
        <v>33308</v>
      </c>
      <c r="J894" t="b">
        <f>IF(OR(INDEX(OHZ_HAZ_UNITTYPE,137,1)&lt;&gt;"",),IF(OR(INDEX(OHZ_HAZ_LOCATION,137,1)="",INDEX(OHZ_HAZ_AMOUNT,137,1)="",),FALSE,TRUE),TRUE)</f>
        <v>1</v>
      </c>
      <c r="K894" t="str">
        <f t="shared" si="29"/>
        <v>Row 137 - For a ‘Transport unit’ both ‘Location on board’ and ‘Amount’ are required</v>
      </c>
      <c r="L894" t="s">
        <v>33308</v>
      </c>
    </row>
    <row r="895" spans="7:12" x14ac:dyDescent="0.2">
      <c r="G895" t="b">
        <f>IF(OR(INDEX(IHZ_HAZ_UNITTYPE,138,1)&lt;&gt;"",),IF(OR(INDEX(IHZ_HAZ_LOCATION,138,1)="",INDEX(IHZ_HAZ_AMOUNT,138,1)="",),FALSE,TRUE),TRUE)</f>
        <v>1</v>
      </c>
      <c r="H895" t="str">
        <f t="shared" si="28"/>
        <v>Row 138 - For a ‘Transport unit’ both ‘Location on board’ and ‘Amount’ are required</v>
      </c>
      <c r="I895" t="s">
        <v>33308</v>
      </c>
      <c r="J895" t="b">
        <f>IF(OR(INDEX(OHZ_HAZ_UNITTYPE,138,1)&lt;&gt;"",),IF(OR(INDEX(OHZ_HAZ_LOCATION,138,1)="",INDEX(OHZ_HAZ_AMOUNT,138,1)="",),FALSE,TRUE),TRUE)</f>
        <v>1</v>
      </c>
      <c r="K895" t="str">
        <f t="shared" si="29"/>
        <v>Row 138 - For a ‘Transport unit’ both ‘Location on board’ and ‘Amount’ are required</v>
      </c>
      <c r="L895" t="s">
        <v>33308</v>
      </c>
    </row>
    <row r="896" spans="7:12" x14ac:dyDescent="0.2">
      <c r="G896" t="b">
        <f>IF(OR(INDEX(IHZ_HAZ_UNITTYPE,139,1)&lt;&gt;"",),IF(OR(INDEX(IHZ_HAZ_LOCATION,139,1)="",INDEX(IHZ_HAZ_AMOUNT,139,1)="",),FALSE,TRUE),TRUE)</f>
        <v>1</v>
      </c>
      <c r="H896" t="str">
        <f t="shared" si="28"/>
        <v>Row 139 - For a ‘Transport unit’ both ‘Location on board’ and ‘Amount’ are required</v>
      </c>
      <c r="I896" t="s">
        <v>33308</v>
      </c>
      <c r="J896" t="b">
        <f>IF(OR(INDEX(OHZ_HAZ_UNITTYPE,139,1)&lt;&gt;"",),IF(OR(INDEX(OHZ_HAZ_LOCATION,139,1)="",INDEX(OHZ_HAZ_AMOUNT,139,1)="",),FALSE,TRUE),TRUE)</f>
        <v>1</v>
      </c>
      <c r="K896" t="str">
        <f t="shared" si="29"/>
        <v>Row 139 - For a ‘Transport unit’ both ‘Location on board’ and ‘Amount’ are required</v>
      </c>
      <c r="L896" t="s">
        <v>33308</v>
      </c>
    </row>
    <row r="897" spans="7:12" x14ac:dyDescent="0.2">
      <c r="G897" t="b">
        <f>IF(OR(INDEX(IHZ_HAZ_UNITTYPE,140,1)&lt;&gt;"",),IF(OR(INDEX(IHZ_HAZ_LOCATION,140,1)="",INDEX(IHZ_HAZ_AMOUNT,140,1)="",),FALSE,TRUE),TRUE)</f>
        <v>1</v>
      </c>
      <c r="H897" t="str">
        <f t="shared" si="28"/>
        <v>Row 140 - For a ‘Transport unit’ both ‘Location on board’ and ‘Amount’ are required</v>
      </c>
      <c r="I897" t="s">
        <v>33308</v>
      </c>
      <c r="J897" t="b">
        <f>IF(OR(INDEX(OHZ_HAZ_UNITTYPE,140,1)&lt;&gt;"",),IF(OR(INDEX(OHZ_HAZ_LOCATION,140,1)="",INDEX(OHZ_HAZ_AMOUNT,140,1)="",),FALSE,TRUE),TRUE)</f>
        <v>1</v>
      </c>
      <c r="K897" t="str">
        <f t="shared" si="29"/>
        <v>Row 140 - For a ‘Transport unit’ both ‘Location on board’ and ‘Amount’ are required</v>
      </c>
      <c r="L897" t="s">
        <v>33308</v>
      </c>
    </row>
    <row r="898" spans="7:12" x14ac:dyDescent="0.2">
      <c r="G898" t="b">
        <f>IF(OR(INDEX(IHZ_HAZ_UNITTYPE,141,1)&lt;&gt;"",),IF(OR(INDEX(IHZ_HAZ_LOCATION,141,1)="",INDEX(IHZ_HAZ_AMOUNT,141,1)="",),FALSE,TRUE),TRUE)</f>
        <v>1</v>
      </c>
      <c r="H898" t="str">
        <f t="shared" si="28"/>
        <v>Row 141 - For a ‘Transport unit’ both ‘Location on board’ and ‘Amount’ are required</v>
      </c>
      <c r="I898" t="s">
        <v>33308</v>
      </c>
      <c r="J898" t="b">
        <f>IF(OR(INDEX(OHZ_HAZ_UNITTYPE,141,1)&lt;&gt;"",),IF(OR(INDEX(OHZ_HAZ_LOCATION,141,1)="",INDEX(OHZ_HAZ_AMOUNT,141,1)="",),FALSE,TRUE),TRUE)</f>
        <v>1</v>
      </c>
      <c r="K898" t="str">
        <f t="shared" si="29"/>
        <v>Row 141 - For a ‘Transport unit’ both ‘Location on board’ and ‘Amount’ are required</v>
      </c>
      <c r="L898" t="s">
        <v>33308</v>
      </c>
    </row>
    <row r="899" spans="7:12" x14ac:dyDescent="0.2">
      <c r="G899" t="b">
        <f>IF(OR(INDEX(IHZ_HAZ_UNITTYPE,142,1)&lt;&gt;"",),IF(OR(INDEX(IHZ_HAZ_LOCATION,142,1)="",INDEX(IHZ_HAZ_AMOUNT,142,1)="",),FALSE,TRUE),TRUE)</f>
        <v>1</v>
      </c>
      <c r="H899" t="str">
        <f t="shared" si="28"/>
        <v>Row 142 - For a ‘Transport unit’ both ‘Location on board’ and ‘Amount’ are required</v>
      </c>
      <c r="I899" t="s">
        <v>33308</v>
      </c>
      <c r="J899" t="b">
        <f>IF(OR(INDEX(OHZ_HAZ_UNITTYPE,142,1)&lt;&gt;"",),IF(OR(INDEX(OHZ_HAZ_LOCATION,142,1)="",INDEX(OHZ_HAZ_AMOUNT,142,1)="",),FALSE,TRUE),TRUE)</f>
        <v>1</v>
      </c>
      <c r="K899" t="str">
        <f t="shared" si="29"/>
        <v>Row 142 - For a ‘Transport unit’ both ‘Location on board’ and ‘Amount’ are required</v>
      </c>
      <c r="L899" t="s">
        <v>33308</v>
      </c>
    </row>
    <row r="900" spans="7:12" x14ac:dyDescent="0.2">
      <c r="G900" t="b">
        <f>IF(OR(INDEX(IHZ_HAZ_UNITTYPE,143,1)&lt;&gt;"",),IF(OR(INDEX(IHZ_HAZ_LOCATION,143,1)="",INDEX(IHZ_HAZ_AMOUNT,143,1)="",),FALSE,TRUE),TRUE)</f>
        <v>1</v>
      </c>
      <c r="H900" t="str">
        <f t="shared" si="28"/>
        <v>Row 143 - For a ‘Transport unit’ both ‘Location on board’ and ‘Amount’ are required</v>
      </c>
      <c r="I900" t="s">
        <v>33308</v>
      </c>
      <c r="J900" t="b">
        <f>IF(OR(INDEX(OHZ_HAZ_UNITTYPE,143,1)&lt;&gt;"",),IF(OR(INDEX(OHZ_HAZ_LOCATION,143,1)="",INDEX(OHZ_HAZ_AMOUNT,143,1)="",),FALSE,TRUE),TRUE)</f>
        <v>1</v>
      </c>
      <c r="K900" t="str">
        <f t="shared" si="29"/>
        <v>Row 143 - For a ‘Transport unit’ both ‘Location on board’ and ‘Amount’ are required</v>
      </c>
      <c r="L900" t="s">
        <v>33308</v>
      </c>
    </row>
    <row r="901" spans="7:12" x14ac:dyDescent="0.2">
      <c r="G901" t="b">
        <f>IF(OR(INDEX(IHZ_HAZ_UNITTYPE,144,1)&lt;&gt;"",),IF(OR(INDEX(IHZ_HAZ_LOCATION,144,1)="",INDEX(IHZ_HAZ_AMOUNT,144,1)="",),FALSE,TRUE),TRUE)</f>
        <v>1</v>
      </c>
      <c r="H901" t="str">
        <f t="shared" si="28"/>
        <v>Row 144 - For a ‘Transport unit’ both ‘Location on board’ and ‘Amount’ are required</v>
      </c>
      <c r="I901" t="s">
        <v>33308</v>
      </c>
      <c r="J901" t="b">
        <f>IF(OR(INDEX(OHZ_HAZ_UNITTYPE,144,1)&lt;&gt;"",),IF(OR(INDEX(OHZ_HAZ_LOCATION,144,1)="",INDEX(OHZ_HAZ_AMOUNT,144,1)="",),FALSE,TRUE),TRUE)</f>
        <v>1</v>
      </c>
      <c r="K901" t="str">
        <f t="shared" si="29"/>
        <v>Row 144 - For a ‘Transport unit’ both ‘Location on board’ and ‘Amount’ are required</v>
      </c>
      <c r="L901" t="s">
        <v>33308</v>
      </c>
    </row>
    <row r="902" spans="7:12" x14ac:dyDescent="0.2">
      <c r="G902" t="b">
        <f>IF(OR(INDEX(IHZ_HAZ_UNITTYPE,145,1)&lt;&gt;"",),IF(OR(INDEX(IHZ_HAZ_LOCATION,145,1)="",INDEX(IHZ_HAZ_AMOUNT,145,1)="",),FALSE,TRUE),TRUE)</f>
        <v>1</v>
      </c>
      <c r="H902" t="str">
        <f t="shared" si="28"/>
        <v>Row 145 - For a ‘Transport unit’ both ‘Location on board’ and ‘Amount’ are required</v>
      </c>
      <c r="I902" t="s">
        <v>33308</v>
      </c>
      <c r="J902" t="b">
        <f>IF(OR(INDEX(OHZ_HAZ_UNITTYPE,145,1)&lt;&gt;"",),IF(OR(INDEX(OHZ_HAZ_LOCATION,145,1)="",INDEX(OHZ_HAZ_AMOUNT,145,1)="",),FALSE,TRUE),TRUE)</f>
        <v>1</v>
      </c>
      <c r="K902" t="str">
        <f t="shared" si="29"/>
        <v>Row 145 - For a ‘Transport unit’ both ‘Location on board’ and ‘Amount’ are required</v>
      </c>
      <c r="L902" t="s">
        <v>33308</v>
      </c>
    </row>
    <row r="903" spans="7:12" x14ac:dyDescent="0.2">
      <c r="G903" t="b">
        <f>IF(OR(INDEX(IHZ_HAZ_UNITTYPE,146,1)&lt;&gt;"",),IF(OR(INDEX(IHZ_HAZ_LOCATION,146,1)="",INDEX(IHZ_HAZ_AMOUNT,146,1)="",),FALSE,TRUE),TRUE)</f>
        <v>1</v>
      </c>
      <c r="H903" t="str">
        <f t="shared" si="28"/>
        <v>Row 146 - For a ‘Transport unit’ both ‘Location on board’ and ‘Amount’ are required</v>
      </c>
      <c r="I903" t="s">
        <v>33308</v>
      </c>
      <c r="J903" t="b">
        <f>IF(OR(INDEX(OHZ_HAZ_UNITTYPE,146,1)&lt;&gt;"",),IF(OR(INDEX(OHZ_HAZ_LOCATION,146,1)="",INDEX(OHZ_HAZ_AMOUNT,146,1)="",),FALSE,TRUE),TRUE)</f>
        <v>1</v>
      </c>
      <c r="K903" t="str">
        <f t="shared" si="29"/>
        <v>Row 146 - For a ‘Transport unit’ both ‘Location on board’ and ‘Amount’ are required</v>
      </c>
      <c r="L903" t="s">
        <v>33308</v>
      </c>
    </row>
    <row r="904" spans="7:12" x14ac:dyDescent="0.2">
      <c r="G904" t="b">
        <f>IF(OR(INDEX(IHZ_HAZ_UNITTYPE,147,1)&lt;&gt;"",),IF(OR(INDEX(IHZ_HAZ_LOCATION,147,1)="",INDEX(IHZ_HAZ_AMOUNT,147,1)="",),FALSE,TRUE),TRUE)</f>
        <v>1</v>
      </c>
      <c r="H904" t="str">
        <f t="shared" si="28"/>
        <v>Row 147 - For a ‘Transport unit’ both ‘Location on board’ and ‘Amount’ are required</v>
      </c>
      <c r="I904" t="s">
        <v>33308</v>
      </c>
      <c r="J904" t="b">
        <f>IF(OR(INDEX(OHZ_HAZ_UNITTYPE,147,1)&lt;&gt;"",),IF(OR(INDEX(OHZ_HAZ_LOCATION,147,1)="",INDEX(OHZ_HAZ_AMOUNT,147,1)="",),FALSE,TRUE),TRUE)</f>
        <v>1</v>
      </c>
      <c r="K904" t="str">
        <f t="shared" si="29"/>
        <v>Row 147 - For a ‘Transport unit’ both ‘Location on board’ and ‘Amount’ are required</v>
      </c>
      <c r="L904" t="s">
        <v>33308</v>
      </c>
    </row>
    <row r="905" spans="7:12" x14ac:dyDescent="0.2">
      <c r="G905" t="b">
        <f>IF(OR(INDEX(IHZ_HAZ_UNITTYPE,148,1)&lt;&gt;"",),IF(OR(INDEX(IHZ_HAZ_LOCATION,148,1)="",INDEX(IHZ_HAZ_AMOUNT,148,1)="",),FALSE,TRUE),TRUE)</f>
        <v>1</v>
      </c>
      <c r="H905" t="str">
        <f t="shared" si="28"/>
        <v>Row 148 - For a ‘Transport unit’ both ‘Location on board’ and ‘Amount’ are required</v>
      </c>
      <c r="I905" t="s">
        <v>33308</v>
      </c>
      <c r="J905" t="b">
        <f>IF(OR(INDEX(OHZ_HAZ_UNITTYPE,148,1)&lt;&gt;"",),IF(OR(INDEX(OHZ_HAZ_LOCATION,148,1)="",INDEX(OHZ_HAZ_AMOUNT,148,1)="",),FALSE,TRUE),TRUE)</f>
        <v>1</v>
      </c>
      <c r="K905" t="str">
        <f t="shared" si="29"/>
        <v>Row 148 - For a ‘Transport unit’ both ‘Location on board’ and ‘Amount’ are required</v>
      </c>
      <c r="L905" t="s">
        <v>33308</v>
      </c>
    </row>
    <row r="906" spans="7:12" x14ac:dyDescent="0.2">
      <c r="G906" t="b">
        <f>IF(OR(INDEX(IHZ_HAZ_UNITTYPE,149,1)&lt;&gt;"",),IF(OR(INDEX(IHZ_HAZ_LOCATION,149,1)="",INDEX(IHZ_HAZ_AMOUNT,149,1)="",),FALSE,TRUE),TRUE)</f>
        <v>1</v>
      </c>
      <c r="H906" t="str">
        <f t="shared" si="28"/>
        <v>Row 149 - For a ‘Transport unit’ both ‘Location on board’ and ‘Amount’ are required</v>
      </c>
      <c r="I906" t="s">
        <v>33308</v>
      </c>
      <c r="J906" t="b">
        <f>IF(OR(INDEX(OHZ_HAZ_UNITTYPE,149,1)&lt;&gt;"",),IF(OR(INDEX(OHZ_HAZ_LOCATION,149,1)="",INDEX(OHZ_HAZ_AMOUNT,149,1)="",),FALSE,TRUE),TRUE)</f>
        <v>1</v>
      </c>
      <c r="K906" t="str">
        <f t="shared" si="29"/>
        <v>Row 149 - For a ‘Transport unit’ both ‘Location on board’ and ‘Amount’ are required</v>
      </c>
      <c r="L906" t="s">
        <v>33308</v>
      </c>
    </row>
    <row r="907" spans="7:12" x14ac:dyDescent="0.2">
      <c r="G907" t="b">
        <f>IF(OR(INDEX(IHZ_HAZ_UNITTYPE,150,1)&lt;&gt;"",),IF(OR(INDEX(IHZ_HAZ_LOCATION,150,1)="",INDEX(IHZ_HAZ_AMOUNT,150,1)="",),FALSE,TRUE),TRUE)</f>
        <v>1</v>
      </c>
      <c r="H907" t="str">
        <f t="shared" si="28"/>
        <v>Row 150 - For a ‘Transport unit’ both ‘Location on board’ and ‘Amount’ are required</v>
      </c>
      <c r="I907" t="s">
        <v>33308</v>
      </c>
      <c r="J907" t="b">
        <f>IF(OR(INDEX(OHZ_HAZ_UNITTYPE,150,1)&lt;&gt;"",),IF(OR(INDEX(OHZ_HAZ_LOCATION,150,1)="",INDEX(OHZ_HAZ_AMOUNT,150,1)="",),FALSE,TRUE),TRUE)</f>
        <v>1</v>
      </c>
      <c r="K907" t="str">
        <f t="shared" si="29"/>
        <v>Row 150 - For a ‘Transport unit’ both ‘Location on board’ and ‘Amount’ are required</v>
      </c>
      <c r="L907" t="s">
        <v>33308</v>
      </c>
    </row>
    <row r="908" spans="7:12" x14ac:dyDescent="0.2">
      <c r="G908" t="b">
        <f>IF(OR(INDEX(IHZ_HAZ_UNITTYPE,151,1)&lt;&gt;"",),IF(OR(INDEX(IHZ_HAZ_LOCATION,151,1)="",INDEX(IHZ_HAZ_AMOUNT,151,1)="",),FALSE,TRUE),TRUE)</f>
        <v>1</v>
      </c>
      <c r="H908" t="str">
        <f t="shared" si="28"/>
        <v>Row 151 - For a ‘Transport unit’ both ‘Location on board’ and ‘Amount’ are required</v>
      </c>
      <c r="I908" t="s">
        <v>33308</v>
      </c>
      <c r="J908" t="b">
        <f>IF(OR(INDEX(OHZ_HAZ_UNITTYPE,151,1)&lt;&gt;"",),IF(OR(INDEX(OHZ_HAZ_LOCATION,151,1)="",INDEX(OHZ_HAZ_AMOUNT,151,1)="",),FALSE,TRUE),TRUE)</f>
        <v>1</v>
      </c>
      <c r="K908" t="str">
        <f t="shared" si="29"/>
        <v>Row 151 - For a ‘Transport unit’ both ‘Location on board’ and ‘Amount’ are required</v>
      </c>
      <c r="L908" t="s">
        <v>33308</v>
      </c>
    </row>
    <row r="909" spans="7:12" x14ac:dyDescent="0.2">
      <c r="G909" t="b">
        <f>IF(OR(INDEX(IHZ_HAZ_UNITTYPE,152,1)&lt;&gt;"",),IF(OR(INDEX(IHZ_HAZ_LOCATION,152,1)="",INDEX(IHZ_HAZ_AMOUNT,152,1)="",),FALSE,TRUE),TRUE)</f>
        <v>1</v>
      </c>
      <c r="H909" t="str">
        <f t="shared" si="28"/>
        <v>Row 152 - For a ‘Transport unit’ both ‘Location on board’ and ‘Amount’ are required</v>
      </c>
      <c r="I909" t="s">
        <v>33308</v>
      </c>
      <c r="J909" t="b">
        <f>IF(OR(INDEX(OHZ_HAZ_UNITTYPE,152,1)&lt;&gt;"",),IF(OR(INDEX(OHZ_HAZ_LOCATION,152,1)="",INDEX(OHZ_HAZ_AMOUNT,152,1)="",),FALSE,TRUE),TRUE)</f>
        <v>1</v>
      </c>
      <c r="K909" t="str">
        <f t="shared" si="29"/>
        <v>Row 152 - For a ‘Transport unit’ both ‘Location on board’ and ‘Amount’ are required</v>
      </c>
      <c r="L909" t="s">
        <v>33308</v>
      </c>
    </row>
    <row r="910" spans="7:12" x14ac:dyDescent="0.2">
      <c r="G910" t="b">
        <f>IF(OR(INDEX(IHZ_HAZ_UNITTYPE,153,1)&lt;&gt;"",),IF(OR(INDEX(IHZ_HAZ_LOCATION,153,1)="",INDEX(IHZ_HAZ_AMOUNT,153,1)="",),FALSE,TRUE),TRUE)</f>
        <v>1</v>
      </c>
      <c r="H910" t="str">
        <f t="shared" si="28"/>
        <v>Row 153 - For a ‘Transport unit’ both ‘Location on board’ and ‘Amount’ are required</v>
      </c>
      <c r="I910" t="s">
        <v>33308</v>
      </c>
      <c r="J910" t="b">
        <f>IF(OR(INDEX(OHZ_HAZ_UNITTYPE,153,1)&lt;&gt;"",),IF(OR(INDEX(OHZ_HAZ_LOCATION,153,1)="",INDEX(OHZ_HAZ_AMOUNT,153,1)="",),FALSE,TRUE),TRUE)</f>
        <v>1</v>
      </c>
      <c r="K910" t="str">
        <f t="shared" si="29"/>
        <v>Row 153 - For a ‘Transport unit’ both ‘Location on board’ and ‘Amount’ are required</v>
      </c>
      <c r="L910" t="s">
        <v>33308</v>
      </c>
    </row>
    <row r="911" spans="7:12" x14ac:dyDescent="0.2">
      <c r="G911" t="b">
        <f>IF(OR(INDEX(IHZ_HAZ_UNITTYPE,154,1)&lt;&gt;"",),IF(OR(INDEX(IHZ_HAZ_LOCATION,154,1)="",INDEX(IHZ_HAZ_AMOUNT,154,1)="",),FALSE,TRUE),TRUE)</f>
        <v>1</v>
      </c>
      <c r="H911" t="str">
        <f t="shared" si="28"/>
        <v>Row 154 - For a ‘Transport unit’ both ‘Location on board’ and ‘Amount’ are required</v>
      </c>
      <c r="I911" t="s">
        <v>33308</v>
      </c>
      <c r="J911" t="b">
        <f>IF(OR(INDEX(OHZ_HAZ_UNITTYPE,154,1)&lt;&gt;"",),IF(OR(INDEX(OHZ_HAZ_LOCATION,154,1)="",INDEX(OHZ_HAZ_AMOUNT,154,1)="",),FALSE,TRUE),TRUE)</f>
        <v>1</v>
      </c>
      <c r="K911" t="str">
        <f t="shared" si="29"/>
        <v>Row 154 - For a ‘Transport unit’ both ‘Location on board’ and ‘Amount’ are required</v>
      </c>
      <c r="L911" t="s">
        <v>33308</v>
      </c>
    </row>
    <row r="912" spans="7:12" x14ac:dyDescent="0.2">
      <c r="G912" t="b">
        <f>IF(OR(INDEX(IHZ_HAZ_UNITTYPE,155,1)&lt;&gt;"",),IF(OR(INDEX(IHZ_HAZ_LOCATION,155,1)="",INDEX(IHZ_HAZ_AMOUNT,155,1)="",),FALSE,TRUE),TRUE)</f>
        <v>1</v>
      </c>
      <c r="H912" t="str">
        <f t="shared" si="28"/>
        <v>Row 155 - For a ‘Transport unit’ both ‘Location on board’ and ‘Amount’ are required</v>
      </c>
      <c r="I912" t="s">
        <v>33308</v>
      </c>
      <c r="J912" t="b">
        <f>IF(OR(INDEX(OHZ_HAZ_UNITTYPE,155,1)&lt;&gt;"",),IF(OR(INDEX(OHZ_HAZ_LOCATION,155,1)="",INDEX(OHZ_HAZ_AMOUNT,155,1)="",),FALSE,TRUE),TRUE)</f>
        <v>1</v>
      </c>
      <c r="K912" t="str">
        <f t="shared" si="29"/>
        <v>Row 155 - For a ‘Transport unit’ both ‘Location on board’ and ‘Amount’ are required</v>
      </c>
      <c r="L912" t="s">
        <v>33308</v>
      </c>
    </row>
    <row r="913" spans="7:12" x14ac:dyDescent="0.2">
      <c r="G913" t="b">
        <f>IF(OR(INDEX(IHZ_HAZ_UNITTYPE,156,1)&lt;&gt;"",),IF(OR(INDEX(IHZ_HAZ_LOCATION,156,1)="",INDEX(IHZ_HAZ_AMOUNT,156,1)="",),FALSE,TRUE),TRUE)</f>
        <v>1</v>
      </c>
      <c r="H913" t="str">
        <f t="shared" si="28"/>
        <v>Row 156 - For a ‘Transport unit’ both ‘Location on board’ and ‘Amount’ are required</v>
      </c>
      <c r="I913" t="s">
        <v>33308</v>
      </c>
      <c r="J913" t="b">
        <f>IF(OR(INDEX(OHZ_HAZ_UNITTYPE,156,1)&lt;&gt;"",),IF(OR(INDEX(OHZ_HAZ_LOCATION,156,1)="",INDEX(OHZ_HAZ_AMOUNT,156,1)="",),FALSE,TRUE),TRUE)</f>
        <v>1</v>
      </c>
      <c r="K913" t="str">
        <f t="shared" si="29"/>
        <v>Row 156 - For a ‘Transport unit’ both ‘Location on board’ and ‘Amount’ are required</v>
      </c>
      <c r="L913" t="s">
        <v>33308</v>
      </c>
    </row>
    <row r="914" spans="7:12" x14ac:dyDescent="0.2">
      <c r="G914" t="b">
        <f>IF(OR(INDEX(IHZ_HAZ_UNITTYPE,157,1)&lt;&gt;"",),IF(OR(INDEX(IHZ_HAZ_LOCATION,157,1)="",INDEX(IHZ_HAZ_AMOUNT,157,1)="",),FALSE,TRUE),TRUE)</f>
        <v>1</v>
      </c>
      <c r="H914" t="str">
        <f t="shared" si="28"/>
        <v>Row 157 - For a ‘Transport unit’ both ‘Location on board’ and ‘Amount’ are required</v>
      </c>
      <c r="I914" t="s">
        <v>33308</v>
      </c>
      <c r="J914" t="b">
        <f>IF(OR(INDEX(OHZ_HAZ_UNITTYPE,157,1)&lt;&gt;"",),IF(OR(INDEX(OHZ_HAZ_LOCATION,157,1)="",INDEX(OHZ_HAZ_AMOUNT,157,1)="",),FALSE,TRUE),TRUE)</f>
        <v>1</v>
      </c>
      <c r="K914" t="str">
        <f t="shared" si="29"/>
        <v>Row 157 - For a ‘Transport unit’ both ‘Location on board’ and ‘Amount’ are required</v>
      </c>
      <c r="L914" t="s">
        <v>33308</v>
      </c>
    </row>
    <row r="915" spans="7:12" x14ac:dyDescent="0.2">
      <c r="G915" t="b">
        <f>IF(OR(INDEX(IHZ_HAZ_UNITTYPE,158,1)&lt;&gt;"",),IF(OR(INDEX(IHZ_HAZ_LOCATION,158,1)="",INDEX(IHZ_HAZ_AMOUNT,158,1)="",),FALSE,TRUE),TRUE)</f>
        <v>1</v>
      </c>
      <c r="H915" t="str">
        <f t="shared" si="28"/>
        <v>Row 158 - For a ‘Transport unit’ both ‘Location on board’ and ‘Amount’ are required</v>
      </c>
      <c r="I915" t="s">
        <v>33308</v>
      </c>
      <c r="J915" t="b">
        <f>IF(OR(INDEX(OHZ_HAZ_UNITTYPE,158,1)&lt;&gt;"",),IF(OR(INDEX(OHZ_HAZ_LOCATION,158,1)="",INDEX(OHZ_HAZ_AMOUNT,158,1)="",),FALSE,TRUE),TRUE)</f>
        <v>1</v>
      </c>
      <c r="K915" t="str">
        <f t="shared" si="29"/>
        <v>Row 158 - For a ‘Transport unit’ both ‘Location on board’ and ‘Amount’ are required</v>
      </c>
      <c r="L915" t="s">
        <v>33308</v>
      </c>
    </row>
    <row r="916" spans="7:12" x14ac:dyDescent="0.2">
      <c r="G916" t="b">
        <f>IF(OR(INDEX(IHZ_HAZ_UNITTYPE,159,1)&lt;&gt;"",),IF(OR(INDEX(IHZ_HAZ_LOCATION,159,1)="",INDEX(IHZ_HAZ_AMOUNT,159,1)="",),FALSE,TRUE),TRUE)</f>
        <v>1</v>
      </c>
      <c r="H916" t="str">
        <f t="shared" si="28"/>
        <v>Row 159 - For a ‘Transport unit’ both ‘Location on board’ and ‘Amount’ are required</v>
      </c>
      <c r="I916" t="s">
        <v>33308</v>
      </c>
      <c r="J916" t="b">
        <f>IF(OR(INDEX(OHZ_HAZ_UNITTYPE,159,1)&lt;&gt;"",),IF(OR(INDEX(OHZ_HAZ_LOCATION,159,1)="",INDEX(OHZ_HAZ_AMOUNT,159,1)="",),FALSE,TRUE),TRUE)</f>
        <v>1</v>
      </c>
      <c r="K916" t="str">
        <f t="shared" si="29"/>
        <v>Row 159 - For a ‘Transport unit’ both ‘Location on board’ and ‘Amount’ are required</v>
      </c>
      <c r="L916" t="s">
        <v>33308</v>
      </c>
    </row>
    <row r="917" spans="7:12" x14ac:dyDescent="0.2">
      <c r="G917" t="b">
        <f>IF(OR(INDEX(IHZ_HAZ_UNITTYPE,160,1)&lt;&gt;"",),IF(OR(INDEX(IHZ_HAZ_LOCATION,160,1)="",INDEX(IHZ_HAZ_AMOUNT,160,1)="",),FALSE,TRUE),TRUE)</f>
        <v>1</v>
      </c>
      <c r="H917" t="str">
        <f t="shared" si="28"/>
        <v>Row 160 - For a ‘Transport unit’ both ‘Location on board’ and ‘Amount’ are required</v>
      </c>
      <c r="I917" t="s">
        <v>33308</v>
      </c>
      <c r="J917" t="b">
        <f>IF(OR(INDEX(OHZ_HAZ_UNITTYPE,160,1)&lt;&gt;"",),IF(OR(INDEX(OHZ_HAZ_LOCATION,160,1)="",INDEX(OHZ_HAZ_AMOUNT,160,1)="",),FALSE,TRUE),TRUE)</f>
        <v>1</v>
      </c>
      <c r="K917" t="str">
        <f t="shared" si="29"/>
        <v>Row 160 - For a ‘Transport unit’ both ‘Location on board’ and ‘Amount’ are required</v>
      </c>
      <c r="L917" t="s">
        <v>33308</v>
      </c>
    </row>
    <row r="918" spans="7:12" x14ac:dyDescent="0.2">
      <c r="G918" t="b">
        <f>IF(OR(INDEX(IHZ_HAZ_UNITTYPE,161,1)&lt;&gt;"",),IF(OR(INDEX(IHZ_HAZ_LOCATION,161,1)="",INDEX(IHZ_HAZ_AMOUNT,161,1)="",),FALSE,TRUE),TRUE)</f>
        <v>1</v>
      </c>
      <c r="H918" t="str">
        <f t="shared" si="28"/>
        <v>Row 161 - For a ‘Transport unit’ both ‘Location on board’ and ‘Amount’ are required</v>
      </c>
      <c r="I918" t="s">
        <v>33308</v>
      </c>
      <c r="J918" t="b">
        <f>IF(OR(INDEX(OHZ_HAZ_UNITTYPE,161,1)&lt;&gt;"",),IF(OR(INDEX(OHZ_HAZ_LOCATION,161,1)="",INDEX(OHZ_HAZ_AMOUNT,161,1)="",),FALSE,TRUE),TRUE)</f>
        <v>1</v>
      </c>
      <c r="K918" t="str">
        <f t="shared" si="29"/>
        <v>Row 161 - For a ‘Transport unit’ both ‘Location on board’ and ‘Amount’ are required</v>
      </c>
      <c r="L918" t="s">
        <v>33308</v>
      </c>
    </row>
    <row r="919" spans="7:12" x14ac:dyDescent="0.2">
      <c r="G919" t="b">
        <f>IF(OR(INDEX(IHZ_HAZ_UNITTYPE,162,1)&lt;&gt;"",),IF(OR(INDEX(IHZ_HAZ_LOCATION,162,1)="",INDEX(IHZ_HAZ_AMOUNT,162,1)="",),FALSE,TRUE),TRUE)</f>
        <v>1</v>
      </c>
      <c r="H919" t="str">
        <f t="shared" si="28"/>
        <v>Row 162 - For a ‘Transport unit’ both ‘Location on board’ and ‘Amount’ are required</v>
      </c>
      <c r="I919" t="s">
        <v>33308</v>
      </c>
      <c r="J919" t="b">
        <f>IF(OR(INDEX(OHZ_HAZ_UNITTYPE,162,1)&lt;&gt;"",),IF(OR(INDEX(OHZ_HAZ_LOCATION,162,1)="",INDEX(OHZ_HAZ_AMOUNT,162,1)="",),FALSE,TRUE),TRUE)</f>
        <v>1</v>
      </c>
      <c r="K919" t="str">
        <f t="shared" si="29"/>
        <v>Row 162 - For a ‘Transport unit’ both ‘Location on board’ and ‘Amount’ are required</v>
      </c>
      <c r="L919" t="s">
        <v>33308</v>
      </c>
    </row>
    <row r="920" spans="7:12" x14ac:dyDescent="0.2">
      <c r="G920" t="b">
        <f>IF(OR(INDEX(IHZ_HAZ_UNITTYPE,163,1)&lt;&gt;"",),IF(OR(INDEX(IHZ_HAZ_LOCATION,163,1)="",INDEX(IHZ_HAZ_AMOUNT,163,1)="",),FALSE,TRUE),TRUE)</f>
        <v>1</v>
      </c>
      <c r="H920" t="str">
        <f t="shared" si="28"/>
        <v>Row 163 - For a ‘Transport unit’ both ‘Location on board’ and ‘Amount’ are required</v>
      </c>
      <c r="I920" t="s">
        <v>33308</v>
      </c>
      <c r="J920" t="b">
        <f>IF(OR(INDEX(OHZ_HAZ_UNITTYPE,163,1)&lt;&gt;"",),IF(OR(INDEX(OHZ_HAZ_LOCATION,163,1)="",INDEX(OHZ_HAZ_AMOUNT,163,1)="",),FALSE,TRUE),TRUE)</f>
        <v>1</v>
      </c>
      <c r="K920" t="str">
        <f t="shared" si="29"/>
        <v>Row 163 - For a ‘Transport unit’ both ‘Location on board’ and ‘Amount’ are required</v>
      </c>
      <c r="L920" t="s">
        <v>33308</v>
      </c>
    </row>
    <row r="921" spans="7:12" x14ac:dyDescent="0.2">
      <c r="G921" t="b">
        <f>IF(OR(INDEX(IHZ_HAZ_UNITTYPE,164,1)&lt;&gt;"",),IF(OR(INDEX(IHZ_HAZ_LOCATION,164,1)="",INDEX(IHZ_HAZ_AMOUNT,164,1)="",),FALSE,TRUE),TRUE)</f>
        <v>1</v>
      </c>
      <c r="H921" t="str">
        <f t="shared" si="28"/>
        <v>Row 164 - For a ‘Transport unit’ both ‘Location on board’ and ‘Amount’ are required</v>
      </c>
      <c r="I921" t="s">
        <v>33308</v>
      </c>
      <c r="J921" t="b">
        <f>IF(OR(INDEX(OHZ_HAZ_UNITTYPE,164,1)&lt;&gt;"",),IF(OR(INDEX(OHZ_HAZ_LOCATION,164,1)="",INDEX(OHZ_HAZ_AMOUNT,164,1)="",),FALSE,TRUE),TRUE)</f>
        <v>1</v>
      </c>
      <c r="K921" t="str">
        <f t="shared" si="29"/>
        <v>Row 164 - For a ‘Transport unit’ both ‘Location on board’ and ‘Amount’ are required</v>
      </c>
      <c r="L921" t="s">
        <v>33308</v>
      </c>
    </row>
    <row r="922" spans="7:12" x14ac:dyDescent="0.2">
      <c r="G922" t="b">
        <f>IF(OR(INDEX(IHZ_HAZ_UNITTYPE,165,1)&lt;&gt;"",),IF(OR(INDEX(IHZ_HAZ_LOCATION,165,1)="",INDEX(IHZ_HAZ_AMOUNT,165,1)="",),FALSE,TRUE),TRUE)</f>
        <v>1</v>
      </c>
      <c r="H922" t="str">
        <f t="shared" si="28"/>
        <v>Row 165 - For a ‘Transport unit’ both ‘Location on board’ and ‘Amount’ are required</v>
      </c>
      <c r="I922" t="s">
        <v>33308</v>
      </c>
      <c r="J922" t="b">
        <f>IF(OR(INDEX(OHZ_HAZ_UNITTYPE,165,1)&lt;&gt;"",),IF(OR(INDEX(OHZ_HAZ_LOCATION,165,1)="",INDEX(OHZ_HAZ_AMOUNT,165,1)="",),FALSE,TRUE),TRUE)</f>
        <v>1</v>
      </c>
      <c r="K922" t="str">
        <f t="shared" si="29"/>
        <v>Row 165 - For a ‘Transport unit’ both ‘Location on board’ and ‘Amount’ are required</v>
      </c>
      <c r="L922" t="s">
        <v>33308</v>
      </c>
    </row>
    <row r="923" spans="7:12" x14ac:dyDescent="0.2">
      <c r="G923" t="b">
        <f>IF(OR(INDEX(IHZ_HAZ_UNITTYPE,166,1)&lt;&gt;"",),IF(OR(INDEX(IHZ_HAZ_LOCATION,166,1)="",INDEX(IHZ_HAZ_AMOUNT,166,1)="",),FALSE,TRUE),TRUE)</f>
        <v>1</v>
      </c>
      <c r="H923" t="str">
        <f t="shared" si="28"/>
        <v>Row 166 - For a ‘Transport unit’ both ‘Location on board’ and ‘Amount’ are required</v>
      </c>
      <c r="I923" t="s">
        <v>33308</v>
      </c>
      <c r="J923" t="b">
        <f>IF(OR(INDEX(OHZ_HAZ_UNITTYPE,166,1)&lt;&gt;"",),IF(OR(INDEX(OHZ_HAZ_LOCATION,166,1)="",INDEX(OHZ_HAZ_AMOUNT,166,1)="",),FALSE,TRUE),TRUE)</f>
        <v>1</v>
      </c>
      <c r="K923" t="str">
        <f t="shared" si="29"/>
        <v>Row 166 - For a ‘Transport unit’ both ‘Location on board’ and ‘Amount’ are required</v>
      </c>
      <c r="L923" t="s">
        <v>33308</v>
      </c>
    </row>
    <row r="924" spans="7:12" x14ac:dyDescent="0.2">
      <c r="G924" t="b">
        <f>IF(OR(INDEX(IHZ_HAZ_UNITTYPE,167,1)&lt;&gt;"",),IF(OR(INDEX(IHZ_HAZ_LOCATION,167,1)="",INDEX(IHZ_HAZ_AMOUNT,167,1)="",),FALSE,TRUE),TRUE)</f>
        <v>1</v>
      </c>
      <c r="H924" t="str">
        <f t="shared" si="28"/>
        <v>Row 167 - For a ‘Transport unit’ both ‘Location on board’ and ‘Amount’ are required</v>
      </c>
      <c r="I924" t="s">
        <v>33308</v>
      </c>
      <c r="J924" t="b">
        <f>IF(OR(INDEX(OHZ_HAZ_UNITTYPE,167,1)&lt;&gt;"",),IF(OR(INDEX(OHZ_HAZ_LOCATION,167,1)="",INDEX(OHZ_HAZ_AMOUNT,167,1)="",),FALSE,TRUE),TRUE)</f>
        <v>1</v>
      </c>
      <c r="K924" t="str">
        <f t="shared" si="29"/>
        <v>Row 167 - For a ‘Transport unit’ both ‘Location on board’ and ‘Amount’ are required</v>
      </c>
      <c r="L924" t="s">
        <v>33308</v>
      </c>
    </row>
    <row r="925" spans="7:12" x14ac:dyDescent="0.2">
      <c r="G925" t="b">
        <f>IF(OR(INDEX(IHZ_HAZ_UNITTYPE,168,1)&lt;&gt;"",),IF(OR(INDEX(IHZ_HAZ_LOCATION,168,1)="",INDEX(IHZ_HAZ_AMOUNT,168,1)="",),FALSE,TRUE),TRUE)</f>
        <v>1</v>
      </c>
      <c r="H925" t="str">
        <f t="shared" si="28"/>
        <v>Row 168 - For a ‘Transport unit’ both ‘Location on board’ and ‘Amount’ are required</v>
      </c>
      <c r="I925" t="s">
        <v>33308</v>
      </c>
      <c r="J925" t="b">
        <f>IF(OR(INDEX(OHZ_HAZ_UNITTYPE,168,1)&lt;&gt;"",),IF(OR(INDEX(OHZ_HAZ_LOCATION,168,1)="",INDEX(OHZ_HAZ_AMOUNT,168,1)="",),FALSE,TRUE),TRUE)</f>
        <v>1</v>
      </c>
      <c r="K925" t="str">
        <f t="shared" si="29"/>
        <v>Row 168 - For a ‘Transport unit’ both ‘Location on board’ and ‘Amount’ are required</v>
      </c>
      <c r="L925" t="s">
        <v>33308</v>
      </c>
    </row>
    <row r="926" spans="7:12" x14ac:dyDescent="0.2">
      <c r="G926" t="b">
        <f>IF(OR(INDEX(IHZ_HAZ_UNITTYPE,169,1)&lt;&gt;"",),IF(OR(INDEX(IHZ_HAZ_LOCATION,169,1)="",INDEX(IHZ_HAZ_AMOUNT,169,1)="",),FALSE,TRUE),TRUE)</f>
        <v>1</v>
      </c>
      <c r="H926" t="str">
        <f t="shared" si="28"/>
        <v>Row 169 - For a ‘Transport unit’ both ‘Location on board’ and ‘Amount’ are required</v>
      </c>
      <c r="I926" t="s">
        <v>33308</v>
      </c>
      <c r="J926" t="b">
        <f>IF(OR(INDEX(OHZ_HAZ_UNITTYPE,169,1)&lt;&gt;"",),IF(OR(INDEX(OHZ_HAZ_LOCATION,169,1)="",INDEX(OHZ_HAZ_AMOUNT,169,1)="",),FALSE,TRUE),TRUE)</f>
        <v>1</v>
      </c>
      <c r="K926" t="str">
        <f t="shared" si="29"/>
        <v>Row 169 - For a ‘Transport unit’ both ‘Location on board’ and ‘Amount’ are required</v>
      </c>
      <c r="L926" t="s">
        <v>33308</v>
      </c>
    </row>
    <row r="927" spans="7:12" x14ac:dyDescent="0.2">
      <c r="G927" t="b">
        <f>IF(OR(INDEX(IHZ_HAZ_UNITTYPE,170,1)&lt;&gt;"",),IF(OR(INDEX(IHZ_HAZ_LOCATION,170,1)="",INDEX(IHZ_HAZ_AMOUNT,170,1)="",),FALSE,TRUE),TRUE)</f>
        <v>1</v>
      </c>
      <c r="H927" t="str">
        <f t="shared" si="28"/>
        <v>Row 170 - For a ‘Transport unit’ both ‘Location on board’ and ‘Amount’ are required</v>
      </c>
      <c r="I927" t="s">
        <v>33308</v>
      </c>
      <c r="J927" t="b">
        <f>IF(OR(INDEX(OHZ_HAZ_UNITTYPE,170,1)&lt;&gt;"",),IF(OR(INDEX(OHZ_HAZ_LOCATION,170,1)="",INDEX(OHZ_HAZ_AMOUNT,170,1)="",),FALSE,TRUE),TRUE)</f>
        <v>1</v>
      </c>
      <c r="K927" t="str">
        <f t="shared" si="29"/>
        <v>Row 170 - For a ‘Transport unit’ both ‘Location on board’ and ‘Amount’ are required</v>
      </c>
      <c r="L927" t="s">
        <v>33308</v>
      </c>
    </row>
    <row r="928" spans="7:12" x14ac:dyDescent="0.2">
      <c r="G928" t="b">
        <f>IF(OR(INDEX(IHZ_HAZ_UNITTYPE,171,1)&lt;&gt;"",),IF(OR(INDEX(IHZ_HAZ_LOCATION,171,1)="",INDEX(IHZ_HAZ_AMOUNT,171,1)="",),FALSE,TRUE),TRUE)</f>
        <v>1</v>
      </c>
      <c r="H928" t="str">
        <f t="shared" si="28"/>
        <v>Row 171 - For a ‘Transport unit’ both ‘Location on board’ and ‘Amount’ are required</v>
      </c>
      <c r="I928" t="s">
        <v>33308</v>
      </c>
      <c r="J928" t="b">
        <f>IF(OR(INDEX(OHZ_HAZ_UNITTYPE,171,1)&lt;&gt;"",),IF(OR(INDEX(OHZ_HAZ_LOCATION,171,1)="",INDEX(OHZ_HAZ_AMOUNT,171,1)="",),FALSE,TRUE),TRUE)</f>
        <v>1</v>
      </c>
      <c r="K928" t="str">
        <f t="shared" si="29"/>
        <v>Row 171 - For a ‘Transport unit’ both ‘Location on board’ and ‘Amount’ are required</v>
      </c>
      <c r="L928" t="s">
        <v>33308</v>
      </c>
    </row>
    <row r="929" spans="7:12" x14ac:dyDescent="0.2">
      <c r="G929" t="b">
        <f>IF(OR(INDEX(IHZ_HAZ_UNITTYPE,172,1)&lt;&gt;"",),IF(OR(INDEX(IHZ_HAZ_LOCATION,172,1)="",INDEX(IHZ_HAZ_AMOUNT,172,1)="",),FALSE,TRUE),TRUE)</f>
        <v>1</v>
      </c>
      <c r="H929" t="str">
        <f t="shared" si="28"/>
        <v>Row 172 - For a ‘Transport unit’ both ‘Location on board’ and ‘Amount’ are required</v>
      </c>
      <c r="I929" t="s">
        <v>33308</v>
      </c>
      <c r="J929" t="b">
        <f>IF(OR(INDEX(OHZ_HAZ_UNITTYPE,172,1)&lt;&gt;"",),IF(OR(INDEX(OHZ_HAZ_LOCATION,172,1)="",INDEX(OHZ_HAZ_AMOUNT,172,1)="",),FALSE,TRUE),TRUE)</f>
        <v>1</v>
      </c>
      <c r="K929" t="str">
        <f t="shared" si="29"/>
        <v>Row 172 - For a ‘Transport unit’ both ‘Location on board’ and ‘Amount’ are required</v>
      </c>
      <c r="L929" t="s">
        <v>33308</v>
      </c>
    </row>
    <row r="930" spans="7:12" x14ac:dyDescent="0.2">
      <c r="G930" t="b">
        <f>IF(OR(INDEX(IHZ_HAZ_UNITTYPE,173,1)&lt;&gt;"",),IF(OR(INDEX(IHZ_HAZ_LOCATION,173,1)="",INDEX(IHZ_HAZ_AMOUNT,173,1)="",),FALSE,TRUE),TRUE)</f>
        <v>1</v>
      </c>
      <c r="H930" t="str">
        <f t="shared" si="28"/>
        <v>Row 173 - For a ‘Transport unit’ both ‘Location on board’ and ‘Amount’ are required</v>
      </c>
      <c r="I930" t="s">
        <v>33308</v>
      </c>
      <c r="J930" t="b">
        <f>IF(OR(INDEX(OHZ_HAZ_UNITTYPE,173,1)&lt;&gt;"",),IF(OR(INDEX(OHZ_HAZ_LOCATION,173,1)="",INDEX(OHZ_HAZ_AMOUNT,173,1)="",),FALSE,TRUE),TRUE)</f>
        <v>1</v>
      </c>
      <c r="K930" t="str">
        <f t="shared" si="29"/>
        <v>Row 173 - For a ‘Transport unit’ both ‘Location on board’ and ‘Amount’ are required</v>
      </c>
      <c r="L930" t="s">
        <v>33308</v>
      </c>
    </row>
    <row r="931" spans="7:12" x14ac:dyDescent="0.2">
      <c r="G931" t="b">
        <f>IF(OR(INDEX(IHZ_HAZ_UNITTYPE,174,1)&lt;&gt;"",),IF(OR(INDEX(IHZ_HAZ_LOCATION,174,1)="",INDEX(IHZ_HAZ_AMOUNT,174,1)="",),FALSE,TRUE),TRUE)</f>
        <v>1</v>
      </c>
      <c r="H931" t="str">
        <f t="shared" si="28"/>
        <v>Row 174 - For a ‘Transport unit’ both ‘Location on board’ and ‘Amount’ are required</v>
      </c>
      <c r="I931" t="s">
        <v>33308</v>
      </c>
      <c r="J931" t="b">
        <f>IF(OR(INDEX(OHZ_HAZ_UNITTYPE,174,1)&lt;&gt;"",),IF(OR(INDEX(OHZ_HAZ_LOCATION,174,1)="",INDEX(OHZ_HAZ_AMOUNT,174,1)="",),FALSE,TRUE),TRUE)</f>
        <v>1</v>
      </c>
      <c r="K931" t="str">
        <f t="shared" si="29"/>
        <v>Row 174 - For a ‘Transport unit’ both ‘Location on board’ and ‘Amount’ are required</v>
      </c>
      <c r="L931" t="s">
        <v>33308</v>
      </c>
    </row>
    <row r="932" spans="7:12" x14ac:dyDescent="0.2">
      <c r="G932" t="b">
        <f>IF(OR(INDEX(IHZ_HAZ_UNITTYPE,175,1)&lt;&gt;"",),IF(OR(INDEX(IHZ_HAZ_LOCATION,175,1)="",INDEX(IHZ_HAZ_AMOUNT,175,1)="",),FALSE,TRUE),TRUE)</f>
        <v>1</v>
      </c>
      <c r="H932" t="str">
        <f t="shared" si="28"/>
        <v>Row 175 - For a ‘Transport unit’ both ‘Location on board’ and ‘Amount’ are required</v>
      </c>
      <c r="I932" t="s">
        <v>33308</v>
      </c>
      <c r="J932" t="b">
        <f>IF(OR(INDEX(OHZ_HAZ_UNITTYPE,175,1)&lt;&gt;"",),IF(OR(INDEX(OHZ_HAZ_LOCATION,175,1)="",INDEX(OHZ_HAZ_AMOUNT,175,1)="",),FALSE,TRUE),TRUE)</f>
        <v>1</v>
      </c>
      <c r="K932" t="str">
        <f t="shared" si="29"/>
        <v>Row 175 - For a ‘Transport unit’ both ‘Location on board’ and ‘Amount’ are required</v>
      </c>
      <c r="L932" t="s">
        <v>33308</v>
      </c>
    </row>
    <row r="933" spans="7:12" x14ac:dyDescent="0.2">
      <c r="G933" t="b">
        <f>IF(OR(INDEX(IHZ_HAZ_UNITTYPE,176,1)&lt;&gt;"",),IF(OR(INDEX(IHZ_HAZ_LOCATION,176,1)="",INDEX(IHZ_HAZ_AMOUNT,176,1)="",),FALSE,TRUE),TRUE)</f>
        <v>1</v>
      </c>
      <c r="H933" t="str">
        <f t="shared" si="28"/>
        <v>Row 176 - For a ‘Transport unit’ both ‘Location on board’ and ‘Amount’ are required</v>
      </c>
      <c r="I933" t="s">
        <v>33308</v>
      </c>
      <c r="J933" t="b">
        <f>IF(OR(INDEX(OHZ_HAZ_UNITTYPE,176,1)&lt;&gt;"",),IF(OR(INDEX(OHZ_HAZ_LOCATION,176,1)="",INDEX(OHZ_HAZ_AMOUNT,176,1)="",),FALSE,TRUE),TRUE)</f>
        <v>1</v>
      </c>
      <c r="K933" t="str">
        <f t="shared" si="29"/>
        <v>Row 176 - For a ‘Transport unit’ both ‘Location on board’ and ‘Amount’ are required</v>
      </c>
      <c r="L933" t="s">
        <v>33308</v>
      </c>
    </row>
    <row r="934" spans="7:12" x14ac:dyDescent="0.2">
      <c r="G934" t="b">
        <f>IF(OR(INDEX(IHZ_HAZ_UNITTYPE,177,1)&lt;&gt;"",),IF(OR(INDEX(IHZ_HAZ_LOCATION,177,1)="",INDEX(IHZ_HAZ_AMOUNT,177,1)="",),FALSE,TRUE),TRUE)</f>
        <v>1</v>
      </c>
      <c r="H934" t="str">
        <f t="shared" si="28"/>
        <v>Row 177 - For a ‘Transport unit’ both ‘Location on board’ and ‘Amount’ are required</v>
      </c>
      <c r="I934" t="s">
        <v>33308</v>
      </c>
      <c r="J934" t="b">
        <f>IF(OR(INDEX(OHZ_HAZ_UNITTYPE,177,1)&lt;&gt;"",),IF(OR(INDEX(OHZ_HAZ_LOCATION,177,1)="",INDEX(OHZ_HAZ_AMOUNT,177,1)="",),FALSE,TRUE),TRUE)</f>
        <v>1</v>
      </c>
      <c r="K934" t="str">
        <f t="shared" si="29"/>
        <v>Row 177 - For a ‘Transport unit’ both ‘Location on board’ and ‘Amount’ are required</v>
      </c>
      <c r="L934" t="s">
        <v>33308</v>
      </c>
    </row>
    <row r="935" spans="7:12" x14ac:dyDescent="0.2">
      <c r="G935" t="b">
        <f>IF(OR(INDEX(IHZ_HAZ_UNITTYPE,178,1)&lt;&gt;"",),IF(OR(INDEX(IHZ_HAZ_LOCATION,178,1)="",INDEX(IHZ_HAZ_AMOUNT,178,1)="",),FALSE,TRUE),TRUE)</f>
        <v>1</v>
      </c>
      <c r="H935" t="str">
        <f t="shared" si="28"/>
        <v>Row 178 - For a ‘Transport unit’ both ‘Location on board’ and ‘Amount’ are required</v>
      </c>
      <c r="I935" t="s">
        <v>33308</v>
      </c>
      <c r="J935" t="b">
        <f>IF(OR(INDEX(OHZ_HAZ_UNITTYPE,178,1)&lt;&gt;"",),IF(OR(INDEX(OHZ_HAZ_LOCATION,178,1)="",INDEX(OHZ_HAZ_AMOUNT,178,1)="",),FALSE,TRUE),TRUE)</f>
        <v>1</v>
      </c>
      <c r="K935" t="str">
        <f t="shared" si="29"/>
        <v>Row 178 - For a ‘Transport unit’ both ‘Location on board’ and ‘Amount’ are required</v>
      </c>
      <c r="L935" t="s">
        <v>33308</v>
      </c>
    </row>
    <row r="936" spans="7:12" x14ac:dyDescent="0.2">
      <c r="G936" t="b">
        <f>IF(OR(INDEX(IHZ_HAZ_UNITTYPE,179,1)&lt;&gt;"",),IF(OR(INDEX(IHZ_HAZ_LOCATION,179,1)="",INDEX(IHZ_HAZ_AMOUNT,179,1)="",),FALSE,TRUE),TRUE)</f>
        <v>1</v>
      </c>
      <c r="H936" t="str">
        <f t="shared" si="28"/>
        <v>Row 179 - For a ‘Transport unit’ both ‘Location on board’ and ‘Amount’ are required</v>
      </c>
      <c r="I936" t="s">
        <v>33308</v>
      </c>
      <c r="J936" t="b">
        <f>IF(OR(INDEX(OHZ_HAZ_UNITTYPE,179,1)&lt;&gt;"",),IF(OR(INDEX(OHZ_HAZ_LOCATION,179,1)="",INDEX(OHZ_HAZ_AMOUNT,179,1)="",),FALSE,TRUE),TRUE)</f>
        <v>1</v>
      </c>
      <c r="K936" t="str">
        <f t="shared" si="29"/>
        <v>Row 179 - For a ‘Transport unit’ both ‘Location on board’ and ‘Amount’ are required</v>
      </c>
      <c r="L936" t="s">
        <v>33308</v>
      </c>
    </row>
    <row r="937" spans="7:12" x14ac:dyDescent="0.2">
      <c r="G937" t="b">
        <f>IF(OR(INDEX(IHZ_HAZ_UNITTYPE,180,1)&lt;&gt;"",),IF(OR(INDEX(IHZ_HAZ_LOCATION,180,1)="",INDEX(IHZ_HAZ_AMOUNT,180,1)="",),FALSE,TRUE),TRUE)</f>
        <v>1</v>
      </c>
      <c r="H937" t="str">
        <f t="shared" si="28"/>
        <v>Row 180 - For a ‘Transport unit’ both ‘Location on board’ and ‘Amount’ are required</v>
      </c>
      <c r="I937" t="s">
        <v>33308</v>
      </c>
      <c r="J937" t="b">
        <f>IF(OR(INDEX(OHZ_HAZ_UNITTYPE,180,1)&lt;&gt;"",),IF(OR(INDEX(OHZ_HAZ_LOCATION,180,1)="",INDEX(OHZ_HAZ_AMOUNT,180,1)="",),FALSE,TRUE),TRUE)</f>
        <v>1</v>
      </c>
      <c r="K937" t="str">
        <f t="shared" si="29"/>
        <v>Row 180 - For a ‘Transport unit’ both ‘Location on board’ and ‘Amount’ are required</v>
      </c>
      <c r="L937" t="s">
        <v>33308</v>
      </c>
    </row>
    <row r="938" spans="7:12" x14ac:dyDescent="0.2">
      <c r="G938" t="b">
        <f>IF(OR(INDEX(IHZ_HAZ_UNITTYPE,181,1)&lt;&gt;"",),IF(OR(INDEX(IHZ_HAZ_LOCATION,181,1)="",INDEX(IHZ_HAZ_AMOUNT,181,1)="",),FALSE,TRUE),TRUE)</f>
        <v>1</v>
      </c>
      <c r="H938" t="str">
        <f t="shared" si="28"/>
        <v>Row 181 - For a ‘Transport unit’ both ‘Location on board’ and ‘Amount’ are required</v>
      </c>
      <c r="I938" t="s">
        <v>33308</v>
      </c>
      <c r="J938" t="b">
        <f>IF(OR(INDEX(OHZ_HAZ_UNITTYPE,181,1)&lt;&gt;"",),IF(OR(INDEX(OHZ_HAZ_LOCATION,181,1)="",INDEX(OHZ_HAZ_AMOUNT,181,1)="",),FALSE,TRUE),TRUE)</f>
        <v>1</v>
      </c>
      <c r="K938" t="str">
        <f t="shared" si="29"/>
        <v>Row 181 - For a ‘Transport unit’ both ‘Location on board’ and ‘Amount’ are required</v>
      </c>
      <c r="L938" t="s">
        <v>33308</v>
      </c>
    </row>
    <row r="939" spans="7:12" x14ac:dyDescent="0.2">
      <c r="G939" t="b">
        <f>IF(OR(INDEX(IHZ_HAZ_UNITTYPE,182,1)&lt;&gt;"",),IF(OR(INDEX(IHZ_HAZ_LOCATION,182,1)="",INDEX(IHZ_HAZ_AMOUNT,182,1)="",),FALSE,TRUE),TRUE)</f>
        <v>1</v>
      </c>
      <c r="H939" t="str">
        <f t="shared" si="28"/>
        <v>Row 182 - For a ‘Transport unit’ both ‘Location on board’ and ‘Amount’ are required</v>
      </c>
      <c r="I939" t="s">
        <v>33308</v>
      </c>
      <c r="J939" t="b">
        <f>IF(OR(INDEX(OHZ_HAZ_UNITTYPE,182,1)&lt;&gt;"",),IF(OR(INDEX(OHZ_HAZ_LOCATION,182,1)="",INDEX(OHZ_HAZ_AMOUNT,182,1)="",),FALSE,TRUE),TRUE)</f>
        <v>1</v>
      </c>
      <c r="K939" t="str">
        <f t="shared" si="29"/>
        <v>Row 182 - For a ‘Transport unit’ both ‘Location on board’ and ‘Amount’ are required</v>
      </c>
      <c r="L939" t="s">
        <v>33308</v>
      </c>
    </row>
    <row r="940" spans="7:12" x14ac:dyDescent="0.2">
      <c r="G940" t="b">
        <f>IF(OR(INDEX(IHZ_HAZ_UNITTYPE,183,1)&lt;&gt;"",),IF(OR(INDEX(IHZ_HAZ_LOCATION,183,1)="",INDEX(IHZ_HAZ_AMOUNT,183,1)="",),FALSE,TRUE),TRUE)</f>
        <v>1</v>
      </c>
      <c r="H940" t="str">
        <f t="shared" si="28"/>
        <v>Row 183 - For a ‘Transport unit’ both ‘Location on board’ and ‘Amount’ are required</v>
      </c>
      <c r="I940" t="s">
        <v>33308</v>
      </c>
      <c r="J940" t="b">
        <f>IF(OR(INDEX(OHZ_HAZ_UNITTYPE,183,1)&lt;&gt;"",),IF(OR(INDEX(OHZ_HAZ_LOCATION,183,1)="",INDEX(OHZ_HAZ_AMOUNT,183,1)="",),FALSE,TRUE),TRUE)</f>
        <v>1</v>
      </c>
      <c r="K940" t="str">
        <f t="shared" si="29"/>
        <v>Row 183 - For a ‘Transport unit’ both ‘Location on board’ and ‘Amount’ are required</v>
      </c>
      <c r="L940" t="s">
        <v>33308</v>
      </c>
    </row>
    <row r="941" spans="7:12" x14ac:dyDescent="0.2">
      <c r="G941" t="b">
        <f>IF(OR(INDEX(IHZ_HAZ_UNITTYPE,184,1)&lt;&gt;"",),IF(OR(INDEX(IHZ_HAZ_LOCATION,184,1)="",INDEX(IHZ_HAZ_AMOUNT,184,1)="",),FALSE,TRUE),TRUE)</f>
        <v>1</v>
      </c>
      <c r="H941" t="str">
        <f t="shared" si="28"/>
        <v>Row 184 - For a ‘Transport unit’ both ‘Location on board’ and ‘Amount’ are required</v>
      </c>
      <c r="I941" t="s">
        <v>33308</v>
      </c>
      <c r="J941" t="b">
        <f>IF(OR(INDEX(OHZ_HAZ_UNITTYPE,184,1)&lt;&gt;"",),IF(OR(INDEX(OHZ_HAZ_LOCATION,184,1)="",INDEX(OHZ_HAZ_AMOUNT,184,1)="",),FALSE,TRUE),TRUE)</f>
        <v>1</v>
      </c>
      <c r="K941" t="str">
        <f t="shared" si="29"/>
        <v>Row 184 - For a ‘Transport unit’ both ‘Location on board’ and ‘Amount’ are required</v>
      </c>
      <c r="L941" t="s">
        <v>33308</v>
      </c>
    </row>
    <row r="942" spans="7:12" x14ac:dyDescent="0.2">
      <c r="G942" t="b">
        <f>IF(OR(INDEX(IHZ_HAZ_UNITTYPE,185,1)&lt;&gt;"",),IF(OR(INDEX(IHZ_HAZ_LOCATION,185,1)="",INDEX(IHZ_HAZ_AMOUNT,185,1)="",),FALSE,TRUE),TRUE)</f>
        <v>1</v>
      </c>
      <c r="H942" t="str">
        <f t="shared" si="28"/>
        <v>Row 185 - For a ‘Transport unit’ both ‘Location on board’ and ‘Amount’ are required</v>
      </c>
      <c r="I942" t="s">
        <v>33308</v>
      </c>
      <c r="J942" t="b">
        <f>IF(OR(INDEX(OHZ_HAZ_UNITTYPE,185,1)&lt;&gt;"",),IF(OR(INDEX(OHZ_HAZ_LOCATION,185,1)="",INDEX(OHZ_HAZ_AMOUNT,185,1)="",),FALSE,TRUE),TRUE)</f>
        <v>1</v>
      </c>
      <c r="K942" t="str">
        <f t="shared" si="29"/>
        <v>Row 185 - For a ‘Transport unit’ both ‘Location on board’ and ‘Amount’ are required</v>
      </c>
      <c r="L942" t="s">
        <v>33308</v>
      </c>
    </row>
    <row r="943" spans="7:12" x14ac:dyDescent="0.2">
      <c r="G943" t="b">
        <f>IF(OR(INDEX(IHZ_HAZ_UNITTYPE,186,1)&lt;&gt;"",),IF(OR(INDEX(IHZ_HAZ_LOCATION,186,1)="",INDEX(IHZ_HAZ_AMOUNT,186,1)="",),FALSE,TRUE),TRUE)</f>
        <v>1</v>
      </c>
      <c r="H943" t="str">
        <f t="shared" si="28"/>
        <v>Row 186 - For a ‘Transport unit’ both ‘Location on board’ and ‘Amount’ are required</v>
      </c>
      <c r="I943" t="s">
        <v>33308</v>
      </c>
      <c r="J943" t="b">
        <f>IF(OR(INDEX(OHZ_HAZ_UNITTYPE,186,1)&lt;&gt;"",),IF(OR(INDEX(OHZ_HAZ_LOCATION,186,1)="",INDEX(OHZ_HAZ_AMOUNT,186,1)="",),FALSE,TRUE),TRUE)</f>
        <v>1</v>
      </c>
      <c r="K943" t="str">
        <f t="shared" si="29"/>
        <v>Row 186 - For a ‘Transport unit’ both ‘Location on board’ and ‘Amount’ are required</v>
      </c>
      <c r="L943" t="s">
        <v>33308</v>
      </c>
    </row>
    <row r="944" spans="7:12" x14ac:dyDescent="0.2">
      <c r="G944" t="b">
        <f>IF(OR(INDEX(IHZ_HAZ_UNITTYPE,187,1)&lt;&gt;"",),IF(OR(INDEX(IHZ_HAZ_LOCATION,187,1)="",INDEX(IHZ_HAZ_AMOUNT,187,1)="",),FALSE,TRUE),TRUE)</f>
        <v>1</v>
      </c>
      <c r="H944" t="str">
        <f t="shared" si="28"/>
        <v>Row 187 - For a ‘Transport unit’ both ‘Location on board’ and ‘Amount’ are required</v>
      </c>
      <c r="I944" t="s">
        <v>33308</v>
      </c>
      <c r="J944" t="b">
        <f>IF(OR(INDEX(OHZ_HAZ_UNITTYPE,187,1)&lt;&gt;"",),IF(OR(INDEX(OHZ_HAZ_LOCATION,187,1)="",INDEX(OHZ_HAZ_AMOUNT,187,1)="",),FALSE,TRUE),TRUE)</f>
        <v>1</v>
      </c>
      <c r="K944" t="str">
        <f t="shared" si="29"/>
        <v>Row 187 - For a ‘Transport unit’ both ‘Location on board’ and ‘Amount’ are required</v>
      </c>
      <c r="L944" t="s">
        <v>33308</v>
      </c>
    </row>
    <row r="945" spans="7:12" x14ac:dyDescent="0.2">
      <c r="G945" t="b">
        <f>IF(OR(INDEX(IHZ_HAZ_UNITTYPE,188,1)&lt;&gt;"",),IF(OR(INDEX(IHZ_HAZ_LOCATION,188,1)="",INDEX(IHZ_HAZ_AMOUNT,188,1)="",),FALSE,TRUE),TRUE)</f>
        <v>1</v>
      </c>
      <c r="H945" t="str">
        <f t="shared" si="28"/>
        <v>Row 188 - For a ‘Transport unit’ both ‘Location on board’ and ‘Amount’ are required</v>
      </c>
      <c r="I945" t="s">
        <v>33308</v>
      </c>
      <c r="J945" t="b">
        <f>IF(OR(INDEX(OHZ_HAZ_UNITTYPE,188,1)&lt;&gt;"",),IF(OR(INDEX(OHZ_HAZ_LOCATION,188,1)="",INDEX(OHZ_HAZ_AMOUNT,188,1)="",),FALSE,TRUE),TRUE)</f>
        <v>1</v>
      </c>
      <c r="K945" t="str">
        <f t="shared" si="29"/>
        <v>Row 188 - For a ‘Transport unit’ both ‘Location on board’ and ‘Amount’ are required</v>
      </c>
      <c r="L945" t="s">
        <v>33308</v>
      </c>
    </row>
    <row r="946" spans="7:12" x14ac:dyDescent="0.2">
      <c r="G946" t="b">
        <f>IF(OR(INDEX(IHZ_HAZ_UNITTYPE,189,1)&lt;&gt;"",),IF(OR(INDEX(IHZ_HAZ_LOCATION,189,1)="",INDEX(IHZ_HAZ_AMOUNT,189,1)="",),FALSE,TRUE),TRUE)</f>
        <v>1</v>
      </c>
      <c r="H946" t="str">
        <f t="shared" si="28"/>
        <v>Row 189 - For a ‘Transport unit’ both ‘Location on board’ and ‘Amount’ are required</v>
      </c>
      <c r="I946" t="s">
        <v>33308</v>
      </c>
      <c r="J946" t="b">
        <f>IF(OR(INDEX(OHZ_HAZ_UNITTYPE,189,1)&lt;&gt;"",),IF(OR(INDEX(OHZ_HAZ_LOCATION,189,1)="",INDEX(OHZ_HAZ_AMOUNT,189,1)="",),FALSE,TRUE),TRUE)</f>
        <v>1</v>
      </c>
      <c r="K946" t="str">
        <f t="shared" si="29"/>
        <v>Row 189 - For a ‘Transport unit’ both ‘Location on board’ and ‘Amount’ are required</v>
      </c>
      <c r="L946" t="s">
        <v>33308</v>
      </c>
    </row>
    <row r="947" spans="7:12" x14ac:dyDescent="0.2">
      <c r="G947" t="b">
        <f>IF(OR(INDEX(IHZ_HAZ_UNITTYPE,190,1)&lt;&gt;"",),IF(OR(INDEX(IHZ_HAZ_LOCATION,190,1)="",INDEX(IHZ_HAZ_AMOUNT,190,1)="",),FALSE,TRUE),TRUE)</f>
        <v>1</v>
      </c>
      <c r="H947" t="str">
        <f t="shared" si="28"/>
        <v>Row 190 - For a ‘Transport unit’ both ‘Location on board’ and ‘Amount’ are required</v>
      </c>
      <c r="I947" t="s">
        <v>33308</v>
      </c>
      <c r="J947" t="b">
        <f>IF(OR(INDEX(OHZ_HAZ_UNITTYPE,190,1)&lt;&gt;"",),IF(OR(INDEX(OHZ_HAZ_LOCATION,190,1)="",INDEX(OHZ_HAZ_AMOUNT,190,1)="",),FALSE,TRUE),TRUE)</f>
        <v>1</v>
      </c>
      <c r="K947" t="str">
        <f t="shared" si="29"/>
        <v>Row 190 - For a ‘Transport unit’ both ‘Location on board’ and ‘Amount’ are required</v>
      </c>
      <c r="L947" t="s">
        <v>33308</v>
      </c>
    </row>
    <row r="948" spans="7:12" x14ac:dyDescent="0.2">
      <c r="G948" t="b">
        <f>IF(OR(INDEX(IHZ_HAZ_UNITTYPE,191,1)&lt;&gt;"",),IF(OR(INDEX(IHZ_HAZ_LOCATION,191,1)="",INDEX(IHZ_HAZ_AMOUNT,191,1)="",),FALSE,TRUE),TRUE)</f>
        <v>1</v>
      </c>
      <c r="H948" t="str">
        <f t="shared" si="28"/>
        <v>Row 191 - For a ‘Transport unit’ both ‘Location on board’ and ‘Amount’ are required</v>
      </c>
      <c r="I948" t="s">
        <v>33308</v>
      </c>
      <c r="J948" t="b">
        <f>IF(OR(INDEX(OHZ_HAZ_UNITTYPE,191,1)&lt;&gt;"",),IF(OR(INDEX(OHZ_HAZ_LOCATION,191,1)="",INDEX(OHZ_HAZ_AMOUNT,191,1)="",),FALSE,TRUE),TRUE)</f>
        <v>1</v>
      </c>
      <c r="K948" t="str">
        <f t="shared" si="29"/>
        <v>Row 191 - For a ‘Transport unit’ both ‘Location on board’ and ‘Amount’ are required</v>
      </c>
      <c r="L948" t="s">
        <v>33308</v>
      </c>
    </row>
    <row r="949" spans="7:12" x14ac:dyDescent="0.2">
      <c r="G949" t="b">
        <f>IF(OR(INDEX(IHZ_HAZ_UNITTYPE,192,1)&lt;&gt;"",),IF(OR(INDEX(IHZ_HAZ_LOCATION,192,1)="",INDEX(IHZ_HAZ_AMOUNT,192,1)="",),FALSE,TRUE),TRUE)</f>
        <v>1</v>
      </c>
      <c r="H949" t="str">
        <f t="shared" si="28"/>
        <v>Row 192 - For a ‘Transport unit’ both ‘Location on board’ and ‘Amount’ are required</v>
      </c>
      <c r="I949" t="s">
        <v>33308</v>
      </c>
      <c r="J949" t="b">
        <f>IF(OR(INDEX(OHZ_HAZ_UNITTYPE,192,1)&lt;&gt;"",),IF(OR(INDEX(OHZ_HAZ_LOCATION,192,1)="",INDEX(OHZ_HAZ_AMOUNT,192,1)="",),FALSE,TRUE),TRUE)</f>
        <v>1</v>
      </c>
      <c r="K949" t="str">
        <f t="shared" si="29"/>
        <v>Row 192 - For a ‘Transport unit’ both ‘Location on board’ and ‘Amount’ are required</v>
      </c>
      <c r="L949" t="s">
        <v>33308</v>
      </c>
    </row>
    <row r="950" spans="7:12" x14ac:dyDescent="0.2">
      <c r="G950" t="b">
        <f>IF(OR(INDEX(IHZ_HAZ_UNITTYPE,193,1)&lt;&gt;"",),IF(OR(INDEX(IHZ_HAZ_LOCATION,193,1)="",INDEX(IHZ_HAZ_AMOUNT,193,1)="",),FALSE,TRUE),TRUE)</f>
        <v>1</v>
      </c>
      <c r="H950" t="str">
        <f t="shared" si="28"/>
        <v>Row 193 - For a ‘Transport unit’ both ‘Location on board’ and ‘Amount’ are required</v>
      </c>
      <c r="I950" t="s">
        <v>33308</v>
      </c>
      <c r="J950" t="b">
        <f>IF(OR(INDEX(OHZ_HAZ_UNITTYPE,193,1)&lt;&gt;"",),IF(OR(INDEX(OHZ_HAZ_LOCATION,193,1)="",INDEX(OHZ_HAZ_AMOUNT,193,1)="",),FALSE,TRUE),TRUE)</f>
        <v>1</v>
      </c>
      <c r="K950" t="str">
        <f t="shared" si="29"/>
        <v>Row 193 - For a ‘Transport unit’ both ‘Location on board’ and ‘Amount’ are required</v>
      </c>
      <c r="L950" t="s">
        <v>33308</v>
      </c>
    </row>
    <row r="951" spans="7:12" x14ac:dyDescent="0.2">
      <c r="G951" t="b">
        <f>IF(OR(INDEX(IHZ_HAZ_UNITTYPE,194,1)&lt;&gt;"",),IF(OR(INDEX(IHZ_HAZ_LOCATION,194,1)="",INDEX(IHZ_HAZ_AMOUNT,194,1)="",),FALSE,TRUE),TRUE)</f>
        <v>1</v>
      </c>
      <c r="H951" t="str">
        <f t="shared" ref="H951:H1007" si="30">T194&amp;$V$4</f>
        <v>Row 194 - For a ‘Transport unit’ both ‘Location on board’ and ‘Amount’ are required</v>
      </c>
      <c r="I951" t="s">
        <v>33308</v>
      </c>
      <c r="J951" t="b">
        <f>IF(OR(INDEX(OHZ_HAZ_UNITTYPE,194,1)&lt;&gt;"",),IF(OR(INDEX(OHZ_HAZ_LOCATION,194,1)="",INDEX(OHZ_HAZ_AMOUNT,194,1)="",),FALSE,TRUE),TRUE)</f>
        <v>1</v>
      </c>
      <c r="K951" t="str">
        <f t="shared" ref="K951:K1007" si="31">T194&amp;$V$4</f>
        <v>Row 194 - For a ‘Transport unit’ both ‘Location on board’ and ‘Amount’ are required</v>
      </c>
      <c r="L951" t="s">
        <v>33308</v>
      </c>
    </row>
    <row r="952" spans="7:12" x14ac:dyDescent="0.2">
      <c r="G952" t="b">
        <f>IF(OR(INDEX(IHZ_HAZ_UNITTYPE,195,1)&lt;&gt;"",),IF(OR(INDEX(IHZ_HAZ_LOCATION,195,1)="",INDEX(IHZ_HAZ_AMOUNT,195,1)="",),FALSE,TRUE),TRUE)</f>
        <v>1</v>
      </c>
      <c r="H952" t="str">
        <f t="shared" si="30"/>
        <v>Row 195 - For a ‘Transport unit’ both ‘Location on board’ and ‘Amount’ are required</v>
      </c>
      <c r="I952" t="s">
        <v>33308</v>
      </c>
      <c r="J952" t="b">
        <f>IF(OR(INDEX(OHZ_HAZ_UNITTYPE,195,1)&lt;&gt;"",),IF(OR(INDEX(OHZ_HAZ_LOCATION,195,1)="",INDEX(OHZ_HAZ_AMOUNT,195,1)="",),FALSE,TRUE),TRUE)</f>
        <v>1</v>
      </c>
      <c r="K952" t="str">
        <f t="shared" si="31"/>
        <v>Row 195 - For a ‘Transport unit’ both ‘Location on board’ and ‘Amount’ are required</v>
      </c>
      <c r="L952" t="s">
        <v>33308</v>
      </c>
    </row>
    <row r="953" spans="7:12" x14ac:dyDescent="0.2">
      <c r="G953" t="b">
        <f>IF(OR(INDEX(IHZ_HAZ_UNITTYPE,196,1)&lt;&gt;"",),IF(OR(INDEX(IHZ_HAZ_LOCATION,196,1)="",INDEX(IHZ_HAZ_AMOUNT,196,1)="",),FALSE,TRUE),TRUE)</f>
        <v>1</v>
      </c>
      <c r="H953" t="str">
        <f t="shared" si="30"/>
        <v>Row 196 - For a ‘Transport unit’ both ‘Location on board’ and ‘Amount’ are required</v>
      </c>
      <c r="I953" t="s">
        <v>33308</v>
      </c>
      <c r="J953" t="b">
        <f>IF(OR(INDEX(OHZ_HAZ_UNITTYPE,196,1)&lt;&gt;"",),IF(OR(INDEX(OHZ_HAZ_LOCATION,196,1)="",INDEX(OHZ_HAZ_AMOUNT,196,1)="",),FALSE,TRUE),TRUE)</f>
        <v>1</v>
      </c>
      <c r="K953" t="str">
        <f t="shared" si="31"/>
        <v>Row 196 - For a ‘Transport unit’ both ‘Location on board’ and ‘Amount’ are required</v>
      </c>
      <c r="L953" t="s">
        <v>33308</v>
      </c>
    </row>
    <row r="954" spans="7:12" x14ac:dyDescent="0.2">
      <c r="G954" t="b">
        <f>IF(OR(INDEX(IHZ_HAZ_UNITTYPE,197,1)&lt;&gt;"",),IF(OR(INDEX(IHZ_HAZ_LOCATION,197,1)="",INDEX(IHZ_HAZ_AMOUNT,197,1)="",),FALSE,TRUE),TRUE)</f>
        <v>1</v>
      </c>
      <c r="H954" t="str">
        <f t="shared" si="30"/>
        <v>Row 197 - For a ‘Transport unit’ both ‘Location on board’ and ‘Amount’ are required</v>
      </c>
      <c r="I954" t="s">
        <v>33308</v>
      </c>
      <c r="J954" t="b">
        <f>IF(OR(INDEX(OHZ_HAZ_UNITTYPE,197,1)&lt;&gt;"",),IF(OR(INDEX(OHZ_HAZ_LOCATION,197,1)="",INDEX(OHZ_HAZ_AMOUNT,197,1)="",),FALSE,TRUE),TRUE)</f>
        <v>1</v>
      </c>
      <c r="K954" t="str">
        <f t="shared" si="31"/>
        <v>Row 197 - For a ‘Transport unit’ both ‘Location on board’ and ‘Amount’ are required</v>
      </c>
      <c r="L954" t="s">
        <v>33308</v>
      </c>
    </row>
    <row r="955" spans="7:12" x14ac:dyDescent="0.2">
      <c r="G955" t="b">
        <f>IF(OR(INDEX(IHZ_HAZ_UNITTYPE,198,1)&lt;&gt;"",),IF(OR(INDEX(IHZ_HAZ_LOCATION,198,1)="",INDEX(IHZ_HAZ_AMOUNT,198,1)="",),FALSE,TRUE),TRUE)</f>
        <v>1</v>
      </c>
      <c r="H955" t="str">
        <f t="shared" si="30"/>
        <v>Row 198 - For a ‘Transport unit’ both ‘Location on board’ and ‘Amount’ are required</v>
      </c>
      <c r="I955" t="s">
        <v>33308</v>
      </c>
      <c r="J955" t="b">
        <f>IF(OR(INDEX(OHZ_HAZ_UNITTYPE,198,1)&lt;&gt;"",),IF(OR(INDEX(OHZ_HAZ_LOCATION,198,1)="",INDEX(OHZ_HAZ_AMOUNT,198,1)="",),FALSE,TRUE),TRUE)</f>
        <v>1</v>
      </c>
      <c r="K955" t="str">
        <f t="shared" si="31"/>
        <v>Row 198 - For a ‘Transport unit’ both ‘Location on board’ and ‘Amount’ are required</v>
      </c>
      <c r="L955" t="s">
        <v>33308</v>
      </c>
    </row>
    <row r="956" spans="7:12" x14ac:dyDescent="0.2">
      <c r="G956" t="b">
        <f>IF(OR(INDEX(IHZ_HAZ_UNITTYPE,199,1)&lt;&gt;"",),IF(OR(INDEX(IHZ_HAZ_LOCATION,199,1)="",INDEX(IHZ_HAZ_AMOUNT,199,1)="",),FALSE,TRUE),TRUE)</f>
        <v>1</v>
      </c>
      <c r="H956" t="str">
        <f t="shared" si="30"/>
        <v>Row 199 - For a ‘Transport unit’ both ‘Location on board’ and ‘Amount’ are required</v>
      </c>
      <c r="I956" t="s">
        <v>33308</v>
      </c>
      <c r="J956" t="b">
        <f>IF(OR(INDEX(OHZ_HAZ_UNITTYPE,199,1)&lt;&gt;"",),IF(OR(INDEX(OHZ_HAZ_LOCATION,199,1)="",INDEX(OHZ_HAZ_AMOUNT,199,1)="",),FALSE,TRUE),TRUE)</f>
        <v>1</v>
      </c>
      <c r="K956" t="str">
        <f t="shared" si="31"/>
        <v>Row 199 - For a ‘Transport unit’ both ‘Location on board’ and ‘Amount’ are required</v>
      </c>
      <c r="L956" t="s">
        <v>33308</v>
      </c>
    </row>
    <row r="957" spans="7:12" x14ac:dyDescent="0.2">
      <c r="G957" t="b">
        <f>IF(OR(INDEX(IHZ_HAZ_UNITTYPE,200,1)&lt;&gt;"",),IF(OR(INDEX(IHZ_HAZ_LOCATION,200,1)="",INDEX(IHZ_HAZ_AMOUNT,200,1)="",),FALSE,TRUE),TRUE)</f>
        <v>1</v>
      </c>
      <c r="H957" t="str">
        <f t="shared" si="30"/>
        <v>Row 200 - For a ‘Transport unit’ both ‘Location on board’ and ‘Amount’ are required</v>
      </c>
      <c r="I957" t="s">
        <v>33308</v>
      </c>
      <c r="J957" t="b">
        <f>IF(OR(INDEX(OHZ_HAZ_UNITTYPE,200,1)&lt;&gt;"",),IF(OR(INDEX(OHZ_HAZ_LOCATION,200,1)="",INDEX(OHZ_HAZ_AMOUNT,200,1)="",),FALSE,TRUE),TRUE)</f>
        <v>1</v>
      </c>
      <c r="K957" t="str">
        <f t="shared" si="31"/>
        <v>Row 200 - For a ‘Transport unit’ both ‘Location on board’ and ‘Amount’ are required</v>
      </c>
      <c r="L957" t="s">
        <v>33308</v>
      </c>
    </row>
    <row r="958" spans="7:12" x14ac:dyDescent="0.2">
      <c r="G958" t="b">
        <f>IF(OR(INDEX(IHZ_HAZ_UNITTYPE,201,1)&lt;&gt;"",),IF(OR(INDEX(IHZ_HAZ_LOCATION,201,1)="",INDEX(IHZ_HAZ_AMOUNT,201,1)="",),FALSE,TRUE),TRUE)</f>
        <v>1</v>
      </c>
      <c r="H958" t="str">
        <f t="shared" si="30"/>
        <v>Row 201 - For a ‘Transport unit’ both ‘Location on board’ and ‘Amount’ are required</v>
      </c>
      <c r="I958" t="s">
        <v>33308</v>
      </c>
      <c r="J958" t="b">
        <f>IF(OR(INDEX(OHZ_HAZ_UNITTYPE,201,1)&lt;&gt;"",),IF(OR(INDEX(OHZ_HAZ_LOCATION,201,1)="",INDEX(OHZ_HAZ_AMOUNT,201,1)="",),FALSE,TRUE),TRUE)</f>
        <v>1</v>
      </c>
      <c r="K958" t="str">
        <f t="shared" si="31"/>
        <v>Row 201 - For a ‘Transport unit’ both ‘Location on board’ and ‘Amount’ are required</v>
      </c>
      <c r="L958" t="s">
        <v>33308</v>
      </c>
    </row>
    <row r="959" spans="7:12" x14ac:dyDescent="0.2">
      <c r="G959" t="b">
        <f>IF(OR(INDEX(IHZ_HAZ_UNITTYPE,202,1)&lt;&gt;"",),IF(OR(INDEX(IHZ_HAZ_LOCATION,202,1)="",INDEX(IHZ_HAZ_AMOUNT,202,1)="",),FALSE,TRUE),TRUE)</f>
        <v>1</v>
      </c>
      <c r="H959" t="str">
        <f t="shared" si="30"/>
        <v>Row 202 - For a ‘Transport unit’ both ‘Location on board’ and ‘Amount’ are required</v>
      </c>
      <c r="I959" t="s">
        <v>33308</v>
      </c>
      <c r="J959" t="b">
        <f>IF(OR(INDEX(OHZ_HAZ_UNITTYPE,202,1)&lt;&gt;"",),IF(OR(INDEX(OHZ_HAZ_LOCATION,202,1)="",INDEX(OHZ_HAZ_AMOUNT,202,1)="",),FALSE,TRUE),TRUE)</f>
        <v>1</v>
      </c>
      <c r="K959" t="str">
        <f t="shared" si="31"/>
        <v>Row 202 - For a ‘Transport unit’ both ‘Location on board’ and ‘Amount’ are required</v>
      </c>
      <c r="L959" t="s">
        <v>33308</v>
      </c>
    </row>
    <row r="960" spans="7:12" x14ac:dyDescent="0.2">
      <c r="G960" t="b">
        <f>IF(OR(INDEX(IHZ_HAZ_UNITTYPE,203,1)&lt;&gt;"",),IF(OR(INDEX(IHZ_HAZ_LOCATION,203,1)="",INDEX(IHZ_HAZ_AMOUNT,203,1)="",),FALSE,TRUE),TRUE)</f>
        <v>1</v>
      </c>
      <c r="H960" t="str">
        <f t="shared" si="30"/>
        <v>Row 203 - For a ‘Transport unit’ both ‘Location on board’ and ‘Amount’ are required</v>
      </c>
      <c r="I960" t="s">
        <v>33308</v>
      </c>
      <c r="J960" t="b">
        <f>IF(OR(INDEX(OHZ_HAZ_UNITTYPE,203,1)&lt;&gt;"",),IF(OR(INDEX(OHZ_HAZ_LOCATION,203,1)="",INDEX(OHZ_HAZ_AMOUNT,203,1)="",),FALSE,TRUE),TRUE)</f>
        <v>1</v>
      </c>
      <c r="K960" t="str">
        <f t="shared" si="31"/>
        <v>Row 203 - For a ‘Transport unit’ both ‘Location on board’ and ‘Amount’ are required</v>
      </c>
      <c r="L960" t="s">
        <v>33308</v>
      </c>
    </row>
    <row r="961" spans="7:12" x14ac:dyDescent="0.2">
      <c r="G961" t="b">
        <f>IF(OR(INDEX(IHZ_HAZ_UNITTYPE,204,1)&lt;&gt;"",),IF(OR(INDEX(IHZ_HAZ_LOCATION,204,1)="",INDEX(IHZ_HAZ_AMOUNT,204,1)="",),FALSE,TRUE),TRUE)</f>
        <v>1</v>
      </c>
      <c r="H961" t="str">
        <f t="shared" si="30"/>
        <v>Row 204 - For a ‘Transport unit’ both ‘Location on board’ and ‘Amount’ are required</v>
      </c>
      <c r="I961" t="s">
        <v>33308</v>
      </c>
      <c r="J961" t="b">
        <f>IF(OR(INDEX(OHZ_HAZ_UNITTYPE,204,1)&lt;&gt;"",),IF(OR(INDEX(OHZ_HAZ_LOCATION,204,1)="",INDEX(OHZ_HAZ_AMOUNT,204,1)="",),FALSE,TRUE),TRUE)</f>
        <v>1</v>
      </c>
      <c r="K961" t="str">
        <f t="shared" si="31"/>
        <v>Row 204 - For a ‘Transport unit’ both ‘Location on board’ and ‘Amount’ are required</v>
      </c>
      <c r="L961" t="s">
        <v>33308</v>
      </c>
    </row>
    <row r="962" spans="7:12" x14ac:dyDescent="0.2">
      <c r="G962" t="b">
        <f>IF(OR(INDEX(IHZ_HAZ_UNITTYPE,205,1)&lt;&gt;"",),IF(OR(INDEX(IHZ_HAZ_LOCATION,205,1)="",INDEX(IHZ_HAZ_AMOUNT,205,1)="",),FALSE,TRUE),TRUE)</f>
        <v>1</v>
      </c>
      <c r="H962" t="str">
        <f t="shared" si="30"/>
        <v>Row 205 - For a ‘Transport unit’ both ‘Location on board’ and ‘Amount’ are required</v>
      </c>
      <c r="I962" t="s">
        <v>33308</v>
      </c>
      <c r="J962" t="b">
        <f>IF(OR(INDEX(OHZ_HAZ_UNITTYPE,205,1)&lt;&gt;"",),IF(OR(INDEX(OHZ_HAZ_LOCATION,205,1)="",INDEX(OHZ_HAZ_AMOUNT,205,1)="",),FALSE,TRUE),TRUE)</f>
        <v>1</v>
      </c>
      <c r="K962" t="str">
        <f t="shared" si="31"/>
        <v>Row 205 - For a ‘Transport unit’ both ‘Location on board’ and ‘Amount’ are required</v>
      </c>
      <c r="L962" t="s">
        <v>33308</v>
      </c>
    </row>
    <row r="963" spans="7:12" x14ac:dyDescent="0.2">
      <c r="G963" t="b">
        <f>IF(OR(INDEX(IHZ_HAZ_UNITTYPE,206,1)&lt;&gt;"",),IF(OR(INDEX(IHZ_HAZ_LOCATION,206,1)="",INDEX(IHZ_HAZ_AMOUNT,206,1)="",),FALSE,TRUE),TRUE)</f>
        <v>1</v>
      </c>
      <c r="H963" t="str">
        <f t="shared" si="30"/>
        <v>Row 206 - For a ‘Transport unit’ both ‘Location on board’ and ‘Amount’ are required</v>
      </c>
      <c r="I963" t="s">
        <v>33308</v>
      </c>
      <c r="J963" t="b">
        <f>IF(OR(INDEX(OHZ_HAZ_UNITTYPE,206,1)&lt;&gt;"",),IF(OR(INDEX(OHZ_HAZ_LOCATION,206,1)="",INDEX(OHZ_HAZ_AMOUNT,206,1)="",),FALSE,TRUE),TRUE)</f>
        <v>1</v>
      </c>
      <c r="K963" t="str">
        <f t="shared" si="31"/>
        <v>Row 206 - For a ‘Transport unit’ both ‘Location on board’ and ‘Amount’ are required</v>
      </c>
      <c r="L963" t="s">
        <v>33308</v>
      </c>
    </row>
    <row r="964" spans="7:12" x14ac:dyDescent="0.2">
      <c r="G964" t="b">
        <f>IF(OR(INDEX(IHZ_HAZ_UNITTYPE,207,1)&lt;&gt;"",),IF(OR(INDEX(IHZ_HAZ_LOCATION,207,1)="",INDEX(IHZ_HAZ_AMOUNT,207,1)="",),FALSE,TRUE),TRUE)</f>
        <v>1</v>
      </c>
      <c r="H964" t="str">
        <f t="shared" si="30"/>
        <v>Row 207 - For a ‘Transport unit’ both ‘Location on board’ and ‘Amount’ are required</v>
      </c>
      <c r="I964" t="s">
        <v>33308</v>
      </c>
      <c r="J964" t="b">
        <f>IF(OR(INDEX(OHZ_HAZ_UNITTYPE,207,1)&lt;&gt;"",),IF(OR(INDEX(OHZ_HAZ_LOCATION,207,1)="",INDEX(OHZ_HAZ_AMOUNT,207,1)="",),FALSE,TRUE),TRUE)</f>
        <v>1</v>
      </c>
      <c r="K964" t="str">
        <f t="shared" si="31"/>
        <v>Row 207 - For a ‘Transport unit’ both ‘Location on board’ and ‘Amount’ are required</v>
      </c>
      <c r="L964" t="s">
        <v>33308</v>
      </c>
    </row>
    <row r="965" spans="7:12" x14ac:dyDescent="0.2">
      <c r="G965" t="b">
        <f>IF(OR(INDEX(IHZ_HAZ_UNITTYPE,208,1)&lt;&gt;"",),IF(OR(INDEX(IHZ_HAZ_LOCATION,208,1)="",INDEX(IHZ_HAZ_AMOUNT,208,1)="",),FALSE,TRUE),TRUE)</f>
        <v>1</v>
      </c>
      <c r="H965" t="str">
        <f t="shared" si="30"/>
        <v>Row 208 - For a ‘Transport unit’ both ‘Location on board’ and ‘Amount’ are required</v>
      </c>
      <c r="I965" t="s">
        <v>33308</v>
      </c>
      <c r="J965" t="b">
        <f>IF(OR(INDEX(OHZ_HAZ_UNITTYPE,208,1)&lt;&gt;"",),IF(OR(INDEX(OHZ_HAZ_LOCATION,208,1)="",INDEX(OHZ_HAZ_AMOUNT,208,1)="",),FALSE,TRUE),TRUE)</f>
        <v>1</v>
      </c>
      <c r="K965" t="str">
        <f t="shared" si="31"/>
        <v>Row 208 - For a ‘Transport unit’ both ‘Location on board’ and ‘Amount’ are required</v>
      </c>
      <c r="L965" t="s">
        <v>33308</v>
      </c>
    </row>
    <row r="966" spans="7:12" x14ac:dyDescent="0.2">
      <c r="G966" t="b">
        <f>IF(OR(INDEX(IHZ_HAZ_UNITTYPE,209,1)&lt;&gt;"",),IF(OR(INDEX(IHZ_HAZ_LOCATION,209,1)="",INDEX(IHZ_HAZ_AMOUNT,209,1)="",),FALSE,TRUE),TRUE)</f>
        <v>1</v>
      </c>
      <c r="H966" t="str">
        <f t="shared" si="30"/>
        <v>Row 209 - For a ‘Transport unit’ both ‘Location on board’ and ‘Amount’ are required</v>
      </c>
      <c r="I966" t="s">
        <v>33308</v>
      </c>
      <c r="J966" t="b">
        <f>IF(OR(INDEX(OHZ_HAZ_UNITTYPE,209,1)&lt;&gt;"",),IF(OR(INDEX(OHZ_HAZ_LOCATION,209,1)="",INDEX(OHZ_HAZ_AMOUNT,209,1)="",),FALSE,TRUE),TRUE)</f>
        <v>1</v>
      </c>
      <c r="K966" t="str">
        <f t="shared" si="31"/>
        <v>Row 209 - For a ‘Transport unit’ both ‘Location on board’ and ‘Amount’ are required</v>
      </c>
      <c r="L966" t="s">
        <v>33308</v>
      </c>
    </row>
    <row r="967" spans="7:12" x14ac:dyDescent="0.2">
      <c r="G967" t="b">
        <f>IF(OR(INDEX(IHZ_HAZ_UNITTYPE,210,1)&lt;&gt;"",),IF(OR(INDEX(IHZ_HAZ_LOCATION,210,1)="",INDEX(IHZ_HAZ_AMOUNT,210,1)="",),FALSE,TRUE),TRUE)</f>
        <v>1</v>
      </c>
      <c r="H967" t="str">
        <f t="shared" si="30"/>
        <v>Row 210 - For a ‘Transport unit’ both ‘Location on board’ and ‘Amount’ are required</v>
      </c>
      <c r="I967" t="s">
        <v>33308</v>
      </c>
      <c r="J967" t="b">
        <f>IF(OR(INDEX(OHZ_HAZ_UNITTYPE,210,1)&lt;&gt;"",),IF(OR(INDEX(OHZ_HAZ_LOCATION,210,1)="",INDEX(OHZ_HAZ_AMOUNT,210,1)="",),FALSE,TRUE),TRUE)</f>
        <v>1</v>
      </c>
      <c r="K967" t="str">
        <f t="shared" si="31"/>
        <v>Row 210 - For a ‘Transport unit’ both ‘Location on board’ and ‘Amount’ are required</v>
      </c>
      <c r="L967" t="s">
        <v>33308</v>
      </c>
    </row>
    <row r="968" spans="7:12" x14ac:dyDescent="0.2">
      <c r="G968" t="b">
        <f>IF(OR(INDEX(IHZ_HAZ_UNITTYPE,211,1)&lt;&gt;"",),IF(OR(INDEX(IHZ_HAZ_LOCATION,211,1)="",INDEX(IHZ_HAZ_AMOUNT,211,1)="",),FALSE,TRUE),TRUE)</f>
        <v>1</v>
      </c>
      <c r="H968" t="str">
        <f t="shared" si="30"/>
        <v>Row 211 - For a ‘Transport unit’ both ‘Location on board’ and ‘Amount’ are required</v>
      </c>
      <c r="I968" t="s">
        <v>33308</v>
      </c>
      <c r="J968" t="b">
        <f>IF(OR(INDEX(OHZ_HAZ_UNITTYPE,211,1)&lt;&gt;"",),IF(OR(INDEX(OHZ_HAZ_LOCATION,211,1)="",INDEX(OHZ_HAZ_AMOUNT,211,1)="",),FALSE,TRUE),TRUE)</f>
        <v>1</v>
      </c>
      <c r="K968" t="str">
        <f t="shared" si="31"/>
        <v>Row 211 - For a ‘Transport unit’ both ‘Location on board’ and ‘Amount’ are required</v>
      </c>
      <c r="L968" t="s">
        <v>33308</v>
      </c>
    </row>
    <row r="969" spans="7:12" x14ac:dyDescent="0.2">
      <c r="G969" t="b">
        <f>IF(OR(INDEX(IHZ_HAZ_UNITTYPE,212,1)&lt;&gt;"",),IF(OR(INDEX(IHZ_HAZ_LOCATION,212,1)="",INDEX(IHZ_HAZ_AMOUNT,212,1)="",),FALSE,TRUE),TRUE)</f>
        <v>1</v>
      </c>
      <c r="H969" t="str">
        <f t="shared" si="30"/>
        <v>Row 212 - For a ‘Transport unit’ both ‘Location on board’ and ‘Amount’ are required</v>
      </c>
      <c r="I969" t="s">
        <v>33308</v>
      </c>
      <c r="J969" t="b">
        <f>IF(OR(INDEX(OHZ_HAZ_UNITTYPE,212,1)&lt;&gt;"",),IF(OR(INDEX(OHZ_HAZ_LOCATION,212,1)="",INDEX(OHZ_HAZ_AMOUNT,212,1)="",),FALSE,TRUE),TRUE)</f>
        <v>1</v>
      </c>
      <c r="K969" t="str">
        <f t="shared" si="31"/>
        <v>Row 212 - For a ‘Transport unit’ both ‘Location on board’ and ‘Amount’ are required</v>
      </c>
      <c r="L969" t="s">
        <v>33308</v>
      </c>
    </row>
    <row r="970" spans="7:12" x14ac:dyDescent="0.2">
      <c r="G970" t="b">
        <f>IF(OR(INDEX(IHZ_HAZ_UNITTYPE,213,1)&lt;&gt;"",),IF(OR(INDEX(IHZ_HAZ_LOCATION,213,1)="",INDEX(IHZ_HAZ_AMOUNT,213,1)="",),FALSE,TRUE),TRUE)</f>
        <v>1</v>
      </c>
      <c r="H970" t="str">
        <f t="shared" si="30"/>
        <v>Row 213 - For a ‘Transport unit’ both ‘Location on board’ and ‘Amount’ are required</v>
      </c>
      <c r="I970" t="s">
        <v>33308</v>
      </c>
      <c r="J970" t="b">
        <f>IF(OR(INDEX(OHZ_HAZ_UNITTYPE,213,1)&lt;&gt;"",),IF(OR(INDEX(OHZ_HAZ_LOCATION,213,1)="",INDEX(OHZ_HAZ_AMOUNT,213,1)="",),FALSE,TRUE),TRUE)</f>
        <v>1</v>
      </c>
      <c r="K970" t="str">
        <f t="shared" si="31"/>
        <v>Row 213 - For a ‘Transport unit’ both ‘Location on board’ and ‘Amount’ are required</v>
      </c>
      <c r="L970" t="s">
        <v>33308</v>
      </c>
    </row>
    <row r="971" spans="7:12" x14ac:dyDescent="0.2">
      <c r="G971" t="b">
        <f>IF(OR(INDEX(IHZ_HAZ_UNITTYPE,214,1)&lt;&gt;"",),IF(OR(INDEX(IHZ_HAZ_LOCATION,214,1)="",INDEX(IHZ_HAZ_AMOUNT,214,1)="",),FALSE,TRUE),TRUE)</f>
        <v>1</v>
      </c>
      <c r="H971" t="str">
        <f t="shared" si="30"/>
        <v>Row 214 - For a ‘Transport unit’ both ‘Location on board’ and ‘Amount’ are required</v>
      </c>
      <c r="I971" t="s">
        <v>33308</v>
      </c>
      <c r="J971" t="b">
        <f>IF(OR(INDEX(OHZ_HAZ_UNITTYPE,214,1)&lt;&gt;"",),IF(OR(INDEX(OHZ_HAZ_LOCATION,214,1)="",INDEX(OHZ_HAZ_AMOUNT,214,1)="",),FALSE,TRUE),TRUE)</f>
        <v>1</v>
      </c>
      <c r="K971" t="str">
        <f t="shared" si="31"/>
        <v>Row 214 - For a ‘Transport unit’ both ‘Location on board’ and ‘Amount’ are required</v>
      </c>
      <c r="L971" t="s">
        <v>33308</v>
      </c>
    </row>
    <row r="972" spans="7:12" x14ac:dyDescent="0.2">
      <c r="G972" t="b">
        <f>IF(OR(INDEX(IHZ_HAZ_UNITTYPE,215,1)&lt;&gt;"",),IF(OR(INDEX(IHZ_HAZ_LOCATION,215,1)="",INDEX(IHZ_HAZ_AMOUNT,215,1)="",),FALSE,TRUE),TRUE)</f>
        <v>1</v>
      </c>
      <c r="H972" t="str">
        <f t="shared" si="30"/>
        <v>Row 215 - For a ‘Transport unit’ both ‘Location on board’ and ‘Amount’ are required</v>
      </c>
      <c r="I972" t="s">
        <v>33308</v>
      </c>
      <c r="J972" t="b">
        <f>IF(OR(INDEX(OHZ_HAZ_UNITTYPE,215,1)&lt;&gt;"",),IF(OR(INDEX(OHZ_HAZ_LOCATION,215,1)="",INDEX(OHZ_HAZ_AMOUNT,215,1)="",),FALSE,TRUE),TRUE)</f>
        <v>1</v>
      </c>
      <c r="K972" t="str">
        <f t="shared" si="31"/>
        <v>Row 215 - For a ‘Transport unit’ both ‘Location on board’ and ‘Amount’ are required</v>
      </c>
      <c r="L972" t="s">
        <v>33308</v>
      </c>
    </row>
    <row r="973" spans="7:12" x14ac:dyDescent="0.2">
      <c r="G973" t="b">
        <f>IF(OR(INDEX(IHZ_HAZ_UNITTYPE,216,1)&lt;&gt;"",),IF(OR(INDEX(IHZ_HAZ_LOCATION,216,1)="",INDEX(IHZ_HAZ_AMOUNT,216,1)="",),FALSE,TRUE),TRUE)</f>
        <v>1</v>
      </c>
      <c r="H973" t="str">
        <f t="shared" si="30"/>
        <v>Row 216 - For a ‘Transport unit’ both ‘Location on board’ and ‘Amount’ are required</v>
      </c>
      <c r="I973" t="s">
        <v>33308</v>
      </c>
      <c r="J973" t="b">
        <f>IF(OR(INDEX(OHZ_HAZ_UNITTYPE,216,1)&lt;&gt;"",),IF(OR(INDEX(OHZ_HAZ_LOCATION,216,1)="",INDEX(OHZ_HAZ_AMOUNT,216,1)="",),FALSE,TRUE),TRUE)</f>
        <v>1</v>
      </c>
      <c r="K973" t="str">
        <f t="shared" si="31"/>
        <v>Row 216 - For a ‘Transport unit’ both ‘Location on board’ and ‘Amount’ are required</v>
      </c>
      <c r="L973" t="s">
        <v>33308</v>
      </c>
    </row>
    <row r="974" spans="7:12" x14ac:dyDescent="0.2">
      <c r="G974" t="b">
        <f>IF(OR(INDEX(IHZ_HAZ_UNITTYPE,217,1)&lt;&gt;"",),IF(OR(INDEX(IHZ_HAZ_LOCATION,217,1)="",INDEX(IHZ_HAZ_AMOUNT,217,1)="",),FALSE,TRUE),TRUE)</f>
        <v>1</v>
      </c>
      <c r="H974" t="str">
        <f t="shared" si="30"/>
        <v>Row 217 - For a ‘Transport unit’ both ‘Location on board’ and ‘Amount’ are required</v>
      </c>
      <c r="I974" t="s">
        <v>33308</v>
      </c>
      <c r="J974" t="b">
        <f>IF(OR(INDEX(OHZ_HAZ_UNITTYPE,217,1)&lt;&gt;"",),IF(OR(INDEX(OHZ_HAZ_LOCATION,217,1)="",INDEX(OHZ_HAZ_AMOUNT,217,1)="",),FALSE,TRUE),TRUE)</f>
        <v>1</v>
      </c>
      <c r="K974" t="str">
        <f t="shared" si="31"/>
        <v>Row 217 - For a ‘Transport unit’ both ‘Location on board’ and ‘Amount’ are required</v>
      </c>
      <c r="L974" t="s">
        <v>33308</v>
      </c>
    </row>
    <row r="975" spans="7:12" x14ac:dyDescent="0.2">
      <c r="G975" t="b">
        <f>IF(OR(INDEX(IHZ_HAZ_UNITTYPE,218,1)&lt;&gt;"",),IF(OR(INDEX(IHZ_HAZ_LOCATION,218,1)="",INDEX(IHZ_HAZ_AMOUNT,218,1)="",),FALSE,TRUE),TRUE)</f>
        <v>1</v>
      </c>
      <c r="H975" t="str">
        <f t="shared" si="30"/>
        <v>Row 218 - For a ‘Transport unit’ both ‘Location on board’ and ‘Amount’ are required</v>
      </c>
      <c r="I975" t="s">
        <v>33308</v>
      </c>
      <c r="J975" t="b">
        <f>IF(OR(INDEX(OHZ_HAZ_UNITTYPE,218,1)&lt;&gt;"",),IF(OR(INDEX(OHZ_HAZ_LOCATION,218,1)="",INDEX(OHZ_HAZ_AMOUNT,218,1)="",),FALSE,TRUE),TRUE)</f>
        <v>1</v>
      </c>
      <c r="K975" t="str">
        <f t="shared" si="31"/>
        <v>Row 218 - For a ‘Transport unit’ both ‘Location on board’ and ‘Amount’ are required</v>
      </c>
      <c r="L975" t="s">
        <v>33308</v>
      </c>
    </row>
    <row r="976" spans="7:12" x14ac:dyDescent="0.2">
      <c r="G976" t="b">
        <f>IF(OR(INDEX(IHZ_HAZ_UNITTYPE,219,1)&lt;&gt;"",),IF(OR(INDEX(IHZ_HAZ_LOCATION,219,1)="",INDEX(IHZ_HAZ_AMOUNT,219,1)="",),FALSE,TRUE),TRUE)</f>
        <v>1</v>
      </c>
      <c r="H976" t="str">
        <f t="shared" si="30"/>
        <v>Row 219 - For a ‘Transport unit’ both ‘Location on board’ and ‘Amount’ are required</v>
      </c>
      <c r="I976" t="s">
        <v>33308</v>
      </c>
      <c r="J976" t="b">
        <f>IF(OR(INDEX(OHZ_HAZ_UNITTYPE,219,1)&lt;&gt;"",),IF(OR(INDEX(OHZ_HAZ_LOCATION,219,1)="",INDEX(OHZ_HAZ_AMOUNT,219,1)="",),FALSE,TRUE),TRUE)</f>
        <v>1</v>
      </c>
      <c r="K976" t="str">
        <f t="shared" si="31"/>
        <v>Row 219 - For a ‘Transport unit’ both ‘Location on board’ and ‘Amount’ are required</v>
      </c>
      <c r="L976" t="s">
        <v>33308</v>
      </c>
    </row>
    <row r="977" spans="7:12" x14ac:dyDescent="0.2">
      <c r="G977" t="b">
        <f>IF(OR(INDEX(IHZ_HAZ_UNITTYPE,220,1)&lt;&gt;"",),IF(OR(INDEX(IHZ_HAZ_LOCATION,220,1)="",INDEX(IHZ_HAZ_AMOUNT,220,1)="",),FALSE,TRUE),TRUE)</f>
        <v>1</v>
      </c>
      <c r="H977" t="str">
        <f t="shared" si="30"/>
        <v>Row 220 - For a ‘Transport unit’ both ‘Location on board’ and ‘Amount’ are required</v>
      </c>
      <c r="I977" t="s">
        <v>33308</v>
      </c>
      <c r="J977" t="b">
        <f>IF(OR(INDEX(OHZ_HAZ_UNITTYPE,220,1)&lt;&gt;"",),IF(OR(INDEX(OHZ_HAZ_LOCATION,220,1)="",INDEX(OHZ_HAZ_AMOUNT,220,1)="",),FALSE,TRUE),TRUE)</f>
        <v>1</v>
      </c>
      <c r="K977" t="str">
        <f t="shared" si="31"/>
        <v>Row 220 - For a ‘Transport unit’ both ‘Location on board’ and ‘Amount’ are required</v>
      </c>
      <c r="L977" t="s">
        <v>33308</v>
      </c>
    </row>
    <row r="978" spans="7:12" x14ac:dyDescent="0.2">
      <c r="G978" t="b">
        <f>IF(OR(INDEX(IHZ_HAZ_UNITTYPE,221,1)&lt;&gt;"",),IF(OR(INDEX(IHZ_HAZ_LOCATION,221,1)="",INDEX(IHZ_HAZ_AMOUNT,221,1)="",),FALSE,TRUE),TRUE)</f>
        <v>1</v>
      </c>
      <c r="H978" t="str">
        <f t="shared" si="30"/>
        <v>Row 221 - For a ‘Transport unit’ both ‘Location on board’ and ‘Amount’ are required</v>
      </c>
      <c r="I978" t="s">
        <v>33308</v>
      </c>
      <c r="J978" t="b">
        <f>IF(OR(INDEX(OHZ_HAZ_UNITTYPE,221,1)&lt;&gt;"",),IF(OR(INDEX(OHZ_HAZ_LOCATION,221,1)="",INDEX(OHZ_HAZ_AMOUNT,221,1)="",),FALSE,TRUE),TRUE)</f>
        <v>1</v>
      </c>
      <c r="K978" t="str">
        <f t="shared" si="31"/>
        <v>Row 221 - For a ‘Transport unit’ both ‘Location on board’ and ‘Amount’ are required</v>
      </c>
      <c r="L978" t="s">
        <v>33308</v>
      </c>
    </row>
    <row r="979" spans="7:12" x14ac:dyDescent="0.2">
      <c r="G979" t="b">
        <f>IF(OR(INDEX(IHZ_HAZ_UNITTYPE,222,1)&lt;&gt;"",),IF(OR(INDEX(IHZ_HAZ_LOCATION,222,1)="",INDEX(IHZ_HAZ_AMOUNT,222,1)="",),FALSE,TRUE),TRUE)</f>
        <v>1</v>
      </c>
      <c r="H979" t="str">
        <f t="shared" si="30"/>
        <v>Row 222 - For a ‘Transport unit’ both ‘Location on board’ and ‘Amount’ are required</v>
      </c>
      <c r="I979" t="s">
        <v>33308</v>
      </c>
      <c r="J979" t="b">
        <f>IF(OR(INDEX(OHZ_HAZ_UNITTYPE,222,1)&lt;&gt;"",),IF(OR(INDEX(OHZ_HAZ_LOCATION,222,1)="",INDEX(OHZ_HAZ_AMOUNT,222,1)="",),FALSE,TRUE),TRUE)</f>
        <v>1</v>
      </c>
      <c r="K979" t="str">
        <f t="shared" si="31"/>
        <v>Row 222 - For a ‘Transport unit’ both ‘Location on board’ and ‘Amount’ are required</v>
      </c>
      <c r="L979" t="s">
        <v>33308</v>
      </c>
    </row>
    <row r="980" spans="7:12" x14ac:dyDescent="0.2">
      <c r="G980" t="b">
        <f>IF(OR(INDEX(IHZ_HAZ_UNITTYPE,223,1)&lt;&gt;"",),IF(OR(INDEX(IHZ_HAZ_LOCATION,223,1)="",INDEX(IHZ_HAZ_AMOUNT,223,1)="",),FALSE,TRUE),TRUE)</f>
        <v>1</v>
      </c>
      <c r="H980" t="str">
        <f t="shared" si="30"/>
        <v>Row 223 - For a ‘Transport unit’ both ‘Location on board’ and ‘Amount’ are required</v>
      </c>
      <c r="I980" t="s">
        <v>33308</v>
      </c>
      <c r="J980" t="b">
        <f>IF(OR(INDEX(OHZ_HAZ_UNITTYPE,223,1)&lt;&gt;"",),IF(OR(INDEX(OHZ_HAZ_LOCATION,223,1)="",INDEX(OHZ_HAZ_AMOUNT,223,1)="",),FALSE,TRUE),TRUE)</f>
        <v>1</v>
      </c>
      <c r="K980" t="str">
        <f t="shared" si="31"/>
        <v>Row 223 - For a ‘Transport unit’ both ‘Location on board’ and ‘Amount’ are required</v>
      </c>
      <c r="L980" t="s">
        <v>33308</v>
      </c>
    </row>
    <row r="981" spans="7:12" x14ac:dyDescent="0.2">
      <c r="G981" t="b">
        <f>IF(OR(INDEX(IHZ_HAZ_UNITTYPE,224,1)&lt;&gt;"",),IF(OR(INDEX(IHZ_HAZ_LOCATION,224,1)="",INDEX(IHZ_HAZ_AMOUNT,224,1)="",),FALSE,TRUE),TRUE)</f>
        <v>1</v>
      </c>
      <c r="H981" t="str">
        <f t="shared" si="30"/>
        <v>Row 224 - For a ‘Transport unit’ both ‘Location on board’ and ‘Amount’ are required</v>
      </c>
      <c r="I981" t="s">
        <v>33308</v>
      </c>
      <c r="J981" t="b">
        <f>IF(OR(INDEX(OHZ_HAZ_UNITTYPE,224,1)&lt;&gt;"",),IF(OR(INDEX(OHZ_HAZ_LOCATION,224,1)="",INDEX(OHZ_HAZ_AMOUNT,224,1)="",),FALSE,TRUE),TRUE)</f>
        <v>1</v>
      </c>
      <c r="K981" t="str">
        <f t="shared" si="31"/>
        <v>Row 224 - For a ‘Transport unit’ both ‘Location on board’ and ‘Amount’ are required</v>
      </c>
      <c r="L981" t="s">
        <v>33308</v>
      </c>
    </row>
    <row r="982" spans="7:12" x14ac:dyDescent="0.2">
      <c r="G982" t="b">
        <f>IF(OR(INDEX(IHZ_HAZ_UNITTYPE,225,1)&lt;&gt;"",),IF(OR(INDEX(IHZ_HAZ_LOCATION,225,1)="",INDEX(IHZ_HAZ_AMOUNT,225,1)="",),FALSE,TRUE),TRUE)</f>
        <v>1</v>
      </c>
      <c r="H982" t="str">
        <f t="shared" si="30"/>
        <v>Row 225 - For a ‘Transport unit’ both ‘Location on board’ and ‘Amount’ are required</v>
      </c>
      <c r="I982" t="s">
        <v>33308</v>
      </c>
      <c r="J982" t="b">
        <f>IF(OR(INDEX(OHZ_HAZ_UNITTYPE,225,1)&lt;&gt;"",),IF(OR(INDEX(OHZ_HAZ_LOCATION,225,1)="",INDEX(OHZ_HAZ_AMOUNT,225,1)="",),FALSE,TRUE),TRUE)</f>
        <v>1</v>
      </c>
      <c r="K982" t="str">
        <f t="shared" si="31"/>
        <v>Row 225 - For a ‘Transport unit’ both ‘Location on board’ and ‘Amount’ are required</v>
      </c>
      <c r="L982" t="s">
        <v>33308</v>
      </c>
    </row>
    <row r="983" spans="7:12" x14ac:dyDescent="0.2">
      <c r="G983" t="b">
        <f>IF(OR(INDEX(IHZ_HAZ_UNITTYPE,226,1)&lt;&gt;"",),IF(OR(INDEX(IHZ_HAZ_LOCATION,226,1)="",INDEX(IHZ_HAZ_AMOUNT,226,1)="",),FALSE,TRUE),TRUE)</f>
        <v>1</v>
      </c>
      <c r="H983" t="str">
        <f t="shared" si="30"/>
        <v>Row 226 - For a ‘Transport unit’ both ‘Location on board’ and ‘Amount’ are required</v>
      </c>
      <c r="I983" t="s">
        <v>33308</v>
      </c>
      <c r="J983" t="b">
        <f>IF(OR(INDEX(OHZ_HAZ_UNITTYPE,226,1)&lt;&gt;"",),IF(OR(INDEX(OHZ_HAZ_LOCATION,226,1)="",INDEX(OHZ_HAZ_AMOUNT,226,1)="",),FALSE,TRUE),TRUE)</f>
        <v>1</v>
      </c>
      <c r="K983" t="str">
        <f t="shared" si="31"/>
        <v>Row 226 - For a ‘Transport unit’ both ‘Location on board’ and ‘Amount’ are required</v>
      </c>
      <c r="L983" t="s">
        <v>33308</v>
      </c>
    </row>
    <row r="984" spans="7:12" x14ac:dyDescent="0.2">
      <c r="G984" t="b">
        <f>IF(OR(INDEX(IHZ_HAZ_UNITTYPE,227,1)&lt;&gt;"",),IF(OR(INDEX(IHZ_HAZ_LOCATION,227,1)="",INDEX(IHZ_HAZ_AMOUNT,227,1)="",),FALSE,TRUE),TRUE)</f>
        <v>1</v>
      </c>
      <c r="H984" t="str">
        <f t="shared" si="30"/>
        <v>Row 227 - For a ‘Transport unit’ both ‘Location on board’ and ‘Amount’ are required</v>
      </c>
      <c r="I984" t="s">
        <v>33308</v>
      </c>
      <c r="J984" t="b">
        <f>IF(OR(INDEX(OHZ_HAZ_UNITTYPE,227,1)&lt;&gt;"",),IF(OR(INDEX(OHZ_HAZ_LOCATION,227,1)="",INDEX(OHZ_HAZ_AMOUNT,227,1)="",),FALSE,TRUE),TRUE)</f>
        <v>1</v>
      </c>
      <c r="K984" t="str">
        <f t="shared" si="31"/>
        <v>Row 227 - For a ‘Transport unit’ both ‘Location on board’ and ‘Amount’ are required</v>
      </c>
      <c r="L984" t="s">
        <v>33308</v>
      </c>
    </row>
    <row r="985" spans="7:12" x14ac:dyDescent="0.2">
      <c r="G985" t="b">
        <f>IF(OR(INDEX(IHZ_HAZ_UNITTYPE,228,1)&lt;&gt;"",),IF(OR(INDEX(IHZ_HAZ_LOCATION,228,1)="",INDEX(IHZ_HAZ_AMOUNT,228,1)="",),FALSE,TRUE),TRUE)</f>
        <v>1</v>
      </c>
      <c r="H985" t="str">
        <f t="shared" si="30"/>
        <v>Row 228 - For a ‘Transport unit’ both ‘Location on board’ and ‘Amount’ are required</v>
      </c>
      <c r="I985" t="s">
        <v>33308</v>
      </c>
      <c r="J985" t="b">
        <f>IF(OR(INDEX(OHZ_HAZ_UNITTYPE,228,1)&lt;&gt;"",),IF(OR(INDEX(OHZ_HAZ_LOCATION,228,1)="",INDEX(OHZ_HAZ_AMOUNT,228,1)="",),FALSE,TRUE),TRUE)</f>
        <v>1</v>
      </c>
      <c r="K985" t="str">
        <f t="shared" si="31"/>
        <v>Row 228 - For a ‘Transport unit’ both ‘Location on board’ and ‘Amount’ are required</v>
      </c>
      <c r="L985" t="s">
        <v>33308</v>
      </c>
    </row>
    <row r="986" spans="7:12" x14ac:dyDescent="0.2">
      <c r="G986" t="b">
        <f>IF(OR(INDEX(IHZ_HAZ_UNITTYPE,229,1)&lt;&gt;"",),IF(OR(INDEX(IHZ_HAZ_LOCATION,229,1)="",INDEX(IHZ_HAZ_AMOUNT,229,1)="",),FALSE,TRUE),TRUE)</f>
        <v>1</v>
      </c>
      <c r="H986" t="str">
        <f t="shared" si="30"/>
        <v>Row 229 - For a ‘Transport unit’ both ‘Location on board’ and ‘Amount’ are required</v>
      </c>
      <c r="I986" t="s">
        <v>33308</v>
      </c>
      <c r="J986" t="b">
        <f>IF(OR(INDEX(OHZ_HAZ_UNITTYPE,229,1)&lt;&gt;"",),IF(OR(INDEX(OHZ_HAZ_LOCATION,229,1)="",INDEX(OHZ_HAZ_AMOUNT,229,1)="",),FALSE,TRUE),TRUE)</f>
        <v>1</v>
      </c>
      <c r="K986" t="str">
        <f t="shared" si="31"/>
        <v>Row 229 - For a ‘Transport unit’ both ‘Location on board’ and ‘Amount’ are required</v>
      </c>
      <c r="L986" t="s">
        <v>33308</v>
      </c>
    </row>
    <row r="987" spans="7:12" x14ac:dyDescent="0.2">
      <c r="G987" t="b">
        <f>IF(OR(INDEX(IHZ_HAZ_UNITTYPE,230,1)&lt;&gt;"",),IF(OR(INDEX(IHZ_HAZ_LOCATION,230,1)="",INDEX(IHZ_HAZ_AMOUNT,230,1)="",),FALSE,TRUE),TRUE)</f>
        <v>1</v>
      </c>
      <c r="H987" t="str">
        <f t="shared" si="30"/>
        <v>Row 230 - For a ‘Transport unit’ both ‘Location on board’ and ‘Amount’ are required</v>
      </c>
      <c r="I987" t="s">
        <v>33308</v>
      </c>
      <c r="J987" t="b">
        <f>IF(OR(INDEX(OHZ_HAZ_UNITTYPE,230,1)&lt;&gt;"",),IF(OR(INDEX(OHZ_HAZ_LOCATION,230,1)="",INDEX(OHZ_HAZ_AMOUNT,230,1)="",),FALSE,TRUE),TRUE)</f>
        <v>1</v>
      </c>
      <c r="K987" t="str">
        <f t="shared" si="31"/>
        <v>Row 230 - For a ‘Transport unit’ both ‘Location on board’ and ‘Amount’ are required</v>
      </c>
      <c r="L987" t="s">
        <v>33308</v>
      </c>
    </row>
    <row r="988" spans="7:12" x14ac:dyDescent="0.2">
      <c r="G988" t="b">
        <f>IF(OR(INDEX(IHZ_HAZ_UNITTYPE,231,1)&lt;&gt;"",),IF(OR(INDEX(IHZ_HAZ_LOCATION,231,1)="",INDEX(IHZ_HAZ_AMOUNT,231,1)="",),FALSE,TRUE),TRUE)</f>
        <v>1</v>
      </c>
      <c r="H988" t="str">
        <f t="shared" si="30"/>
        <v>Row 231 - For a ‘Transport unit’ both ‘Location on board’ and ‘Amount’ are required</v>
      </c>
      <c r="I988" t="s">
        <v>33308</v>
      </c>
      <c r="J988" t="b">
        <f>IF(OR(INDEX(OHZ_HAZ_UNITTYPE,231,1)&lt;&gt;"",),IF(OR(INDEX(OHZ_HAZ_LOCATION,231,1)="",INDEX(OHZ_HAZ_AMOUNT,231,1)="",),FALSE,TRUE),TRUE)</f>
        <v>1</v>
      </c>
      <c r="K988" t="str">
        <f t="shared" si="31"/>
        <v>Row 231 - For a ‘Transport unit’ both ‘Location on board’ and ‘Amount’ are required</v>
      </c>
      <c r="L988" t="s">
        <v>33308</v>
      </c>
    </row>
    <row r="989" spans="7:12" x14ac:dyDescent="0.2">
      <c r="G989" t="b">
        <f>IF(OR(INDEX(IHZ_HAZ_UNITTYPE,232,1)&lt;&gt;"",),IF(OR(INDEX(IHZ_HAZ_LOCATION,232,1)="",INDEX(IHZ_HAZ_AMOUNT,232,1)="",),FALSE,TRUE),TRUE)</f>
        <v>1</v>
      </c>
      <c r="H989" t="str">
        <f t="shared" si="30"/>
        <v>Row 232 - For a ‘Transport unit’ both ‘Location on board’ and ‘Amount’ are required</v>
      </c>
      <c r="I989" t="s">
        <v>33308</v>
      </c>
      <c r="J989" t="b">
        <f>IF(OR(INDEX(OHZ_HAZ_UNITTYPE,232,1)&lt;&gt;"",),IF(OR(INDEX(OHZ_HAZ_LOCATION,232,1)="",INDEX(OHZ_HAZ_AMOUNT,232,1)="",),FALSE,TRUE),TRUE)</f>
        <v>1</v>
      </c>
      <c r="K989" t="str">
        <f t="shared" si="31"/>
        <v>Row 232 - For a ‘Transport unit’ both ‘Location on board’ and ‘Amount’ are required</v>
      </c>
      <c r="L989" t="s">
        <v>33308</v>
      </c>
    </row>
    <row r="990" spans="7:12" x14ac:dyDescent="0.2">
      <c r="G990" t="b">
        <f>IF(OR(INDEX(IHZ_HAZ_UNITTYPE,233,1)&lt;&gt;"",),IF(OR(INDEX(IHZ_HAZ_LOCATION,233,1)="",INDEX(IHZ_HAZ_AMOUNT,233,1)="",),FALSE,TRUE),TRUE)</f>
        <v>1</v>
      </c>
      <c r="H990" t="str">
        <f t="shared" si="30"/>
        <v>Row 233 - For a ‘Transport unit’ both ‘Location on board’ and ‘Amount’ are required</v>
      </c>
      <c r="I990" t="s">
        <v>33308</v>
      </c>
      <c r="J990" t="b">
        <f>IF(OR(INDEX(OHZ_HAZ_UNITTYPE,233,1)&lt;&gt;"",),IF(OR(INDEX(OHZ_HAZ_LOCATION,233,1)="",INDEX(OHZ_HAZ_AMOUNT,233,1)="",),FALSE,TRUE),TRUE)</f>
        <v>1</v>
      </c>
      <c r="K990" t="str">
        <f t="shared" si="31"/>
        <v>Row 233 - For a ‘Transport unit’ both ‘Location on board’ and ‘Amount’ are required</v>
      </c>
      <c r="L990" t="s">
        <v>33308</v>
      </c>
    </row>
    <row r="991" spans="7:12" x14ac:dyDescent="0.2">
      <c r="G991" t="b">
        <f>IF(OR(INDEX(IHZ_HAZ_UNITTYPE,234,1)&lt;&gt;"",),IF(OR(INDEX(IHZ_HAZ_LOCATION,234,1)="",INDEX(IHZ_HAZ_AMOUNT,234,1)="",),FALSE,TRUE),TRUE)</f>
        <v>1</v>
      </c>
      <c r="H991" t="str">
        <f t="shared" si="30"/>
        <v>Row 234 - For a ‘Transport unit’ both ‘Location on board’ and ‘Amount’ are required</v>
      </c>
      <c r="I991" t="s">
        <v>33308</v>
      </c>
      <c r="J991" t="b">
        <f>IF(OR(INDEX(OHZ_HAZ_UNITTYPE,234,1)&lt;&gt;"",),IF(OR(INDEX(OHZ_HAZ_LOCATION,234,1)="",INDEX(OHZ_HAZ_AMOUNT,234,1)="",),FALSE,TRUE),TRUE)</f>
        <v>1</v>
      </c>
      <c r="K991" t="str">
        <f t="shared" si="31"/>
        <v>Row 234 - For a ‘Transport unit’ both ‘Location on board’ and ‘Amount’ are required</v>
      </c>
      <c r="L991" t="s">
        <v>33308</v>
      </c>
    </row>
    <row r="992" spans="7:12" x14ac:dyDescent="0.2">
      <c r="G992" t="b">
        <f>IF(OR(INDEX(IHZ_HAZ_UNITTYPE,235,1)&lt;&gt;"",),IF(OR(INDEX(IHZ_HAZ_LOCATION,235,1)="",INDEX(IHZ_HAZ_AMOUNT,235,1)="",),FALSE,TRUE),TRUE)</f>
        <v>1</v>
      </c>
      <c r="H992" t="str">
        <f t="shared" si="30"/>
        <v>Row 235 - For a ‘Transport unit’ both ‘Location on board’ and ‘Amount’ are required</v>
      </c>
      <c r="I992" t="s">
        <v>33308</v>
      </c>
      <c r="J992" t="b">
        <f>IF(OR(INDEX(OHZ_HAZ_UNITTYPE,235,1)&lt;&gt;"",),IF(OR(INDEX(OHZ_HAZ_LOCATION,235,1)="",INDEX(OHZ_HAZ_AMOUNT,235,1)="",),FALSE,TRUE),TRUE)</f>
        <v>1</v>
      </c>
      <c r="K992" t="str">
        <f t="shared" si="31"/>
        <v>Row 235 - For a ‘Transport unit’ both ‘Location on board’ and ‘Amount’ are required</v>
      </c>
      <c r="L992" t="s">
        <v>33308</v>
      </c>
    </row>
    <row r="993" spans="7:12" x14ac:dyDescent="0.2">
      <c r="G993" t="b">
        <f>IF(OR(INDEX(IHZ_HAZ_UNITTYPE,236,1)&lt;&gt;"",),IF(OR(INDEX(IHZ_HAZ_LOCATION,236,1)="",INDEX(IHZ_HAZ_AMOUNT,236,1)="",),FALSE,TRUE),TRUE)</f>
        <v>1</v>
      </c>
      <c r="H993" t="str">
        <f t="shared" si="30"/>
        <v>Row 236 - For a ‘Transport unit’ both ‘Location on board’ and ‘Amount’ are required</v>
      </c>
      <c r="I993" t="s">
        <v>33308</v>
      </c>
      <c r="J993" t="b">
        <f>IF(OR(INDEX(OHZ_HAZ_UNITTYPE,236,1)&lt;&gt;"",),IF(OR(INDEX(OHZ_HAZ_LOCATION,236,1)="",INDEX(OHZ_HAZ_AMOUNT,236,1)="",),FALSE,TRUE),TRUE)</f>
        <v>1</v>
      </c>
      <c r="K993" t="str">
        <f t="shared" si="31"/>
        <v>Row 236 - For a ‘Transport unit’ both ‘Location on board’ and ‘Amount’ are required</v>
      </c>
      <c r="L993" t="s">
        <v>33308</v>
      </c>
    </row>
    <row r="994" spans="7:12" x14ac:dyDescent="0.2">
      <c r="G994" t="b">
        <f>IF(OR(INDEX(IHZ_HAZ_UNITTYPE,237,1)&lt;&gt;"",),IF(OR(INDEX(IHZ_HAZ_LOCATION,237,1)="",INDEX(IHZ_HAZ_AMOUNT,237,1)="",),FALSE,TRUE),TRUE)</f>
        <v>1</v>
      </c>
      <c r="H994" t="str">
        <f t="shared" si="30"/>
        <v>Row 237 - For a ‘Transport unit’ both ‘Location on board’ and ‘Amount’ are required</v>
      </c>
      <c r="I994" t="s">
        <v>33308</v>
      </c>
      <c r="J994" t="b">
        <f>IF(OR(INDEX(OHZ_HAZ_UNITTYPE,237,1)&lt;&gt;"",),IF(OR(INDEX(OHZ_HAZ_LOCATION,237,1)="",INDEX(OHZ_HAZ_AMOUNT,237,1)="",),FALSE,TRUE),TRUE)</f>
        <v>1</v>
      </c>
      <c r="K994" t="str">
        <f t="shared" si="31"/>
        <v>Row 237 - For a ‘Transport unit’ both ‘Location on board’ and ‘Amount’ are required</v>
      </c>
      <c r="L994" t="s">
        <v>33308</v>
      </c>
    </row>
    <row r="995" spans="7:12" x14ac:dyDescent="0.2">
      <c r="G995" t="b">
        <f>IF(OR(INDEX(IHZ_HAZ_UNITTYPE,238,1)&lt;&gt;"",),IF(OR(INDEX(IHZ_HAZ_LOCATION,238,1)="",INDEX(IHZ_HAZ_AMOUNT,238,1)="",),FALSE,TRUE),TRUE)</f>
        <v>1</v>
      </c>
      <c r="H995" t="str">
        <f t="shared" si="30"/>
        <v>Row 238 - For a ‘Transport unit’ both ‘Location on board’ and ‘Amount’ are required</v>
      </c>
      <c r="I995" t="s">
        <v>33308</v>
      </c>
      <c r="J995" t="b">
        <f>IF(OR(INDEX(OHZ_HAZ_UNITTYPE,238,1)&lt;&gt;"",),IF(OR(INDEX(OHZ_HAZ_LOCATION,238,1)="",INDEX(OHZ_HAZ_AMOUNT,238,1)="",),FALSE,TRUE),TRUE)</f>
        <v>1</v>
      </c>
      <c r="K995" t="str">
        <f t="shared" si="31"/>
        <v>Row 238 - For a ‘Transport unit’ both ‘Location on board’ and ‘Amount’ are required</v>
      </c>
      <c r="L995" t="s">
        <v>33308</v>
      </c>
    </row>
    <row r="996" spans="7:12" x14ac:dyDescent="0.2">
      <c r="G996" t="b">
        <f>IF(OR(INDEX(IHZ_HAZ_UNITTYPE,239,1)&lt;&gt;"",),IF(OR(INDEX(IHZ_HAZ_LOCATION,239,1)="",INDEX(IHZ_HAZ_AMOUNT,239,1)="",),FALSE,TRUE),TRUE)</f>
        <v>1</v>
      </c>
      <c r="H996" t="str">
        <f t="shared" si="30"/>
        <v>Row 239 - For a ‘Transport unit’ both ‘Location on board’ and ‘Amount’ are required</v>
      </c>
      <c r="I996" t="s">
        <v>33308</v>
      </c>
      <c r="J996" t="b">
        <f>IF(OR(INDEX(OHZ_HAZ_UNITTYPE,239,1)&lt;&gt;"",),IF(OR(INDEX(OHZ_HAZ_LOCATION,239,1)="",INDEX(OHZ_HAZ_AMOUNT,239,1)="",),FALSE,TRUE),TRUE)</f>
        <v>1</v>
      </c>
      <c r="K996" t="str">
        <f t="shared" si="31"/>
        <v>Row 239 - For a ‘Transport unit’ both ‘Location on board’ and ‘Amount’ are required</v>
      </c>
      <c r="L996" t="s">
        <v>33308</v>
      </c>
    </row>
    <row r="997" spans="7:12" x14ac:dyDescent="0.2">
      <c r="G997" t="b">
        <f>IF(OR(INDEX(IHZ_HAZ_UNITTYPE,240,1)&lt;&gt;"",),IF(OR(INDEX(IHZ_HAZ_LOCATION,240,1)="",INDEX(IHZ_HAZ_AMOUNT,240,1)="",),FALSE,TRUE),TRUE)</f>
        <v>1</v>
      </c>
      <c r="H997" t="str">
        <f t="shared" si="30"/>
        <v>Row 240 - For a ‘Transport unit’ both ‘Location on board’ and ‘Amount’ are required</v>
      </c>
      <c r="I997" t="s">
        <v>33308</v>
      </c>
      <c r="J997" t="b">
        <f>IF(OR(INDEX(OHZ_HAZ_UNITTYPE,240,1)&lt;&gt;"",),IF(OR(INDEX(OHZ_HAZ_LOCATION,240,1)="",INDEX(OHZ_HAZ_AMOUNT,240,1)="",),FALSE,TRUE),TRUE)</f>
        <v>1</v>
      </c>
      <c r="K997" t="str">
        <f t="shared" si="31"/>
        <v>Row 240 - For a ‘Transport unit’ both ‘Location on board’ and ‘Amount’ are required</v>
      </c>
      <c r="L997" t="s">
        <v>33308</v>
      </c>
    </row>
    <row r="998" spans="7:12" x14ac:dyDescent="0.2">
      <c r="G998" t="b">
        <f>IF(OR(INDEX(IHZ_HAZ_UNITTYPE,241,1)&lt;&gt;"",),IF(OR(INDEX(IHZ_HAZ_LOCATION,241,1)="",INDEX(IHZ_HAZ_AMOUNT,241,1)="",),FALSE,TRUE),TRUE)</f>
        <v>1</v>
      </c>
      <c r="H998" t="str">
        <f t="shared" si="30"/>
        <v>Row 241 - For a ‘Transport unit’ both ‘Location on board’ and ‘Amount’ are required</v>
      </c>
      <c r="I998" t="s">
        <v>33308</v>
      </c>
      <c r="J998" t="b">
        <f>IF(OR(INDEX(OHZ_HAZ_UNITTYPE,241,1)&lt;&gt;"",),IF(OR(INDEX(OHZ_HAZ_LOCATION,241,1)="",INDEX(OHZ_HAZ_AMOUNT,241,1)="",),FALSE,TRUE),TRUE)</f>
        <v>1</v>
      </c>
      <c r="K998" t="str">
        <f t="shared" si="31"/>
        <v>Row 241 - For a ‘Transport unit’ both ‘Location on board’ and ‘Amount’ are required</v>
      </c>
      <c r="L998" t="s">
        <v>33308</v>
      </c>
    </row>
    <row r="999" spans="7:12" x14ac:dyDescent="0.2">
      <c r="G999" t="b">
        <f>IF(OR(INDEX(IHZ_HAZ_UNITTYPE,242,1)&lt;&gt;"",),IF(OR(INDEX(IHZ_HAZ_LOCATION,242,1)="",INDEX(IHZ_HAZ_AMOUNT,242,1)="",),FALSE,TRUE),TRUE)</f>
        <v>1</v>
      </c>
      <c r="H999" t="str">
        <f t="shared" si="30"/>
        <v>Row 242 - For a ‘Transport unit’ both ‘Location on board’ and ‘Amount’ are required</v>
      </c>
      <c r="I999" t="s">
        <v>33308</v>
      </c>
      <c r="J999" t="b">
        <f>IF(OR(INDEX(OHZ_HAZ_UNITTYPE,242,1)&lt;&gt;"",),IF(OR(INDEX(OHZ_HAZ_LOCATION,242,1)="",INDEX(OHZ_HAZ_AMOUNT,242,1)="",),FALSE,TRUE),TRUE)</f>
        <v>1</v>
      </c>
      <c r="K999" t="str">
        <f t="shared" si="31"/>
        <v>Row 242 - For a ‘Transport unit’ both ‘Location on board’ and ‘Amount’ are required</v>
      </c>
      <c r="L999" t="s">
        <v>33308</v>
      </c>
    </row>
    <row r="1000" spans="7:12" x14ac:dyDescent="0.2">
      <c r="G1000" t="b">
        <f>IF(OR(INDEX(IHZ_HAZ_UNITTYPE,243,1)&lt;&gt;"",),IF(OR(INDEX(IHZ_HAZ_LOCATION,243,1)="",INDEX(IHZ_HAZ_AMOUNT,243,1)="",),FALSE,TRUE),TRUE)</f>
        <v>1</v>
      </c>
      <c r="H1000" t="str">
        <f t="shared" si="30"/>
        <v>Row 243 - For a ‘Transport unit’ both ‘Location on board’ and ‘Amount’ are required</v>
      </c>
      <c r="I1000" t="s">
        <v>33308</v>
      </c>
      <c r="J1000" t="b">
        <f>IF(OR(INDEX(OHZ_HAZ_UNITTYPE,243,1)&lt;&gt;"",),IF(OR(INDEX(OHZ_HAZ_LOCATION,243,1)="",INDEX(OHZ_HAZ_AMOUNT,243,1)="",),FALSE,TRUE),TRUE)</f>
        <v>1</v>
      </c>
      <c r="K1000" t="str">
        <f t="shared" si="31"/>
        <v>Row 243 - For a ‘Transport unit’ both ‘Location on board’ and ‘Amount’ are required</v>
      </c>
      <c r="L1000" t="s">
        <v>33308</v>
      </c>
    </row>
    <row r="1001" spans="7:12" x14ac:dyDescent="0.2">
      <c r="G1001" t="b">
        <f>IF(OR(INDEX(IHZ_HAZ_UNITTYPE,244,1)&lt;&gt;"",),IF(OR(INDEX(IHZ_HAZ_LOCATION,244,1)="",INDEX(IHZ_HAZ_AMOUNT,244,1)="",),FALSE,TRUE),TRUE)</f>
        <v>1</v>
      </c>
      <c r="H1001" t="str">
        <f t="shared" si="30"/>
        <v>Row 244 - For a ‘Transport unit’ both ‘Location on board’ and ‘Amount’ are required</v>
      </c>
      <c r="I1001" t="s">
        <v>33308</v>
      </c>
      <c r="J1001" t="b">
        <f>IF(OR(INDEX(OHZ_HAZ_UNITTYPE,244,1)&lt;&gt;"",),IF(OR(INDEX(OHZ_HAZ_LOCATION,244,1)="",INDEX(OHZ_HAZ_AMOUNT,244,1)="",),FALSE,TRUE),TRUE)</f>
        <v>1</v>
      </c>
      <c r="K1001" t="str">
        <f t="shared" si="31"/>
        <v>Row 244 - For a ‘Transport unit’ both ‘Location on board’ and ‘Amount’ are required</v>
      </c>
      <c r="L1001" t="s">
        <v>33308</v>
      </c>
    </row>
    <row r="1002" spans="7:12" x14ac:dyDescent="0.2">
      <c r="G1002" t="b">
        <f>IF(OR(INDEX(IHZ_HAZ_UNITTYPE,245,1)&lt;&gt;"",),IF(OR(INDEX(IHZ_HAZ_LOCATION,245,1)="",INDEX(IHZ_HAZ_AMOUNT,245,1)="",),FALSE,TRUE),TRUE)</f>
        <v>1</v>
      </c>
      <c r="H1002" t="str">
        <f t="shared" si="30"/>
        <v>Row 245 - For a ‘Transport unit’ both ‘Location on board’ and ‘Amount’ are required</v>
      </c>
      <c r="I1002" t="s">
        <v>33308</v>
      </c>
      <c r="J1002" t="b">
        <f>IF(OR(INDEX(OHZ_HAZ_UNITTYPE,245,1)&lt;&gt;"",),IF(OR(INDEX(OHZ_HAZ_LOCATION,245,1)="",INDEX(OHZ_HAZ_AMOUNT,245,1)="",),FALSE,TRUE),TRUE)</f>
        <v>1</v>
      </c>
      <c r="K1002" t="str">
        <f t="shared" si="31"/>
        <v>Row 245 - For a ‘Transport unit’ both ‘Location on board’ and ‘Amount’ are required</v>
      </c>
      <c r="L1002" t="s">
        <v>33308</v>
      </c>
    </row>
    <row r="1003" spans="7:12" x14ac:dyDescent="0.2">
      <c r="G1003" t="b">
        <f>IF(OR(INDEX(IHZ_HAZ_UNITTYPE,246,1)&lt;&gt;"",),IF(OR(INDEX(IHZ_HAZ_LOCATION,246,1)="",INDEX(IHZ_HAZ_AMOUNT,246,1)="",),FALSE,TRUE),TRUE)</f>
        <v>1</v>
      </c>
      <c r="H1003" t="str">
        <f t="shared" si="30"/>
        <v>Row 246 - For a ‘Transport unit’ both ‘Location on board’ and ‘Amount’ are required</v>
      </c>
      <c r="I1003" t="s">
        <v>33308</v>
      </c>
      <c r="J1003" t="b">
        <f>IF(OR(INDEX(OHZ_HAZ_UNITTYPE,246,1)&lt;&gt;"",),IF(OR(INDEX(OHZ_HAZ_LOCATION,246,1)="",INDEX(OHZ_HAZ_AMOUNT,246,1)="",),FALSE,TRUE),TRUE)</f>
        <v>1</v>
      </c>
      <c r="K1003" t="str">
        <f t="shared" si="31"/>
        <v>Row 246 - For a ‘Transport unit’ both ‘Location on board’ and ‘Amount’ are required</v>
      </c>
      <c r="L1003" t="s">
        <v>33308</v>
      </c>
    </row>
    <row r="1004" spans="7:12" x14ac:dyDescent="0.2">
      <c r="G1004" t="b">
        <f>IF(OR(INDEX(IHZ_HAZ_UNITTYPE,247,1)&lt;&gt;"",),IF(OR(INDEX(IHZ_HAZ_LOCATION,247,1)="",INDEX(IHZ_HAZ_AMOUNT,247,1)="",),FALSE,TRUE),TRUE)</f>
        <v>1</v>
      </c>
      <c r="H1004" t="str">
        <f t="shared" si="30"/>
        <v>Row 247 - For a ‘Transport unit’ both ‘Location on board’ and ‘Amount’ are required</v>
      </c>
      <c r="I1004" t="s">
        <v>33308</v>
      </c>
      <c r="J1004" t="b">
        <f>IF(OR(INDEX(OHZ_HAZ_UNITTYPE,247,1)&lt;&gt;"",),IF(OR(INDEX(OHZ_HAZ_LOCATION,247,1)="",INDEX(OHZ_HAZ_AMOUNT,247,1)="",),FALSE,TRUE),TRUE)</f>
        <v>1</v>
      </c>
      <c r="K1004" t="str">
        <f t="shared" si="31"/>
        <v>Row 247 - For a ‘Transport unit’ both ‘Location on board’ and ‘Amount’ are required</v>
      </c>
      <c r="L1004" t="s">
        <v>33308</v>
      </c>
    </row>
    <row r="1005" spans="7:12" x14ac:dyDescent="0.2">
      <c r="G1005" t="b">
        <f>IF(OR(INDEX(IHZ_HAZ_UNITTYPE,248,1)&lt;&gt;"",),IF(OR(INDEX(IHZ_HAZ_LOCATION,248,1)="",INDEX(IHZ_HAZ_AMOUNT,248,1)="",),FALSE,TRUE),TRUE)</f>
        <v>1</v>
      </c>
      <c r="H1005" t="str">
        <f t="shared" si="30"/>
        <v>Row 248 - For a ‘Transport unit’ both ‘Location on board’ and ‘Amount’ are required</v>
      </c>
      <c r="I1005" t="s">
        <v>33308</v>
      </c>
      <c r="J1005" t="b">
        <f>IF(OR(INDEX(OHZ_HAZ_UNITTYPE,248,1)&lt;&gt;"",),IF(OR(INDEX(OHZ_HAZ_LOCATION,248,1)="",INDEX(OHZ_HAZ_AMOUNT,248,1)="",),FALSE,TRUE),TRUE)</f>
        <v>1</v>
      </c>
      <c r="K1005" t="str">
        <f t="shared" si="31"/>
        <v>Row 248 - For a ‘Transport unit’ both ‘Location on board’ and ‘Amount’ are required</v>
      </c>
      <c r="L1005" t="s">
        <v>33308</v>
      </c>
    </row>
    <row r="1006" spans="7:12" x14ac:dyDescent="0.2">
      <c r="G1006" t="b">
        <f>IF(OR(INDEX(IHZ_HAZ_UNITTYPE,249,1)&lt;&gt;"",),IF(OR(INDEX(IHZ_HAZ_LOCATION,249,1)="",INDEX(IHZ_HAZ_AMOUNT,249,1)="",),FALSE,TRUE),TRUE)</f>
        <v>1</v>
      </c>
      <c r="H1006" t="str">
        <f t="shared" si="30"/>
        <v>Row 249 - For a ‘Transport unit’ both ‘Location on board’ and ‘Amount’ are required</v>
      </c>
      <c r="I1006" t="s">
        <v>33308</v>
      </c>
      <c r="J1006" t="b">
        <f>IF(OR(INDEX(OHZ_HAZ_UNITTYPE,249,1)&lt;&gt;"",),IF(OR(INDEX(OHZ_HAZ_LOCATION,249,1)="",INDEX(OHZ_HAZ_AMOUNT,249,1)="",),FALSE,TRUE),TRUE)</f>
        <v>1</v>
      </c>
      <c r="K1006" t="str">
        <f t="shared" si="31"/>
        <v>Row 249 - For a ‘Transport unit’ both ‘Location on board’ and ‘Amount’ are required</v>
      </c>
      <c r="L1006" t="s">
        <v>33308</v>
      </c>
    </row>
    <row r="1007" spans="7:12" x14ac:dyDescent="0.2">
      <c r="G1007" t="b">
        <f>IF(OR(INDEX(IHZ_HAZ_UNITTYPE,250,1)&lt;&gt;"",),IF(OR(INDEX(IHZ_HAZ_LOCATION,250,1)="",INDEX(IHZ_HAZ_AMOUNT,250,1)="",),FALSE,TRUE),TRUE)</f>
        <v>1</v>
      </c>
      <c r="H1007" t="str">
        <f t="shared" si="30"/>
        <v>Row 250 - For a ‘Transport unit’ both ‘Location on board’ and ‘Amount’ are required</v>
      </c>
      <c r="I1007" t="s">
        <v>33308</v>
      </c>
      <c r="J1007" t="b">
        <f>IF(OR(INDEX(OHZ_HAZ_UNITTYPE,250,1)&lt;&gt;"",),IF(OR(INDEX(OHZ_HAZ_LOCATION,250,1)="",INDEX(OHZ_HAZ_AMOUNT,250,1)="",),FALSE,TRUE),TRUE)</f>
        <v>1</v>
      </c>
      <c r="K1007" t="str">
        <f t="shared" si="31"/>
        <v>Row 250 - For a ‘Transport unit’ both ‘Location on board’ and ‘Amount’ are required</v>
      </c>
      <c r="L1007" t="s">
        <v>33308</v>
      </c>
    </row>
    <row r="1008" spans="7:12" x14ac:dyDescent="0.2">
      <c r="G1008" t="b">
        <f>IF(OR(INDEX(IHZ_HAZ_AMOUNT,1,1)&lt;&gt;"",),IF(OR(INDEX(IHZ_HAZ_NETGROSS,1,1)="",INDEX(IHZ_HAZ_UNIT,1,1)="",),FALSE,TRUE),TRUE)</f>
        <v>1</v>
      </c>
      <c r="H1008" t="str">
        <f>T1&amp;$V$5</f>
        <v>Row 1 - For ‘Transport unit’ if ‘Amount’ is given then ‘Gross / Net’ and ‘Amount unit’ are required</v>
      </c>
      <c r="I1008" t="s">
        <v>33308</v>
      </c>
      <c r="J1008" t="b">
        <f>IF(OR(INDEX(OHZ_HAZ_AMOUNT,1,1)&lt;&gt;"",),IF(OR(INDEX(OHZ_HAZ_NETGROSS,1,1)="",INDEX(OHZ_HAZ_UNIT,1,1)="",),FALSE,TRUE),TRUE)</f>
        <v>1</v>
      </c>
      <c r="K1008" t="str">
        <f>T1&amp;$V$5</f>
        <v>Row 1 - For ‘Transport unit’ if ‘Amount’ is given then ‘Gross / Net’ and ‘Amount unit’ are required</v>
      </c>
      <c r="L1008" t="s">
        <v>33308</v>
      </c>
    </row>
    <row r="1009" spans="7:12" x14ac:dyDescent="0.2">
      <c r="G1009" t="b">
        <f>IF(OR(INDEX(IHZ_HAZ_AMOUNT,2,1)&lt;&gt;"",),IF(OR(INDEX(IHZ_HAZ_NETGROSS,2,1)="",INDEX(IHZ_HAZ_UNIT,2,1)="",),FALSE,TRUE),TRUE)</f>
        <v>1</v>
      </c>
      <c r="H1009" t="str">
        <f t="shared" ref="H1009:H1072" si="32">T2&amp;$V$5</f>
        <v>Row 2 - For ‘Transport unit’ if ‘Amount’ is given then ‘Gross / Net’ and ‘Amount unit’ are required</v>
      </c>
      <c r="I1009" t="s">
        <v>33308</v>
      </c>
      <c r="J1009" t="b">
        <f>IF(OR(INDEX(OHZ_HAZ_AMOUNT,2,1)&lt;&gt;"",),IF(OR(INDEX(OHZ_HAZ_NETGROSS,2,1)="",INDEX(OHZ_HAZ_UNIT,2,1)="",),FALSE,TRUE),TRUE)</f>
        <v>1</v>
      </c>
      <c r="K1009" t="str">
        <f t="shared" ref="K1009:K1072" si="33">T2&amp;$V$5</f>
        <v>Row 2 - For ‘Transport unit’ if ‘Amount’ is given then ‘Gross / Net’ and ‘Amount unit’ are required</v>
      </c>
      <c r="L1009" t="s">
        <v>33308</v>
      </c>
    </row>
    <row r="1010" spans="7:12" x14ac:dyDescent="0.2">
      <c r="G1010" t="b">
        <f>IF(OR(INDEX(IHZ_HAZ_AMOUNT,3,1)&lt;&gt;"",),IF(OR(INDEX(IHZ_HAZ_NETGROSS,3,1)="",INDEX(IHZ_HAZ_UNIT,3,1)="",),FALSE,TRUE),TRUE)</f>
        <v>1</v>
      </c>
      <c r="H1010" t="str">
        <f t="shared" si="32"/>
        <v>Row 3 - For ‘Transport unit’ if ‘Amount’ is given then ‘Gross / Net’ and ‘Amount unit’ are required</v>
      </c>
      <c r="I1010" t="s">
        <v>33308</v>
      </c>
      <c r="J1010" t="b">
        <f>IF(OR(INDEX(OHZ_HAZ_AMOUNT,3,1)&lt;&gt;"",),IF(OR(INDEX(OHZ_HAZ_NETGROSS,3,1)="",INDEX(OHZ_HAZ_UNIT,3,1)="",),FALSE,TRUE),TRUE)</f>
        <v>1</v>
      </c>
      <c r="K1010" t="str">
        <f t="shared" si="33"/>
        <v>Row 3 - For ‘Transport unit’ if ‘Amount’ is given then ‘Gross / Net’ and ‘Amount unit’ are required</v>
      </c>
      <c r="L1010" t="s">
        <v>33308</v>
      </c>
    </row>
    <row r="1011" spans="7:12" x14ac:dyDescent="0.2">
      <c r="G1011" t="b">
        <f>IF(OR(INDEX(IHZ_HAZ_AMOUNT,4,1)&lt;&gt;"",),IF(OR(INDEX(IHZ_HAZ_NETGROSS,4,1)="",INDEX(IHZ_HAZ_UNIT,4,1)="",),FALSE,TRUE),TRUE)</f>
        <v>1</v>
      </c>
      <c r="H1011" t="str">
        <f t="shared" si="32"/>
        <v>Row 4 - For ‘Transport unit’ if ‘Amount’ is given then ‘Gross / Net’ and ‘Amount unit’ are required</v>
      </c>
      <c r="I1011" t="s">
        <v>33308</v>
      </c>
      <c r="J1011" t="b">
        <f>IF(OR(INDEX(OHZ_HAZ_AMOUNT,4,1)&lt;&gt;"",),IF(OR(INDEX(OHZ_HAZ_NETGROSS,4,1)="",INDEX(OHZ_HAZ_UNIT,4,1)="",),FALSE,TRUE),TRUE)</f>
        <v>1</v>
      </c>
      <c r="K1011" t="str">
        <f t="shared" si="33"/>
        <v>Row 4 - For ‘Transport unit’ if ‘Amount’ is given then ‘Gross / Net’ and ‘Amount unit’ are required</v>
      </c>
      <c r="L1011" t="s">
        <v>33308</v>
      </c>
    </row>
    <row r="1012" spans="7:12" x14ac:dyDescent="0.2">
      <c r="G1012" t="b">
        <f>IF(OR(INDEX(IHZ_HAZ_AMOUNT,5,1)&lt;&gt;"",),IF(OR(INDEX(IHZ_HAZ_NETGROSS,5,1)="",INDEX(IHZ_HAZ_UNIT,5,1)="",),FALSE,TRUE),TRUE)</f>
        <v>1</v>
      </c>
      <c r="H1012" t="str">
        <f t="shared" si="32"/>
        <v>Row 5 - For ‘Transport unit’ if ‘Amount’ is given then ‘Gross / Net’ and ‘Amount unit’ are required</v>
      </c>
      <c r="I1012" t="s">
        <v>33308</v>
      </c>
      <c r="J1012" t="b">
        <f>IF(OR(INDEX(OHZ_HAZ_AMOUNT,5,1)&lt;&gt;"",),IF(OR(INDEX(OHZ_HAZ_NETGROSS,5,1)="",INDEX(OHZ_HAZ_UNIT,5,1)="",),FALSE,TRUE),TRUE)</f>
        <v>1</v>
      </c>
      <c r="K1012" t="str">
        <f t="shared" si="33"/>
        <v>Row 5 - For ‘Transport unit’ if ‘Amount’ is given then ‘Gross / Net’ and ‘Amount unit’ are required</v>
      </c>
      <c r="L1012" t="s">
        <v>33308</v>
      </c>
    </row>
    <row r="1013" spans="7:12" x14ac:dyDescent="0.2">
      <c r="G1013" t="b">
        <f>IF(OR(INDEX(IHZ_HAZ_AMOUNT,6,1)&lt;&gt;"",),IF(OR(INDEX(IHZ_HAZ_NETGROSS,6,1)="",INDEX(IHZ_HAZ_UNIT,6,1)="",),FALSE,TRUE),TRUE)</f>
        <v>1</v>
      </c>
      <c r="H1013" t="str">
        <f t="shared" si="32"/>
        <v>Row 6 - For ‘Transport unit’ if ‘Amount’ is given then ‘Gross / Net’ and ‘Amount unit’ are required</v>
      </c>
      <c r="I1013" t="s">
        <v>33308</v>
      </c>
      <c r="J1013" t="b">
        <f>IF(OR(INDEX(OHZ_HAZ_AMOUNT,6,1)&lt;&gt;"",),IF(OR(INDEX(OHZ_HAZ_NETGROSS,6,1)="",INDEX(OHZ_HAZ_UNIT,6,1)="",),FALSE,TRUE),TRUE)</f>
        <v>1</v>
      </c>
      <c r="K1013" t="str">
        <f t="shared" si="33"/>
        <v>Row 6 - For ‘Transport unit’ if ‘Amount’ is given then ‘Gross / Net’ and ‘Amount unit’ are required</v>
      </c>
      <c r="L1013" t="s">
        <v>33308</v>
      </c>
    </row>
    <row r="1014" spans="7:12" x14ac:dyDescent="0.2">
      <c r="G1014" t="b">
        <f>IF(OR(INDEX(IHZ_HAZ_AMOUNT,7,1)&lt;&gt;"",),IF(OR(INDEX(IHZ_HAZ_NETGROSS,7,1)="",INDEX(IHZ_HAZ_UNIT,7,1)="",),FALSE,TRUE),TRUE)</f>
        <v>1</v>
      </c>
      <c r="H1014" t="str">
        <f t="shared" si="32"/>
        <v>Row 7 - For ‘Transport unit’ if ‘Amount’ is given then ‘Gross / Net’ and ‘Amount unit’ are required</v>
      </c>
      <c r="I1014" t="s">
        <v>33308</v>
      </c>
      <c r="J1014" t="b">
        <f>IF(OR(INDEX(OHZ_HAZ_AMOUNT,7,1)&lt;&gt;"",),IF(OR(INDEX(OHZ_HAZ_NETGROSS,7,1)="",INDEX(OHZ_HAZ_UNIT,7,1)="",),FALSE,TRUE),TRUE)</f>
        <v>1</v>
      </c>
      <c r="K1014" t="str">
        <f t="shared" si="33"/>
        <v>Row 7 - For ‘Transport unit’ if ‘Amount’ is given then ‘Gross / Net’ and ‘Amount unit’ are required</v>
      </c>
      <c r="L1014" t="s">
        <v>33308</v>
      </c>
    </row>
    <row r="1015" spans="7:12" x14ac:dyDescent="0.2">
      <c r="G1015" t="b">
        <f>IF(OR(INDEX(IHZ_HAZ_AMOUNT,8,1)&lt;&gt;"",),IF(OR(INDEX(IHZ_HAZ_NETGROSS,8,1)="",INDEX(IHZ_HAZ_UNIT,8,1)="",),FALSE,TRUE),TRUE)</f>
        <v>1</v>
      </c>
      <c r="H1015" t="str">
        <f t="shared" si="32"/>
        <v>Row 8 - For ‘Transport unit’ if ‘Amount’ is given then ‘Gross / Net’ and ‘Amount unit’ are required</v>
      </c>
      <c r="I1015" t="s">
        <v>33308</v>
      </c>
      <c r="J1015" t="b">
        <f>IF(OR(INDEX(OHZ_HAZ_AMOUNT,8,1)&lt;&gt;"",),IF(OR(INDEX(OHZ_HAZ_NETGROSS,8,1)="",INDEX(OHZ_HAZ_UNIT,8,1)="",),FALSE,TRUE),TRUE)</f>
        <v>1</v>
      </c>
      <c r="K1015" t="str">
        <f t="shared" si="33"/>
        <v>Row 8 - For ‘Transport unit’ if ‘Amount’ is given then ‘Gross / Net’ and ‘Amount unit’ are required</v>
      </c>
      <c r="L1015" t="s">
        <v>33308</v>
      </c>
    </row>
    <row r="1016" spans="7:12" x14ac:dyDescent="0.2">
      <c r="G1016" t="b">
        <f>IF(OR(INDEX(IHZ_HAZ_AMOUNT,9,1)&lt;&gt;"",),IF(OR(INDEX(IHZ_HAZ_NETGROSS,9,1)="",INDEX(IHZ_HAZ_UNIT,9,1)="",),FALSE,TRUE),TRUE)</f>
        <v>1</v>
      </c>
      <c r="H1016" t="str">
        <f t="shared" si="32"/>
        <v>Row 9 - For ‘Transport unit’ if ‘Amount’ is given then ‘Gross / Net’ and ‘Amount unit’ are required</v>
      </c>
      <c r="I1016" t="s">
        <v>33308</v>
      </c>
      <c r="J1016" t="b">
        <f>IF(OR(INDEX(OHZ_HAZ_AMOUNT,9,1)&lt;&gt;"",),IF(OR(INDEX(OHZ_HAZ_NETGROSS,9,1)="",INDEX(OHZ_HAZ_UNIT,9,1)="",),FALSE,TRUE),TRUE)</f>
        <v>1</v>
      </c>
      <c r="K1016" t="str">
        <f t="shared" si="33"/>
        <v>Row 9 - For ‘Transport unit’ if ‘Amount’ is given then ‘Gross / Net’ and ‘Amount unit’ are required</v>
      </c>
      <c r="L1016" t="s">
        <v>33308</v>
      </c>
    </row>
    <row r="1017" spans="7:12" x14ac:dyDescent="0.2">
      <c r="G1017" t="b">
        <f>IF(OR(INDEX(IHZ_HAZ_AMOUNT,10,1)&lt;&gt;"",),IF(OR(INDEX(IHZ_HAZ_NETGROSS,10,1)="",INDEX(IHZ_HAZ_UNIT,10,1)="",),FALSE,TRUE),TRUE)</f>
        <v>1</v>
      </c>
      <c r="H1017" t="str">
        <f t="shared" si="32"/>
        <v>Row 10 - For ‘Transport unit’ if ‘Amount’ is given then ‘Gross / Net’ and ‘Amount unit’ are required</v>
      </c>
      <c r="I1017" t="s">
        <v>33308</v>
      </c>
      <c r="J1017" t="b">
        <f>IF(OR(INDEX(OHZ_HAZ_AMOUNT,10,1)&lt;&gt;"",),IF(OR(INDEX(OHZ_HAZ_NETGROSS,10,1)="",INDEX(OHZ_HAZ_UNIT,10,1)="",),FALSE,TRUE),TRUE)</f>
        <v>1</v>
      </c>
      <c r="K1017" t="str">
        <f t="shared" si="33"/>
        <v>Row 10 - For ‘Transport unit’ if ‘Amount’ is given then ‘Gross / Net’ and ‘Amount unit’ are required</v>
      </c>
      <c r="L1017" t="s">
        <v>33308</v>
      </c>
    </row>
    <row r="1018" spans="7:12" x14ac:dyDescent="0.2">
      <c r="G1018" t="b">
        <f>IF(OR(INDEX(IHZ_HAZ_AMOUNT,11,1)&lt;&gt;"",),IF(OR(INDEX(IHZ_HAZ_NETGROSS,11,1)="",INDEX(IHZ_HAZ_UNIT,11,1)="",),FALSE,TRUE),TRUE)</f>
        <v>1</v>
      </c>
      <c r="H1018" t="str">
        <f t="shared" si="32"/>
        <v>Row 11 - For ‘Transport unit’ if ‘Amount’ is given then ‘Gross / Net’ and ‘Amount unit’ are required</v>
      </c>
      <c r="I1018" t="s">
        <v>33308</v>
      </c>
      <c r="J1018" t="b">
        <f>IF(OR(INDEX(OHZ_HAZ_AMOUNT,11,1)&lt;&gt;"",),IF(OR(INDEX(OHZ_HAZ_NETGROSS,11,1)="",INDEX(OHZ_HAZ_UNIT,11,1)="",),FALSE,TRUE),TRUE)</f>
        <v>1</v>
      </c>
      <c r="K1018" t="str">
        <f t="shared" si="33"/>
        <v>Row 11 - For ‘Transport unit’ if ‘Amount’ is given then ‘Gross / Net’ and ‘Amount unit’ are required</v>
      </c>
      <c r="L1018" t="s">
        <v>33308</v>
      </c>
    </row>
    <row r="1019" spans="7:12" x14ac:dyDescent="0.2">
      <c r="G1019" t="b">
        <f>IF(OR(INDEX(IHZ_HAZ_AMOUNT,12,1)&lt;&gt;"",),IF(OR(INDEX(IHZ_HAZ_NETGROSS,12,1)="",INDEX(IHZ_HAZ_UNIT,12,1)="",),FALSE,TRUE),TRUE)</f>
        <v>1</v>
      </c>
      <c r="H1019" t="str">
        <f t="shared" si="32"/>
        <v>Row 12 - For ‘Transport unit’ if ‘Amount’ is given then ‘Gross / Net’ and ‘Amount unit’ are required</v>
      </c>
      <c r="I1019" t="s">
        <v>33308</v>
      </c>
      <c r="J1019" t="b">
        <f>IF(OR(INDEX(OHZ_HAZ_AMOUNT,12,1)&lt;&gt;"",),IF(OR(INDEX(OHZ_HAZ_NETGROSS,12,1)="",INDEX(OHZ_HAZ_UNIT,12,1)="",),FALSE,TRUE),TRUE)</f>
        <v>1</v>
      </c>
      <c r="K1019" t="str">
        <f t="shared" si="33"/>
        <v>Row 12 - For ‘Transport unit’ if ‘Amount’ is given then ‘Gross / Net’ and ‘Amount unit’ are required</v>
      </c>
      <c r="L1019" t="s">
        <v>33308</v>
      </c>
    </row>
    <row r="1020" spans="7:12" x14ac:dyDescent="0.2">
      <c r="G1020" t="b">
        <f>IF(OR(INDEX(IHZ_HAZ_AMOUNT,13,1)&lt;&gt;"",),IF(OR(INDEX(IHZ_HAZ_NETGROSS,13,1)="",INDEX(IHZ_HAZ_UNIT,13,1)="",),FALSE,TRUE),TRUE)</f>
        <v>1</v>
      </c>
      <c r="H1020" t="str">
        <f t="shared" si="32"/>
        <v>Row 13 - For ‘Transport unit’ if ‘Amount’ is given then ‘Gross / Net’ and ‘Amount unit’ are required</v>
      </c>
      <c r="I1020" t="s">
        <v>33308</v>
      </c>
      <c r="J1020" t="b">
        <f>IF(OR(INDEX(OHZ_HAZ_AMOUNT,13,1)&lt;&gt;"",),IF(OR(INDEX(OHZ_HAZ_NETGROSS,13,1)="",INDEX(OHZ_HAZ_UNIT,13,1)="",),FALSE,TRUE),TRUE)</f>
        <v>1</v>
      </c>
      <c r="K1020" t="str">
        <f t="shared" si="33"/>
        <v>Row 13 - For ‘Transport unit’ if ‘Amount’ is given then ‘Gross / Net’ and ‘Amount unit’ are required</v>
      </c>
      <c r="L1020" t="s">
        <v>33308</v>
      </c>
    </row>
    <row r="1021" spans="7:12" x14ac:dyDescent="0.2">
      <c r="G1021" t="b">
        <f>IF(OR(INDEX(IHZ_HAZ_AMOUNT,14,1)&lt;&gt;"",),IF(OR(INDEX(IHZ_HAZ_NETGROSS,14,1)="",INDEX(IHZ_HAZ_UNIT,14,1)="",),FALSE,TRUE),TRUE)</f>
        <v>1</v>
      </c>
      <c r="H1021" t="str">
        <f t="shared" si="32"/>
        <v>Row 14 - For ‘Transport unit’ if ‘Amount’ is given then ‘Gross / Net’ and ‘Amount unit’ are required</v>
      </c>
      <c r="I1021" t="s">
        <v>33308</v>
      </c>
      <c r="J1021" t="b">
        <f>IF(OR(INDEX(OHZ_HAZ_AMOUNT,14,1)&lt;&gt;"",),IF(OR(INDEX(OHZ_HAZ_NETGROSS,14,1)="",INDEX(OHZ_HAZ_UNIT,14,1)="",),FALSE,TRUE),TRUE)</f>
        <v>1</v>
      </c>
      <c r="K1021" t="str">
        <f t="shared" si="33"/>
        <v>Row 14 - For ‘Transport unit’ if ‘Amount’ is given then ‘Gross / Net’ and ‘Amount unit’ are required</v>
      </c>
      <c r="L1021" t="s">
        <v>33308</v>
      </c>
    </row>
    <row r="1022" spans="7:12" x14ac:dyDescent="0.2">
      <c r="G1022" t="b">
        <f>IF(OR(INDEX(IHZ_HAZ_AMOUNT,15,1)&lt;&gt;"",),IF(OR(INDEX(IHZ_HAZ_NETGROSS,15,1)="",INDEX(IHZ_HAZ_UNIT,15,1)="",),FALSE,TRUE),TRUE)</f>
        <v>1</v>
      </c>
      <c r="H1022" t="str">
        <f t="shared" si="32"/>
        <v>Row 15 - For ‘Transport unit’ if ‘Amount’ is given then ‘Gross / Net’ and ‘Amount unit’ are required</v>
      </c>
      <c r="I1022" t="s">
        <v>33308</v>
      </c>
      <c r="J1022" t="b">
        <f>IF(OR(INDEX(OHZ_HAZ_AMOUNT,15,1)&lt;&gt;"",),IF(OR(INDEX(OHZ_HAZ_NETGROSS,15,1)="",INDEX(OHZ_HAZ_UNIT,15,1)="",),FALSE,TRUE),TRUE)</f>
        <v>1</v>
      </c>
      <c r="K1022" t="str">
        <f t="shared" si="33"/>
        <v>Row 15 - For ‘Transport unit’ if ‘Amount’ is given then ‘Gross / Net’ and ‘Amount unit’ are required</v>
      </c>
      <c r="L1022" t="s">
        <v>33308</v>
      </c>
    </row>
    <row r="1023" spans="7:12" x14ac:dyDescent="0.2">
      <c r="G1023" t="b">
        <f>IF(OR(INDEX(IHZ_HAZ_AMOUNT,16,1)&lt;&gt;"",),IF(OR(INDEX(IHZ_HAZ_NETGROSS,16,1)="",INDEX(IHZ_HAZ_UNIT,16,1)="",),FALSE,TRUE),TRUE)</f>
        <v>1</v>
      </c>
      <c r="H1023" t="str">
        <f t="shared" si="32"/>
        <v>Row 16 - For ‘Transport unit’ if ‘Amount’ is given then ‘Gross / Net’ and ‘Amount unit’ are required</v>
      </c>
      <c r="I1023" t="s">
        <v>33308</v>
      </c>
      <c r="J1023" t="b">
        <f>IF(OR(INDEX(OHZ_HAZ_AMOUNT,16,1)&lt;&gt;"",),IF(OR(INDEX(OHZ_HAZ_NETGROSS,16,1)="",INDEX(OHZ_HAZ_UNIT,16,1)="",),FALSE,TRUE),TRUE)</f>
        <v>1</v>
      </c>
      <c r="K1023" t="str">
        <f t="shared" si="33"/>
        <v>Row 16 - For ‘Transport unit’ if ‘Amount’ is given then ‘Gross / Net’ and ‘Amount unit’ are required</v>
      </c>
      <c r="L1023" t="s">
        <v>33308</v>
      </c>
    </row>
    <row r="1024" spans="7:12" x14ac:dyDescent="0.2">
      <c r="G1024" t="b">
        <f>IF(OR(INDEX(IHZ_HAZ_AMOUNT,17,1)&lt;&gt;"",),IF(OR(INDEX(IHZ_HAZ_NETGROSS,17,1)="",INDEX(IHZ_HAZ_UNIT,17,1)="",),FALSE,TRUE),TRUE)</f>
        <v>1</v>
      </c>
      <c r="H1024" t="str">
        <f t="shared" si="32"/>
        <v>Row 17 - For ‘Transport unit’ if ‘Amount’ is given then ‘Gross / Net’ and ‘Amount unit’ are required</v>
      </c>
      <c r="I1024" t="s">
        <v>33308</v>
      </c>
      <c r="J1024" t="b">
        <f>IF(OR(INDEX(OHZ_HAZ_AMOUNT,17,1)&lt;&gt;"",),IF(OR(INDEX(OHZ_HAZ_NETGROSS,17,1)="",INDEX(OHZ_HAZ_UNIT,17,1)="",),FALSE,TRUE),TRUE)</f>
        <v>1</v>
      </c>
      <c r="K1024" t="str">
        <f t="shared" si="33"/>
        <v>Row 17 - For ‘Transport unit’ if ‘Amount’ is given then ‘Gross / Net’ and ‘Amount unit’ are required</v>
      </c>
      <c r="L1024" t="s">
        <v>33308</v>
      </c>
    </row>
    <row r="1025" spans="7:12" x14ac:dyDescent="0.2">
      <c r="G1025" t="b">
        <f>IF(OR(INDEX(IHZ_HAZ_AMOUNT,18,1)&lt;&gt;"",),IF(OR(INDEX(IHZ_HAZ_NETGROSS,18,1)="",INDEX(IHZ_HAZ_UNIT,18,1)="",),FALSE,TRUE),TRUE)</f>
        <v>1</v>
      </c>
      <c r="H1025" t="str">
        <f t="shared" si="32"/>
        <v>Row 18 - For ‘Transport unit’ if ‘Amount’ is given then ‘Gross / Net’ and ‘Amount unit’ are required</v>
      </c>
      <c r="I1025" t="s">
        <v>33308</v>
      </c>
      <c r="J1025" t="b">
        <f>IF(OR(INDEX(OHZ_HAZ_AMOUNT,18,1)&lt;&gt;"",),IF(OR(INDEX(OHZ_HAZ_NETGROSS,18,1)="",INDEX(OHZ_HAZ_UNIT,18,1)="",),FALSE,TRUE),TRUE)</f>
        <v>1</v>
      </c>
      <c r="K1025" t="str">
        <f t="shared" si="33"/>
        <v>Row 18 - For ‘Transport unit’ if ‘Amount’ is given then ‘Gross / Net’ and ‘Amount unit’ are required</v>
      </c>
      <c r="L1025" t="s">
        <v>33308</v>
      </c>
    </row>
    <row r="1026" spans="7:12" x14ac:dyDescent="0.2">
      <c r="G1026" t="b">
        <f>IF(OR(INDEX(IHZ_HAZ_AMOUNT,19,1)&lt;&gt;"",),IF(OR(INDEX(IHZ_HAZ_NETGROSS,19,1)="",INDEX(IHZ_HAZ_UNIT,19,1)="",),FALSE,TRUE),TRUE)</f>
        <v>1</v>
      </c>
      <c r="H1026" t="str">
        <f t="shared" si="32"/>
        <v>Row 19 - For ‘Transport unit’ if ‘Amount’ is given then ‘Gross / Net’ and ‘Amount unit’ are required</v>
      </c>
      <c r="I1026" t="s">
        <v>33308</v>
      </c>
      <c r="J1026" t="b">
        <f>IF(OR(INDEX(OHZ_HAZ_AMOUNT,19,1)&lt;&gt;"",),IF(OR(INDEX(OHZ_HAZ_NETGROSS,19,1)="",INDEX(OHZ_HAZ_UNIT,19,1)="",),FALSE,TRUE),TRUE)</f>
        <v>1</v>
      </c>
      <c r="K1026" t="str">
        <f t="shared" si="33"/>
        <v>Row 19 - For ‘Transport unit’ if ‘Amount’ is given then ‘Gross / Net’ and ‘Amount unit’ are required</v>
      </c>
      <c r="L1026" t="s">
        <v>33308</v>
      </c>
    </row>
    <row r="1027" spans="7:12" x14ac:dyDescent="0.2">
      <c r="G1027" t="b">
        <f>IF(OR(INDEX(IHZ_HAZ_AMOUNT,20,1)&lt;&gt;"",),IF(OR(INDEX(IHZ_HAZ_NETGROSS,20,1)="",INDEX(IHZ_HAZ_UNIT,20,1)="",),FALSE,TRUE),TRUE)</f>
        <v>1</v>
      </c>
      <c r="H1027" t="str">
        <f t="shared" si="32"/>
        <v>Row 20 - For ‘Transport unit’ if ‘Amount’ is given then ‘Gross / Net’ and ‘Amount unit’ are required</v>
      </c>
      <c r="I1027" t="s">
        <v>33308</v>
      </c>
      <c r="J1027" t="b">
        <f>IF(OR(INDEX(OHZ_HAZ_AMOUNT,20,1)&lt;&gt;"",),IF(OR(INDEX(OHZ_HAZ_NETGROSS,20,1)="",INDEX(OHZ_HAZ_UNIT,20,1)="",),FALSE,TRUE),TRUE)</f>
        <v>1</v>
      </c>
      <c r="K1027" t="str">
        <f t="shared" si="33"/>
        <v>Row 20 - For ‘Transport unit’ if ‘Amount’ is given then ‘Gross / Net’ and ‘Amount unit’ are required</v>
      </c>
      <c r="L1027" t="s">
        <v>33308</v>
      </c>
    </row>
    <row r="1028" spans="7:12" x14ac:dyDescent="0.2">
      <c r="G1028" t="b">
        <f>IF(OR(INDEX(IHZ_HAZ_AMOUNT,21,1)&lt;&gt;"",),IF(OR(INDEX(IHZ_HAZ_NETGROSS,21,1)="",INDEX(IHZ_HAZ_UNIT,21,1)="",),FALSE,TRUE),TRUE)</f>
        <v>1</v>
      </c>
      <c r="H1028" t="str">
        <f t="shared" si="32"/>
        <v>Row 21 - For ‘Transport unit’ if ‘Amount’ is given then ‘Gross / Net’ and ‘Amount unit’ are required</v>
      </c>
      <c r="I1028" t="s">
        <v>33308</v>
      </c>
      <c r="J1028" t="b">
        <f>IF(OR(INDEX(OHZ_HAZ_AMOUNT,21,1)&lt;&gt;"",),IF(OR(INDEX(OHZ_HAZ_NETGROSS,21,1)="",INDEX(OHZ_HAZ_UNIT,21,1)="",),FALSE,TRUE),TRUE)</f>
        <v>1</v>
      </c>
      <c r="K1028" t="str">
        <f t="shared" si="33"/>
        <v>Row 21 - For ‘Transport unit’ if ‘Amount’ is given then ‘Gross / Net’ and ‘Amount unit’ are required</v>
      </c>
      <c r="L1028" t="s">
        <v>33308</v>
      </c>
    </row>
    <row r="1029" spans="7:12" x14ac:dyDescent="0.2">
      <c r="G1029" t="b">
        <f>IF(OR(INDEX(IHZ_HAZ_AMOUNT,22,1)&lt;&gt;"",),IF(OR(INDEX(IHZ_HAZ_NETGROSS,22,1)="",INDEX(IHZ_HAZ_UNIT,22,1)="",),FALSE,TRUE),TRUE)</f>
        <v>1</v>
      </c>
      <c r="H1029" t="str">
        <f t="shared" si="32"/>
        <v>Row 22 - For ‘Transport unit’ if ‘Amount’ is given then ‘Gross / Net’ and ‘Amount unit’ are required</v>
      </c>
      <c r="I1029" t="s">
        <v>33308</v>
      </c>
      <c r="J1029" t="b">
        <f>IF(OR(INDEX(OHZ_HAZ_AMOUNT,22,1)&lt;&gt;"",),IF(OR(INDEX(OHZ_HAZ_NETGROSS,22,1)="",INDEX(OHZ_HAZ_UNIT,22,1)="",),FALSE,TRUE),TRUE)</f>
        <v>1</v>
      </c>
      <c r="K1029" t="str">
        <f t="shared" si="33"/>
        <v>Row 22 - For ‘Transport unit’ if ‘Amount’ is given then ‘Gross / Net’ and ‘Amount unit’ are required</v>
      </c>
      <c r="L1029" t="s">
        <v>33308</v>
      </c>
    </row>
    <row r="1030" spans="7:12" x14ac:dyDescent="0.2">
      <c r="G1030" t="b">
        <f>IF(OR(INDEX(IHZ_HAZ_AMOUNT,23,1)&lt;&gt;"",),IF(OR(INDEX(IHZ_HAZ_NETGROSS,23,1)="",INDEX(IHZ_HAZ_UNIT,23,1)="",),FALSE,TRUE),TRUE)</f>
        <v>1</v>
      </c>
      <c r="H1030" t="str">
        <f t="shared" si="32"/>
        <v>Row 23 - For ‘Transport unit’ if ‘Amount’ is given then ‘Gross / Net’ and ‘Amount unit’ are required</v>
      </c>
      <c r="I1030" t="s">
        <v>33308</v>
      </c>
      <c r="J1030" t="b">
        <f>IF(OR(INDEX(OHZ_HAZ_AMOUNT,23,1)&lt;&gt;"",),IF(OR(INDEX(OHZ_HAZ_NETGROSS,23,1)="",INDEX(OHZ_HAZ_UNIT,23,1)="",),FALSE,TRUE),TRUE)</f>
        <v>1</v>
      </c>
      <c r="K1030" t="str">
        <f t="shared" si="33"/>
        <v>Row 23 - For ‘Transport unit’ if ‘Amount’ is given then ‘Gross / Net’ and ‘Amount unit’ are required</v>
      </c>
      <c r="L1030" t="s">
        <v>33308</v>
      </c>
    </row>
    <row r="1031" spans="7:12" x14ac:dyDescent="0.2">
      <c r="G1031" t="b">
        <f>IF(OR(INDEX(IHZ_HAZ_AMOUNT,24,1)&lt;&gt;"",),IF(OR(INDEX(IHZ_HAZ_NETGROSS,24,1)="",INDEX(IHZ_HAZ_UNIT,24,1)="",),FALSE,TRUE),TRUE)</f>
        <v>1</v>
      </c>
      <c r="H1031" t="str">
        <f t="shared" si="32"/>
        <v>Row 24 - For ‘Transport unit’ if ‘Amount’ is given then ‘Gross / Net’ and ‘Amount unit’ are required</v>
      </c>
      <c r="I1031" t="s">
        <v>33308</v>
      </c>
      <c r="J1031" t="b">
        <f>IF(OR(INDEX(OHZ_HAZ_AMOUNT,24,1)&lt;&gt;"",),IF(OR(INDEX(OHZ_HAZ_NETGROSS,24,1)="",INDEX(OHZ_HAZ_UNIT,24,1)="",),FALSE,TRUE),TRUE)</f>
        <v>1</v>
      </c>
      <c r="K1031" t="str">
        <f t="shared" si="33"/>
        <v>Row 24 - For ‘Transport unit’ if ‘Amount’ is given then ‘Gross / Net’ and ‘Amount unit’ are required</v>
      </c>
      <c r="L1031" t="s">
        <v>33308</v>
      </c>
    </row>
    <row r="1032" spans="7:12" x14ac:dyDescent="0.2">
      <c r="G1032" t="b">
        <f>IF(OR(INDEX(IHZ_HAZ_AMOUNT,25,1)&lt;&gt;"",),IF(OR(INDEX(IHZ_HAZ_NETGROSS,25,1)="",INDEX(IHZ_HAZ_UNIT,25,1)="",),FALSE,TRUE),TRUE)</f>
        <v>1</v>
      </c>
      <c r="H1032" t="str">
        <f t="shared" si="32"/>
        <v>Row 25 - For ‘Transport unit’ if ‘Amount’ is given then ‘Gross / Net’ and ‘Amount unit’ are required</v>
      </c>
      <c r="I1032" t="s">
        <v>33308</v>
      </c>
      <c r="J1032" t="b">
        <f>IF(OR(INDEX(OHZ_HAZ_AMOUNT,25,1)&lt;&gt;"",),IF(OR(INDEX(OHZ_HAZ_NETGROSS,25,1)="",INDEX(OHZ_HAZ_UNIT,25,1)="",),FALSE,TRUE),TRUE)</f>
        <v>1</v>
      </c>
      <c r="K1032" t="str">
        <f t="shared" si="33"/>
        <v>Row 25 - For ‘Transport unit’ if ‘Amount’ is given then ‘Gross / Net’ and ‘Amount unit’ are required</v>
      </c>
      <c r="L1032" t="s">
        <v>33308</v>
      </c>
    </row>
    <row r="1033" spans="7:12" x14ac:dyDescent="0.2">
      <c r="G1033" t="b">
        <f>IF(OR(INDEX(IHZ_HAZ_AMOUNT,26,1)&lt;&gt;"",),IF(OR(INDEX(IHZ_HAZ_NETGROSS,26,1)="",INDEX(IHZ_HAZ_UNIT,26,1)="",),FALSE,TRUE),TRUE)</f>
        <v>1</v>
      </c>
      <c r="H1033" t="str">
        <f t="shared" si="32"/>
        <v>Row 26 - For ‘Transport unit’ if ‘Amount’ is given then ‘Gross / Net’ and ‘Amount unit’ are required</v>
      </c>
      <c r="I1033" t="s">
        <v>33308</v>
      </c>
      <c r="J1033" t="b">
        <f>IF(OR(INDEX(OHZ_HAZ_AMOUNT,26,1)&lt;&gt;"",),IF(OR(INDEX(OHZ_HAZ_NETGROSS,26,1)="",INDEX(OHZ_HAZ_UNIT,26,1)="",),FALSE,TRUE),TRUE)</f>
        <v>1</v>
      </c>
      <c r="K1033" t="str">
        <f t="shared" si="33"/>
        <v>Row 26 - For ‘Transport unit’ if ‘Amount’ is given then ‘Gross / Net’ and ‘Amount unit’ are required</v>
      </c>
      <c r="L1033" t="s">
        <v>33308</v>
      </c>
    </row>
    <row r="1034" spans="7:12" x14ac:dyDescent="0.2">
      <c r="G1034" t="b">
        <f>IF(OR(INDEX(IHZ_HAZ_AMOUNT,27,1)&lt;&gt;"",),IF(OR(INDEX(IHZ_HAZ_NETGROSS,27,1)="",INDEX(IHZ_HAZ_UNIT,27,1)="",),FALSE,TRUE),TRUE)</f>
        <v>1</v>
      </c>
      <c r="H1034" t="str">
        <f t="shared" si="32"/>
        <v>Row 27 - For ‘Transport unit’ if ‘Amount’ is given then ‘Gross / Net’ and ‘Amount unit’ are required</v>
      </c>
      <c r="I1034" t="s">
        <v>33308</v>
      </c>
      <c r="J1034" t="b">
        <f>IF(OR(INDEX(OHZ_HAZ_AMOUNT,27,1)&lt;&gt;"",),IF(OR(INDEX(OHZ_HAZ_NETGROSS,27,1)="",INDEX(OHZ_HAZ_UNIT,27,1)="",),FALSE,TRUE),TRUE)</f>
        <v>1</v>
      </c>
      <c r="K1034" t="str">
        <f t="shared" si="33"/>
        <v>Row 27 - For ‘Transport unit’ if ‘Amount’ is given then ‘Gross / Net’ and ‘Amount unit’ are required</v>
      </c>
      <c r="L1034" t="s">
        <v>33308</v>
      </c>
    </row>
    <row r="1035" spans="7:12" x14ac:dyDescent="0.2">
      <c r="G1035" t="b">
        <f>IF(OR(INDEX(IHZ_HAZ_AMOUNT,28,1)&lt;&gt;"",),IF(OR(INDEX(IHZ_HAZ_NETGROSS,28,1)="",INDEX(IHZ_HAZ_UNIT,28,1)="",),FALSE,TRUE),TRUE)</f>
        <v>1</v>
      </c>
      <c r="H1035" t="str">
        <f t="shared" si="32"/>
        <v>Row 28 - For ‘Transport unit’ if ‘Amount’ is given then ‘Gross / Net’ and ‘Amount unit’ are required</v>
      </c>
      <c r="I1035" t="s">
        <v>33308</v>
      </c>
      <c r="J1035" t="b">
        <f>IF(OR(INDEX(OHZ_HAZ_AMOUNT,28,1)&lt;&gt;"",),IF(OR(INDEX(OHZ_HAZ_NETGROSS,28,1)="",INDEX(OHZ_HAZ_UNIT,28,1)="",),FALSE,TRUE),TRUE)</f>
        <v>1</v>
      </c>
      <c r="K1035" t="str">
        <f t="shared" si="33"/>
        <v>Row 28 - For ‘Transport unit’ if ‘Amount’ is given then ‘Gross / Net’ and ‘Amount unit’ are required</v>
      </c>
      <c r="L1035" t="s">
        <v>33308</v>
      </c>
    </row>
    <row r="1036" spans="7:12" x14ac:dyDescent="0.2">
      <c r="G1036" t="b">
        <f>IF(OR(INDEX(IHZ_HAZ_AMOUNT,29,1)&lt;&gt;"",),IF(OR(INDEX(IHZ_HAZ_NETGROSS,29,1)="",INDEX(IHZ_HAZ_UNIT,29,1)="",),FALSE,TRUE),TRUE)</f>
        <v>1</v>
      </c>
      <c r="H1036" t="str">
        <f t="shared" si="32"/>
        <v>Row 29 - For ‘Transport unit’ if ‘Amount’ is given then ‘Gross / Net’ and ‘Amount unit’ are required</v>
      </c>
      <c r="I1036" t="s">
        <v>33308</v>
      </c>
      <c r="J1036" t="b">
        <f>IF(OR(INDEX(OHZ_HAZ_AMOUNT,29,1)&lt;&gt;"",),IF(OR(INDEX(OHZ_HAZ_NETGROSS,29,1)="",INDEX(OHZ_HAZ_UNIT,29,1)="",),FALSE,TRUE),TRUE)</f>
        <v>1</v>
      </c>
      <c r="K1036" t="str">
        <f t="shared" si="33"/>
        <v>Row 29 - For ‘Transport unit’ if ‘Amount’ is given then ‘Gross / Net’ and ‘Amount unit’ are required</v>
      </c>
      <c r="L1036" t="s">
        <v>33308</v>
      </c>
    </row>
    <row r="1037" spans="7:12" x14ac:dyDescent="0.2">
      <c r="G1037" t="b">
        <f>IF(OR(INDEX(IHZ_HAZ_AMOUNT,30,1)&lt;&gt;"",),IF(OR(INDEX(IHZ_HAZ_NETGROSS,30,1)="",INDEX(IHZ_HAZ_UNIT,30,1)="",),FALSE,TRUE),TRUE)</f>
        <v>1</v>
      </c>
      <c r="H1037" t="str">
        <f t="shared" si="32"/>
        <v>Row 30 - For ‘Transport unit’ if ‘Amount’ is given then ‘Gross / Net’ and ‘Amount unit’ are required</v>
      </c>
      <c r="I1037" t="s">
        <v>33308</v>
      </c>
      <c r="J1037" t="b">
        <f>IF(OR(INDEX(OHZ_HAZ_AMOUNT,30,1)&lt;&gt;"",),IF(OR(INDEX(OHZ_HAZ_NETGROSS,30,1)="",INDEX(OHZ_HAZ_UNIT,30,1)="",),FALSE,TRUE),TRUE)</f>
        <v>1</v>
      </c>
      <c r="K1037" t="str">
        <f t="shared" si="33"/>
        <v>Row 30 - For ‘Transport unit’ if ‘Amount’ is given then ‘Gross / Net’ and ‘Amount unit’ are required</v>
      </c>
      <c r="L1037" t="s">
        <v>33308</v>
      </c>
    </row>
    <row r="1038" spans="7:12" x14ac:dyDescent="0.2">
      <c r="G1038" t="b">
        <f>IF(OR(INDEX(IHZ_HAZ_AMOUNT,31,1)&lt;&gt;"",),IF(OR(INDEX(IHZ_HAZ_NETGROSS,31,1)="",INDEX(IHZ_HAZ_UNIT,31,1)="",),FALSE,TRUE),TRUE)</f>
        <v>1</v>
      </c>
      <c r="H1038" t="str">
        <f t="shared" si="32"/>
        <v>Row 31 - For ‘Transport unit’ if ‘Amount’ is given then ‘Gross / Net’ and ‘Amount unit’ are required</v>
      </c>
      <c r="I1038" t="s">
        <v>33308</v>
      </c>
      <c r="J1038" t="b">
        <f>IF(OR(INDEX(OHZ_HAZ_AMOUNT,31,1)&lt;&gt;"",),IF(OR(INDEX(OHZ_HAZ_NETGROSS,31,1)="",INDEX(OHZ_HAZ_UNIT,31,1)="",),FALSE,TRUE),TRUE)</f>
        <v>1</v>
      </c>
      <c r="K1038" t="str">
        <f t="shared" si="33"/>
        <v>Row 31 - For ‘Transport unit’ if ‘Amount’ is given then ‘Gross / Net’ and ‘Amount unit’ are required</v>
      </c>
      <c r="L1038" t="s">
        <v>33308</v>
      </c>
    </row>
    <row r="1039" spans="7:12" x14ac:dyDescent="0.2">
      <c r="G1039" t="b">
        <f>IF(OR(INDEX(IHZ_HAZ_AMOUNT,32,1)&lt;&gt;"",),IF(OR(INDEX(IHZ_HAZ_NETGROSS,32,1)="",INDEX(IHZ_HAZ_UNIT,32,1)="",),FALSE,TRUE),TRUE)</f>
        <v>1</v>
      </c>
      <c r="H1039" t="str">
        <f t="shared" si="32"/>
        <v>Row 32 - For ‘Transport unit’ if ‘Amount’ is given then ‘Gross / Net’ and ‘Amount unit’ are required</v>
      </c>
      <c r="I1039" t="s">
        <v>33308</v>
      </c>
      <c r="J1039" t="b">
        <f>IF(OR(INDEX(OHZ_HAZ_AMOUNT,32,1)&lt;&gt;"",),IF(OR(INDEX(OHZ_HAZ_NETGROSS,32,1)="",INDEX(OHZ_HAZ_UNIT,32,1)="",),FALSE,TRUE),TRUE)</f>
        <v>1</v>
      </c>
      <c r="K1039" t="str">
        <f t="shared" si="33"/>
        <v>Row 32 - For ‘Transport unit’ if ‘Amount’ is given then ‘Gross / Net’ and ‘Amount unit’ are required</v>
      </c>
      <c r="L1039" t="s">
        <v>33308</v>
      </c>
    </row>
    <row r="1040" spans="7:12" x14ac:dyDescent="0.2">
      <c r="G1040" t="b">
        <f>IF(OR(INDEX(IHZ_HAZ_AMOUNT,33,1)&lt;&gt;"",),IF(OR(INDEX(IHZ_HAZ_NETGROSS,33,1)="",INDEX(IHZ_HAZ_UNIT,33,1)="",),FALSE,TRUE),TRUE)</f>
        <v>1</v>
      </c>
      <c r="H1040" t="str">
        <f t="shared" si="32"/>
        <v>Row 33 - For ‘Transport unit’ if ‘Amount’ is given then ‘Gross / Net’ and ‘Amount unit’ are required</v>
      </c>
      <c r="I1040" t="s">
        <v>33308</v>
      </c>
      <c r="J1040" t="b">
        <f>IF(OR(INDEX(OHZ_HAZ_AMOUNT,33,1)&lt;&gt;"",),IF(OR(INDEX(OHZ_HAZ_NETGROSS,33,1)="",INDEX(OHZ_HAZ_UNIT,33,1)="",),FALSE,TRUE),TRUE)</f>
        <v>1</v>
      </c>
      <c r="K1040" t="str">
        <f t="shared" si="33"/>
        <v>Row 33 - For ‘Transport unit’ if ‘Amount’ is given then ‘Gross / Net’ and ‘Amount unit’ are required</v>
      </c>
      <c r="L1040" t="s">
        <v>33308</v>
      </c>
    </row>
    <row r="1041" spans="7:12" x14ac:dyDescent="0.2">
      <c r="G1041" t="b">
        <f>IF(OR(INDEX(IHZ_HAZ_AMOUNT,34,1)&lt;&gt;"",),IF(OR(INDEX(IHZ_HAZ_NETGROSS,34,1)="",INDEX(IHZ_HAZ_UNIT,34,1)="",),FALSE,TRUE),TRUE)</f>
        <v>1</v>
      </c>
      <c r="H1041" t="str">
        <f t="shared" si="32"/>
        <v>Row 34 - For ‘Transport unit’ if ‘Amount’ is given then ‘Gross / Net’ and ‘Amount unit’ are required</v>
      </c>
      <c r="I1041" t="s">
        <v>33308</v>
      </c>
      <c r="J1041" t="b">
        <f>IF(OR(INDEX(OHZ_HAZ_AMOUNT,34,1)&lt;&gt;"",),IF(OR(INDEX(OHZ_HAZ_NETGROSS,34,1)="",INDEX(OHZ_HAZ_UNIT,34,1)="",),FALSE,TRUE),TRUE)</f>
        <v>1</v>
      </c>
      <c r="K1041" t="str">
        <f t="shared" si="33"/>
        <v>Row 34 - For ‘Transport unit’ if ‘Amount’ is given then ‘Gross / Net’ and ‘Amount unit’ are required</v>
      </c>
      <c r="L1041" t="s">
        <v>33308</v>
      </c>
    </row>
    <row r="1042" spans="7:12" x14ac:dyDescent="0.2">
      <c r="G1042" t="b">
        <f>IF(OR(INDEX(IHZ_HAZ_AMOUNT,35,1)&lt;&gt;"",),IF(OR(INDEX(IHZ_HAZ_NETGROSS,35,1)="",INDEX(IHZ_HAZ_UNIT,35,1)="",),FALSE,TRUE),TRUE)</f>
        <v>1</v>
      </c>
      <c r="H1042" t="str">
        <f t="shared" si="32"/>
        <v>Row 35 - For ‘Transport unit’ if ‘Amount’ is given then ‘Gross / Net’ and ‘Amount unit’ are required</v>
      </c>
      <c r="I1042" t="s">
        <v>33308</v>
      </c>
      <c r="J1042" t="b">
        <f>IF(OR(INDEX(OHZ_HAZ_AMOUNT,35,1)&lt;&gt;"",),IF(OR(INDEX(OHZ_HAZ_NETGROSS,35,1)="",INDEX(OHZ_HAZ_UNIT,35,1)="",),FALSE,TRUE),TRUE)</f>
        <v>1</v>
      </c>
      <c r="K1042" t="str">
        <f t="shared" si="33"/>
        <v>Row 35 - For ‘Transport unit’ if ‘Amount’ is given then ‘Gross / Net’ and ‘Amount unit’ are required</v>
      </c>
      <c r="L1042" t="s">
        <v>33308</v>
      </c>
    </row>
    <row r="1043" spans="7:12" x14ac:dyDescent="0.2">
      <c r="G1043" t="b">
        <f>IF(OR(INDEX(IHZ_HAZ_AMOUNT,36,1)&lt;&gt;"",),IF(OR(INDEX(IHZ_HAZ_NETGROSS,36,1)="",INDEX(IHZ_HAZ_UNIT,36,1)="",),FALSE,TRUE),TRUE)</f>
        <v>1</v>
      </c>
      <c r="H1043" t="str">
        <f t="shared" si="32"/>
        <v>Row 36 - For ‘Transport unit’ if ‘Amount’ is given then ‘Gross / Net’ and ‘Amount unit’ are required</v>
      </c>
      <c r="I1043" t="s">
        <v>33308</v>
      </c>
      <c r="J1043" t="b">
        <f>IF(OR(INDEX(OHZ_HAZ_AMOUNT,36,1)&lt;&gt;"",),IF(OR(INDEX(OHZ_HAZ_NETGROSS,36,1)="",INDEX(OHZ_HAZ_UNIT,36,1)="",),FALSE,TRUE),TRUE)</f>
        <v>1</v>
      </c>
      <c r="K1043" t="str">
        <f t="shared" si="33"/>
        <v>Row 36 - For ‘Transport unit’ if ‘Amount’ is given then ‘Gross / Net’ and ‘Amount unit’ are required</v>
      </c>
      <c r="L1043" t="s">
        <v>33308</v>
      </c>
    </row>
    <row r="1044" spans="7:12" x14ac:dyDescent="0.2">
      <c r="G1044" t="b">
        <f>IF(OR(INDEX(IHZ_HAZ_AMOUNT,37,1)&lt;&gt;"",),IF(OR(INDEX(IHZ_HAZ_NETGROSS,37,1)="",INDEX(IHZ_HAZ_UNIT,37,1)="",),FALSE,TRUE),TRUE)</f>
        <v>1</v>
      </c>
      <c r="H1044" t="str">
        <f t="shared" si="32"/>
        <v>Row 37 - For ‘Transport unit’ if ‘Amount’ is given then ‘Gross / Net’ and ‘Amount unit’ are required</v>
      </c>
      <c r="I1044" t="s">
        <v>33308</v>
      </c>
      <c r="J1044" t="b">
        <f>IF(OR(INDEX(OHZ_HAZ_AMOUNT,37,1)&lt;&gt;"",),IF(OR(INDEX(OHZ_HAZ_NETGROSS,37,1)="",INDEX(OHZ_HAZ_UNIT,37,1)="",),FALSE,TRUE),TRUE)</f>
        <v>1</v>
      </c>
      <c r="K1044" t="str">
        <f t="shared" si="33"/>
        <v>Row 37 - For ‘Transport unit’ if ‘Amount’ is given then ‘Gross / Net’ and ‘Amount unit’ are required</v>
      </c>
      <c r="L1044" t="s">
        <v>33308</v>
      </c>
    </row>
    <row r="1045" spans="7:12" x14ac:dyDescent="0.2">
      <c r="G1045" t="b">
        <f>IF(OR(INDEX(IHZ_HAZ_AMOUNT,38,1)&lt;&gt;"",),IF(OR(INDEX(IHZ_HAZ_NETGROSS,38,1)="",INDEX(IHZ_HAZ_UNIT,38,1)="",),FALSE,TRUE),TRUE)</f>
        <v>1</v>
      </c>
      <c r="H1045" t="str">
        <f t="shared" si="32"/>
        <v>Row 38 - For ‘Transport unit’ if ‘Amount’ is given then ‘Gross / Net’ and ‘Amount unit’ are required</v>
      </c>
      <c r="I1045" t="s">
        <v>33308</v>
      </c>
      <c r="J1045" t="b">
        <f>IF(OR(INDEX(OHZ_HAZ_AMOUNT,38,1)&lt;&gt;"",),IF(OR(INDEX(OHZ_HAZ_NETGROSS,38,1)="",INDEX(OHZ_HAZ_UNIT,38,1)="",),FALSE,TRUE),TRUE)</f>
        <v>1</v>
      </c>
      <c r="K1045" t="str">
        <f t="shared" si="33"/>
        <v>Row 38 - For ‘Transport unit’ if ‘Amount’ is given then ‘Gross / Net’ and ‘Amount unit’ are required</v>
      </c>
      <c r="L1045" t="s">
        <v>33308</v>
      </c>
    </row>
    <row r="1046" spans="7:12" x14ac:dyDescent="0.2">
      <c r="G1046" t="b">
        <f>IF(OR(INDEX(IHZ_HAZ_AMOUNT,39,1)&lt;&gt;"",),IF(OR(INDEX(IHZ_HAZ_NETGROSS,39,1)="",INDEX(IHZ_HAZ_UNIT,39,1)="",),FALSE,TRUE),TRUE)</f>
        <v>1</v>
      </c>
      <c r="H1046" t="str">
        <f t="shared" si="32"/>
        <v>Row 39 - For ‘Transport unit’ if ‘Amount’ is given then ‘Gross / Net’ and ‘Amount unit’ are required</v>
      </c>
      <c r="I1046" t="s">
        <v>33308</v>
      </c>
      <c r="J1046" t="b">
        <f>IF(OR(INDEX(OHZ_HAZ_AMOUNT,39,1)&lt;&gt;"",),IF(OR(INDEX(OHZ_HAZ_NETGROSS,39,1)="",INDEX(OHZ_HAZ_UNIT,39,1)="",),FALSE,TRUE),TRUE)</f>
        <v>1</v>
      </c>
      <c r="K1046" t="str">
        <f t="shared" si="33"/>
        <v>Row 39 - For ‘Transport unit’ if ‘Amount’ is given then ‘Gross / Net’ and ‘Amount unit’ are required</v>
      </c>
      <c r="L1046" t="s">
        <v>33308</v>
      </c>
    </row>
    <row r="1047" spans="7:12" x14ac:dyDescent="0.2">
      <c r="G1047" t="b">
        <f>IF(OR(INDEX(IHZ_HAZ_AMOUNT,40,1)&lt;&gt;"",),IF(OR(INDEX(IHZ_HAZ_NETGROSS,40,1)="",INDEX(IHZ_HAZ_UNIT,40,1)="",),FALSE,TRUE),TRUE)</f>
        <v>1</v>
      </c>
      <c r="H1047" t="str">
        <f t="shared" si="32"/>
        <v>Row 40 - For ‘Transport unit’ if ‘Amount’ is given then ‘Gross / Net’ and ‘Amount unit’ are required</v>
      </c>
      <c r="I1047" t="s">
        <v>33308</v>
      </c>
      <c r="J1047" t="b">
        <f>IF(OR(INDEX(OHZ_HAZ_AMOUNT,40,1)&lt;&gt;"",),IF(OR(INDEX(OHZ_HAZ_NETGROSS,40,1)="",INDEX(OHZ_HAZ_UNIT,40,1)="",),FALSE,TRUE),TRUE)</f>
        <v>1</v>
      </c>
      <c r="K1047" t="str">
        <f t="shared" si="33"/>
        <v>Row 40 - For ‘Transport unit’ if ‘Amount’ is given then ‘Gross / Net’ and ‘Amount unit’ are required</v>
      </c>
      <c r="L1047" t="s">
        <v>33308</v>
      </c>
    </row>
    <row r="1048" spans="7:12" x14ac:dyDescent="0.2">
      <c r="G1048" t="b">
        <f>IF(OR(INDEX(IHZ_HAZ_AMOUNT,41,1)&lt;&gt;"",),IF(OR(INDEX(IHZ_HAZ_NETGROSS,41,1)="",INDEX(IHZ_HAZ_UNIT,41,1)="",),FALSE,TRUE),TRUE)</f>
        <v>1</v>
      </c>
      <c r="H1048" t="str">
        <f t="shared" si="32"/>
        <v>Row 41 - For ‘Transport unit’ if ‘Amount’ is given then ‘Gross / Net’ and ‘Amount unit’ are required</v>
      </c>
      <c r="I1048" t="s">
        <v>33308</v>
      </c>
      <c r="J1048" t="b">
        <f>IF(OR(INDEX(OHZ_HAZ_AMOUNT,41,1)&lt;&gt;"",),IF(OR(INDEX(OHZ_HAZ_NETGROSS,41,1)="",INDEX(OHZ_HAZ_UNIT,41,1)="",),FALSE,TRUE),TRUE)</f>
        <v>1</v>
      </c>
      <c r="K1048" t="str">
        <f t="shared" si="33"/>
        <v>Row 41 - For ‘Transport unit’ if ‘Amount’ is given then ‘Gross / Net’ and ‘Amount unit’ are required</v>
      </c>
      <c r="L1048" t="s">
        <v>33308</v>
      </c>
    </row>
    <row r="1049" spans="7:12" x14ac:dyDescent="0.2">
      <c r="G1049" t="b">
        <f>IF(OR(INDEX(IHZ_HAZ_AMOUNT,42,1)&lt;&gt;"",),IF(OR(INDEX(IHZ_HAZ_NETGROSS,42,1)="",INDEX(IHZ_HAZ_UNIT,42,1)="",),FALSE,TRUE),TRUE)</f>
        <v>1</v>
      </c>
      <c r="H1049" t="str">
        <f t="shared" si="32"/>
        <v>Row 42 - For ‘Transport unit’ if ‘Amount’ is given then ‘Gross / Net’ and ‘Amount unit’ are required</v>
      </c>
      <c r="I1049" t="s">
        <v>33308</v>
      </c>
      <c r="J1049" t="b">
        <f>IF(OR(INDEX(OHZ_HAZ_AMOUNT,42,1)&lt;&gt;"",),IF(OR(INDEX(OHZ_HAZ_NETGROSS,42,1)="",INDEX(OHZ_HAZ_UNIT,42,1)="",),FALSE,TRUE),TRUE)</f>
        <v>1</v>
      </c>
      <c r="K1049" t="str">
        <f t="shared" si="33"/>
        <v>Row 42 - For ‘Transport unit’ if ‘Amount’ is given then ‘Gross / Net’ and ‘Amount unit’ are required</v>
      </c>
      <c r="L1049" t="s">
        <v>33308</v>
      </c>
    </row>
    <row r="1050" spans="7:12" x14ac:dyDescent="0.2">
      <c r="G1050" t="b">
        <f>IF(OR(INDEX(IHZ_HAZ_AMOUNT,43,1)&lt;&gt;"",),IF(OR(INDEX(IHZ_HAZ_NETGROSS,43,1)="",INDEX(IHZ_HAZ_UNIT,43,1)="",),FALSE,TRUE),TRUE)</f>
        <v>1</v>
      </c>
      <c r="H1050" t="str">
        <f t="shared" si="32"/>
        <v>Row 43 - For ‘Transport unit’ if ‘Amount’ is given then ‘Gross / Net’ and ‘Amount unit’ are required</v>
      </c>
      <c r="I1050" t="s">
        <v>33308</v>
      </c>
      <c r="J1050" t="b">
        <f>IF(OR(INDEX(OHZ_HAZ_AMOUNT,43,1)&lt;&gt;"",),IF(OR(INDEX(OHZ_HAZ_NETGROSS,43,1)="",INDEX(OHZ_HAZ_UNIT,43,1)="",),FALSE,TRUE),TRUE)</f>
        <v>1</v>
      </c>
      <c r="K1050" t="str">
        <f t="shared" si="33"/>
        <v>Row 43 - For ‘Transport unit’ if ‘Amount’ is given then ‘Gross / Net’ and ‘Amount unit’ are required</v>
      </c>
      <c r="L1050" t="s">
        <v>33308</v>
      </c>
    </row>
    <row r="1051" spans="7:12" x14ac:dyDescent="0.2">
      <c r="G1051" t="b">
        <f>IF(OR(INDEX(IHZ_HAZ_AMOUNT,44,1)&lt;&gt;"",),IF(OR(INDEX(IHZ_HAZ_NETGROSS,44,1)="",INDEX(IHZ_HAZ_UNIT,44,1)="",),FALSE,TRUE),TRUE)</f>
        <v>1</v>
      </c>
      <c r="H1051" t="str">
        <f t="shared" si="32"/>
        <v>Row 44 - For ‘Transport unit’ if ‘Amount’ is given then ‘Gross / Net’ and ‘Amount unit’ are required</v>
      </c>
      <c r="I1051" t="s">
        <v>33308</v>
      </c>
      <c r="J1051" t="b">
        <f>IF(OR(INDEX(OHZ_HAZ_AMOUNT,44,1)&lt;&gt;"",),IF(OR(INDEX(OHZ_HAZ_NETGROSS,44,1)="",INDEX(OHZ_HAZ_UNIT,44,1)="",),FALSE,TRUE),TRUE)</f>
        <v>1</v>
      </c>
      <c r="K1051" t="str">
        <f t="shared" si="33"/>
        <v>Row 44 - For ‘Transport unit’ if ‘Amount’ is given then ‘Gross / Net’ and ‘Amount unit’ are required</v>
      </c>
      <c r="L1051" t="s">
        <v>33308</v>
      </c>
    </row>
    <row r="1052" spans="7:12" x14ac:dyDescent="0.2">
      <c r="G1052" t="b">
        <f>IF(OR(INDEX(IHZ_HAZ_AMOUNT,45,1)&lt;&gt;"",),IF(OR(INDEX(IHZ_HAZ_NETGROSS,45,1)="",INDEX(IHZ_HAZ_UNIT,45,1)="",),FALSE,TRUE),TRUE)</f>
        <v>1</v>
      </c>
      <c r="H1052" t="str">
        <f t="shared" si="32"/>
        <v>Row 45 - For ‘Transport unit’ if ‘Amount’ is given then ‘Gross / Net’ and ‘Amount unit’ are required</v>
      </c>
      <c r="I1052" t="s">
        <v>33308</v>
      </c>
      <c r="J1052" t="b">
        <f>IF(OR(INDEX(OHZ_HAZ_AMOUNT,45,1)&lt;&gt;"",),IF(OR(INDEX(OHZ_HAZ_NETGROSS,45,1)="",INDEX(OHZ_HAZ_UNIT,45,1)="",),FALSE,TRUE),TRUE)</f>
        <v>1</v>
      </c>
      <c r="K1052" t="str">
        <f t="shared" si="33"/>
        <v>Row 45 - For ‘Transport unit’ if ‘Amount’ is given then ‘Gross / Net’ and ‘Amount unit’ are required</v>
      </c>
      <c r="L1052" t="s">
        <v>33308</v>
      </c>
    </row>
    <row r="1053" spans="7:12" x14ac:dyDescent="0.2">
      <c r="G1053" t="b">
        <f>IF(OR(INDEX(IHZ_HAZ_AMOUNT,46,1)&lt;&gt;"",),IF(OR(INDEX(IHZ_HAZ_NETGROSS,46,1)="",INDEX(IHZ_HAZ_UNIT,46,1)="",),FALSE,TRUE),TRUE)</f>
        <v>1</v>
      </c>
      <c r="H1053" t="str">
        <f t="shared" si="32"/>
        <v>Row 46 - For ‘Transport unit’ if ‘Amount’ is given then ‘Gross / Net’ and ‘Amount unit’ are required</v>
      </c>
      <c r="I1053" t="s">
        <v>33308</v>
      </c>
      <c r="J1053" t="b">
        <f>IF(OR(INDEX(OHZ_HAZ_AMOUNT,46,1)&lt;&gt;"",),IF(OR(INDEX(OHZ_HAZ_NETGROSS,46,1)="",INDEX(OHZ_HAZ_UNIT,46,1)="",),FALSE,TRUE),TRUE)</f>
        <v>1</v>
      </c>
      <c r="K1053" t="str">
        <f t="shared" si="33"/>
        <v>Row 46 - For ‘Transport unit’ if ‘Amount’ is given then ‘Gross / Net’ and ‘Amount unit’ are required</v>
      </c>
      <c r="L1053" t="s">
        <v>33308</v>
      </c>
    </row>
    <row r="1054" spans="7:12" x14ac:dyDescent="0.2">
      <c r="G1054" t="b">
        <f>IF(OR(INDEX(IHZ_HAZ_AMOUNT,47,1)&lt;&gt;"",),IF(OR(INDEX(IHZ_HAZ_NETGROSS,47,1)="",INDEX(IHZ_HAZ_UNIT,47,1)="",),FALSE,TRUE),TRUE)</f>
        <v>1</v>
      </c>
      <c r="H1054" t="str">
        <f t="shared" si="32"/>
        <v>Row 47 - For ‘Transport unit’ if ‘Amount’ is given then ‘Gross / Net’ and ‘Amount unit’ are required</v>
      </c>
      <c r="I1054" t="s">
        <v>33308</v>
      </c>
      <c r="J1054" t="b">
        <f>IF(OR(INDEX(OHZ_HAZ_AMOUNT,47,1)&lt;&gt;"",),IF(OR(INDEX(OHZ_HAZ_NETGROSS,47,1)="",INDEX(OHZ_HAZ_UNIT,47,1)="",),FALSE,TRUE),TRUE)</f>
        <v>1</v>
      </c>
      <c r="K1054" t="str">
        <f t="shared" si="33"/>
        <v>Row 47 - For ‘Transport unit’ if ‘Amount’ is given then ‘Gross / Net’ and ‘Amount unit’ are required</v>
      </c>
      <c r="L1054" t="s">
        <v>33308</v>
      </c>
    </row>
    <row r="1055" spans="7:12" x14ac:dyDescent="0.2">
      <c r="G1055" t="b">
        <f>IF(OR(INDEX(IHZ_HAZ_AMOUNT,48,1)&lt;&gt;"",),IF(OR(INDEX(IHZ_HAZ_NETGROSS,48,1)="",INDEX(IHZ_HAZ_UNIT,48,1)="",),FALSE,TRUE),TRUE)</f>
        <v>1</v>
      </c>
      <c r="H1055" t="str">
        <f t="shared" si="32"/>
        <v>Row 48 - For ‘Transport unit’ if ‘Amount’ is given then ‘Gross / Net’ and ‘Amount unit’ are required</v>
      </c>
      <c r="I1055" t="s">
        <v>33308</v>
      </c>
      <c r="J1055" t="b">
        <f>IF(OR(INDEX(OHZ_HAZ_AMOUNT,48,1)&lt;&gt;"",),IF(OR(INDEX(OHZ_HAZ_NETGROSS,48,1)="",INDEX(OHZ_HAZ_UNIT,48,1)="",),FALSE,TRUE),TRUE)</f>
        <v>1</v>
      </c>
      <c r="K1055" t="str">
        <f t="shared" si="33"/>
        <v>Row 48 - For ‘Transport unit’ if ‘Amount’ is given then ‘Gross / Net’ and ‘Amount unit’ are required</v>
      </c>
      <c r="L1055" t="s">
        <v>33308</v>
      </c>
    </row>
    <row r="1056" spans="7:12" x14ac:dyDescent="0.2">
      <c r="G1056" t="b">
        <f>IF(OR(INDEX(IHZ_HAZ_AMOUNT,49,1)&lt;&gt;"",),IF(OR(INDEX(IHZ_HAZ_NETGROSS,49,1)="",INDEX(IHZ_HAZ_UNIT,49,1)="",),FALSE,TRUE),TRUE)</f>
        <v>1</v>
      </c>
      <c r="H1056" t="str">
        <f t="shared" si="32"/>
        <v>Row 49 - For ‘Transport unit’ if ‘Amount’ is given then ‘Gross / Net’ and ‘Amount unit’ are required</v>
      </c>
      <c r="I1056" t="s">
        <v>33308</v>
      </c>
      <c r="J1056" t="b">
        <f>IF(OR(INDEX(OHZ_HAZ_AMOUNT,49,1)&lt;&gt;"",),IF(OR(INDEX(OHZ_HAZ_NETGROSS,49,1)="",INDEX(OHZ_HAZ_UNIT,49,1)="",),FALSE,TRUE),TRUE)</f>
        <v>1</v>
      </c>
      <c r="K1056" t="str">
        <f t="shared" si="33"/>
        <v>Row 49 - For ‘Transport unit’ if ‘Amount’ is given then ‘Gross / Net’ and ‘Amount unit’ are required</v>
      </c>
      <c r="L1056" t="s">
        <v>33308</v>
      </c>
    </row>
    <row r="1057" spans="7:12" x14ac:dyDescent="0.2">
      <c r="G1057" t="b">
        <f>IF(OR(INDEX(IHZ_HAZ_AMOUNT,50,1)&lt;&gt;"",),IF(OR(INDEX(IHZ_HAZ_NETGROSS,50,1)="",INDEX(IHZ_HAZ_UNIT,50,1)="",),FALSE,TRUE),TRUE)</f>
        <v>1</v>
      </c>
      <c r="H1057" t="str">
        <f t="shared" si="32"/>
        <v>Row 50 - For ‘Transport unit’ if ‘Amount’ is given then ‘Gross / Net’ and ‘Amount unit’ are required</v>
      </c>
      <c r="I1057" t="s">
        <v>33308</v>
      </c>
      <c r="J1057" t="b">
        <f>IF(OR(INDEX(OHZ_HAZ_AMOUNT,50,1)&lt;&gt;"",),IF(OR(INDEX(OHZ_HAZ_NETGROSS,50,1)="",INDEX(OHZ_HAZ_UNIT,50,1)="",),FALSE,TRUE),TRUE)</f>
        <v>1</v>
      </c>
      <c r="K1057" t="str">
        <f t="shared" si="33"/>
        <v>Row 50 - For ‘Transport unit’ if ‘Amount’ is given then ‘Gross / Net’ and ‘Amount unit’ are required</v>
      </c>
      <c r="L1057" t="s">
        <v>33308</v>
      </c>
    </row>
    <row r="1058" spans="7:12" x14ac:dyDescent="0.2">
      <c r="G1058" t="b">
        <f>IF(OR(INDEX(IHZ_HAZ_AMOUNT,51,1)&lt;&gt;"",),IF(OR(INDEX(IHZ_HAZ_NETGROSS,51,1)="",INDEX(IHZ_HAZ_UNIT,51,1)="",),FALSE,TRUE),TRUE)</f>
        <v>1</v>
      </c>
      <c r="H1058" t="str">
        <f t="shared" si="32"/>
        <v>Row 51 - For ‘Transport unit’ if ‘Amount’ is given then ‘Gross / Net’ and ‘Amount unit’ are required</v>
      </c>
      <c r="I1058" t="s">
        <v>33308</v>
      </c>
      <c r="J1058" t="b">
        <f>IF(OR(INDEX(OHZ_HAZ_AMOUNT,51,1)&lt;&gt;"",),IF(OR(INDEX(OHZ_HAZ_NETGROSS,51,1)="",INDEX(OHZ_HAZ_UNIT,51,1)="",),FALSE,TRUE),TRUE)</f>
        <v>1</v>
      </c>
      <c r="K1058" t="str">
        <f t="shared" si="33"/>
        <v>Row 51 - For ‘Transport unit’ if ‘Amount’ is given then ‘Gross / Net’ and ‘Amount unit’ are required</v>
      </c>
      <c r="L1058" t="s">
        <v>33308</v>
      </c>
    </row>
    <row r="1059" spans="7:12" x14ac:dyDescent="0.2">
      <c r="G1059" t="b">
        <f>IF(OR(INDEX(IHZ_HAZ_AMOUNT,52,1)&lt;&gt;"",),IF(OR(INDEX(IHZ_HAZ_NETGROSS,52,1)="",INDEX(IHZ_HAZ_UNIT,52,1)="",),FALSE,TRUE),TRUE)</f>
        <v>1</v>
      </c>
      <c r="H1059" t="str">
        <f t="shared" si="32"/>
        <v>Row 52 - For ‘Transport unit’ if ‘Amount’ is given then ‘Gross / Net’ and ‘Amount unit’ are required</v>
      </c>
      <c r="I1059" t="s">
        <v>33308</v>
      </c>
      <c r="J1059" t="b">
        <f>IF(OR(INDEX(OHZ_HAZ_AMOUNT,52,1)&lt;&gt;"",),IF(OR(INDEX(OHZ_HAZ_NETGROSS,52,1)="",INDEX(OHZ_HAZ_UNIT,52,1)="",),FALSE,TRUE),TRUE)</f>
        <v>1</v>
      </c>
      <c r="K1059" t="str">
        <f t="shared" si="33"/>
        <v>Row 52 - For ‘Transport unit’ if ‘Amount’ is given then ‘Gross / Net’ and ‘Amount unit’ are required</v>
      </c>
      <c r="L1059" t="s">
        <v>33308</v>
      </c>
    </row>
    <row r="1060" spans="7:12" x14ac:dyDescent="0.2">
      <c r="G1060" t="b">
        <f>IF(OR(INDEX(IHZ_HAZ_AMOUNT,53,1)&lt;&gt;"",),IF(OR(INDEX(IHZ_HAZ_NETGROSS,53,1)="",INDEX(IHZ_HAZ_UNIT,53,1)="",),FALSE,TRUE),TRUE)</f>
        <v>1</v>
      </c>
      <c r="H1060" t="str">
        <f t="shared" si="32"/>
        <v>Row 53 - For ‘Transport unit’ if ‘Amount’ is given then ‘Gross / Net’ and ‘Amount unit’ are required</v>
      </c>
      <c r="I1060" t="s">
        <v>33308</v>
      </c>
      <c r="J1060" t="b">
        <f>IF(OR(INDEX(OHZ_HAZ_AMOUNT,53,1)&lt;&gt;"",),IF(OR(INDEX(OHZ_HAZ_NETGROSS,53,1)="",INDEX(OHZ_HAZ_UNIT,53,1)="",),FALSE,TRUE),TRUE)</f>
        <v>1</v>
      </c>
      <c r="K1060" t="str">
        <f t="shared" si="33"/>
        <v>Row 53 - For ‘Transport unit’ if ‘Amount’ is given then ‘Gross / Net’ and ‘Amount unit’ are required</v>
      </c>
      <c r="L1060" t="s">
        <v>33308</v>
      </c>
    </row>
    <row r="1061" spans="7:12" x14ac:dyDescent="0.2">
      <c r="G1061" t="b">
        <f>IF(OR(INDEX(IHZ_HAZ_AMOUNT,54,1)&lt;&gt;"",),IF(OR(INDEX(IHZ_HAZ_NETGROSS,54,1)="",INDEX(IHZ_HAZ_UNIT,54,1)="",),FALSE,TRUE),TRUE)</f>
        <v>1</v>
      </c>
      <c r="H1061" t="str">
        <f t="shared" si="32"/>
        <v>Row 54 - For ‘Transport unit’ if ‘Amount’ is given then ‘Gross / Net’ and ‘Amount unit’ are required</v>
      </c>
      <c r="I1061" t="s">
        <v>33308</v>
      </c>
      <c r="J1061" t="b">
        <f>IF(OR(INDEX(OHZ_HAZ_AMOUNT,54,1)&lt;&gt;"",),IF(OR(INDEX(OHZ_HAZ_NETGROSS,54,1)="",INDEX(OHZ_HAZ_UNIT,54,1)="",),FALSE,TRUE),TRUE)</f>
        <v>1</v>
      </c>
      <c r="K1061" t="str">
        <f t="shared" si="33"/>
        <v>Row 54 - For ‘Transport unit’ if ‘Amount’ is given then ‘Gross / Net’ and ‘Amount unit’ are required</v>
      </c>
      <c r="L1061" t="s">
        <v>33308</v>
      </c>
    </row>
    <row r="1062" spans="7:12" x14ac:dyDescent="0.2">
      <c r="G1062" t="b">
        <f>IF(OR(INDEX(IHZ_HAZ_AMOUNT,55,1)&lt;&gt;"",),IF(OR(INDEX(IHZ_HAZ_NETGROSS,55,1)="",INDEX(IHZ_HAZ_UNIT,55,1)="",),FALSE,TRUE),TRUE)</f>
        <v>1</v>
      </c>
      <c r="H1062" t="str">
        <f t="shared" si="32"/>
        <v>Row 55 - For ‘Transport unit’ if ‘Amount’ is given then ‘Gross / Net’ and ‘Amount unit’ are required</v>
      </c>
      <c r="I1062" t="s">
        <v>33308</v>
      </c>
      <c r="J1062" t="b">
        <f>IF(OR(INDEX(OHZ_HAZ_AMOUNT,55,1)&lt;&gt;"",),IF(OR(INDEX(OHZ_HAZ_NETGROSS,55,1)="",INDEX(OHZ_HAZ_UNIT,55,1)="",),FALSE,TRUE),TRUE)</f>
        <v>1</v>
      </c>
      <c r="K1062" t="str">
        <f t="shared" si="33"/>
        <v>Row 55 - For ‘Transport unit’ if ‘Amount’ is given then ‘Gross / Net’ and ‘Amount unit’ are required</v>
      </c>
      <c r="L1062" t="s">
        <v>33308</v>
      </c>
    </row>
    <row r="1063" spans="7:12" x14ac:dyDescent="0.2">
      <c r="G1063" t="b">
        <f>IF(OR(INDEX(IHZ_HAZ_AMOUNT,56,1)&lt;&gt;"",),IF(OR(INDEX(IHZ_HAZ_NETGROSS,56,1)="",INDEX(IHZ_HAZ_UNIT,56,1)="",),FALSE,TRUE),TRUE)</f>
        <v>1</v>
      </c>
      <c r="H1063" t="str">
        <f t="shared" si="32"/>
        <v>Row 56 - For ‘Transport unit’ if ‘Amount’ is given then ‘Gross / Net’ and ‘Amount unit’ are required</v>
      </c>
      <c r="I1063" t="s">
        <v>33308</v>
      </c>
      <c r="J1063" t="b">
        <f>IF(OR(INDEX(OHZ_HAZ_AMOUNT,56,1)&lt;&gt;"",),IF(OR(INDEX(OHZ_HAZ_NETGROSS,56,1)="",INDEX(OHZ_HAZ_UNIT,56,1)="",),FALSE,TRUE),TRUE)</f>
        <v>1</v>
      </c>
      <c r="K1063" t="str">
        <f t="shared" si="33"/>
        <v>Row 56 - For ‘Transport unit’ if ‘Amount’ is given then ‘Gross / Net’ and ‘Amount unit’ are required</v>
      </c>
      <c r="L1063" t="s">
        <v>33308</v>
      </c>
    </row>
    <row r="1064" spans="7:12" x14ac:dyDescent="0.2">
      <c r="G1064" t="b">
        <f>IF(OR(INDEX(IHZ_HAZ_AMOUNT,57,1)&lt;&gt;"",),IF(OR(INDEX(IHZ_HAZ_NETGROSS,57,1)="",INDEX(IHZ_HAZ_UNIT,57,1)="",),FALSE,TRUE),TRUE)</f>
        <v>1</v>
      </c>
      <c r="H1064" t="str">
        <f t="shared" si="32"/>
        <v>Row 57 - For ‘Transport unit’ if ‘Amount’ is given then ‘Gross / Net’ and ‘Amount unit’ are required</v>
      </c>
      <c r="I1064" t="s">
        <v>33308</v>
      </c>
      <c r="J1064" t="b">
        <f>IF(OR(INDEX(OHZ_HAZ_AMOUNT,57,1)&lt;&gt;"",),IF(OR(INDEX(OHZ_HAZ_NETGROSS,57,1)="",INDEX(OHZ_HAZ_UNIT,57,1)="",),FALSE,TRUE),TRUE)</f>
        <v>1</v>
      </c>
      <c r="K1064" t="str">
        <f t="shared" si="33"/>
        <v>Row 57 - For ‘Transport unit’ if ‘Amount’ is given then ‘Gross / Net’ and ‘Amount unit’ are required</v>
      </c>
      <c r="L1064" t="s">
        <v>33308</v>
      </c>
    </row>
    <row r="1065" spans="7:12" x14ac:dyDescent="0.2">
      <c r="G1065" t="b">
        <f>IF(OR(INDEX(IHZ_HAZ_AMOUNT,58,1)&lt;&gt;"",),IF(OR(INDEX(IHZ_HAZ_NETGROSS,58,1)="",INDEX(IHZ_HAZ_UNIT,58,1)="",),FALSE,TRUE),TRUE)</f>
        <v>1</v>
      </c>
      <c r="H1065" t="str">
        <f t="shared" si="32"/>
        <v>Row 58 - For ‘Transport unit’ if ‘Amount’ is given then ‘Gross / Net’ and ‘Amount unit’ are required</v>
      </c>
      <c r="I1065" t="s">
        <v>33308</v>
      </c>
      <c r="J1065" t="b">
        <f>IF(OR(INDEX(OHZ_HAZ_AMOUNT,58,1)&lt;&gt;"",),IF(OR(INDEX(OHZ_HAZ_NETGROSS,58,1)="",INDEX(OHZ_HAZ_UNIT,58,1)="",),FALSE,TRUE),TRUE)</f>
        <v>1</v>
      </c>
      <c r="K1065" t="str">
        <f t="shared" si="33"/>
        <v>Row 58 - For ‘Transport unit’ if ‘Amount’ is given then ‘Gross / Net’ and ‘Amount unit’ are required</v>
      </c>
      <c r="L1065" t="s">
        <v>33308</v>
      </c>
    </row>
    <row r="1066" spans="7:12" x14ac:dyDescent="0.2">
      <c r="G1066" t="b">
        <f>IF(OR(INDEX(IHZ_HAZ_AMOUNT,59,1)&lt;&gt;"",),IF(OR(INDEX(IHZ_HAZ_NETGROSS,59,1)="",INDEX(IHZ_HAZ_UNIT,59,1)="",),FALSE,TRUE),TRUE)</f>
        <v>1</v>
      </c>
      <c r="H1066" t="str">
        <f t="shared" si="32"/>
        <v>Row 59 - For ‘Transport unit’ if ‘Amount’ is given then ‘Gross / Net’ and ‘Amount unit’ are required</v>
      </c>
      <c r="I1066" t="s">
        <v>33308</v>
      </c>
      <c r="J1066" t="b">
        <f>IF(OR(INDEX(OHZ_HAZ_AMOUNT,59,1)&lt;&gt;"",),IF(OR(INDEX(OHZ_HAZ_NETGROSS,59,1)="",INDEX(OHZ_HAZ_UNIT,59,1)="",),FALSE,TRUE),TRUE)</f>
        <v>1</v>
      </c>
      <c r="K1066" t="str">
        <f t="shared" si="33"/>
        <v>Row 59 - For ‘Transport unit’ if ‘Amount’ is given then ‘Gross / Net’ and ‘Amount unit’ are required</v>
      </c>
      <c r="L1066" t="s">
        <v>33308</v>
      </c>
    </row>
    <row r="1067" spans="7:12" x14ac:dyDescent="0.2">
      <c r="G1067" t="b">
        <f>IF(OR(INDEX(IHZ_HAZ_AMOUNT,60,1)&lt;&gt;"",),IF(OR(INDEX(IHZ_HAZ_NETGROSS,60,1)="",INDEX(IHZ_HAZ_UNIT,60,1)="",),FALSE,TRUE),TRUE)</f>
        <v>1</v>
      </c>
      <c r="H1067" t="str">
        <f t="shared" si="32"/>
        <v>Row 60 - For ‘Transport unit’ if ‘Amount’ is given then ‘Gross / Net’ and ‘Amount unit’ are required</v>
      </c>
      <c r="I1067" t="s">
        <v>33308</v>
      </c>
      <c r="J1067" t="b">
        <f>IF(OR(INDEX(OHZ_HAZ_AMOUNT,60,1)&lt;&gt;"",),IF(OR(INDEX(OHZ_HAZ_NETGROSS,60,1)="",INDEX(OHZ_HAZ_UNIT,60,1)="",),FALSE,TRUE),TRUE)</f>
        <v>1</v>
      </c>
      <c r="K1067" t="str">
        <f t="shared" si="33"/>
        <v>Row 60 - For ‘Transport unit’ if ‘Amount’ is given then ‘Gross / Net’ and ‘Amount unit’ are required</v>
      </c>
      <c r="L1067" t="s">
        <v>33308</v>
      </c>
    </row>
    <row r="1068" spans="7:12" x14ac:dyDescent="0.2">
      <c r="G1068" t="b">
        <f>IF(OR(INDEX(IHZ_HAZ_AMOUNT,61,1)&lt;&gt;"",),IF(OR(INDEX(IHZ_HAZ_NETGROSS,61,1)="",INDEX(IHZ_HAZ_UNIT,61,1)="",),FALSE,TRUE),TRUE)</f>
        <v>1</v>
      </c>
      <c r="H1068" t="str">
        <f t="shared" si="32"/>
        <v>Row 61 - For ‘Transport unit’ if ‘Amount’ is given then ‘Gross / Net’ and ‘Amount unit’ are required</v>
      </c>
      <c r="I1068" t="s">
        <v>33308</v>
      </c>
      <c r="J1068" t="b">
        <f>IF(OR(INDEX(OHZ_HAZ_AMOUNT,61,1)&lt;&gt;"",),IF(OR(INDEX(OHZ_HAZ_NETGROSS,61,1)="",INDEX(OHZ_HAZ_UNIT,61,1)="",),FALSE,TRUE),TRUE)</f>
        <v>1</v>
      </c>
      <c r="K1068" t="str">
        <f t="shared" si="33"/>
        <v>Row 61 - For ‘Transport unit’ if ‘Amount’ is given then ‘Gross / Net’ and ‘Amount unit’ are required</v>
      </c>
      <c r="L1068" t="s">
        <v>33308</v>
      </c>
    </row>
    <row r="1069" spans="7:12" x14ac:dyDescent="0.2">
      <c r="G1069" t="b">
        <f>IF(OR(INDEX(IHZ_HAZ_AMOUNT,62,1)&lt;&gt;"",),IF(OR(INDEX(IHZ_HAZ_NETGROSS,62,1)="",INDEX(IHZ_HAZ_UNIT,62,1)="",),FALSE,TRUE),TRUE)</f>
        <v>1</v>
      </c>
      <c r="H1069" t="str">
        <f t="shared" si="32"/>
        <v>Row 62 - For ‘Transport unit’ if ‘Amount’ is given then ‘Gross / Net’ and ‘Amount unit’ are required</v>
      </c>
      <c r="I1069" t="s">
        <v>33308</v>
      </c>
      <c r="J1069" t="b">
        <f>IF(OR(INDEX(OHZ_HAZ_AMOUNT,62,1)&lt;&gt;"",),IF(OR(INDEX(OHZ_HAZ_NETGROSS,62,1)="",INDEX(OHZ_HAZ_UNIT,62,1)="",),FALSE,TRUE),TRUE)</f>
        <v>1</v>
      </c>
      <c r="K1069" t="str">
        <f t="shared" si="33"/>
        <v>Row 62 - For ‘Transport unit’ if ‘Amount’ is given then ‘Gross / Net’ and ‘Amount unit’ are required</v>
      </c>
      <c r="L1069" t="s">
        <v>33308</v>
      </c>
    </row>
    <row r="1070" spans="7:12" x14ac:dyDescent="0.2">
      <c r="G1070" t="b">
        <f>IF(OR(INDEX(IHZ_HAZ_AMOUNT,63,1)&lt;&gt;"",),IF(OR(INDEX(IHZ_HAZ_NETGROSS,63,1)="",INDEX(IHZ_HAZ_UNIT,63,1)="",),FALSE,TRUE),TRUE)</f>
        <v>1</v>
      </c>
      <c r="H1070" t="str">
        <f t="shared" si="32"/>
        <v>Row 63 - For ‘Transport unit’ if ‘Amount’ is given then ‘Gross / Net’ and ‘Amount unit’ are required</v>
      </c>
      <c r="I1070" t="s">
        <v>33308</v>
      </c>
      <c r="J1070" t="b">
        <f>IF(OR(INDEX(OHZ_HAZ_AMOUNT,63,1)&lt;&gt;"",),IF(OR(INDEX(OHZ_HAZ_NETGROSS,63,1)="",INDEX(OHZ_HAZ_UNIT,63,1)="",),FALSE,TRUE),TRUE)</f>
        <v>1</v>
      </c>
      <c r="K1070" t="str">
        <f t="shared" si="33"/>
        <v>Row 63 - For ‘Transport unit’ if ‘Amount’ is given then ‘Gross / Net’ and ‘Amount unit’ are required</v>
      </c>
      <c r="L1070" t="s">
        <v>33308</v>
      </c>
    </row>
    <row r="1071" spans="7:12" x14ac:dyDescent="0.2">
      <c r="G1071" t="b">
        <f>IF(OR(INDEX(IHZ_HAZ_AMOUNT,64,1)&lt;&gt;"",),IF(OR(INDEX(IHZ_HAZ_NETGROSS,64,1)="",INDEX(IHZ_HAZ_UNIT,64,1)="",),FALSE,TRUE),TRUE)</f>
        <v>1</v>
      </c>
      <c r="H1071" t="str">
        <f t="shared" si="32"/>
        <v>Row 64 - For ‘Transport unit’ if ‘Amount’ is given then ‘Gross / Net’ and ‘Amount unit’ are required</v>
      </c>
      <c r="I1071" t="s">
        <v>33308</v>
      </c>
      <c r="J1071" t="b">
        <f>IF(OR(INDEX(OHZ_HAZ_AMOUNT,64,1)&lt;&gt;"",),IF(OR(INDEX(OHZ_HAZ_NETGROSS,64,1)="",INDEX(OHZ_HAZ_UNIT,64,1)="",),FALSE,TRUE),TRUE)</f>
        <v>1</v>
      </c>
      <c r="K1071" t="str">
        <f t="shared" si="33"/>
        <v>Row 64 - For ‘Transport unit’ if ‘Amount’ is given then ‘Gross / Net’ and ‘Amount unit’ are required</v>
      </c>
      <c r="L1071" t="s">
        <v>33308</v>
      </c>
    </row>
    <row r="1072" spans="7:12" x14ac:dyDescent="0.2">
      <c r="G1072" t="b">
        <f>IF(OR(INDEX(IHZ_HAZ_AMOUNT,65,1)&lt;&gt;"",),IF(OR(INDEX(IHZ_HAZ_NETGROSS,65,1)="",INDEX(IHZ_HAZ_UNIT,65,1)="",),FALSE,TRUE),TRUE)</f>
        <v>1</v>
      </c>
      <c r="H1072" t="str">
        <f t="shared" si="32"/>
        <v>Row 65 - For ‘Transport unit’ if ‘Amount’ is given then ‘Gross / Net’ and ‘Amount unit’ are required</v>
      </c>
      <c r="I1072" t="s">
        <v>33308</v>
      </c>
      <c r="J1072" t="b">
        <f>IF(OR(INDEX(OHZ_HAZ_AMOUNT,65,1)&lt;&gt;"",),IF(OR(INDEX(OHZ_HAZ_NETGROSS,65,1)="",INDEX(OHZ_HAZ_UNIT,65,1)="",),FALSE,TRUE),TRUE)</f>
        <v>1</v>
      </c>
      <c r="K1072" t="str">
        <f t="shared" si="33"/>
        <v>Row 65 - For ‘Transport unit’ if ‘Amount’ is given then ‘Gross / Net’ and ‘Amount unit’ are required</v>
      </c>
      <c r="L1072" t="s">
        <v>33308</v>
      </c>
    </row>
    <row r="1073" spans="7:12" x14ac:dyDescent="0.2">
      <c r="G1073" t="b">
        <f>IF(OR(INDEX(IHZ_HAZ_AMOUNT,66,1)&lt;&gt;"",),IF(OR(INDEX(IHZ_HAZ_NETGROSS,66,1)="",INDEX(IHZ_HAZ_UNIT,66,1)="",),FALSE,TRUE),TRUE)</f>
        <v>1</v>
      </c>
      <c r="H1073" t="str">
        <f t="shared" ref="H1073:H1136" si="34">T66&amp;$V$5</f>
        <v>Row 66 - For ‘Transport unit’ if ‘Amount’ is given then ‘Gross / Net’ and ‘Amount unit’ are required</v>
      </c>
      <c r="I1073" t="s">
        <v>33308</v>
      </c>
      <c r="J1073" t="b">
        <f>IF(OR(INDEX(OHZ_HAZ_AMOUNT,66,1)&lt;&gt;"",),IF(OR(INDEX(OHZ_HAZ_NETGROSS,66,1)="",INDEX(OHZ_HAZ_UNIT,66,1)="",),FALSE,TRUE),TRUE)</f>
        <v>1</v>
      </c>
      <c r="K1073" t="str">
        <f t="shared" ref="K1073:K1136" si="35">T66&amp;$V$5</f>
        <v>Row 66 - For ‘Transport unit’ if ‘Amount’ is given then ‘Gross / Net’ and ‘Amount unit’ are required</v>
      </c>
      <c r="L1073" t="s">
        <v>33308</v>
      </c>
    </row>
    <row r="1074" spans="7:12" x14ac:dyDescent="0.2">
      <c r="G1074" t="b">
        <f>IF(OR(INDEX(IHZ_HAZ_AMOUNT,67,1)&lt;&gt;"",),IF(OR(INDEX(IHZ_HAZ_NETGROSS,67,1)="",INDEX(IHZ_HAZ_UNIT,67,1)="",),FALSE,TRUE),TRUE)</f>
        <v>1</v>
      </c>
      <c r="H1074" t="str">
        <f t="shared" si="34"/>
        <v>Row 67 - For ‘Transport unit’ if ‘Amount’ is given then ‘Gross / Net’ and ‘Amount unit’ are required</v>
      </c>
      <c r="I1074" t="s">
        <v>33308</v>
      </c>
      <c r="J1074" t="b">
        <f>IF(OR(INDEX(OHZ_HAZ_AMOUNT,67,1)&lt;&gt;"",),IF(OR(INDEX(OHZ_HAZ_NETGROSS,67,1)="",INDEX(OHZ_HAZ_UNIT,67,1)="",),FALSE,TRUE),TRUE)</f>
        <v>1</v>
      </c>
      <c r="K1074" t="str">
        <f t="shared" si="35"/>
        <v>Row 67 - For ‘Transport unit’ if ‘Amount’ is given then ‘Gross / Net’ and ‘Amount unit’ are required</v>
      </c>
      <c r="L1074" t="s">
        <v>33308</v>
      </c>
    </row>
    <row r="1075" spans="7:12" x14ac:dyDescent="0.2">
      <c r="G1075" t="b">
        <f>IF(OR(INDEX(IHZ_HAZ_AMOUNT,68,1)&lt;&gt;"",),IF(OR(INDEX(IHZ_HAZ_NETGROSS,68,1)="",INDEX(IHZ_HAZ_UNIT,68,1)="",),FALSE,TRUE),TRUE)</f>
        <v>1</v>
      </c>
      <c r="H1075" t="str">
        <f t="shared" si="34"/>
        <v>Row 68 - For ‘Transport unit’ if ‘Amount’ is given then ‘Gross / Net’ and ‘Amount unit’ are required</v>
      </c>
      <c r="I1075" t="s">
        <v>33308</v>
      </c>
      <c r="J1075" t="b">
        <f>IF(OR(INDEX(OHZ_HAZ_AMOUNT,68,1)&lt;&gt;"",),IF(OR(INDEX(OHZ_HAZ_NETGROSS,68,1)="",INDEX(OHZ_HAZ_UNIT,68,1)="",),FALSE,TRUE),TRUE)</f>
        <v>1</v>
      </c>
      <c r="K1075" t="str">
        <f t="shared" si="35"/>
        <v>Row 68 - For ‘Transport unit’ if ‘Amount’ is given then ‘Gross / Net’ and ‘Amount unit’ are required</v>
      </c>
      <c r="L1075" t="s">
        <v>33308</v>
      </c>
    </row>
    <row r="1076" spans="7:12" x14ac:dyDescent="0.2">
      <c r="G1076" t="b">
        <f>IF(OR(INDEX(IHZ_HAZ_AMOUNT,69,1)&lt;&gt;"",),IF(OR(INDEX(IHZ_HAZ_NETGROSS,69,1)="",INDEX(IHZ_HAZ_UNIT,69,1)="",),FALSE,TRUE),TRUE)</f>
        <v>1</v>
      </c>
      <c r="H1076" t="str">
        <f t="shared" si="34"/>
        <v>Row 69 - For ‘Transport unit’ if ‘Amount’ is given then ‘Gross / Net’ and ‘Amount unit’ are required</v>
      </c>
      <c r="I1076" t="s">
        <v>33308</v>
      </c>
      <c r="J1076" t="b">
        <f>IF(OR(INDEX(OHZ_HAZ_AMOUNT,69,1)&lt;&gt;"",),IF(OR(INDEX(OHZ_HAZ_NETGROSS,69,1)="",INDEX(OHZ_HAZ_UNIT,69,1)="",),FALSE,TRUE),TRUE)</f>
        <v>1</v>
      </c>
      <c r="K1076" t="str">
        <f t="shared" si="35"/>
        <v>Row 69 - For ‘Transport unit’ if ‘Amount’ is given then ‘Gross / Net’ and ‘Amount unit’ are required</v>
      </c>
      <c r="L1076" t="s">
        <v>33308</v>
      </c>
    </row>
    <row r="1077" spans="7:12" x14ac:dyDescent="0.2">
      <c r="G1077" t="b">
        <f>IF(OR(INDEX(IHZ_HAZ_AMOUNT,70,1)&lt;&gt;"",),IF(OR(INDEX(IHZ_HAZ_NETGROSS,70,1)="",INDEX(IHZ_HAZ_UNIT,70,1)="",),FALSE,TRUE),TRUE)</f>
        <v>1</v>
      </c>
      <c r="H1077" t="str">
        <f t="shared" si="34"/>
        <v>Row 70 - For ‘Transport unit’ if ‘Amount’ is given then ‘Gross / Net’ and ‘Amount unit’ are required</v>
      </c>
      <c r="I1077" t="s">
        <v>33308</v>
      </c>
      <c r="J1077" t="b">
        <f>IF(OR(INDEX(OHZ_HAZ_AMOUNT,70,1)&lt;&gt;"",),IF(OR(INDEX(OHZ_HAZ_NETGROSS,70,1)="",INDEX(OHZ_HAZ_UNIT,70,1)="",),FALSE,TRUE),TRUE)</f>
        <v>1</v>
      </c>
      <c r="K1077" t="str">
        <f t="shared" si="35"/>
        <v>Row 70 - For ‘Transport unit’ if ‘Amount’ is given then ‘Gross / Net’ and ‘Amount unit’ are required</v>
      </c>
      <c r="L1077" t="s">
        <v>33308</v>
      </c>
    </row>
    <row r="1078" spans="7:12" x14ac:dyDescent="0.2">
      <c r="G1078" t="b">
        <f>IF(OR(INDEX(IHZ_HAZ_AMOUNT,71,1)&lt;&gt;"",),IF(OR(INDEX(IHZ_HAZ_NETGROSS,71,1)="",INDEX(IHZ_HAZ_UNIT,71,1)="",),FALSE,TRUE),TRUE)</f>
        <v>1</v>
      </c>
      <c r="H1078" t="str">
        <f t="shared" si="34"/>
        <v>Row 71 - For ‘Transport unit’ if ‘Amount’ is given then ‘Gross / Net’ and ‘Amount unit’ are required</v>
      </c>
      <c r="I1078" t="s">
        <v>33308</v>
      </c>
      <c r="J1078" t="b">
        <f>IF(OR(INDEX(OHZ_HAZ_AMOUNT,71,1)&lt;&gt;"",),IF(OR(INDEX(OHZ_HAZ_NETGROSS,71,1)="",INDEX(OHZ_HAZ_UNIT,71,1)="",),FALSE,TRUE),TRUE)</f>
        <v>1</v>
      </c>
      <c r="K1078" t="str">
        <f t="shared" si="35"/>
        <v>Row 71 - For ‘Transport unit’ if ‘Amount’ is given then ‘Gross / Net’ and ‘Amount unit’ are required</v>
      </c>
      <c r="L1078" t="s">
        <v>33308</v>
      </c>
    </row>
    <row r="1079" spans="7:12" x14ac:dyDescent="0.2">
      <c r="G1079" t="b">
        <f>IF(OR(INDEX(IHZ_HAZ_AMOUNT,72,1)&lt;&gt;"",),IF(OR(INDEX(IHZ_HAZ_NETGROSS,72,1)="",INDEX(IHZ_HAZ_UNIT,72,1)="",),FALSE,TRUE),TRUE)</f>
        <v>1</v>
      </c>
      <c r="H1079" t="str">
        <f t="shared" si="34"/>
        <v>Row 72 - For ‘Transport unit’ if ‘Amount’ is given then ‘Gross / Net’ and ‘Amount unit’ are required</v>
      </c>
      <c r="I1079" t="s">
        <v>33308</v>
      </c>
      <c r="J1079" t="b">
        <f>IF(OR(INDEX(OHZ_HAZ_AMOUNT,72,1)&lt;&gt;"",),IF(OR(INDEX(OHZ_HAZ_NETGROSS,72,1)="",INDEX(OHZ_HAZ_UNIT,72,1)="",),FALSE,TRUE),TRUE)</f>
        <v>1</v>
      </c>
      <c r="K1079" t="str">
        <f t="shared" si="35"/>
        <v>Row 72 - For ‘Transport unit’ if ‘Amount’ is given then ‘Gross / Net’ and ‘Amount unit’ are required</v>
      </c>
      <c r="L1079" t="s">
        <v>33308</v>
      </c>
    </row>
    <row r="1080" spans="7:12" x14ac:dyDescent="0.2">
      <c r="G1080" t="b">
        <f>IF(OR(INDEX(IHZ_HAZ_AMOUNT,73,1)&lt;&gt;"",),IF(OR(INDEX(IHZ_HAZ_NETGROSS,73,1)="",INDEX(IHZ_HAZ_UNIT,73,1)="",),FALSE,TRUE),TRUE)</f>
        <v>1</v>
      </c>
      <c r="H1080" t="str">
        <f t="shared" si="34"/>
        <v>Row 73 - For ‘Transport unit’ if ‘Amount’ is given then ‘Gross / Net’ and ‘Amount unit’ are required</v>
      </c>
      <c r="I1080" t="s">
        <v>33308</v>
      </c>
      <c r="J1080" t="b">
        <f>IF(OR(INDEX(OHZ_HAZ_AMOUNT,73,1)&lt;&gt;"",),IF(OR(INDEX(OHZ_HAZ_NETGROSS,73,1)="",INDEX(OHZ_HAZ_UNIT,73,1)="",),FALSE,TRUE),TRUE)</f>
        <v>1</v>
      </c>
      <c r="K1080" t="str">
        <f t="shared" si="35"/>
        <v>Row 73 - For ‘Transport unit’ if ‘Amount’ is given then ‘Gross / Net’ and ‘Amount unit’ are required</v>
      </c>
      <c r="L1080" t="s">
        <v>33308</v>
      </c>
    </row>
    <row r="1081" spans="7:12" x14ac:dyDescent="0.2">
      <c r="G1081" t="b">
        <f>IF(OR(INDEX(IHZ_HAZ_AMOUNT,74,1)&lt;&gt;"",),IF(OR(INDEX(IHZ_HAZ_NETGROSS,74,1)="",INDEX(IHZ_HAZ_UNIT,74,1)="",),FALSE,TRUE),TRUE)</f>
        <v>1</v>
      </c>
      <c r="H1081" t="str">
        <f t="shared" si="34"/>
        <v>Row 74 - For ‘Transport unit’ if ‘Amount’ is given then ‘Gross / Net’ and ‘Amount unit’ are required</v>
      </c>
      <c r="I1081" t="s">
        <v>33308</v>
      </c>
      <c r="J1081" t="b">
        <f>IF(OR(INDEX(OHZ_HAZ_AMOUNT,74,1)&lt;&gt;"",),IF(OR(INDEX(OHZ_HAZ_NETGROSS,74,1)="",INDEX(OHZ_HAZ_UNIT,74,1)="",),FALSE,TRUE),TRUE)</f>
        <v>1</v>
      </c>
      <c r="K1081" t="str">
        <f t="shared" si="35"/>
        <v>Row 74 - For ‘Transport unit’ if ‘Amount’ is given then ‘Gross / Net’ and ‘Amount unit’ are required</v>
      </c>
      <c r="L1081" t="s">
        <v>33308</v>
      </c>
    </row>
    <row r="1082" spans="7:12" x14ac:dyDescent="0.2">
      <c r="G1082" t="b">
        <f>IF(OR(INDEX(IHZ_HAZ_AMOUNT,75,1)&lt;&gt;"",),IF(OR(INDEX(IHZ_HAZ_NETGROSS,75,1)="",INDEX(IHZ_HAZ_UNIT,75,1)="",),FALSE,TRUE),TRUE)</f>
        <v>1</v>
      </c>
      <c r="H1082" t="str">
        <f t="shared" si="34"/>
        <v>Row 75 - For ‘Transport unit’ if ‘Amount’ is given then ‘Gross / Net’ and ‘Amount unit’ are required</v>
      </c>
      <c r="I1082" t="s">
        <v>33308</v>
      </c>
      <c r="J1082" t="b">
        <f>IF(OR(INDEX(OHZ_HAZ_AMOUNT,75,1)&lt;&gt;"",),IF(OR(INDEX(OHZ_HAZ_NETGROSS,75,1)="",INDEX(OHZ_HAZ_UNIT,75,1)="",),FALSE,TRUE),TRUE)</f>
        <v>1</v>
      </c>
      <c r="K1082" t="str">
        <f t="shared" si="35"/>
        <v>Row 75 - For ‘Transport unit’ if ‘Amount’ is given then ‘Gross / Net’ and ‘Amount unit’ are required</v>
      </c>
      <c r="L1082" t="s">
        <v>33308</v>
      </c>
    </row>
    <row r="1083" spans="7:12" x14ac:dyDescent="0.2">
      <c r="G1083" t="b">
        <f>IF(OR(INDEX(IHZ_HAZ_AMOUNT,76,1)&lt;&gt;"",),IF(OR(INDEX(IHZ_HAZ_NETGROSS,76,1)="",INDEX(IHZ_HAZ_UNIT,76,1)="",),FALSE,TRUE),TRUE)</f>
        <v>1</v>
      </c>
      <c r="H1083" t="str">
        <f t="shared" si="34"/>
        <v>Row 76 - For ‘Transport unit’ if ‘Amount’ is given then ‘Gross / Net’ and ‘Amount unit’ are required</v>
      </c>
      <c r="I1083" t="s">
        <v>33308</v>
      </c>
      <c r="J1083" t="b">
        <f>IF(OR(INDEX(OHZ_HAZ_AMOUNT,76,1)&lt;&gt;"",),IF(OR(INDEX(OHZ_HAZ_NETGROSS,76,1)="",INDEX(OHZ_HAZ_UNIT,76,1)="",),FALSE,TRUE),TRUE)</f>
        <v>1</v>
      </c>
      <c r="K1083" t="str">
        <f t="shared" si="35"/>
        <v>Row 76 - For ‘Transport unit’ if ‘Amount’ is given then ‘Gross / Net’ and ‘Amount unit’ are required</v>
      </c>
      <c r="L1083" t="s">
        <v>33308</v>
      </c>
    </row>
    <row r="1084" spans="7:12" x14ac:dyDescent="0.2">
      <c r="G1084" t="b">
        <f>IF(OR(INDEX(IHZ_HAZ_AMOUNT,77,1)&lt;&gt;"",),IF(OR(INDEX(IHZ_HAZ_NETGROSS,77,1)="",INDEX(IHZ_HAZ_UNIT,77,1)="",),FALSE,TRUE),TRUE)</f>
        <v>1</v>
      </c>
      <c r="H1084" t="str">
        <f t="shared" si="34"/>
        <v>Row 77 - For ‘Transport unit’ if ‘Amount’ is given then ‘Gross / Net’ and ‘Amount unit’ are required</v>
      </c>
      <c r="I1084" t="s">
        <v>33308</v>
      </c>
      <c r="J1084" t="b">
        <f>IF(OR(INDEX(OHZ_HAZ_AMOUNT,77,1)&lt;&gt;"",),IF(OR(INDEX(OHZ_HAZ_NETGROSS,77,1)="",INDEX(OHZ_HAZ_UNIT,77,1)="",),FALSE,TRUE),TRUE)</f>
        <v>1</v>
      </c>
      <c r="K1084" t="str">
        <f t="shared" si="35"/>
        <v>Row 77 - For ‘Transport unit’ if ‘Amount’ is given then ‘Gross / Net’ and ‘Amount unit’ are required</v>
      </c>
      <c r="L1084" t="s">
        <v>33308</v>
      </c>
    </row>
    <row r="1085" spans="7:12" x14ac:dyDescent="0.2">
      <c r="G1085" t="b">
        <f>IF(OR(INDEX(IHZ_HAZ_AMOUNT,78,1)&lt;&gt;"",),IF(OR(INDEX(IHZ_HAZ_NETGROSS,78,1)="",INDEX(IHZ_HAZ_UNIT,78,1)="",),FALSE,TRUE),TRUE)</f>
        <v>1</v>
      </c>
      <c r="H1085" t="str">
        <f t="shared" si="34"/>
        <v>Row 78 - For ‘Transport unit’ if ‘Amount’ is given then ‘Gross / Net’ and ‘Amount unit’ are required</v>
      </c>
      <c r="I1085" t="s">
        <v>33308</v>
      </c>
      <c r="J1085" t="b">
        <f>IF(OR(INDEX(OHZ_HAZ_AMOUNT,78,1)&lt;&gt;"",),IF(OR(INDEX(OHZ_HAZ_NETGROSS,78,1)="",INDEX(OHZ_HAZ_UNIT,78,1)="",),FALSE,TRUE),TRUE)</f>
        <v>1</v>
      </c>
      <c r="K1085" t="str">
        <f t="shared" si="35"/>
        <v>Row 78 - For ‘Transport unit’ if ‘Amount’ is given then ‘Gross / Net’ and ‘Amount unit’ are required</v>
      </c>
      <c r="L1085" t="s">
        <v>33308</v>
      </c>
    </row>
    <row r="1086" spans="7:12" x14ac:dyDescent="0.2">
      <c r="G1086" t="b">
        <f>IF(OR(INDEX(IHZ_HAZ_AMOUNT,79,1)&lt;&gt;"",),IF(OR(INDEX(IHZ_HAZ_NETGROSS,79,1)="",INDEX(IHZ_HAZ_UNIT,79,1)="",),FALSE,TRUE),TRUE)</f>
        <v>1</v>
      </c>
      <c r="H1086" t="str">
        <f t="shared" si="34"/>
        <v>Row 79 - For ‘Transport unit’ if ‘Amount’ is given then ‘Gross / Net’ and ‘Amount unit’ are required</v>
      </c>
      <c r="I1086" t="s">
        <v>33308</v>
      </c>
      <c r="J1086" t="b">
        <f>IF(OR(INDEX(OHZ_HAZ_AMOUNT,79,1)&lt;&gt;"",),IF(OR(INDEX(OHZ_HAZ_NETGROSS,79,1)="",INDEX(OHZ_HAZ_UNIT,79,1)="",),FALSE,TRUE),TRUE)</f>
        <v>1</v>
      </c>
      <c r="K1086" t="str">
        <f t="shared" si="35"/>
        <v>Row 79 - For ‘Transport unit’ if ‘Amount’ is given then ‘Gross / Net’ and ‘Amount unit’ are required</v>
      </c>
      <c r="L1086" t="s">
        <v>33308</v>
      </c>
    </row>
    <row r="1087" spans="7:12" x14ac:dyDescent="0.2">
      <c r="G1087" t="b">
        <f>IF(OR(INDEX(IHZ_HAZ_AMOUNT,80,1)&lt;&gt;"",),IF(OR(INDEX(IHZ_HAZ_NETGROSS,80,1)="",INDEX(IHZ_HAZ_UNIT,80,1)="",),FALSE,TRUE),TRUE)</f>
        <v>1</v>
      </c>
      <c r="H1087" t="str">
        <f t="shared" si="34"/>
        <v>Row 80 - For ‘Transport unit’ if ‘Amount’ is given then ‘Gross / Net’ and ‘Amount unit’ are required</v>
      </c>
      <c r="I1087" t="s">
        <v>33308</v>
      </c>
      <c r="J1087" t="b">
        <f>IF(OR(INDEX(OHZ_HAZ_AMOUNT,80,1)&lt;&gt;"",),IF(OR(INDEX(OHZ_HAZ_NETGROSS,80,1)="",INDEX(OHZ_HAZ_UNIT,80,1)="",),FALSE,TRUE),TRUE)</f>
        <v>1</v>
      </c>
      <c r="K1087" t="str">
        <f t="shared" si="35"/>
        <v>Row 80 - For ‘Transport unit’ if ‘Amount’ is given then ‘Gross / Net’ and ‘Amount unit’ are required</v>
      </c>
      <c r="L1087" t="s">
        <v>33308</v>
      </c>
    </row>
    <row r="1088" spans="7:12" x14ac:dyDescent="0.2">
      <c r="G1088" t="b">
        <f>IF(OR(INDEX(IHZ_HAZ_AMOUNT,81,1)&lt;&gt;"",),IF(OR(INDEX(IHZ_HAZ_NETGROSS,81,1)="",INDEX(IHZ_HAZ_UNIT,81,1)="",),FALSE,TRUE),TRUE)</f>
        <v>1</v>
      </c>
      <c r="H1088" t="str">
        <f t="shared" si="34"/>
        <v>Row 81 - For ‘Transport unit’ if ‘Amount’ is given then ‘Gross / Net’ and ‘Amount unit’ are required</v>
      </c>
      <c r="I1088" t="s">
        <v>33308</v>
      </c>
      <c r="J1088" t="b">
        <f>IF(OR(INDEX(OHZ_HAZ_AMOUNT,81,1)&lt;&gt;"",),IF(OR(INDEX(OHZ_HAZ_NETGROSS,81,1)="",INDEX(OHZ_HAZ_UNIT,81,1)="",),FALSE,TRUE),TRUE)</f>
        <v>1</v>
      </c>
      <c r="K1088" t="str">
        <f t="shared" si="35"/>
        <v>Row 81 - For ‘Transport unit’ if ‘Amount’ is given then ‘Gross / Net’ and ‘Amount unit’ are required</v>
      </c>
      <c r="L1088" t="s">
        <v>33308</v>
      </c>
    </row>
    <row r="1089" spans="7:12" x14ac:dyDescent="0.2">
      <c r="G1089" t="b">
        <f>IF(OR(INDEX(IHZ_HAZ_AMOUNT,82,1)&lt;&gt;"",),IF(OR(INDEX(IHZ_HAZ_NETGROSS,82,1)="",INDEX(IHZ_HAZ_UNIT,82,1)="",),FALSE,TRUE),TRUE)</f>
        <v>1</v>
      </c>
      <c r="H1089" t="str">
        <f t="shared" si="34"/>
        <v>Row 82 - For ‘Transport unit’ if ‘Amount’ is given then ‘Gross / Net’ and ‘Amount unit’ are required</v>
      </c>
      <c r="I1089" t="s">
        <v>33308</v>
      </c>
      <c r="J1089" t="b">
        <f>IF(OR(INDEX(OHZ_HAZ_AMOUNT,82,1)&lt;&gt;"",),IF(OR(INDEX(OHZ_HAZ_NETGROSS,82,1)="",INDEX(OHZ_HAZ_UNIT,82,1)="",),FALSE,TRUE),TRUE)</f>
        <v>1</v>
      </c>
      <c r="K1089" t="str">
        <f t="shared" si="35"/>
        <v>Row 82 - For ‘Transport unit’ if ‘Amount’ is given then ‘Gross / Net’ and ‘Amount unit’ are required</v>
      </c>
      <c r="L1089" t="s">
        <v>33308</v>
      </c>
    </row>
    <row r="1090" spans="7:12" x14ac:dyDescent="0.2">
      <c r="G1090" t="b">
        <f>IF(OR(INDEX(IHZ_HAZ_AMOUNT,83,1)&lt;&gt;"",),IF(OR(INDEX(IHZ_HAZ_NETGROSS,83,1)="",INDEX(IHZ_HAZ_UNIT,83,1)="",),FALSE,TRUE),TRUE)</f>
        <v>1</v>
      </c>
      <c r="H1090" t="str">
        <f t="shared" si="34"/>
        <v>Row 83 - For ‘Transport unit’ if ‘Amount’ is given then ‘Gross / Net’ and ‘Amount unit’ are required</v>
      </c>
      <c r="I1090" t="s">
        <v>33308</v>
      </c>
      <c r="J1090" t="b">
        <f>IF(OR(INDEX(OHZ_HAZ_AMOUNT,83,1)&lt;&gt;"",),IF(OR(INDEX(OHZ_HAZ_NETGROSS,83,1)="",INDEX(OHZ_HAZ_UNIT,83,1)="",),FALSE,TRUE),TRUE)</f>
        <v>1</v>
      </c>
      <c r="K1090" t="str">
        <f t="shared" si="35"/>
        <v>Row 83 - For ‘Transport unit’ if ‘Amount’ is given then ‘Gross / Net’ and ‘Amount unit’ are required</v>
      </c>
      <c r="L1090" t="s">
        <v>33308</v>
      </c>
    </row>
    <row r="1091" spans="7:12" x14ac:dyDescent="0.2">
      <c r="G1091" t="b">
        <f>IF(OR(INDEX(IHZ_HAZ_AMOUNT,84,1)&lt;&gt;"",),IF(OR(INDEX(IHZ_HAZ_NETGROSS,84,1)="",INDEX(IHZ_HAZ_UNIT,84,1)="",),FALSE,TRUE),TRUE)</f>
        <v>1</v>
      </c>
      <c r="H1091" t="str">
        <f t="shared" si="34"/>
        <v>Row 84 - For ‘Transport unit’ if ‘Amount’ is given then ‘Gross / Net’ and ‘Amount unit’ are required</v>
      </c>
      <c r="I1091" t="s">
        <v>33308</v>
      </c>
      <c r="J1091" t="b">
        <f>IF(OR(INDEX(OHZ_HAZ_AMOUNT,84,1)&lt;&gt;"",),IF(OR(INDEX(OHZ_HAZ_NETGROSS,84,1)="",INDEX(OHZ_HAZ_UNIT,84,1)="",),FALSE,TRUE),TRUE)</f>
        <v>1</v>
      </c>
      <c r="K1091" t="str">
        <f t="shared" si="35"/>
        <v>Row 84 - For ‘Transport unit’ if ‘Amount’ is given then ‘Gross / Net’ and ‘Amount unit’ are required</v>
      </c>
      <c r="L1091" t="s">
        <v>33308</v>
      </c>
    </row>
    <row r="1092" spans="7:12" x14ac:dyDescent="0.2">
      <c r="G1092" t="b">
        <f>IF(OR(INDEX(IHZ_HAZ_AMOUNT,85,1)&lt;&gt;"",),IF(OR(INDEX(IHZ_HAZ_NETGROSS,85,1)="",INDEX(IHZ_HAZ_UNIT,85,1)="",),FALSE,TRUE),TRUE)</f>
        <v>1</v>
      </c>
      <c r="H1092" t="str">
        <f t="shared" si="34"/>
        <v>Row 85 - For ‘Transport unit’ if ‘Amount’ is given then ‘Gross / Net’ and ‘Amount unit’ are required</v>
      </c>
      <c r="I1092" t="s">
        <v>33308</v>
      </c>
      <c r="J1092" t="b">
        <f>IF(OR(INDEX(OHZ_HAZ_AMOUNT,85,1)&lt;&gt;"",),IF(OR(INDEX(OHZ_HAZ_NETGROSS,85,1)="",INDEX(OHZ_HAZ_UNIT,85,1)="",),FALSE,TRUE),TRUE)</f>
        <v>1</v>
      </c>
      <c r="K1092" t="str">
        <f t="shared" si="35"/>
        <v>Row 85 - For ‘Transport unit’ if ‘Amount’ is given then ‘Gross / Net’ and ‘Amount unit’ are required</v>
      </c>
      <c r="L1092" t="s">
        <v>33308</v>
      </c>
    </row>
    <row r="1093" spans="7:12" x14ac:dyDescent="0.2">
      <c r="G1093" t="b">
        <f>IF(OR(INDEX(IHZ_HAZ_AMOUNT,86,1)&lt;&gt;"",),IF(OR(INDEX(IHZ_HAZ_NETGROSS,86,1)="",INDEX(IHZ_HAZ_UNIT,86,1)="",),FALSE,TRUE),TRUE)</f>
        <v>1</v>
      </c>
      <c r="H1093" t="str">
        <f t="shared" si="34"/>
        <v>Row 86 - For ‘Transport unit’ if ‘Amount’ is given then ‘Gross / Net’ and ‘Amount unit’ are required</v>
      </c>
      <c r="I1093" t="s">
        <v>33308</v>
      </c>
      <c r="J1093" t="b">
        <f>IF(OR(INDEX(OHZ_HAZ_AMOUNT,86,1)&lt;&gt;"",),IF(OR(INDEX(OHZ_HAZ_NETGROSS,86,1)="",INDEX(OHZ_HAZ_UNIT,86,1)="",),FALSE,TRUE),TRUE)</f>
        <v>1</v>
      </c>
      <c r="K1093" t="str">
        <f t="shared" si="35"/>
        <v>Row 86 - For ‘Transport unit’ if ‘Amount’ is given then ‘Gross / Net’ and ‘Amount unit’ are required</v>
      </c>
      <c r="L1093" t="s">
        <v>33308</v>
      </c>
    </row>
    <row r="1094" spans="7:12" x14ac:dyDescent="0.2">
      <c r="G1094" t="b">
        <f>IF(OR(INDEX(IHZ_HAZ_AMOUNT,87,1)&lt;&gt;"",),IF(OR(INDEX(IHZ_HAZ_NETGROSS,87,1)="",INDEX(IHZ_HAZ_UNIT,87,1)="",),FALSE,TRUE),TRUE)</f>
        <v>1</v>
      </c>
      <c r="H1094" t="str">
        <f t="shared" si="34"/>
        <v>Row 87 - For ‘Transport unit’ if ‘Amount’ is given then ‘Gross / Net’ and ‘Amount unit’ are required</v>
      </c>
      <c r="I1094" t="s">
        <v>33308</v>
      </c>
      <c r="J1094" t="b">
        <f>IF(OR(INDEX(OHZ_HAZ_AMOUNT,87,1)&lt;&gt;"",),IF(OR(INDEX(OHZ_HAZ_NETGROSS,87,1)="",INDEX(OHZ_HAZ_UNIT,87,1)="",),FALSE,TRUE),TRUE)</f>
        <v>1</v>
      </c>
      <c r="K1094" t="str">
        <f t="shared" si="35"/>
        <v>Row 87 - For ‘Transport unit’ if ‘Amount’ is given then ‘Gross / Net’ and ‘Amount unit’ are required</v>
      </c>
      <c r="L1094" t="s">
        <v>33308</v>
      </c>
    </row>
    <row r="1095" spans="7:12" x14ac:dyDescent="0.2">
      <c r="G1095" t="b">
        <f>IF(OR(INDEX(IHZ_HAZ_AMOUNT,88,1)&lt;&gt;"",),IF(OR(INDEX(IHZ_HAZ_NETGROSS,88,1)="",INDEX(IHZ_HAZ_UNIT,88,1)="",),FALSE,TRUE),TRUE)</f>
        <v>1</v>
      </c>
      <c r="H1095" t="str">
        <f t="shared" si="34"/>
        <v>Row 88 - For ‘Transport unit’ if ‘Amount’ is given then ‘Gross / Net’ and ‘Amount unit’ are required</v>
      </c>
      <c r="I1095" t="s">
        <v>33308</v>
      </c>
      <c r="J1095" t="b">
        <f>IF(OR(INDEX(OHZ_HAZ_AMOUNT,88,1)&lt;&gt;"",),IF(OR(INDEX(OHZ_HAZ_NETGROSS,88,1)="",INDEX(OHZ_HAZ_UNIT,88,1)="",),FALSE,TRUE),TRUE)</f>
        <v>1</v>
      </c>
      <c r="K1095" t="str">
        <f t="shared" si="35"/>
        <v>Row 88 - For ‘Transport unit’ if ‘Amount’ is given then ‘Gross / Net’ and ‘Amount unit’ are required</v>
      </c>
      <c r="L1095" t="s">
        <v>33308</v>
      </c>
    </row>
    <row r="1096" spans="7:12" x14ac:dyDescent="0.2">
      <c r="G1096" t="b">
        <f>IF(OR(INDEX(IHZ_HAZ_AMOUNT,89,1)&lt;&gt;"",),IF(OR(INDEX(IHZ_HAZ_NETGROSS,89,1)="",INDEX(IHZ_HAZ_UNIT,89,1)="",),FALSE,TRUE),TRUE)</f>
        <v>1</v>
      </c>
      <c r="H1096" t="str">
        <f t="shared" si="34"/>
        <v>Row 89 - For ‘Transport unit’ if ‘Amount’ is given then ‘Gross / Net’ and ‘Amount unit’ are required</v>
      </c>
      <c r="I1096" t="s">
        <v>33308</v>
      </c>
      <c r="J1096" t="b">
        <f>IF(OR(INDEX(OHZ_HAZ_AMOUNT,89,1)&lt;&gt;"",),IF(OR(INDEX(OHZ_HAZ_NETGROSS,89,1)="",INDEX(OHZ_HAZ_UNIT,89,1)="",),FALSE,TRUE),TRUE)</f>
        <v>1</v>
      </c>
      <c r="K1096" t="str">
        <f t="shared" si="35"/>
        <v>Row 89 - For ‘Transport unit’ if ‘Amount’ is given then ‘Gross / Net’ and ‘Amount unit’ are required</v>
      </c>
      <c r="L1096" t="s">
        <v>33308</v>
      </c>
    </row>
    <row r="1097" spans="7:12" x14ac:dyDescent="0.2">
      <c r="G1097" t="b">
        <f>IF(OR(INDEX(IHZ_HAZ_AMOUNT,90,1)&lt;&gt;"",),IF(OR(INDEX(IHZ_HAZ_NETGROSS,90,1)="",INDEX(IHZ_HAZ_UNIT,90,1)="",),FALSE,TRUE),TRUE)</f>
        <v>1</v>
      </c>
      <c r="H1097" t="str">
        <f t="shared" si="34"/>
        <v>Row 90 - For ‘Transport unit’ if ‘Amount’ is given then ‘Gross / Net’ and ‘Amount unit’ are required</v>
      </c>
      <c r="I1097" t="s">
        <v>33308</v>
      </c>
      <c r="J1097" t="b">
        <f>IF(OR(INDEX(OHZ_HAZ_AMOUNT,90,1)&lt;&gt;"",),IF(OR(INDEX(OHZ_HAZ_NETGROSS,90,1)="",INDEX(OHZ_HAZ_UNIT,90,1)="",),FALSE,TRUE),TRUE)</f>
        <v>1</v>
      </c>
      <c r="K1097" t="str">
        <f t="shared" si="35"/>
        <v>Row 90 - For ‘Transport unit’ if ‘Amount’ is given then ‘Gross / Net’ and ‘Amount unit’ are required</v>
      </c>
      <c r="L1097" t="s">
        <v>33308</v>
      </c>
    </row>
    <row r="1098" spans="7:12" x14ac:dyDescent="0.2">
      <c r="G1098" t="b">
        <f>IF(OR(INDEX(IHZ_HAZ_AMOUNT,91,1)&lt;&gt;"",),IF(OR(INDEX(IHZ_HAZ_NETGROSS,91,1)="",INDEX(IHZ_HAZ_UNIT,91,1)="",),FALSE,TRUE),TRUE)</f>
        <v>1</v>
      </c>
      <c r="H1098" t="str">
        <f t="shared" si="34"/>
        <v>Row 91 - For ‘Transport unit’ if ‘Amount’ is given then ‘Gross / Net’ and ‘Amount unit’ are required</v>
      </c>
      <c r="I1098" t="s">
        <v>33308</v>
      </c>
      <c r="J1098" t="b">
        <f>IF(OR(INDEX(OHZ_HAZ_AMOUNT,91,1)&lt;&gt;"",),IF(OR(INDEX(OHZ_HAZ_NETGROSS,91,1)="",INDEX(OHZ_HAZ_UNIT,91,1)="",),FALSE,TRUE),TRUE)</f>
        <v>1</v>
      </c>
      <c r="K1098" t="str">
        <f t="shared" si="35"/>
        <v>Row 91 - For ‘Transport unit’ if ‘Amount’ is given then ‘Gross / Net’ and ‘Amount unit’ are required</v>
      </c>
      <c r="L1098" t="s">
        <v>33308</v>
      </c>
    </row>
    <row r="1099" spans="7:12" x14ac:dyDescent="0.2">
      <c r="G1099" t="b">
        <f>IF(OR(INDEX(IHZ_HAZ_AMOUNT,92,1)&lt;&gt;"",),IF(OR(INDEX(IHZ_HAZ_NETGROSS,92,1)="",INDEX(IHZ_HAZ_UNIT,92,1)="",),FALSE,TRUE),TRUE)</f>
        <v>1</v>
      </c>
      <c r="H1099" t="str">
        <f t="shared" si="34"/>
        <v>Row 92 - For ‘Transport unit’ if ‘Amount’ is given then ‘Gross / Net’ and ‘Amount unit’ are required</v>
      </c>
      <c r="I1099" t="s">
        <v>33308</v>
      </c>
      <c r="J1099" t="b">
        <f>IF(OR(INDEX(OHZ_HAZ_AMOUNT,92,1)&lt;&gt;"",),IF(OR(INDEX(OHZ_HAZ_NETGROSS,92,1)="",INDEX(OHZ_HAZ_UNIT,92,1)="",),FALSE,TRUE),TRUE)</f>
        <v>1</v>
      </c>
      <c r="K1099" t="str">
        <f t="shared" si="35"/>
        <v>Row 92 - For ‘Transport unit’ if ‘Amount’ is given then ‘Gross / Net’ and ‘Amount unit’ are required</v>
      </c>
      <c r="L1099" t="s">
        <v>33308</v>
      </c>
    </row>
    <row r="1100" spans="7:12" x14ac:dyDescent="0.2">
      <c r="G1100" t="b">
        <f>IF(OR(INDEX(IHZ_HAZ_AMOUNT,93,1)&lt;&gt;"",),IF(OR(INDEX(IHZ_HAZ_NETGROSS,93,1)="",INDEX(IHZ_HAZ_UNIT,93,1)="",),FALSE,TRUE),TRUE)</f>
        <v>1</v>
      </c>
      <c r="H1100" t="str">
        <f t="shared" si="34"/>
        <v>Row 93 - For ‘Transport unit’ if ‘Amount’ is given then ‘Gross / Net’ and ‘Amount unit’ are required</v>
      </c>
      <c r="I1100" t="s">
        <v>33308</v>
      </c>
      <c r="J1100" t="b">
        <f>IF(OR(INDEX(OHZ_HAZ_AMOUNT,93,1)&lt;&gt;"",),IF(OR(INDEX(OHZ_HAZ_NETGROSS,93,1)="",INDEX(OHZ_HAZ_UNIT,93,1)="",),FALSE,TRUE),TRUE)</f>
        <v>1</v>
      </c>
      <c r="K1100" t="str">
        <f t="shared" si="35"/>
        <v>Row 93 - For ‘Transport unit’ if ‘Amount’ is given then ‘Gross / Net’ and ‘Amount unit’ are required</v>
      </c>
      <c r="L1100" t="s">
        <v>33308</v>
      </c>
    </row>
    <row r="1101" spans="7:12" x14ac:dyDescent="0.2">
      <c r="G1101" t="b">
        <f>IF(OR(INDEX(IHZ_HAZ_AMOUNT,94,1)&lt;&gt;"",),IF(OR(INDEX(IHZ_HAZ_NETGROSS,94,1)="",INDEX(IHZ_HAZ_UNIT,94,1)="",),FALSE,TRUE),TRUE)</f>
        <v>1</v>
      </c>
      <c r="H1101" t="str">
        <f t="shared" si="34"/>
        <v>Row 94 - For ‘Transport unit’ if ‘Amount’ is given then ‘Gross / Net’ and ‘Amount unit’ are required</v>
      </c>
      <c r="I1101" t="s">
        <v>33308</v>
      </c>
      <c r="J1101" t="b">
        <f>IF(OR(INDEX(OHZ_HAZ_AMOUNT,94,1)&lt;&gt;"",),IF(OR(INDEX(OHZ_HAZ_NETGROSS,94,1)="",INDEX(OHZ_HAZ_UNIT,94,1)="",),FALSE,TRUE),TRUE)</f>
        <v>1</v>
      </c>
      <c r="K1101" t="str">
        <f t="shared" si="35"/>
        <v>Row 94 - For ‘Transport unit’ if ‘Amount’ is given then ‘Gross / Net’ and ‘Amount unit’ are required</v>
      </c>
      <c r="L1101" t="s">
        <v>33308</v>
      </c>
    </row>
    <row r="1102" spans="7:12" x14ac:dyDescent="0.2">
      <c r="G1102" t="b">
        <f>IF(OR(INDEX(IHZ_HAZ_AMOUNT,95,1)&lt;&gt;"",),IF(OR(INDEX(IHZ_HAZ_NETGROSS,95,1)="",INDEX(IHZ_HAZ_UNIT,95,1)="",),FALSE,TRUE),TRUE)</f>
        <v>1</v>
      </c>
      <c r="H1102" t="str">
        <f t="shared" si="34"/>
        <v>Row 95 - For ‘Transport unit’ if ‘Amount’ is given then ‘Gross / Net’ and ‘Amount unit’ are required</v>
      </c>
      <c r="I1102" t="s">
        <v>33308</v>
      </c>
      <c r="J1102" t="b">
        <f>IF(OR(INDEX(OHZ_HAZ_AMOUNT,95,1)&lt;&gt;"",),IF(OR(INDEX(OHZ_HAZ_NETGROSS,95,1)="",INDEX(OHZ_HAZ_UNIT,95,1)="",),FALSE,TRUE),TRUE)</f>
        <v>1</v>
      </c>
      <c r="K1102" t="str">
        <f t="shared" si="35"/>
        <v>Row 95 - For ‘Transport unit’ if ‘Amount’ is given then ‘Gross / Net’ and ‘Amount unit’ are required</v>
      </c>
      <c r="L1102" t="s">
        <v>33308</v>
      </c>
    </row>
    <row r="1103" spans="7:12" x14ac:dyDescent="0.2">
      <c r="G1103" t="b">
        <f>IF(OR(INDEX(IHZ_HAZ_AMOUNT,96,1)&lt;&gt;"",),IF(OR(INDEX(IHZ_HAZ_NETGROSS,96,1)="",INDEX(IHZ_HAZ_UNIT,96,1)="",),FALSE,TRUE),TRUE)</f>
        <v>1</v>
      </c>
      <c r="H1103" t="str">
        <f t="shared" si="34"/>
        <v>Row 96 - For ‘Transport unit’ if ‘Amount’ is given then ‘Gross / Net’ and ‘Amount unit’ are required</v>
      </c>
      <c r="I1103" t="s">
        <v>33308</v>
      </c>
      <c r="J1103" t="b">
        <f>IF(OR(INDEX(OHZ_HAZ_AMOUNT,96,1)&lt;&gt;"",),IF(OR(INDEX(OHZ_HAZ_NETGROSS,96,1)="",INDEX(OHZ_HAZ_UNIT,96,1)="",),FALSE,TRUE),TRUE)</f>
        <v>1</v>
      </c>
      <c r="K1103" t="str">
        <f t="shared" si="35"/>
        <v>Row 96 - For ‘Transport unit’ if ‘Amount’ is given then ‘Gross / Net’ and ‘Amount unit’ are required</v>
      </c>
      <c r="L1103" t="s">
        <v>33308</v>
      </c>
    </row>
    <row r="1104" spans="7:12" x14ac:dyDescent="0.2">
      <c r="G1104" t="b">
        <f>IF(OR(INDEX(IHZ_HAZ_AMOUNT,97,1)&lt;&gt;"",),IF(OR(INDEX(IHZ_HAZ_NETGROSS,97,1)="",INDEX(IHZ_HAZ_UNIT,97,1)="",),FALSE,TRUE),TRUE)</f>
        <v>1</v>
      </c>
      <c r="H1104" t="str">
        <f t="shared" si="34"/>
        <v>Row 97 - For ‘Transport unit’ if ‘Amount’ is given then ‘Gross / Net’ and ‘Amount unit’ are required</v>
      </c>
      <c r="I1104" t="s">
        <v>33308</v>
      </c>
      <c r="J1104" t="b">
        <f>IF(OR(INDEX(OHZ_HAZ_AMOUNT,97,1)&lt;&gt;"",),IF(OR(INDEX(OHZ_HAZ_NETGROSS,97,1)="",INDEX(OHZ_HAZ_UNIT,97,1)="",),FALSE,TRUE),TRUE)</f>
        <v>1</v>
      </c>
      <c r="K1104" t="str">
        <f t="shared" si="35"/>
        <v>Row 97 - For ‘Transport unit’ if ‘Amount’ is given then ‘Gross / Net’ and ‘Amount unit’ are required</v>
      </c>
      <c r="L1104" t="s">
        <v>33308</v>
      </c>
    </row>
    <row r="1105" spans="7:12" x14ac:dyDescent="0.2">
      <c r="G1105" t="b">
        <f>IF(OR(INDEX(IHZ_HAZ_AMOUNT,98,1)&lt;&gt;"",),IF(OR(INDEX(IHZ_HAZ_NETGROSS,98,1)="",INDEX(IHZ_HAZ_UNIT,98,1)="",),FALSE,TRUE),TRUE)</f>
        <v>1</v>
      </c>
      <c r="H1105" t="str">
        <f t="shared" si="34"/>
        <v>Row 98 - For ‘Transport unit’ if ‘Amount’ is given then ‘Gross / Net’ and ‘Amount unit’ are required</v>
      </c>
      <c r="I1105" t="s">
        <v>33308</v>
      </c>
      <c r="J1105" t="b">
        <f>IF(OR(INDEX(OHZ_HAZ_AMOUNT,98,1)&lt;&gt;"",),IF(OR(INDEX(OHZ_HAZ_NETGROSS,98,1)="",INDEX(OHZ_HAZ_UNIT,98,1)="",),FALSE,TRUE),TRUE)</f>
        <v>1</v>
      </c>
      <c r="K1105" t="str">
        <f t="shared" si="35"/>
        <v>Row 98 - For ‘Transport unit’ if ‘Amount’ is given then ‘Gross / Net’ and ‘Amount unit’ are required</v>
      </c>
      <c r="L1105" t="s">
        <v>33308</v>
      </c>
    </row>
    <row r="1106" spans="7:12" x14ac:dyDescent="0.2">
      <c r="G1106" t="b">
        <f>IF(OR(INDEX(IHZ_HAZ_AMOUNT,99,1)&lt;&gt;"",),IF(OR(INDEX(IHZ_HAZ_NETGROSS,99,1)="",INDEX(IHZ_HAZ_UNIT,99,1)="",),FALSE,TRUE),TRUE)</f>
        <v>1</v>
      </c>
      <c r="H1106" t="str">
        <f t="shared" si="34"/>
        <v>Row 99 - For ‘Transport unit’ if ‘Amount’ is given then ‘Gross / Net’ and ‘Amount unit’ are required</v>
      </c>
      <c r="I1106" t="s">
        <v>33308</v>
      </c>
      <c r="J1106" t="b">
        <f>IF(OR(INDEX(OHZ_HAZ_AMOUNT,99,1)&lt;&gt;"",),IF(OR(INDEX(OHZ_HAZ_NETGROSS,99,1)="",INDEX(OHZ_HAZ_UNIT,99,1)="",),FALSE,TRUE),TRUE)</f>
        <v>1</v>
      </c>
      <c r="K1106" t="str">
        <f t="shared" si="35"/>
        <v>Row 99 - For ‘Transport unit’ if ‘Amount’ is given then ‘Gross / Net’ and ‘Amount unit’ are required</v>
      </c>
      <c r="L1106" t="s">
        <v>33308</v>
      </c>
    </row>
    <row r="1107" spans="7:12" x14ac:dyDescent="0.2">
      <c r="G1107" t="b">
        <f>IF(OR(INDEX(IHZ_HAZ_AMOUNT,100,1)&lt;&gt;"",),IF(OR(INDEX(IHZ_HAZ_NETGROSS,100,1)="",INDEX(IHZ_HAZ_UNIT,100,1)="",),FALSE,TRUE),TRUE)</f>
        <v>1</v>
      </c>
      <c r="H1107" t="str">
        <f t="shared" si="34"/>
        <v>Row 100 - For ‘Transport unit’ if ‘Amount’ is given then ‘Gross / Net’ and ‘Amount unit’ are required</v>
      </c>
      <c r="I1107" t="s">
        <v>33308</v>
      </c>
      <c r="J1107" t="b">
        <f>IF(OR(INDEX(OHZ_HAZ_AMOUNT,100,1)&lt;&gt;"",),IF(OR(INDEX(OHZ_HAZ_NETGROSS,100,1)="",INDEX(OHZ_HAZ_UNIT,100,1)="",),FALSE,TRUE),TRUE)</f>
        <v>1</v>
      </c>
      <c r="K1107" t="str">
        <f t="shared" si="35"/>
        <v>Row 100 - For ‘Transport unit’ if ‘Amount’ is given then ‘Gross / Net’ and ‘Amount unit’ are required</v>
      </c>
      <c r="L1107" t="s">
        <v>33308</v>
      </c>
    </row>
    <row r="1108" spans="7:12" x14ac:dyDescent="0.2">
      <c r="G1108" t="b">
        <f>IF(OR(INDEX(IHZ_HAZ_AMOUNT,101,1)&lt;&gt;"",),IF(OR(INDEX(IHZ_HAZ_NETGROSS,101,1)="",INDEX(IHZ_HAZ_UNIT,101,1)="",),FALSE,TRUE),TRUE)</f>
        <v>1</v>
      </c>
      <c r="H1108" t="str">
        <f t="shared" si="34"/>
        <v>Row 101 - For ‘Transport unit’ if ‘Amount’ is given then ‘Gross / Net’ and ‘Amount unit’ are required</v>
      </c>
      <c r="I1108" t="s">
        <v>33308</v>
      </c>
      <c r="J1108" t="b">
        <f>IF(OR(INDEX(OHZ_HAZ_AMOUNT,101,1)&lt;&gt;"",),IF(OR(INDEX(OHZ_HAZ_NETGROSS,101,1)="",INDEX(OHZ_HAZ_UNIT,101,1)="",),FALSE,TRUE),TRUE)</f>
        <v>1</v>
      </c>
      <c r="K1108" t="str">
        <f t="shared" si="35"/>
        <v>Row 101 - For ‘Transport unit’ if ‘Amount’ is given then ‘Gross / Net’ and ‘Amount unit’ are required</v>
      </c>
      <c r="L1108" t="s">
        <v>33308</v>
      </c>
    </row>
    <row r="1109" spans="7:12" x14ac:dyDescent="0.2">
      <c r="G1109" t="b">
        <f>IF(OR(INDEX(IHZ_HAZ_AMOUNT,102,1)&lt;&gt;"",),IF(OR(INDEX(IHZ_HAZ_NETGROSS,102,1)="",INDEX(IHZ_HAZ_UNIT,102,1)="",),FALSE,TRUE),TRUE)</f>
        <v>1</v>
      </c>
      <c r="H1109" t="str">
        <f t="shared" si="34"/>
        <v>Row 102 - For ‘Transport unit’ if ‘Amount’ is given then ‘Gross / Net’ and ‘Amount unit’ are required</v>
      </c>
      <c r="I1109" t="s">
        <v>33308</v>
      </c>
      <c r="J1109" t="b">
        <f>IF(OR(INDEX(OHZ_HAZ_AMOUNT,102,1)&lt;&gt;"",),IF(OR(INDEX(OHZ_HAZ_NETGROSS,102,1)="",INDEX(OHZ_HAZ_UNIT,102,1)="",),FALSE,TRUE),TRUE)</f>
        <v>1</v>
      </c>
      <c r="K1109" t="str">
        <f t="shared" si="35"/>
        <v>Row 102 - For ‘Transport unit’ if ‘Amount’ is given then ‘Gross / Net’ and ‘Amount unit’ are required</v>
      </c>
      <c r="L1109" t="s">
        <v>33308</v>
      </c>
    </row>
    <row r="1110" spans="7:12" x14ac:dyDescent="0.2">
      <c r="G1110" t="b">
        <f>IF(OR(INDEX(IHZ_HAZ_AMOUNT,103,1)&lt;&gt;"",),IF(OR(INDEX(IHZ_HAZ_NETGROSS,103,1)="",INDEX(IHZ_HAZ_UNIT,103,1)="",),FALSE,TRUE),TRUE)</f>
        <v>1</v>
      </c>
      <c r="H1110" t="str">
        <f t="shared" si="34"/>
        <v>Row 103 - For ‘Transport unit’ if ‘Amount’ is given then ‘Gross / Net’ and ‘Amount unit’ are required</v>
      </c>
      <c r="I1110" t="s">
        <v>33308</v>
      </c>
      <c r="J1110" t="b">
        <f>IF(OR(INDEX(OHZ_HAZ_AMOUNT,103,1)&lt;&gt;"",),IF(OR(INDEX(OHZ_HAZ_NETGROSS,103,1)="",INDEX(OHZ_HAZ_UNIT,103,1)="",),FALSE,TRUE),TRUE)</f>
        <v>1</v>
      </c>
      <c r="K1110" t="str">
        <f t="shared" si="35"/>
        <v>Row 103 - For ‘Transport unit’ if ‘Amount’ is given then ‘Gross / Net’ and ‘Amount unit’ are required</v>
      </c>
      <c r="L1110" t="s">
        <v>33308</v>
      </c>
    </row>
    <row r="1111" spans="7:12" x14ac:dyDescent="0.2">
      <c r="G1111" t="b">
        <f>IF(OR(INDEX(IHZ_HAZ_AMOUNT,104,1)&lt;&gt;"",),IF(OR(INDEX(IHZ_HAZ_NETGROSS,104,1)="",INDEX(IHZ_HAZ_UNIT,104,1)="",),FALSE,TRUE),TRUE)</f>
        <v>1</v>
      </c>
      <c r="H1111" t="str">
        <f t="shared" si="34"/>
        <v>Row 104 - For ‘Transport unit’ if ‘Amount’ is given then ‘Gross / Net’ and ‘Amount unit’ are required</v>
      </c>
      <c r="I1111" t="s">
        <v>33308</v>
      </c>
      <c r="J1111" t="b">
        <f>IF(OR(INDEX(OHZ_HAZ_AMOUNT,104,1)&lt;&gt;"",),IF(OR(INDEX(OHZ_HAZ_NETGROSS,104,1)="",INDEX(OHZ_HAZ_UNIT,104,1)="",),FALSE,TRUE),TRUE)</f>
        <v>1</v>
      </c>
      <c r="K1111" t="str">
        <f t="shared" si="35"/>
        <v>Row 104 - For ‘Transport unit’ if ‘Amount’ is given then ‘Gross / Net’ and ‘Amount unit’ are required</v>
      </c>
      <c r="L1111" t="s">
        <v>33308</v>
      </c>
    </row>
    <row r="1112" spans="7:12" x14ac:dyDescent="0.2">
      <c r="G1112" t="b">
        <f>IF(OR(INDEX(IHZ_HAZ_AMOUNT,105,1)&lt;&gt;"",),IF(OR(INDEX(IHZ_HAZ_NETGROSS,105,1)="",INDEX(IHZ_HAZ_UNIT,105,1)="",),FALSE,TRUE),TRUE)</f>
        <v>1</v>
      </c>
      <c r="H1112" t="str">
        <f t="shared" si="34"/>
        <v>Row 105 - For ‘Transport unit’ if ‘Amount’ is given then ‘Gross / Net’ and ‘Amount unit’ are required</v>
      </c>
      <c r="I1112" t="s">
        <v>33308</v>
      </c>
      <c r="J1112" t="b">
        <f>IF(OR(INDEX(OHZ_HAZ_AMOUNT,105,1)&lt;&gt;"",),IF(OR(INDEX(OHZ_HAZ_NETGROSS,105,1)="",INDEX(OHZ_HAZ_UNIT,105,1)="",),FALSE,TRUE),TRUE)</f>
        <v>1</v>
      </c>
      <c r="K1112" t="str">
        <f t="shared" si="35"/>
        <v>Row 105 - For ‘Transport unit’ if ‘Amount’ is given then ‘Gross / Net’ and ‘Amount unit’ are required</v>
      </c>
      <c r="L1112" t="s">
        <v>33308</v>
      </c>
    </row>
    <row r="1113" spans="7:12" x14ac:dyDescent="0.2">
      <c r="G1113" t="b">
        <f>IF(OR(INDEX(IHZ_HAZ_AMOUNT,106,1)&lt;&gt;"",),IF(OR(INDEX(IHZ_HAZ_NETGROSS,106,1)="",INDEX(IHZ_HAZ_UNIT,106,1)="",),FALSE,TRUE),TRUE)</f>
        <v>1</v>
      </c>
      <c r="H1113" t="str">
        <f t="shared" si="34"/>
        <v>Row 106 - For ‘Transport unit’ if ‘Amount’ is given then ‘Gross / Net’ and ‘Amount unit’ are required</v>
      </c>
      <c r="I1113" t="s">
        <v>33308</v>
      </c>
      <c r="J1113" t="b">
        <f>IF(OR(INDEX(OHZ_HAZ_AMOUNT,106,1)&lt;&gt;"",),IF(OR(INDEX(OHZ_HAZ_NETGROSS,106,1)="",INDEX(OHZ_HAZ_UNIT,106,1)="",),FALSE,TRUE),TRUE)</f>
        <v>1</v>
      </c>
      <c r="K1113" t="str">
        <f t="shared" si="35"/>
        <v>Row 106 - For ‘Transport unit’ if ‘Amount’ is given then ‘Gross / Net’ and ‘Amount unit’ are required</v>
      </c>
      <c r="L1113" t="s">
        <v>33308</v>
      </c>
    </row>
    <row r="1114" spans="7:12" x14ac:dyDescent="0.2">
      <c r="G1114" t="b">
        <f>IF(OR(INDEX(IHZ_HAZ_AMOUNT,107,1)&lt;&gt;"",),IF(OR(INDEX(IHZ_HAZ_NETGROSS,107,1)="",INDEX(IHZ_HAZ_UNIT,107,1)="",),FALSE,TRUE),TRUE)</f>
        <v>1</v>
      </c>
      <c r="H1114" t="str">
        <f t="shared" si="34"/>
        <v>Row 107 - For ‘Transport unit’ if ‘Amount’ is given then ‘Gross / Net’ and ‘Amount unit’ are required</v>
      </c>
      <c r="I1114" t="s">
        <v>33308</v>
      </c>
      <c r="J1114" t="b">
        <f>IF(OR(INDEX(OHZ_HAZ_AMOUNT,107,1)&lt;&gt;"",),IF(OR(INDEX(OHZ_HAZ_NETGROSS,107,1)="",INDEX(OHZ_HAZ_UNIT,107,1)="",),FALSE,TRUE),TRUE)</f>
        <v>1</v>
      </c>
      <c r="K1114" t="str">
        <f t="shared" si="35"/>
        <v>Row 107 - For ‘Transport unit’ if ‘Amount’ is given then ‘Gross / Net’ and ‘Amount unit’ are required</v>
      </c>
      <c r="L1114" t="s">
        <v>33308</v>
      </c>
    </row>
    <row r="1115" spans="7:12" x14ac:dyDescent="0.2">
      <c r="G1115" t="b">
        <f>IF(OR(INDEX(IHZ_HAZ_AMOUNT,108,1)&lt;&gt;"",),IF(OR(INDEX(IHZ_HAZ_NETGROSS,108,1)="",INDEX(IHZ_HAZ_UNIT,108,1)="",),FALSE,TRUE),TRUE)</f>
        <v>1</v>
      </c>
      <c r="H1115" t="str">
        <f t="shared" si="34"/>
        <v>Row 108 - For ‘Transport unit’ if ‘Amount’ is given then ‘Gross / Net’ and ‘Amount unit’ are required</v>
      </c>
      <c r="I1115" t="s">
        <v>33308</v>
      </c>
      <c r="J1115" t="b">
        <f>IF(OR(INDEX(OHZ_HAZ_AMOUNT,108,1)&lt;&gt;"",),IF(OR(INDEX(OHZ_HAZ_NETGROSS,108,1)="",INDEX(OHZ_HAZ_UNIT,108,1)="",),FALSE,TRUE),TRUE)</f>
        <v>1</v>
      </c>
      <c r="K1115" t="str">
        <f t="shared" si="35"/>
        <v>Row 108 - For ‘Transport unit’ if ‘Amount’ is given then ‘Gross / Net’ and ‘Amount unit’ are required</v>
      </c>
      <c r="L1115" t="s">
        <v>33308</v>
      </c>
    </row>
    <row r="1116" spans="7:12" x14ac:dyDescent="0.2">
      <c r="G1116" t="b">
        <f>IF(OR(INDEX(IHZ_HAZ_AMOUNT,109,1)&lt;&gt;"",),IF(OR(INDEX(IHZ_HAZ_NETGROSS,109,1)="",INDEX(IHZ_HAZ_UNIT,109,1)="",),FALSE,TRUE),TRUE)</f>
        <v>1</v>
      </c>
      <c r="H1116" t="str">
        <f t="shared" si="34"/>
        <v>Row 109 - For ‘Transport unit’ if ‘Amount’ is given then ‘Gross / Net’ and ‘Amount unit’ are required</v>
      </c>
      <c r="I1116" t="s">
        <v>33308</v>
      </c>
      <c r="J1116" t="b">
        <f>IF(OR(INDEX(OHZ_HAZ_AMOUNT,109,1)&lt;&gt;"",),IF(OR(INDEX(OHZ_HAZ_NETGROSS,109,1)="",INDEX(OHZ_HAZ_UNIT,109,1)="",),FALSE,TRUE),TRUE)</f>
        <v>1</v>
      </c>
      <c r="K1116" t="str">
        <f t="shared" si="35"/>
        <v>Row 109 - For ‘Transport unit’ if ‘Amount’ is given then ‘Gross / Net’ and ‘Amount unit’ are required</v>
      </c>
      <c r="L1116" t="s">
        <v>33308</v>
      </c>
    </row>
    <row r="1117" spans="7:12" x14ac:dyDescent="0.2">
      <c r="G1117" t="b">
        <f>IF(OR(INDEX(IHZ_HAZ_AMOUNT,110,1)&lt;&gt;"",),IF(OR(INDEX(IHZ_HAZ_NETGROSS,110,1)="",INDEX(IHZ_HAZ_UNIT,110,1)="",),FALSE,TRUE),TRUE)</f>
        <v>1</v>
      </c>
      <c r="H1117" t="str">
        <f t="shared" si="34"/>
        <v>Row 110 - For ‘Transport unit’ if ‘Amount’ is given then ‘Gross / Net’ and ‘Amount unit’ are required</v>
      </c>
      <c r="I1117" t="s">
        <v>33308</v>
      </c>
      <c r="J1117" t="b">
        <f>IF(OR(INDEX(OHZ_HAZ_AMOUNT,110,1)&lt;&gt;"",),IF(OR(INDEX(OHZ_HAZ_NETGROSS,110,1)="",INDEX(OHZ_HAZ_UNIT,110,1)="",),FALSE,TRUE),TRUE)</f>
        <v>1</v>
      </c>
      <c r="K1117" t="str">
        <f t="shared" si="35"/>
        <v>Row 110 - For ‘Transport unit’ if ‘Amount’ is given then ‘Gross / Net’ and ‘Amount unit’ are required</v>
      </c>
      <c r="L1117" t="s">
        <v>33308</v>
      </c>
    </row>
    <row r="1118" spans="7:12" x14ac:dyDescent="0.2">
      <c r="G1118" t="b">
        <f>IF(OR(INDEX(IHZ_HAZ_AMOUNT,111,1)&lt;&gt;"",),IF(OR(INDEX(IHZ_HAZ_NETGROSS,111,1)="",INDEX(IHZ_HAZ_UNIT,111,1)="",),FALSE,TRUE),TRUE)</f>
        <v>1</v>
      </c>
      <c r="H1118" t="str">
        <f t="shared" si="34"/>
        <v>Row 111 - For ‘Transport unit’ if ‘Amount’ is given then ‘Gross / Net’ and ‘Amount unit’ are required</v>
      </c>
      <c r="I1118" t="s">
        <v>33308</v>
      </c>
      <c r="J1118" t="b">
        <f>IF(OR(INDEX(OHZ_HAZ_AMOUNT,111,1)&lt;&gt;"",),IF(OR(INDEX(OHZ_HAZ_NETGROSS,111,1)="",INDEX(OHZ_HAZ_UNIT,111,1)="",),FALSE,TRUE),TRUE)</f>
        <v>1</v>
      </c>
      <c r="K1118" t="str">
        <f t="shared" si="35"/>
        <v>Row 111 - For ‘Transport unit’ if ‘Amount’ is given then ‘Gross / Net’ and ‘Amount unit’ are required</v>
      </c>
      <c r="L1118" t="s">
        <v>33308</v>
      </c>
    </row>
    <row r="1119" spans="7:12" x14ac:dyDescent="0.2">
      <c r="G1119" t="b">
        <f>IF(OR(INDEX(IHZ_HAZ_AMOUNT,112,1)&lt;&gt;"",),IF(OR(INDEX(IHZ_HAZ_NETGROSS,112,1)="",INDEX(IHZ_HAZ_UNIT,112,1)="",),FALSE,TRUE),TRUE)</f>
        <v>1</v>
      </c>
      <c r="H1119" t="str">
        <f t="shared" si="34"/>
        <v>Row 112 - For ‘Transport unit’ if ‘Amount’ is given then ‘Gross / Net’ and ‘Amount unit’ are required</v>
      </c>
      <c r="I1119" t="s">
        <v>33308</v>
      </c>
      <c r="J1119" t="b">
        <f>IF(OR(INDEX(OHZ_HAZ_AMOUNT,112,1)&lt;&gt;"",),IF(OR(INDEX(OHZ_HAZ_NETGROSS,112,1)="",INDEX(OHZ_HAZ_UNIT,112,1)="",),FALSE,TRUE),TRUE)</f>
        <v>1</v>
      </c>
      <c r="K1119" t="str">
        <f t="shared" si="35"/>
        <v>Row 112 - For ‘Transport unit’ if ‘Amount’ is given then ‘Gross / Net’ and ‘Amount unit’ are required</v>
      </c>
      <c r="L1119" t="s">
        <v>33308</v>
      </c>
    </row>
    <row r="1120" spans="7:12" x14ac:dyDescent="0.2">
      <c r="G1120" t="b">
        <f>IF(OR(INDEX(IHZ_HAZ_AMOUNT,113,1)&lt;&gt;"",),IF(OR(INDEX(IHZ_HAZ_NETGROSS,113,1)="",INDEX(IHZ_HAZ_UNIT,113,1)="",),FALSE,TRUE),TRUE)</f>
        <v>1</v>
      </c>
      <c r="H1120" t="str">
        <f t="shared" si="34"/>
        <v>Row 113 - For ‘Transport unit’ if ‘Amount’ is given then ‘Gross / Net’ and ‘Amount unit’ are required</v>
      </c>
      <c r="I1120" t="s">
        <v>33308</v>
      </c>
      <c r="J1120" t="b">
        <f>IF(OR(INDEX(OHZ_HAZ_AMOUNT,113,1)&lt;&gt;"",),IF(OR(INDEX(OHZ_HAZ_NETGROSS,113,1)="",INDEX(OHZ_HAZ_UNIT,113,1)="",),FALSE,TRUE),TRUE)</f>
        <v>1</v>
      </c>
      <c r="K1120" t="str">
        <f t="shared" si="35"/>
        <v>Row 113 - For ‘Transport unit’ if ‘Amount’ is given then ‘Gross / Net’ and ‘Amount unit’ are required</v>
      </c>
      <c r="L1120" t="s">
        <v>33308</v>
      </c>
    </row>
    <row r="1121" spans="7:12" x14ac:dyDescent="0.2">
      <c r="G1121" t="b">
        <f>IF(OR(INDEX(IHZ_HAZ_AMOUNT,114,1)&lt;&gt;"",),IF(OR(INDEX(IHZ_HAZ_NETGROSS,114,1)="",INDEX(IHZ_HAZ_UNIT,114,1)="",),FALSE,TRUE),TRUE)</f>
        <v>1</v>
      </c>
      <c r="H1121" t="str">
        <f t="shared" si="34"/>
        <v>Row 114 - For ‘Transport unit’ if ‘Amount’ is given then ‘Gross / Net’ and ‘Amount unit’ are required</v>
      </c>
      <c r="I1121" t="s">
        <v>33308</v>
      </c>
      <c r="J1121" t="b">
        <f>IF(OR(INDEX(OHZ_HAZ_AMOUNT,114,1)&lt;&gt;"",),IF(OR(INDEX(OHZ_HAZ_NETGROSS,114,1)="",INDEX(OHZ_HAZ_UNIT,114,1)="",),FALSE,TRUE),TRUE)</f>
        <v>1</v>
      </c>
      <c r="K1121" t="str">
        <f t="shared" si="35"/>
        <v>Row 114 - For ‘Transport unit’ if ‘Amount’ is given then ‘Gross / Net’ and ‘Amount unit’ are required</v>
      </c>
      <c r="L1121" t="s">
        <v>33308</v>
      </c>
    </row>
    <row r="1122" spans="7:12" x14ac:dyDescent="0.2">
      <c r="G1122" t="b">
        <f>IF(OR(INDEX(IHZ_HAZ_AMOUNT,115,1)&lt;&gt;"",),IF(OR(INDEX(IHZ_HAZ_NETGROSS,115,1)="",INDEX(IHZ_HAZ_UNIT,115,1)="",),FALSE,TRUE),TRUE)</f>
        <v>1</v>
      </c>
      <c r="H1122" t="str">
        <f t="shared" si="34"/>
        <v>Row 115 - For ‘Transport unit’ if ‘Amount’ is given then ‘Gross / Net’ and ‘Amount unit’ are required</v>
      </c>
      <c r="I1122" t="s">
        <v>33308</v>
      </c>
      <c r="J1122" t="b">
        <f>IF(OR(INDEX(OHZ_HAZ_AMOUNT,115,1)&lt;&gt;"",),IF(OR(INDEX(OHZ_HAZ_NETGROSS,115,1)="",INDEX(OHZ_HAZ_UNIT,115,1)="",),FALSE,TRUE),TRUE)</f>
        <v>1</v>
      </c>
      <c r="K1122" t="str">
        <f t="shared" si="35"/>
        <v>Row 115 - For ‘Transport unit’ if ‘Amount’ is given then ‘Gross / Net’ and ‘Amount unit’ are required</v>
      </c>
      <c r="L1122" t="s">
        <v>33308</v>
      </c>
    </row>
    <row r="1123" spans="7:12" x14ac:dyDescent="0.2">
      <c r="G1123" t="b">
        <f>IF(OR(INDEX(IHZ_HAZ_AMOUNT,116,1)&lt;&gt;"",),IF(OR(INDEX(IHZ_HAZ_NETGROSS,116,1)="",INDEX(IHZ_HAZ_UNIT,116,1)="",),FALSE,TRUE),TRUE)</f>
        <v>1</v>
      </c>
      <c r="H1123" t="str">
        <f t="shared" si="34"/>
        <v>Row 116 - For ‘Transport unit’ if ‘Amount’ is given then ‘Gross / Net’ and ‘Amount unit’ are required</v>
      </c>
      <c r="I1123" t="s">
        <v>33308</v>
      </c>
      <c r="J1123" t="b">
        <f>IF(OR(INDEX(OHZ_HAZ_AMOUNT,116,1)&lt;&gt;"",),IF(OR(INDEX(OHZ_HAZ_NETGROSS,116,1)="",INDEX(OHZ_HAZ_UNIT,116,1)="",),FALSE,TRUE),TRUE)</f>
        <v>1</v>
      </c>
      <c r="K1123" t="str">
        <f t="shared" si="35"/>
        <v>Row 116 - For ‘Transport unit’ if ‘Amount’ is given then ‘Gross / Net’ and ‘Amount unit’ are required</v>
      </c>
      <c r="L1123" t="s">
        <v>33308</v>
      </c>
    </row>
    <row r="1124" spans="7:12" x14ac:dyDescent="0.2">
      <c r="G1124" t="b">
        <f>IF(OR(INDEX(IHZ_HAZ_AMOUNT,117,1)&lt;&gt;"",),IF(OR(INDEX(IHZ_HAZ_NETGROSS,117,1)="",INDEX(IHZ_HAZ_UNIT,117,1)="",),FALSE,TRUE),TRUE)</f>
        <v>1</v>
      </c>
      <c r="H1124" t="str">
        <f t="shared" si="34"/>
        <v>Row 117 - For ‘Transport unit’ if ‘Amount’ is given then ‘Gross / Net’ and ‘Amount unit’ are required</v>
      </c>
      <c r="I1124" t="s">
        <v>33308</v>
      </c>
      <c r="J1124" t="b">
        <f>IF(OR(INDEX(OHZ_HAZ_AMOUNT,117,1)&lt;&gt;"",),IF(OR(INDEX(OHZ_HAZ_NETGROSS,117,1)="",INDEX(OHZ_HAZ_UNIT,117,1)="",),FALSE,TRUE),TRUE)</f>
        <v>1</v>
      </c>
      <c r="K1124" t="str">
        <f t="shared" si="35"/>
        <v>Row 117 - For ‘Transport unit’ if ‘Amount’ is given then ‘Gross / Net’ and ‘Amount unit’ are required</v>
      </c>
      <c r="L1124" t="s">
        <v>33308</v>
      </c>
    </row>
    <row r="1125" spans="7:12" x14ac:dyDescent="0.2">
      <c r="G1125" t="b">
        <f>IF(OR(INDEX(IHZ_HAZ_AMOUNT,118,1)&lt;&gt;"",),IF(OR(INDEX(IHZ_HAZ_NETGROSS,118,1)="",INDEX(IHZ_HAZ_UNIT,118,1)="",),FALSE,TRUE),TRUE)</f>
        <v>1</v>
      </c>
      <c r="H1125" t="str">
        <f t="shared" si="34"/>
        <v>Row 118 - For ‘Transport unit’ if ‘Amount’ is given then ‘Gross / Net’ and ‘Amount unit’ are required</v>
      </c>
      <c r="I1125" t="s">
        <v>33308</v>
      </c>
      <c r="J1125" t="b">
        <f>IF(OR(INDEX(OHZ_HAZ_AMOUNT,118,1)&lt;&gt;"",),IF(OR(INDEX(OHZ_HAZ_NETGROSS,118,1)="",INDEX(OHZ_HAZ_UNIT,118,1)="",),FALSE,TRUE),TRUE)</f>
        <v>1</v>
      </c>
      <c r="K1125" t="str">
        <f t="shared" si="35"/>
        <v>Row 118 - For ‘Transport unit’ if ‘Amount’ is given then ‘Gross / Net’ and ‘Amount unit’ are required</v>
      </c>
      <c r="L1125" t="s">
        <v>33308</v>
      </c>
    </row>
    <row r="1126" spans="7:12" x14ac:dyDescent="0.2">
      <c r="G1126" t="b">
        <f>IF(OR(INDEX(IHZ_HAZ_AMOUNT,119,1)&lt;&gt;"",),IF(OR(INDEX(IHZ_HAZ_NETGROSS,119,1)="",INDEX(IHZ_HAZ_UNIT,119,1)="",),FALSE,TRUE),TRUE)</f>
        <v>1</v>
      </c>
      <c r="H1126" t="str">
        <f t="shared" si="34"/>
        <v>Row 119 - For ‘Transport unit’ if ‘Amount’ is given then ‘Gross / Net’ and ‘Amount unit’ are required</v>
      </c>
      <c r="I1126" t="s">
        <v>33308</v>
      </c>
      <c r="J1126" t="b">
        <f>IF(OR(INDEX(OHZ_HAZ_AMOUNT,119,1)&lt;&gt;"",),IF(OR(INDEX(OHZ_HAZ_NETGROSS,119,1)="",INDEX(OHZ_HAZ_UNIT,119,1)="",),FALSE,TRUE),TRUE)</f>
        <v>1</v>
      </c>
      <c r="K1126" t="str">
        <f t="shared" si="35"/>
        <v>Row 119 - For ‘Transport unit’ if ‘Amount’ is given then ‘Gross / Net’ and ‘Amount unit’ are required</v>
      </c>
      <c r="L1126" t="s">
        <v>33308</v>
      </c>
    </row>
    <row r="1127" spans="7:12" x14ac:dyDescent="0.2">
      <c r="G1127" t="b">
        <f>IF(OR(INDEX(IHZ_HAZ_AMOUNT,120,1)&lt;&gt;"",),IF(OR(INDEX(IHZ_HAZ_NETGROSS,120,1)="",INDEX(IHZ_HAZ_UNIT,120,1)="",),FALSE,TRUE),TRUE)</f>
        <v>1</v>
      </c>
      <c r="H1127" t="str">
        <f t="shared" si="34"/>
        <v>Row 120 - For ‘Transport unit’ if ‘Amount’ is given then ‘Gross / Net’ and ‘Amount unit’ are required</v>
      </c>
      <c r="I1127" t="s">
        <v>33308</v>
      </c>
      <c r="J1127" t="b">
        <f>IF(OR(INDEX(OHZ_HAZ_AMOUNT,120,1)&lt;&gt;"",),IF(OR(INDEX(OHZ_HAZ_NETGROSS,120,1)="",INDEX(OHZ_HAZ_UNIT,120,1)="",),FALSE,TRUE),TRUE)</f>
        <v>1</v>
      </c>
      <c r="K1127" t="str">
        <f t="shared" si="35"/>
        <v>Row 120 - For ‘Transport unit’ if ‘Amount’ is given then ‘Gross / Net’ and ‘Amount unit’ are required</v>
      </c>
      <c r="L1127" t="s">
        <v>33308</v>
      </c>
    </row>
    <row r="1128" spans="7:12" x14ac:dyDescent="0.2">
      <c r="G1128" t="b">
        <f>IF(OR(INDEX(IHZ_HAZ_AMOUNT,121,1)&lt;&gt;"",),IF(OR(INDEX(IHZ_HAZ_NETGROSS,121,1)="",INDEX(IHZ_HAZ_UNIT,121,1)="",),FALSE,TRUE),TRUE)</f>
        <v>1</v>
      </c>
      <c r="H1128" t="str">
        <f t="shared" si="34"/>
        <v>Row 121 - For ‘Transport unit’ if ‘Amount’ is given then ‘Gross / Net’ and ‘Amount unit’ are required</v>
      </c>
      <c r="I1128" t="s">
        <v>33308</v>
      </c>
      <c r="J1128" t="b">
        <f>IF(OR(INDEX(OHZ_HAZ_AMOUNT,121,1)&lt;&gt;"",),IF(OR(INDEX(OHZ_HAZ_NETGROSS,121,1)="",INDEX(OHZ_HAZ_UNIT,121,1)="",),FALSE,TRUE),TRUE)</f>
        <v>1</v>
      </c>
      <c r="K1128" t="str">
        <f t="shared" si="35"/>
        <v>Row 121 - For ‘Transport unit’ if ‘Amount’ is given then ‘Gross / Net’ and ‘Amount unit’ are required</v>
      </c>
      <c r="L1128" t="s">
        <v>33308</v>
      </c>
    </row>
    <row r="1129" spans="7:12" x14ac:dyDescent="0.2">
      <c r="G1129" t="b">
        <f>IF(OR(INDEX(IHZ_HAZ_AMOUNT,122,1)&lt;&gt;"",),IF(OR(INDEX(IHZ_HAZ_NETGROSS,122,1)="",INDEX(IHZ_HAZ_UNIT,122,1)="",),FALSE,TRUE),TRUE)</f>
        <v>1</v>
      </c>
      <c r="H1129" t="str">
        <f t="shared" si="34"/>
        <v>Row 122 - For ‘Transport unit’ if ‘Amount’ is given then ‘Gross / Net’ and ‘Amount unit’ are required</v>
      </c>
      <c r="I1129" t="s">
        <v>33308</v>
      </c>
      <c r="J1129" t="b">
        <f>IF(OR(INDEX(OHZ_HAZ_AMOUNT,122,1)&lt;&gt;"",),IF(OR(INDEX(OHZ_HAZ_NETGROSS,122,1)="",INDEX(OHZ_HAZ_UNIT,122,1)="",),FALSE,TRUE),TRUE)</f>
        <v>1</v>
      </c>
      <c r="K1129" t="str">
        <f t="shared" si="35"/>
        <v>Row 122 - For ‘Transport unit’ if ‘Amount’ is given then ‘Gross / Net’ and ‘Amount unit’ are required</v>
      </c>
      <c r="L1129" t="s">
        <v>33308</v>
      </c>
    </row>
    <row r="1130" spans="7:12" x14ac:dyDescent="0.2">
      <c r="G1130" t="b">
        <f>IF(OR(INDEX(IHZ_HAZ_AMOUNT,123,1)&lt;&gt;"",),IF(OR(INDEX(IHZ_HAZ_NETGROSS,123,1)="",INDEX(IHZ_HAZ_UNIT,123,1)="",),FALSE,TRUE),TRUE)</f>
        <v>1</v>
      </c>
      <c r="H1130" t="str">
        <f t="shared" si="34"/>
        <v>Row 123 - For ‘Transport unit’ if ‘Amount’ is given then ‘Gross / Net’ and ‘Amount unit’ are required</v>
      </c>
      <c r="I1130" t="s">
        <v>33308</v>
      </c>
      <c r="J1130" t="b">
        <f>IF(OR(INDEX(OHZ_HAZ_AMOUNT,123,1)&lt;&gt;"",),IF(OR(INDEX(OHZ_HAZ_NETGROSS,123,1)="",INDEX(OHZ_HAZ_UNIT,123,1)="",),FALSE,TRUE),TRUE)</f>
        <v>1</v>
      </c>
      <c r="K1130" t="str">
        <f t="shared" si="35"/>
        <v>Row 123 - For ‘Transport unit’ if ‘Amount’ is given then ‘Gross / Net’ and ‘Amount unit’ are required</v>
      </c>
      <c r="L1130" t="s">
        <v>33308</v>
      </c>
    </row>
    <row r="1131" spans="7:12" x14ac:dyDescent="0.2">
      <c r="G1131" t="b">
        <f>IF(OR(INDEX(IHZ_HAZ_AMOUNT,124,1)&lt;&gt;"",),IF(OR(INDEX(IHZ_HAZ_NETGROSS,124,1)="",INDEX(IHZ_HAZ_UNIT,124,1)="",),FALSE,TRUE),TRUE)</f>
        <v>1</v>
      </c>
      <c r="H1131" t="str">
        <f t="shared" si="34"/>
        <v>Row 124 - For ‘Transport unit’ if ‘Amount’ is given then ‘Gross / Net’ and ‘Amount unit’ are required</v>
      </c>
      <c r="I1131" t="s">
        <v>33308</v>
      </c>
      <c r="J1131" t="b">
        <f>IF(OR(INDEX(OHZ_HAZ_AMOUNT,124,1)&lt;&gt;"",),IF(OR(INDEX(OHZ_HAZ_NETGROSS,124,1)="",INDEX(OHZ_HAZ_UNIT,124,1)="",),FALSE,TRUE),TRUE)</f>
        <v>1</v>
      </c>
      <c r="K1131" t="str">
        <f t="shared" si="35"/>
        <v>Row 124 - For ‘Transport unit’ if ‘Amount’ is given then ‘Gross / Net’ and ‘Amount unit’ are required</v>
      </c>
      <c r="L1131" t="s">
        <v>33308</v>
      </c>
    </row>
    <row r="1132" spans="7:12" x14ac:dyDescent="0.2">
      <c r="G1132" t="b">
        <f>IF(OR(INDEX(IHZ_HAZ_AMOUNT,125,1)&lt;&gt;"",),IF(OR(INDEX(IHZ_HAZ_NETGROSS,125,1)="",INDEX(IHZ_HAZ_UNIT,125,1)="",),FALSE,TRUE),TRUE)</f>
        <v>1</v>
      </c>
      <c r="H1132" t="str">
        <f t="shared" si="34"/>
        <v>Row 125 - For ‘Transport unit’ if ‘Amount’ is given then ‘Gross / Net’ and ‘Amount unit’ are required</v>
      </c>
      <c r="I1132" t="s">
        <v>33308</v>
      </c>
      <c r="J1132" t="b">
        <f>IF(OR(INDEX(OHZ_HAZ_AMOUNT,125,1)&lt;&gt;"",),IF(OR(INDEX(OHZ_HAZ_NETGROSS,125,1)="",INDEX(OHZ_HAZ_UNIT,125,1)="",),FALSE,TRUE),TRUE)</f>
        <v>1</v>
      </c>
      <c r="K1132" t="str">
        <f t="shared" si="35"/>
        <v>Row 125 - For ‘Transport unit’ if ‘Amount’ is given then ‘Gross / Net’ and ‘Amount unit’ are required</v>
      </c>
      <c r="L1132" t="s">
        <v>33308</v>
      </c>
    </row>
    <row r="1133" spans="7:12" x14ac:dyDescent="0.2">
      <c r="G1133" t="b">
        <f>IF(OR(INDEX(IHZ_HAZ_AMOUNT,126,1)&lt;&gt;"",),IF(OR(INDEX(IHZ_HAZ_NETGROSS,126,1)="",INDEX(IHZ_HAZ_UNIT,126,1)="",),FALSE,TRUE),TRUE)</f>
        <v>1</v>
      </c>
      <c r="H1133" t="str">
        <f t="shared" si="34"/>
        <v>Row 126 - For ‘Transport unit’ if ‘Amount’ is given then ‘Gross / Net’ and ‘Amount unit’ are required</v>
      </c>
      <c r="I1133" t="s">
        <v>33308</v>
      </c>
      <c r="J1133" t="b">
        <f>IF(OR(INDEX(OHZ_HAZ_AMOUNT,126,1)&lt;&gt;"",),IF(OR(INDEX(OHZ_HAZ_NETGROSS,126,1)="",INDEX(OHZ_HAZ_UNIT,126,1)="",),FALSE,TRUE),TRUE)</f>
        <v>1</v>
      </c>
      <c r="K1133" t="str">
        <f t="shared" si="35"/>
        <v>Row 126 - For ‘Transport unit’ if ‘Amount’ is given then ‘Gross / Net’ and ‘Amount unit’ are required</v>
      </c>
      <c r="L1133" t="s">
        <v>33308</v>
      </c>
    </row>
    <row r="1134" spans="7:12" x14ac:dyDescent="0.2">
      <c r="G1134" t="b">
        <f>IF(OR(INDEX(IHZ_HAZ_AMOUNT,127,1)&lt;&gt;"",),IF(OR(INDEX(IHZ_HAZ_NETGROSS,127,1)="",INDEX(IHZ_HAZ_UNIT,127,1)="",),FALSE,TRUE),TRUE)</f>
        <v>1</v>
      </c>
      <c r="H1134" t="str">
        <f t="shared" si="34"/>
        <v>Row 127 - For ‘Transport unit’ if ‘Amount’ is given then ‘Gross / Net’ and ‘Amount unit’ are required</v>
      </c>
      <c r="I1134" t="s">
        <v>33308</v>
      </c>
      <c r="J1134" t="b">
        <f>IF(OR(INDEX(OHZ_HAZ_AMOUNT,127,1)&lt;&gt;"",),IF(OR(INDEX(OHZ_HAZ_NETGROSS,127,1)="",INDEX(OHZ_HAZ_UNIT,127,1)="",),FALSE,TRUE),TRUE)</f>
        <v>1</v>
      </c>
      <c r="K1134" t="str">
        <f t="shared" si="35"/>
        <v>Row 127 - For ‘Transport unit’ if ‘Amount’ is given then ‘Gross / Net’ and ‘Amount unit’ are required</v>
      </c>
      <c r="L1134" t="s">
        <v>33308</v>
      </c>
    </row>
    <row r="1135" spans="7:12" x14ac:dyDescent="0.2">
      <c r="G1135" t="b">
        <f>IF(OR(INDEX(IHZ_HAZ_AMOUNT,128,1)&lt;&gt;"",),IF(OR(INDEX(IHZ_HAZ_NETGROSS,128,1)="",INDEX(IHZ_HAZ_UNIT,128,1)="",),FALSE,TRUE),TRUE)</f>
        <v>1</v>
      </c>
      <c r="H1135" t="str">
        <f t="shared" si="34"/>
        <v>Row 128 - For ‘Transport unit’ if ‘Amount’ is given then ‘Gross / Net’ and ‘Amount unit’ are required</v>
      </c>
      <c r="I1135" t="s">
        <v>33308</v>
      </c>
      <c r="J1135" t="b">
        <f>IF(OR(INDEX(OHZ_HAZ_AMOUNT,128,1)&lt;&gt;"",),IF(OR(INDEX(OHZ_HAZ_NETGROSS,128,1)="",INDEX(OHZ_HAZ_UNIT,128,1)="",),FALSE,TRUE),TRUE)</f>
        <v>1</v>
      </c>
      <c r="K1135" t="str">
        <f t="shared" si="35"/>
        <v>Row 128 - For ‘Transport unit’ if ‘Amount’ is given then ‘Gross / Net’ and ‘Amount unit’ are required</v>
      </c>
      <c r="L1135" t="s">
        <v>33308</v>
      </c>
    </row>
    <row r="1136" spans="7:12" x14ac:dyDescent="0.2">
      <c r="G1136" t="b">
        <f>IF(OR(INDEX(IHZ_HAZ_AMOUNT,129,1)&lt;&gt;"",),IF(OR(INDEX(IHZ_HAZ_NETGROSS,129,1)="",INDEX(IHZ_HAZ_UNIT,129,1)="",),FALSE,TRUE),TRUE)</f>
        <v>1</v>
      </c>
      <c r="H1136" t="str">
        <f t="shared" si="34"/>
        <v>Row 129 - For ‘Transport unit’ if ‘Amount’ is given then ‘Gross / Net’ and ‘Amount unit’ are required</v>
      </c>
      <c r="I1136" t="s">
        <v>33308</v>
      </c>
      <c r="J1136" t="b">
        <f>IF(OR(INDEX(OHZ_HAZ_AMOUNT,129,1)&lt;&gt;"",),IF(OR(INDEX(OHZ_HAZ_NETGROSS,129,1)="",INDEX(OHZ_HAZ_UNIT,129,1)="",),FALSE,TRUE),TRUE)</f>
        <v>1</v>
      </c>
      <c r="K1136" t="str">
        <f t="shared" si="35"/>
        <v>Row 129 - For ‘Transport unit’ if ‘Amount’ is given then ‘Gross / Net’ and ‘Amount unit’ are required</v>
      </c>
      <c r="L1136" t="s">
        <v>33308</v>
      </c>
    </row>
    <row r="1137" spans="7:12" x14ac:dyDescent="0.2">
      <c r="G1137" t="b">
        <f>IF(OR(INDEX(IHZ_HAZ_AMOUNT,130,1)&lt;&gt;"",),IF(OR(INDEX(IHZ_HAZ_NETGROSS,130,1)="",INDEX(IHZ_HAZ_UNIT,130,1)="",),FALSE,TRUE),TRUE)</f>
        <v>1</v>
      </c>
      <c r="H1137" t="str">
        <f t="shared" ref="H1137:H1200" si="36">T130&amp;$V$5</f>
        <v>Row 130 - For ‘Transport unit’ if ‘Amount’ is given then ‘Gross / Net’ and ‘Amount unit’ are required</v>
      </c>
      <c r="I1137" t="s">
        <v>33308</v>
      </c>
      <c r="J1137" t="b">
        <f>IF(OR(INDEX(OHZ_HAZ_AMOUNT,130,1)&lt;&gt;"",),IF(OR(INDEX(OHZ_HAZ_NETGROSS,130,1)="",INDEX(OHZ_HAZ_UNIT,130,1)="",),FALSE,TRUE),TRUE)</f>
        <v>1</v>
      </c>
      <c r="K1137" t="str">
        <f t="shared" ref="K1137:K1200" si="37">T130&amp;$V$5</f>
        <v>Row 130 - For ‘Transport unit’ if ‘Amount’ is given then ‘Gross / Net’ and ‘Amount unit’ are required</v>
      </c>
      <c r="L1137" t="s">
        <v>33308</v>
      </c>
    </row>
    <row r="1138" spans="7:12" x14ac:dyDescent="0.2">
      <c r="G1138" t="b">
        <f>IF(OR(INDEX(IHZ_HAZ_AMOUNT,131,1)&lt;&gt;"",),IF(OR(INDEX(IHZ_HAZ_NETGROSS,131,1)="",INDEX(IHZ_HAZ_UNIT,131,1)="",),FALSE,TRUE),TRUE)</f>
        <v>1</v>
      </c>
      <c r="H1138" t="str">
        <f t="shared" si="36"/>
        <v>Row 131 - For ‘Transport unit’ if ‘Amount’ is given then ‘Gross / Net’ and ‘Amount unit’ are required</v>
      </c>
      <c r="I1138" t="s">
        <v>33308</v>
      </c>
      <c r="J1138" t="b">
        <f>IF(OR(INDEX(OHZ_HAZ_AMOUNT,131,1)&lt;&gt;"",),IF(OR(INDEX(OHZ_HAZ_NETGROSS,131,1)="",INDEX(OHZ_HAZ_UNIT,131,1)="",),FALSE,TRUE),TRUE)</f>
        <v>1</v>
      </c>
      <c r="K1138" t="str">
        <f t="shared" si="37"/>
        <v>Row 131 - For ‘Transport unit’ if ‘Amount’ is given then ‘Gross / Net’ and ‘Amount unit’ are required</v>
      </c>
      <c r="L1138" t="s">
        <v>33308</v>
      </c>
    </row>
    <row r="1139" spans="7:12" x14ac:dyDescent="0.2">
      <c r="G1139" t="b">
        <f>IF(OR(INDEX(IHZ_HAZ_AMOUNT,132,1)&lt;&gt;"",),IF(OR(INDEX(IHZ_HAZ_NETGROSS,132,1)="",INDEX(IHZ_HAZ_UNIT,132,1)="",),FALSE,TRUE),TRUE)</f>
        <v>1</v>
      </c>
      <c r="H1139" t="str">
        <f t="shared" si="36"/>
        <v>Row 132 - For ‘Transport unit’ if ‘Amount’ is given then ‘Gross / Net’ and ‘Amount unit’ are required</v>
      </c>
      <c r="I1139" t="s">
        <v>33308</v>
      </c>
      <c r="J1139" t="b">
        <f>IF(OR(INDEX(OHZ_HAZ_AMOUNT,132,1)&lt;&gt;"",),IF(OR(INDEX(OHZ_HAZ_NETGROSS,132,1)="",INDEX(OHZ_HAZ_UNIT,132,1)="",),FALSE,TRUE),TRUE)</f>
        <v>1</v>
      </c>
      <c r="K1139" t="str">
        <f t="shared" si="37"/>
        <v>Row 132 - For ‘Transport unit’ if ‘Amount’ is given then ‘Gross / Net’ and ‘Amount unit’ are required</v>
      </c>
      <c r="L1139" t="s">
        <v>33308</v>
      </c>
    </row>
    <row r="1140" spans="7:12" x14ac:dyDescent="0.2">
      <c r="G1140" t="b">
        <f>IF(OR(INDEX(IHZ_HAZ_AMOUNT,133,1)&lt;&gt;"",),IF(OR(INDEX(IHZ_HAZ_NETGROSS,133,1)="",INDEX(IHZ_HAZ_UNIT,133,1)="",),FALSE,TRUE),TRUE)</f>
        <v>1</v>
      </c>
      <c r="H1140" t="str">
        <f t="shared" si="36"/>
        <v>Row 133 - For ‘Transport unit’ if ‘Amount’ is given then ‘Gross / Net’ and ‘Amount unit’ are required</v>
      </c>
      <c r="I1140" t="s">
        <v>33308</v>
      </c>
      <c r="J1140" t="b">
        <f>IF(OR(INDEX(OHZ_HAZ_AMOUNT,133,1)&lt;&gt;"",),IF(OR(INDEX(OHZ_HAZ_NETGROSS,133,1)="",INDEX(OHZ_HAZ_UNIT,133,1)="",),FALSE,TRUE),TRUE)</f>
        <v>1</v>
      </c>
      <c r="K1140" t="str">
        <f t="shared" si="37"/>
        <v>Row 133 - For ‘Transport unit’ if ‘Amount’ is given then ‘Gross / Net’ and ‘Amount unit’ are required</v>
      </c>
      <c r="L1140" t="s">
        <v>33308</v>
      </c>
    </row>
    <row r="1141" spans="7:12" x14ac:dyDescent="0.2">
      <c r="G1141" t="b">
        <f>IF(OR(INDEX(IHZ_HAZ_AMOUNT,134,1)&lt;&gt;"",),IF(OR(INDEX(IHZ_HAZ_NETGROSS,134,1)="",INDEX(IHZ_HAZ_UNIT,134,1)="",),FALSE,TRUE),TRUE)</f>
        <v>1</v>
      </c>
      <c r="H1141" t="str">
        <f t="shared" si="36"/>
        <v>Row 134 - For ‘Transport unit’ if ‘Amount’ is given then ‘Gross / Net’ and ‘Amount unit’ are required</v>
      </c>
      <c r="I1141" t="s">
        <v>33308</v>
      </c>
      <c r="J1141" t="b">
        <f>IF(OR(INDEX(OHZ_HAZ_AMOUNT,134,1)&lt;&gt;"",),IF(OR(INDEX(OHZ_HAZ_NETGROSS,134,1)="",INDEX(OHZ_HAZ_UNIT,134,1)="",),FALSE,TRUE),TRUE)</f>
        <v>1</v>
      </c>
      <c r="K1141" t="str">
        <f t="shared" si="37"/>
        <v>Row 134 - For ‘Transport unit’ if ‘Amount’ is given then ‘Gross / Net’ and ‘Amount unit’ are required</v>
      </c>
      <c r="L1141" t="s">
        <v>33308</v>
      </c>
    </row>
    <row r="1142" spans="7:12" x14ac:dyDescent="0.2">
      <c r="G1142" t="b">
        <f>IF(OR(INDEX(IHZ_HAZ_AMOUNT,135,1)&lt;&gt;"",),IF(OR(INDEX(IHZ_HAZ_NETGROSS,135,1)="",INDEX(IHZ_HAZ_UNIT,135,1)="",),FALSE,TRUE),TRUE)</f>
        <v>1</v>
      </c>
      <c r="H1142" t="str">
        <f t="shared" si="36"/>
        <v>Row 135 - For ‘Transport unit’ if ‘Amount’ is given then ‘Gross / Net’ and ‘Amount unit’ are required</v>
      </c>
      <c r="I1142" t="s">
        <v>33308</v>
      </c>
      <c r="J1142" t="b">
        <f>IF(OR(INDEX(OHZ_HAZ_AMOUNT,135,1)&lt;&gt;"",),IF(OR(INDEX(OHZ_HAZ_NETGROSS,135,1)="",INDEX(OHZ_HAZ_UNIT,135,1)="",),FALSE,TRUE),TRUE)</f>
        <v>1</v>
      </c>
      <c r="K1142" t="str">
        <f t="shared" si="37"/>
        <v>Row 135 - For ‘Transport unit’ if ‘Amount’ is given then ‘Gross / Net’ and ‘Amount unit’ are required</v>
      </c>
      <c r="L1142" t="s">
        <v>33308</v>
      </c>
    </row>
    <row r="1143" spans="7:12" x14ac:dyDescent="0.2">
      <c r="G1143" t="b">
        <f>IF(OR(INDEX(IHZ_HAZ_AMOUNT,136,1)&lt;&gt;"",),IF(OR(INDEX(IHZ_HAZ_NETGROSS,136,1)="",INDEX(IHZ_HAZ_UNIT,136,1)="",),FALSE,TRUE),TRUE)</f>
        <v>1</v>
      </c>
      <c r="H1143" t="str">
        <f t="shared" si="36"/>
        <v>Row 136 - For ‘Transport unit’ if ‘Amount’ is given then ‘Gross / Net’ and ‘Amount unit’ are required</v>
      </c>
      <c r="I1143" t="s">
        <v>33308</v>
      </c>
      <c r="J1143" t="b">
        <f>IF(OR(INDEX(OHZ_HAZ_AMOUNT,136,1)&lt;&gt;"",),IF(OR(INDEX(OHZ_HAZ_NETGROSS,136,1)="",INDEX(OHZ_HAZ_UNIT,136,1)="",),FALSE,TRUE),TRUE)</f>
        <v>1</v>
      </c>
      <c r="K1143" t="str">
        <f t="shared" si="37"/>
        <v>Row 136 - For ‘Transport unit’ if ‘Amount’ is given then ‘Gross / Net’ and ‘Amount unit’ are required</v>
      </c>
      <c r="L1143" t="s">
        <v>33308</v>
      </c>
    </row>
    <row r="1144" spans="7:12" x14ac:dyDescent="0.2">
      <c r="G1144" t="b">
        <f>IF(OR(INDEX(IHZ_HAZ_AMOUNT,137,1)&lt;&gt;"",),IF(OR(INDEX(IHZ_HAZ_NETGROSS,137,1)="",INDEX(IHZ_HAZ_UNIT,137,1)="",),FALSE,TRUE),TRUE)</f>
        <v>1</v>
      </c>
      <c r="H1144" t="str">
        <f t="shared" si="36"/>
        <v>Row 137 - For ‘Transport unit’ if ‘Amount’ is given then ‘Gross / Net’ and ‘Amount unit’ are required</v>
      </c>
      <c r="I1144" t="s">
        <v>33308</v>
      </c>
      <c r="J1144" t="b">
        <f>IF(OR(INDEX(OHZ_HAZ_AMOUNT,137,1)&lt;&gt;"",),IF(OR(INDEX(OHZ_HAZ_NETGROSS,137,1)="",INDEX(OHZ_HAZ_UNIT,137,1)="",),FALSE,TRUE),TRUE)</f>
        <v>1</v>
      </c>
      <c r="K1144" t="str">
        <f t="shared" si="37"/>
        <v>Row 137 - For ‘Transport unit’ if ‘Amount’ is given then ‘Gross / Net’ and ‘Amount unit’ are required</v>
      </c>
      <c r="L1144" t="s">
        <v>33308</v>
      </c>
    </row>
    <row r="1145" spans="7:12" x14ac:dyDescent="0.2">
      <c r="G1145" t="b">
        <f>IF(OR(INDEX(IHZ_HAZ_AMOUNT,138,1)&lt;&gt;"",),IF(OR(INDEX(IHZ_HAZ_NETGROSS,138,1)="",INDEX(IHZ_HAZ_UNIT,138,1)="",),FALSE,TRUE),TRUE)</f>
        <v>1</v>
      </c>
      <c r="H1145" t="str">
        <f t="shared" si="36"/>
        <v>Row 138 - For ‘Transport unit’ if ‘Amount’ is given then ‘Gross / Net’ and ‘Amount unit’ are required</v>
      </c>
      <c r="I1145" t="s">
        <v>33308</v>
      </c>
      <c r="J1145" t="b">
        <f>IF(OR(INDEX(OHZ_HAZ_AMOUNT,138,1)&lt;&gt;"",),IF(OR(INDEX(OHZ_HAZ_NETGROSS,138,1)="",INDEX(OHZ_HAZ_UNIT,138,1)="",),FALSE,TRUE),TRUE)</f>
        <v>1</v>
      </c>
      <c r="K1145" t="str">
        <f t="shared" si="37"/>
        <v>Row 138 - For ‘Transport unit’ if ‘Amount’ is given then ‘Gross / Net’ and ‘Amount unit’ are required</v>
      </c>
      <c r="L1145" t="s">
        <v>33308</v>
      </c>
    </row>
    <row r="1146" spans="7:12" x14ac:dyDescent="0.2">
      <c r="G1146" t="b">
        <f>IF(OR(INDEX(IHZ_HAZ_AMOUNT,139,1)&lt;&gt;"",),IF(OR(INDEX(IHZ_HAZ_NETGROSS,139,1)="",INDEX(IHZ_HAZ_UNIT,139,1)="",),FALSE,TRUE),TRUE)</f>
        <v>1</v>
      </c>
      <c r="H1146" t="str">
        <f t="shared" si="36"/>
        <v>Row 139 - For ‘Transport unit’ if ‘Amount’ is given then ‘Gross / Net’ and ‘Amount unit’ are required</v>
      </c>
      <c r="I1146" t="s">
        <v>33308</v>
      </c>
      <c r="J1146" t="b">
        <f>IF(OR(INDEX(OHZ_HAZ_AMOUNT,139,1)&lt;&gt;"",),IF(OR(INDEX(OHZ_HAZ_NETGROSS,139,1)="",INDEX(OHZ_HAZ_UNIT,139,1)="",),FALSE,TRUE),TRUE)</f>
        <v>1</v>
      </c>
      <c r="K1146" t="str">
        <f t="shared" si="37"/>
        <v>Row 139 - For ‘Transport unit’ if ‘Amount’ is given then ‘Gross / Net’ and ‘Amount unit’ are required</v>
      </c>
      <c r="L1146" t="s">
        <v>33308</v>
      </c>
    </row>
    <row r="1147" spans="7:12" x14ac:dyDescent="0.2">
      <c r="G1147" t="b">
        <f>IF(OR(INDEX(IHZ_HAZ_AMOUNT,140,1)&lt;&gt;"",),IF(OR(INDEX(IHZ_HAZ_NETGROSS,140,1)="",INDEX(IHZ_HAZ_UNIT,140,1)="",),FALSE,TRUE),TRUE)</f>
        <v>1</v>
      </c>
      <c r="H1147" t="str">
        <f t="shared" si="36"/>
        <v>Row 140 - For ‘Transport unit’ if ‘Amount’ is given then ‘Gross / Net’ and ‘Amount unit’ are required</v>
      </c>
      <c r="I1147" t="s">
        <v>33308</v>
      </c>
      <c r="J1147" t="b">
        <f>IF(OR(INDEX(OHZ_HAZ_AMOUNT,140,1)&lt;&gt;"",),IF(OR(INDEX(OHZ_HAZ_NETGROSS,140,1)="",INDEX(OHZ_HAZ_UNIT,140,1)="",),FALSE,TRUE),TRUE)</f>
        <v>1</v>
      </c>
      <c r="K1147" t="str">
        <f t="shared" si="37"/>
        <v>Row 140 - For ‘Transport unit’ if ‘Amount’ is given then ‘Gross / Net’ and ‘Amount unit’ are required</v>
      </c>
      <c r="L1147" t="s">
        <v>33308</v>
      </c>
    </row>
    <row r="1148" spans="7:12" x14ac:dyDescent="0.2">
      <c r="G1148" t="b">
        <f>IF(OR(INDEX(IHZ_HAZ_AMOUNT,141,1)&lt;&gt;"",),IF(OR(INDEX(IHZ_HAZ_NETGROSS,141,1)="",INDEX(IHZ_HAZ_UNIT,141,1)="",),FALSE,TRUE),TRUE)</f>
        <v>1</v>
      </c>
      <c r="H1148" t="str">
        <f t="shared" si="36"/>
        <v>Row 141 - For ‘Transport unit’ if ‘Amount’ is given then ‘Gross / Net’ and ‘Amount unit’ are required</v>
      </c>
      <c r="I1148" t="s">
        <v>33308</v>
      </c>
      <c r="J1148" t="b">
        <f>IF(OR(INDEX(OHZ_HAZ_AMOUNT,141,1)&lt;&gt;"",),IF(OR(INDEX(OHZ_HAZ_NETGROSS,141,1)="",INDEX(OHZ_HAZ_UNIT,141,1)="",),FALSE,TRUE),TRUE)</f>
        <v>1</v>
      </c>
      <c r="K1148" t="str">
        <f t="shared" si="37"/>
        <v>Row 141 - For ‘Transport unit’ if ‘Amount’ is given then ‘Gross / Net’ and ‘Amount unit’ are required</v>
      </c>
      <c r="L1148" t="s">
        <v>33308</v>
      </c>
    </row>
    <row r="1149" spans="7:12" x14ac:dyDescent="0.2">
      <c r="G1149" t="b">
        <f>IF(OR(INDEX(IHZ_HAZ_AMOUNT,142,1)&lt;&gt;"",),IF(OR(INDEX(IHZ_HAZ_NETGROSS,142,1)="",INDEX(IHZ_HAZ_UNIT,142,1)="",),FALSE,TRUE),TRUE)</f>
        <v>1</v>
      </c>
      <c r="H1149" t="str">
        <f t="shared" si="36"/>
        <v>Row 142 - For ‘Transport unit’ if ‘Amount’ is given then ‘Gross / Net’ and ‘Amount unit’ are required</v>
      </c>
      <c r="I1149" t="s">
        <v>33308</v>
      </c>
      <c r="J1149" t="b">
        <f>IF(OR(INDEX(OHZ_HAZ_AMOUNT,142,1)&lt;&gt;"",),IF(OR(INDEX(OHZ_HAZ_NETGROSS,142,1)="",INDEX(OHZ_HAZ_UNIT,142,1)="",),FALSE,TRUE),TRUE)</f>
        <v>1</v>
      </c>
      <c r="K1149" t="str">
        <f t="shared" si="37"/>
        <v>Row 142 - For ‘Transport unit’ if ‘Amount’ is given then ‘Gross / Net’ and ‘Amount unit’ are required</v>
      </c>
      <c r="L1149" t="s">
        <v>33308</v>
      </c>
    </row>
    <row r="1150" spans="7:12" x14ac:dyDescent="0.2">
      <c r="G1150" t="b">
        <f>IF(OR(INDEX(IHZ_HAZ_AMOUNT,143,1)&lt;&gt;"",),IF(OR(INDEX(IHZ_HAZ_NETGROSS,143,1)="",INDEX(IHZ_HAZ_UNIT,143,1)="",),FALSE,TRUE),TRUE)</f>
        <v>1</v>
      </c>
      <c r="H1150" t="str">
        <f t="shared" si="36"/>
        <v>Row 143 - For ‘Transport unit’ if ‘Amount’ is given then ‘Gross / Net’ and ‘Amount unit’ are required</v>
      </c>
      <c r="I1150" t="s">
        <v>33308</v>
      </c>
      <c r="J1150" t="b">
        <f>IF(OR(INDEX(OHZ_HAZ_AMOUNT,143,1)&lt;&gt;"",),IF(OR(INDEX(OHZ_HAZ_NETGROSS,143,1)="",INDEX(OHZ_HAZ_UNIT,143,1)="",),FALSE,TRUE),TRUE)</f>
        <v>1</v>
      </c>
      <c r="K1150" t="str">
        <f t="shared" si="37"/>
        <v>Row 143 - For ‘Transport unit’ if ‘Amount’ is given then ‘Gross / Net’ and ‘Amount unit’ are required</v>
      </c>
      <c r="L1150" t="s">
        <v>33308</v>
      </c>
    </row>
    <row r="1151" spans="7:12" x14ac:dyDescent="0.2">
      <c r="G1151" t="b">
        <f>IF(OR(INDEX(IHZ_HAZ_AMOUNT,144,1)&lt;&gt;"",),IF(OR(INDEX(IHZ_HAZ_NETGROSS,144,1)="",INDEX(IHZ_HAZ_UNIT,144,1)="",),FALSE,TRUE),TRUE)</f>
        <v>1</v>
      </c>
      <c r="H1151" t="str">
        <f t="shared" si="36"/>
        <v>Row 144 - For ‘Transport unit’ if ‘Amount’ is given then ‘Gross / Net’ and ‘Amount unit’ are required</v>
      </c>
      <c r="I1151" t="s">
        <v>33308</v>
      </c>
      <c r="J1151" t="b">
        <f>IF(OR(INDEX(OHZ_HAZ_AMOUNT,144,1)&lt;&gt;"",),IF(OR(INDEX(OHZ_HAZ_NETGROSS,144,1)="",INDEX(OHZ_HAZ_UNIT,144,1)="",),FALSE,TRUE),TRUE)</f>
        <v>1</v>
      </c>
      <c r="K1151" t="str">
        <f t="shared" si="37"/>
        <v>Row 144 - For ‘Transport unit’ if ‘Amount’ is given then ‘Gross / Net’ and ‘Amount unit’ are required</v>
      </c>
      <c r="L1151" t="s">
        <v>33308</v>
      </c>
    </row>
    <row r="1152" spans="7:12" x14ac:dyDescent="0.2">
      <c r="G1152" t="b">
        <f>IF(OR(INDEX(IHZ_HAZ_AMOUNT,145,1)&lt;&gt;"",),IF(OR(INDEX(IHZ_HAZ_NETGROSS,145,1)="",INDEX(IHZ_HAZ_UNIT,145,1)="",),FALSE,TRUE),TRUE)</f>
        <v>1</v>
      </c>
      <c r="H1152" t="str">
        <f t="shared" si="36"/>
        <v>Row 145 - For ‘Transport unit’ if ‘Amount’ is given then ‘Gross / Net’ and ‘Amount unit’ are required</v>
      </c>
      <c r="I1152" t="s">
        <v>33308</v>
      </c>
      <c r="J1152" t="b">
        <f>IF(OR(INDEX(OHZ_HAZ_AMOUNT,145,1)&lt;&gt;"",),IF(OR(INDEX(OHZ_HAZ_NETGROSS,145,1)="",INDEX(OHZ_HAZ_UNIT,145,1)="",),FALSE,TRUE),TRUE)</f>
        <v>1</v>
      </c>
      <c r="K1152" t="str">
        <f t="shared" si="37"/>
        <v>Row 145 - For ‘Transport unit’ if ‘Amount’ is given then ‘Gross / Net’ and ‘Amount unit’ are required</v>
      </c>
      <c r="L1152" t="s">
        <v>33308</v>
      </c>
    </row>
    <row r="1153" spans="7:12" x14ac:dyDescent="0.2">
      <c r="G1153" t="b">
        <f>IF(OR(INDEX(IHZ_HAZ_AMOUNT,146,1)&lt;&gt;"",),IF(OR(INDEX(IHZ_HAZ_NETGROSS,146,1)="",INDEX(IHZ_HAZ_UNIT,146,1)="",),FALSE,TRUE),TRUE)</f>
        <v>1</v>
      </c>
      <c r="H1153" t="str">
        <f t="shared" si="36"/>
        <v>Row 146 - For ‘Transport unit’ if ‘Amount’ is given then ‘Gross / Net’ and ‘Amount unit’ are required</v>
      </c>
      <c r="I1153" t="s">
        <v>33308</v>
      </c>
      <c r="J1153" t="b">
        <f>IF(OR(INDEX(OHZ_HAZ_AMOUNT,146,1)&lt;&gt;"",),IF(OR(INDEX(OHZ_HAZ_NETGROSS,146,1)="",INDEX(OHZ_HAZ_UNIT,146,1)="",),FALSE,TRUE),TRUE)</f>
        <v>1</v>
      </c>
      <c r="K1153" t="str">
        <f t="shared" si="37"/>
        <v>Row 146 - For ‘Transport unit’ if ‘Amount’ is given then ‘Gross / Net’ and ‘Amount unit’ are required</v>
      </c>
      <c r="L1153" t="s">
        <v>33308</v>
      </c>
    </row>
    <row r="1154" spans="7:12" x14ac:dyDescent="0.2">
      <c r="G1154" t="b">
        <f>IF(OR(INDEX(IHZ_HAZ_AMOUNT,147,1)&lt;&gt;"",),IF(OR(INDEX(IHZ_HAZ_NETGROSS,147,1)="",INDEX(IHZ_HAZ_UNIT,147,1)="",),FALSE,TRUE),TRUE)</f>
        <v>1</v>
      </c>
      <c r="H1154" t="str">
        <f t="shared" si="36"/>
        <v>Row 147 - For ‘Transport unit’ if ‘Amount’ is given then ‘Gross / Net’ and ‘Amount unit’ are required</v>
      </c>
      <c r="I1154" t="s">
        <v>33308</v>
      </c>
      <c r="J1154" t="b">
        <f>IF(OR(INDEX(OHZ_HAZ_AMOUNT,147,1)&lt;&gt;"",),IF(OR(INDEX(OHZ_HAZ_NETGROSS,147,1)="",INDEX(OHZ_HAZ_UNIT,147,1)="",),FALSE,TRUE),TRUE)</f>
        <v>1</v>
      </c>
      <c r="K1154" t="str">
        <f t="shared" si="37"/>
        <v>Row 147 - For ‘Transport unit’ if ‘Amount’ is given then ‘Gross / Net’ and ‘Amount unit’ are required</v>
      </c>
      <c r="L1154" t="s">
        <v>33308</v>
      </c>
    </row>
    <row r="1155" spans="7:12" x14ac:dyDescent="0.2">
      <c r="G1155" t="b">
        <f>IF(OR(INDEX(IHZ_HAZ_AMOUNT,148,1)&lt;&gt;"",),IF(OR(INDEX(IHZ_HAZ_NETGROSS,148,1)="",INDEX(IHZ_HAZ_UNIT,148,1)="",),FALSE,TRUE),TRUE)</f>
        <v>1</v>
      </c>
      <c r="H1155" t="str">
        <f t="shared" si="36"/>
        <v>Row 148 - For ‘Transport unit’ if ‘Amount’ is given then ‘Gross / Net’ and ‘Amount unit’ are required</v>
      </c>
      <c r="I1155" t="s">
        <v>33308</v>
      </c>
      <c r="J1155" t="b">
        <f>IF(OR(INDEX(OHZ_HAZ_AMOUNT,148,1)&lt;&gt;"",),IF(OR(INDEX(OHZ_HAZ_NETGROSS,148,1)="",INDEX(OHZ_HAZ_UNIT,148,1)="",),FALSE,TRUE),TRUE)</f>
        <v>1</v>
      </c>
      <c r="K1155" t="str">
        <f t="shared" si="37"/>
        <v>Row 148 - For ‘Transport unit’ if ‘Amount’ is given then ‘Gross / Net’ and ‘Amount unit’ are required</v>
      </c>
      <c r="L1155" t="s">
        <v>33308</v>
      </c>
    </row>
    <row r="1156" spans="7:12" x14ac:dyDescent="0.2">
      <c r="G1156" t="b">
        <f>IF(OR(INDEX(IHZ_HAZ_AMOUNT,149,1)&lt;&gt;"",),IF(OR(INDEX(IHZ_HAZ_NETGROSS,149,1)="",INDEX(IHZ_HAZ_UNIT,149,1)="",),FALSE,TRUE),TRUE)</f>
        <v>1</v>
      </c>
      <c r="H1156" t="str">
        <f t="shared" si="36"/>
        <v>Row 149 - For ‘Transport unit’ if ‘Amount’ is given then ‘Gross / Net’ and ‘Amount unit’ are required</v>
      </c>
      <c r="I1156" t="s">
        <v>33308</v>
      </c>
      <c r="J1156" t="b">
        <f>IF(OR(INDEX(OHZ_HAZ_AMOUNT,149,1)&lt;&gt;"",),IF(OR(INDEX(OHZ_HAZ_NETGROSS,149,1)="",INDEX(OHZ_HAZ_UNIT,149,1)="",),FALSE,TRUE),TRUE)</f>
        <v>1</v>
      </c>
      <c r="K1156" t="str">
        <f t="shared" si="37"/>
        <v>Row 149 - For ‘Transport unit’ if ‘Amount’ is given then ‘Gross / Net’ and ‘Amount unit’ are required</v>
      </c>
      <c r="L1156" t="s">
        <v>33308</v>
      </c>
    </row>
    <row r="1157" spans="7:12" x14ac:dyDescent="0.2">
      <c r="G1157" t="b">
        <f>IF(OR(INDEX(IHZ_HAZ_AMOUNT,150,1)&lt;&gt;"",),IF(OR(INDEX(IHZ_HAZ_NETGROSS,150,1)="",INDEX(IHZ_HAZ_UNIT,150,1)="",),FALSE,TRUE),TRUE)</f>
        <v>1</v>
      </c>
      <c r="H1157" t="str">
        <f t="shared" si="36"/>
        <v>Row 150 - For ‘Transport unit’ if ‘Amount’ is given then ‘Gross / Net’ and ‘Amount unit’ are required</v>
      </c>
      <c r="I1157" t="s">
        <v>33308</v>
      </c>
      <c r="J1157" t="b">
        <f>IF(OR(INDEX(OHZ_HAZ_AMOUNT,150,1)&lt;&gt;"",),IF(OR(INDEX(OHZ_HAZ_NETGROSS,150,1)="",INDEX(OHZ_HAZ_UNIT,150,1)="",),FALSE,TRUE),TRUE)</f>
        <v>1</v>
      </c>
      <c r="K1157" t="str">
        <f t="shared" si="37"/>
        <v>Row 150 - For ‘Transport unit’ if ‘Amount’ is given then ‘Gross / Net’ and ‘Amount unit’ are required</v>
      </c>
      <c r="L1157" t="s">
        <v>33308</v>
      </c>
    </row>
    <row r="1158" spans="7:12" x14ac:dyDescent="0.2">
      <c r="G1158" t="b">
        <f>IF(OR(INDEX(IHZ_HAZ_AMOUNT,151,1)&lt;&gt;"",),IF(OR(INDEX(IHZ_HAZ_NETGROSS,151,1)="",INDEX(IHZ_HAZ_UNIT,151,1)="",),FALSE,TRUE),TRUE)</f>
        <v>1</v>
      </c>
      <c r="H1158" t="str">
        <f t="shared" si="36"/>
        <v>Row 151 - For ‘Transport unit’ if ‘Amount’ is given then ‘Gross / Net’ and ‘Amount unit’ are required</v>
      </c>
      <c r="I1158" t="s">
        <v>33308</v>
      </c>
      <c r="J1158" t="b">
        <f>IF(OR(INDEX(OHZ_HAZ_AMOUNT,151,1)&lt;&gt;"",),IF(OR(INDEX(OHZ_HAZ_NETGROSS,151,1)="",INDEX(OHZ_HAZ_UNIT,151,1)="",),FALSE,TRUE),TRUE)</f>
        <v>1</v>
      </c>
      <c r="K1158" t="str">
        <f t="shared" si="37"/>
        <v>Row 151 - For ‘Transport unit’ if ‘Amount’ is given then ‘Gross / Net’ and ‘Amount unit’ are required</v>
      </c>
      <c r="L1158" t="s">
        <v>33308</v>
      </c>
    </row>
    <row r="1159" spans="7:12" x14ac:dyDescent="0.2">
      <c r="G1159" t="b">
        <f>IF(OR(INDEX(IHZ_HAZ_AMOUNT,152,1)&lt;&gt;"",),IF(OR(INDEX(IHZ_HAZ_NETGROSS,152,1)="",INDEX(IHZ_HAZ_UNIT,152,1)="",),FALSE,TRUE),TRUE)</f>
        <v>1</v>
      </c>
      <c r="H1159" t="str">
        <f t="shared" si="36"/>
        <v>Row 152 - For ‘Transport unit’ if ‘Amount’ is given then ‘Gross / Net’ and ‘Amount unit’ are required</v>
      </c>
      <c r="I1159" t="s">
        <v>33308</v>
      </c>
      <c r="J1159" t="b">
        <f>IF(OR(INDEX(OHZ_HAZ_AMOUNT,152,1)&lt;&gt;"",),IF(OR(INDEX(OHZ_HAZ_NETGROSS,152,1)="",INDEX(OHZ_HAZ_UNIT,152,1)="",),FALSE,TRUE),TRUE)</f>
        <v>1</v>
      </c>
      <c r="K1159" t="str">
        <f t="shared" si="37"/>
        <v>Row 152 - For ‘Transport unit’ if ‘Amount’ is given then ‘Gross / Net’ and ‘Amount unit’ are required</v>
      </c>
      <c r="L1159" t="s">
        <v>33308</v>
      </c>
    </row>
    <row r="1160" spans="7:12" x14ac:dyDescent="0.2">
      <c r="G1160" t="b">
        <f>IF(OR(INDEX(IHZ_HAZ_AMOUNT,153,1)&lt;&gt;"",),IF(OR(INDEX(IHZ_HAZ_NETGROSS,153,1)="",INDEX(IHZ_HAZ_UNIT,153,1)="",),FALSE,TRUE),TRUE)</f>
        <v>1</v>
      </c>
      <c r="H1160" t="str">
        <f t="shared" si="36"/>
        <v>Row 153 - For ‘Transport unit’ if ‘Amount’ is given then ‘Gross / Net’ and ‘Amount unit’ are required</v>
      </c>
      <c r="I1160" t="s">
        <v>33308</v>
      </c>
      <c r="J1160" t="b">
        <f>IF(OR(INDEX(OHZ_HAZ_AMOUNT,153,1)&lt;&gt;"",),IF(OR(INDEX(OHZ_HAZ_NETGROSS,153,1)="",INDEX(OHZ_HAZ_UNIT,153,1)="",),FALSE,TRUE),TRUE)</f>
        <v>1</v>
      </c>
      <c r="K1160" t="str">
        <f t="shared" si="37"/>
        <v>Row 153 - For ‘Transport unit’ if ‘Amount’ is given then ‘Gross / Net’ and ‘Amount unit’ are required</v>
      </c>
      <c r="L1160" t="s">
        <v>33308</v>
      </c>
    </row>
    <row r="1161" spans="7:12" x14ac:dyDescent="0.2">
      <c r="G1161" t="b">
        <f>IF(OR(INDEX(IHZ_HAZ_AMOUNT,154,1)&lt;&gt;"",),IF(OR(INDEX(IHZ_HAZ_NETGROSS,154,1)="",INDEX(IHZ_HAZ_UNIT,154,1)="",),FALSE,TRUE),TRUE)</f>
        <v>1</v>
      </c>
      <c r="H1161" t="str">
        <f t="shared" si="36"/>
        <v>Row 154 - For ‘Transport unit’ if ‘Amount’ is given then ‘Gross / Net’ and ‘Amount unit’ are required</v>
      </c>
      <c r="I1161" t="s">
        <v>33308</v>
      </c>
      <c r="J1161" t="b">
        <f>IF(OR(INDEX(OHZ_HAZ_AMOUNT,154,1)&lt;&gt;"",),IF(OR(INDEX(OHZ_HAZ_NETGROSS,154,1)="",INDEX(OHZ_HAZ_UNIT,154,1)="",),FALSE,TRUE),TRUE)</f>
        <v>1</v>
      </c>
      <c r="K1161" t="str">
        <f t="shared" si="37"/>
        <v>Row 154 - For ‘Transport unit’ if ‘Amount’ is given then ‘Gross / Net’ and ‘Amount unit’ are required</v>
      </c>
      <c r="L1161" t="s">
        <v>33308</v>
      </c>
    </row>
    <row r="1162" spans="7:12" x14ac:dyDescent="0.2">
      <c r="G1162" t="b">
        <f>IF(OR(INDEX(IHZ_HAZ_AMOUNT,155,1)&lt;&gt;"",),IF(OR(INDEX(IHZ_HAZ_NETGROSS,155,1)="",INDEX(IHZ_HAZ_UNIT,155,1)="",),FALSE,TRUE),TRUE)</f>
        <v>1</v>
      </c>
      <c r="H1162" t="str">
        <f t="shared" si="36"/>
        <v>Row 155 - For ‘Transport unit’ if ‘Amount’ is given then ‘Gross / Net’ and ‘Amount unit’ are required</v>
      </c>
      <c r="I1162" t="s">
        <v>33308</v>
      </c>
      <c r="J1162" t="b">
        <f>IF(OR(INDEX(OHZ_HAZ_AMOUNT,155,1)&lt;&gt;"",),IF(OR(INDEX(OHZ_HAZ_NETGROSS,155,1)="",INDEX(OHZ_HAZ_UNIT,155,1)="",),FALSE,TRUE),TRUE)</f>
        <v>1</v>
      </c>
      <c r="K1162" t="str">
        <f t="shared" si="37"/>
        <v>Row 155 - For ‘Transport unit’ if ‘Amount’ is given then ‘Gross / Net’ and ‘Amount unit’ are required</v>
      </c>
      <c r="L1162" t="s">
        <v>33308</v>
      </c>
    </row>
    <row r="1163" spans="7:12" x14ac:dyDescent="0.2">
      <c r="G1163" t="b">
        <f>IF(OR(INDEX(IHZ_HAZ_AMOUNT,156,1)&lt;&gt;"",),IF(OR(INDEX(IHZ_HAZ_NETGROSS,156,1)="",INDEX(IHZ_HAZ_UNIT,156,1)="",),FALSE,TRUE),TRUE)</f>
        <v>1</v>
      </c>
      <c r="H1163" t="str">
        <f t="shared" si="36"/>
        <v>Row 156 - For ‘Transport unit’ if ‘Amount’ is given then ‘Gross / Net’ and ‘Amount unit’ are required</v>
      </c>
      <c r="I1163" t="s">
        <v>33308</v>
      </c>
      <c r="J1163" t="b">
        <f>IF(OR(INDEX(OHZ_HAZ_AMOUNT,156,1)&lt;&gt;"",),IF(OR(INDEX(OHZ_HAZ_NETGROSS,156,1)="",INDEX(OHZ_HAZ_UNIT,156,1)="",),FALSE,TRUE),TRUE)</f>
        <v>1</v>
      </c>
      <c r="K1163" t="str">
        <f t="shared" si="37"/>
        <v>Row 156 - For ‘Transport unit’ if ‘Amount’ is given then ‘Gross / Net’ and ‘Amount unit’ are required</v>
      </c>
      <c r="L1163" t="s">
        <v>33308</v>
      </c>
    </row>
    <row r="1164" spans="7:12" x14ac:dyDescent="0.2">
      <c r="G1164" t="b">
        <f>IF(OR(INDEX(IHZ_HAZ_AMOUNT,157,1)&lt;&gt;"",),IF(OR(INDEX(IHZ_HAZ_NETGROSS,157,1)="",INDEX(IHZ_HAZ_UNIT,157,1)="",),FALSE,TRUE),TRUE)</f>
        <v>1</v>
      </c>
      <c r="H1164" t="str">
        <f t="shared" si="36"/>
        <v>Row 157 - For ‘Transport unit’ if ‘Amount’ is given then ‘Gross / Net’ and ‘Amount unit’ are required</v>
      </c>
      <c r="I1164" t="s">
        <v>33308</v>
      </c>
      <c r="J1164" t="b">
        <f>IF(OR(INDEX(OHZ_HAZ_AMOUNT,157,1)&lt;&gt;"",),IF(OR(INDEX(OHZ_HAZ_NETGROSS,157,1)="",INDEX(OHZ_HAZ_UNIT,157,1)="",),FALSE,TRUE),TRUE)</f>
        <v>1</v>
      </c>
      <c r="K1164" t="str">
        <f t="shared" si="37"/>
        <v>Row 157 - For ‘Transport unit’ if ‘Amount’ is given then ‘Gross / Net’ and ‘Amount unit’ are required</v>
      </c>
      <c r="L1164" t="s">
        <v>33308</v>
      </c>
    </row>
    <row r="1165" spans="7:12" x14ac:dyDescent="0.2">
      <c r="G1165" t="b">
        <f>IF(OR(INDEX(IHZ_HAZ_AMOUNT,158,1)&lt;&gt;"",),IF(OR(INDEX(IHZ_HAZ_NETGROSS,158,1)="",INDEX(IHZ_HAZ_UNIT,158,1)="",),FALSE,TRUE),TRUE)</f>
        <v>1</v>
      </c>
      <c r="H1165" t="str">
        <f t="shared" si="36"/>
        <v>Row 158 - For ‘Transport unit’ if ‘Amount’ is given then ‘Gross / Net’ and ‘Amount unit’ are required</v>
      </c>
      <c r="I1165" t="s">
        <v>33308</v>
      </c>
      <c r="J1165" t="b">
        <f>IF(OR(INDEX(OHZ_HAZ_AMOUNT,158,1)&lt;&gt;"",),IF(OR(INDEX(OHZ_HAZ_NETGROSS,158,1)="",INDEX(OHZ_HAZ_UNIT,158,1)="",),FALSE,TRUE),TRUE)</f>
        <v>1</v>
      </c>
      <c r="K1165" t="str">
        <f t="shared" si="37"/>
        <v>Row 158 - For ‘Transport unit’ if ‘Amount’ is given then ‘Gross / Net’ and ‘Amount unit’ are required</v>
      </c>
      <c r="L1165" t="s">
        <v>33308</v>
      </c>
    </row>
    <row r="1166" spans="7:12" x14ac:dyDescent="0.2">
      <c r="G1166" t="b">
        <f>IF(OR(INDEX(IHZ_HAZ_AMOUNT,159,1)&lt;&gt;"",),IF(OR(INDEX(IHZ_HAZ_NETGROSS,159,1)="",INDEX(IHZ_HAZ_UNIT,159,1)="",),FALSE,TRUE),TRUE)</f>
        <v>1</v>
      </c>
      <c r="H1166" t="str">
        <f t="shared" si="36"/>
        <v>Row 159 - For ‘Transport unit’ if ‘Amount’ is given then ‘Gross / Net’ and ‘Amount unit’ are required</v>
      </c>
      <c r="I1166" t="s">
        <v>33308</v>
      </c>
      <c r="J1166" t="b">
        <f>IF(OR(INDEX(OHZ_HAZ_AMOUNT,159,1)&lt;&gt;"",),IF(OR(INDEX(OHZ_HAZ_NETGROSS,159,1)="",INDEX(OHZ_HAZ_UNIT,159,1)="",),FALSE,TRUE),TRUE)</f>
        <v>1</v>
      </c>
      <c r="K1166" t="str">
        <f t="shared" si="37"/>
        <v>Row 159 - For ‘Transport unit’ if ‘Amount’ is given then ‘Gross / Net’ and ‘Amount unit’ are required</v>
      </c>
      <c r="L1166" t="s">
        <v>33308</v>
      </c>
    </row>
    <row r="1167" spans="7:12" x14ac:dyDescent="0.2">
      <c r="G1167" t="b">
        <f>IF(OR(INDEX(IHZ_HAZ_AMOUNT,160,1)&lt;&gt;"",),IF(OR(INDEX(IHZ_HAZ_NETGROSS,160,1)="",INDEX(IHZ_HAZ_UNIT,160,1)="",),FALSE,TRUE),TRUE)</f>
        <v>1</v>
      </c>
      <c r="H1167" t="str">
        <f t="shared" si="36"/>
        <v>Row 160 - For ‘Transport unit’ if ‘Amount’ is given then ‘Gross / Net’ and ‘Amount unit’ are required</v>
      </c>
      <c r="I1167" t="s">
        <v>33308</v>
      </c>
      <c r="J1167" t="b">
        <f>IF(OR(INDEX(OHZ_HAZ_AMOUNT,160,1)&lt;&gt;"",),IF(OR(INDEX(OHZ_HAZ_NETGROSS,160,1)="",INDEX(OHZ_HAZ_UNIT,160,1)="",),FALSE,TRUE),TRUE)</f>
        <v>1</v>
      </c>
      <c r="K1167" t="str">
        <f t="shared" si="37"/>
        <v>Row 160 - For ‘Transport unit’ if ‘Amount’ is given then ‘Gross / Net’ and ‘Amount unit’ are required</v>
      </c>
      <c r="L1167" t="s">
        <v>33308</v>
      </c>
    </row>
    <row r="1168" spans="7:12" x14ac:dyDescent="0.2">
      <c r="G1168" t="b">
        <f>IF(OR(INDEX(IHZ_HAZ_AMOUNT,161,1)&lt;&gt;"",),IF(OR(INDEX(IHZ_HAZ_NETGROSS,161,1)="",INDEX(IHZ_HAZ_UNIT,161,1)="",),FALSE,TRUE),TRUE)</f>
        <v>1</v>
      </c>
      <c r="H1168" t="str">
        <f t="shared" si="36"/>
        <v>Row 161 - For ‘Transport unit’ if ‘Amount’ is given then ‘Gross / Net’ and ‘Amount unit’ are required</v>
      </c>
      <c r="I1168" t="s">
        <v>33308</v>
      </c>
      <c r="J1168" t="b">
        <f>IF(OR(INDEX(OHZ_HAZ_AMOUNT,161,1)&lt;&gt;"",),IF(OR(INDEX(OHZ_HAZ_NETGROSS,161,1)="",INDEX(OHZ_HAZ_UNIT,161,1)="",),FALSE,TRUE),TRUE)</f>
        <v>1</v>
      </c>
      <c r="K1168" t="str">
        <f t="shared" si="37"/>
        <v>Row 161 - For ‘Transport unit’ if ‘Amount’ is given then ‘Gross / Net’ and ‘Amount unit’ are required</v>
      </c>
      <c r="L1168" t="s">
        <v>33308</v>
      </c>
    </row>
    <row r="1169" spans="7:12" x14ac:dyDescent="0.2">
      <c r="G1169" t="b">
        <f>IF(OR(INDEX(IHZ_HAZ_AMOUNT,162,1)&lt;&gt;"",),IF(OR(INDEX(IHZ_HAZ_NETGROSS,162,1)="",INDEX(IHZ_HAZ_UNIT,162,1)="",),FALSE,TRUE),TRUE)</f>
        <v>1</v>
      </c>
      <c r="H1169" t="str">
        <f t="shared" si="36"/>
        <v>Row 162 - For ‘Transport unit’ if ‘Amount’ is given then ‘Gross / Net’ and ‘Amount unit’ are required</v>
      </c>
      <c r="I1169" t="s">
        <v>33308</v>
      </c>
      <c r="J1169" t="b">
        <f>IF(OR(INDEX(OHZ_HAZ_AMOUNT,162,1)&lt;&gt;"",),IF(OR(INDEX(OHZ_HAZ_NETGROSS,162,1)="",INDEX(OHZ_HAZ_UNIT,162,1)="",),FALSE,TRUE),TRUE)</f>
        <v>1</v>
      </c>
      <c r="K1169" t="str">
        <f t="shared" si="37"/>
        <v>Row 162 - For ‘Transport unit’ if ‘Amount’ is given then ‘Gross / Net’ and ‘Amount unit’ are required</v>
      </c>
      <c r="L1169" t="s">
        <v>33308</v>
      </c>
    </row>
    <row r="1170" spans="7:12" x14ac:dyDescent="0.2">
      <c r="G1170" t="b">
        <f>IF(OR(INDEX(IHZ_HAZ_AMOUNT,163,1)&lt;&gt;"",),IF(OR(INDEX(IHZ_HAZ_NETGROSS,163,1)="",INDEX(IHZ_HAZ_UNIT,163,1)="",),FALSE,TRUE),TRUE)</f>
        <v>1</v>
      </c>
      <c r="H1170" t="str">
        <f t="shared" si="36"/>
        <v>Row 163 - For ‘Transport unit’ if ‘Amount’ is given then ‘Gross / Net’ and ‘Amount unit’ are required</v>
      </c>
      <c r="I1170" t="s">
        <v>33308</v>
      </c>
      <c r="J1170" t="b">
        <f>IF(OR(INDEX(OHZ_HAZ_AMOUNT,163,1)&lt;&gt;"",),IF(OR(INDEX(OHZ_HAZ_NETGROSS,163,1)="",INDEX(OHZ_HAZ_UNIT,163,1)="",),FALSE,TRUE),TRUE)</f>
        <v>1</v>
      </c>
      <c r="K1170" t="str">
        <f t="shared" si="37"/>
        <v>Row 163 - For ‘Transport unit’ if ‘Amount’ is given then ‘Gross / Net’ and ‘Amount unit’ are required</v>
      </c>
      <c r="L1170" t="s">
        <v>33308</v>
      </c>
    </row>
    <row r="1171" spans="7:12" x14ac:dyDescent="0.2">
      <c r="G1171" t="b">
        <f>IF(OR(INDEX(IHZ_HAZ_AMOUNT,164,1)&lt;&gt;"",),IF(OR(INDEX(IHZ_HAZ_NETGROSS,164,1)="",INDEX(IHZ_HAZ_UNIT,164,1)="",),FALSE,TRUE),TRUE)</f>
        <v>1</v>
      </c>
      <c r="H1171" t="str">
        <f t="shared" si="36"/>
        <v>Row 164 - For ‘Transport unit’ if ‘Amount’ is given then ‘Gross / Net’ and ‘Amount unit’ are required</v>
      </c>
      <c r="I1171" t="s">
        <v>33308</v>
      </c>
      <c r="J1171" t="b">
        <f>IF(OR(INDEX(OHZ_HAZ_AMOUNT,164,1)&lt;&gt;"",),IF(OR(INDEX(OHZ_HAZ_NETGROSS,164,1)="",INDEX(OHZ_HAZ_UNIT,164,1)="",),FALSE,TRUE),TRUE)</f>
        <v>1</v>
      </c>
      <c r="K1171" t="str">
        <f t="shared" si="37"/>
        <v>Row 164 - For ‘Transport unit’ if ‘Amount’ is given then ‘Gross / Net’ and ‘Amount unit’ are required</v>
      </c>
      <c r="L1171" t="s">
        <v>33308</v>
      </c>
    </row>
    <row r="1172" spans="7:12" x14ac:dyDescent="0.2">
      <c r="G1172" t="b">
        <f>IF(OR(INDEX(IHZ_HAZ_AMOUNT,165,1)&lt;&gt;"",),IF(OR(INDEX(IHZ_HAZ_NETGROSS,165,1)="",INDEX(IHZ_HAZ_UNIT,165,1)="",),FALSE,TRUE),TRUE)</f>
        <v>1</v>
      </c>
      <c r="H1172" t="str">
        <f t="shared" si="36"/>
        <v>Row 165 - For ‘Transport unit’ if ‘Amount’ is given then ‘Gross / Net’ and ‘Amount unit’ are required</v>
      </c>
      <c r="I1172" t="s">
        <v>33308</v>
      </c>
      <c r="J1172" t="b">
        <f>IF(OR(INDEX(OHZ_HAZ_AMOUNT,165,1)&lt;&gt;"",),IF(OR(INDEX(OHZ_HAZ_NETGROSS,165,1)="",INDEX(OHZ_HAZ_UNIT,165,1)="",),FALSE,TRUE),TRUE)</f>
        <v>1</v>
      </c>
      <c r="K1172" t="str">
        <f t="shared" si="37"/>
        <v>Row 165 - For ‘Transport unit’ if ‘Amount’ is given then ‘Gross / Net’ and ‘Amount unit’ are required</v>
      </c>
      <c r="L1172" t="s">
        <v>33308</v>
      </c>
    </row>
    <row r="1173" spans="7:12" x14ac:dyDescent="0.2">
      <c r="G1173" t="b">
        <f>IF(OR(INDEX(IHZ_HAZ_AMOUNT,166,1)&lt;&gt;"",),IF(OR(INDEX(IHZ_HAZ_NETGROSS,166,1)="",INDEX(IHZ_HAZ_UNIT,166,1)="",),FALSE,TRUE),TRUE)</f>
        <v>1</v>
      </c>
      <c r="H1173" t="str">
        <f t="shared" si="36"/>
        <v>Row 166 - For ‘Transport unit’ if ‘Amount’ is given then ‘Gross / Net’ and ‘Amount unit’ are required</v>
      </c>
      <c r="I1173" t="s">
        <v>33308</v>
      </c>
      <c r="J1173" t="b">
        <f>IF(OR(INDEX(OHZ_HAZ_AMOUNT,166,1)&lt;&gt;"",),IF(OR(INDEX(OHZ_HAZ_NETGROSS,166,1)="",INDEX(OHZ_HAZ_UNIT,166,1)="",),FALSE,TRUE),TRUE)</f>
        <v>1</v>
      </c>
      <c r="K1173" t="str">
        <f t="shared" si="37"/>
        <v>Row 166 - For ‘Transport unit’ if ‘Amount’ is given then ‘Gross / Net’ and ‘Amount unit’ are required</v>
      </c>
      <c r="L1173" t="s">
        <v>33308</v>
      </c>
    </row>
    <row r="1174" spans="7:12" x14ac:dyDescent="0.2">
      <c r="G1174" t="b">
        <f>IF(OR(INDEX(IHZ_HAZ_AMOUNT,167,1)&lt;&gt;"",),IF(OR(INDEX(IHZ_HAZ_NETGROSS,167,1)="",INDEX(IHZ_HAZ_UNIT,167,1)="",),FALSE,TRUE),TRUE)</f>
        <v>1</v>
      </c>
      <c r="H1174" t="str">
        <f t="shared" si="36"/>
        <v>Row 167 - For ‘Transport unit’ if ‘Amount’ is given then ‘Gross / Net’ and ‘Amount unit’ are required</v>
      </c>
      <c r="I1174" t="s">
        <v>33308</v>
      </c>
      <c r="J1174" t="b">
        <f>IF(OR(INDEX(OHZ_HAZ_AMOUNT,167,1)&lt;&gt;"",),IF(OR(INDEX(OHZ_HAZ_NETGROSS,167,1)="",INDEX(OHZ_HAZ_UNIT,167,1)="",),FALSE,TRUE),TRUE)</f>
        <v>1</v>
      </c>
      <c r="K1174" t="str">
        <f t="shared" si="37"/>
        <v>Row 167 - For ‘Transport unit’ if ‘Amount’ is given then ‘Gross / Net’ and ‘Amount unit’ are required</v>
      </c>
      <c r="L1174" t="s">
        <v>33308</v>
      </c>
    </row>
    <row r="1175" spans="7:12" x14ac:dyDescent="0.2">
      <c r="G1175" t="b">
        <f>IF(OR(INDEX(IHZ_HAZ_AMOUNT,168,1)&lt;&gt;"",),IF(OR(INDEX(IHZ_HAZ_NETGROSS,168,1)="",INDEX(IHZ_HAZ_UNIT,168,1)="",),FALSE,TRUE),TRUE)</f>
        <v>1</v>
      </c>
      <c r="H1175" t="str">
        <f t="shared" si="36"/>
        <v>Row 168 - For ‘Transport unit’ if ‘Amount’ is given then ‘Gross / Net’ and ‘Amount unit’ are required</v>
      </c>
      <c r="I1175" t="s">
        <v>33308</v>
      </c>
      <c r="J1175" t="b">
        <f>IF(OR(INDEX(OHZ_HAZ_AMOUNT,168,1)&lt;&gt;"",),IF(OR(INDEX(OHZ_HAZ_NETGROSS,168,1)="",INDEX(OHZ_HAZ_UNIT,168,1)="",),FALSE,TRUE),TRUE)</f>
        <v>1</v>
      </c>
      <c r="K1175" t="str">
        <f t="shared" si="37"/>
        <v>Row 168 - For ‘Transport unit’ if ‘Amount’ is given then ‘Gross / Net’ and ‘Amount unit’ are required</v>
      </c>
      <c r="L1175" t="s">
        <v>33308</v>
      </c>
    </row>
    <row r="1176" spans="7:12" x14ac:dyDescent="0.2">
      <c r="G1176" t="b">
        <f>IF(OR(INDEX(IHZ_HAZ_AMOUNT,169,1)&lt;&gt;"",),IF(OR(INDEX(IHZ_HAZ_NETGROSS,169,1)="",INDEX(IHZ_HAZ_UNIT,169,1)="",),FALSE,TRUE),TRUE)</f>
        <v>1</v>
      </c>
      <c r="H1176" t="str">
        <f t="shared" si="36"/>
        <v>Row 169 - For ‘Transport unit’ if ‘Amount’ is given then ‘Gross / Net’ and ‘Amount unit’ are required</v>
      </c>
      <c r="I1176" t="s">
        <v>33308</v>
      </c>
      <c r="J1176" t="b">
        <f>IF(OR(INDEX(OHZ_HAZ_AMOUNT,169,1)&lt;&gt;"",),IF(OR(INDEX(OHZ_HAZ_NETGROSS,169,1)="",INDEX(OHZ_HAZ_UNIT,169,1)="",),FALSE,TRUE),TRUE)</f>
        <v>1</v>
      </c>
      <c r="K1176" t="str">
        <f t="shared" si="37"/>
        <v>Row 169 - For ‘Transport unit’ if ‘Amount’ is given then ‘Gross / Net’ and ‘Amount unit’ are required</v>
      </c>
      <c r="L1176" t="s">
        <v>33308</v>
      </c>
    </row>
    <row r="1177" spans="7:12" x14ac:dyDescent="0.2">
      <c r="G1177" t="b">
        <f>IF(OR(INDEX(IHZ_HAZ_AMOUNT,170,1)&lt;&gt;"",),IF(OR(INDEX(IHZ_HAZ_NETGROSS,170,1)="",INDEX(IHZ_HAZ_UNIT,170,1)="",),FALSE,TRUE),TRUE)</f>
        <v>1</v>
      </c>
      <c r="H1177" t="str">
        <f t="shared" si="36"/>
        <v>Row 170 - For ‘Transport unit’ if ‘Amount’ is given then ‘Gross / Net’ and ‘Amount unit’ are required</v>
      </c>
      <c r="I1177" t="s">
        <v>33308</v>
      </c>
      <c r="J1177" t="b">
        <f>IF(OR(INDEX(OHZ_HAZ_AMOUNT,170,1)&lt;&gt;"",),IF(OR(INDEX(OHZ_HAZ_NETGROSS,170,1)="",INDEX(OHZ_HAZ_UNIT,170,1)="",),FALSE,TRUE),TRUE)</f>
        <v>1</v>
      </c>
      <c r="K1177" t="str">
        <f t="shared" si="37"/>
        <v>Row 170 - For ‘Transport unit’ if ‘Amount’ is given then ‘Gross / Net’ and ‘Amount unit’ are required</v>
      </c>
      <c r="L1177" t="s">
        <v>33308</v>
      </c>
    </row>
    <row r="1178" spans="7:12" x14ac:dyDescent="0.2">
      <c r="G1178" t="b">
        <f>IF(OR(INDEX(IHZ_HAZ_AMOUNT,171,1)&lt;&gt;"",),IF(OR(INDEX(IHZ_HAZ_NETGROSS,171,1)="",INDEX(IHZ_HAZ_UNIT,171,1)="",),FALSE,TRUE),TRUE)</f>
        <v>1</v>
      </c>
      <c r="H1178" t="str">
        <f t="shared" si="36"/>
        <v>Row 171 - For ‘Transport unit’ if ‘Amount’ is given then ‘Gross / Net’ and ‘Amount unit’ are required</v>
      </c>
      <c r="I1178" t="s">
        <v>33308</v>
      </c>
      <c r="J1178" t="b">
        <f>IF(OR(INDEX(OHZ_HAZ_AMOUNT,171,1)&lt;&gt;"",),IF(OR(INDEX(OHZ_HAZ_NETGROSS,171,1)="",INDEX(OHZ_HAZ_UNIT,171,1)="",),FALSE,TRUE),TRUE)</f>
        <v>1</v>
      </c>
      <c r="K1178" t="str">
        <f t="shared" si="37"/>
        <v>Row 171 - For ‘Transport unit’ if ‘Amount’ is given then ‘Gross / Net’ and ‘Amount unit’ are required</v>
      </c>
      <c r="L1178" t="s">
        <v>33308</v>
      </c>
    </row>
    <row r="1179" spans="7:12" x14ac:dyDescent="0.2">
      <c r="G1179" t="b">
        <f>IF(OR(INDEX(IHZ_HAZ_AMOUNT,172,1)&lt;&gt;"",),IF(OR(INDEX(IHZ_HAZ_NETGROSS,172,1)="",INDEX(IHZ_HAZ_UNIT,172,1)="",),FALSE,TRUE),TRUE)</f>
        <v>1</v>
      </c>
      <c r="H1179" t="str">
        <f t="shared" si="36"/>
        <v>Row 172 - For ‘Transport unit’ if ‘Amount’ is given then ‘Gross / Net’ and ‘Amount unit’ are required</v>
      </c>
      <c r="I1179" t="s">
        <v>33308</v>
      </c>
      <c r="J1179" t="b">
        <f>IF(OR(INDEX(OHZ_HAZ_AMOUNT,172,1)&lt;&gt;"",),IF(OR(INDEX(OHZ_HAZ_NETGROSS,172,1)="",INDEX(OHZ_HAZ_UNIT,172,1)="",),FALSE,TRUE),TRUE)</f>
        <v>1</v>
      </c>
      <c r="K1179" t="str">
        <f t="shared" si="37"/>
        <v>Row 172 - For ‘Transport unit’ if ‘Amount’ is given then ‘Gross / Net’ and ‘Amount unit’ are required</v>
      </c>
      <c r="L1179" t="s">
        <v>33308</v>
      </c>
    </row>
    <row r="1180" spans="7:12" x14ac:dyDescent="0.2">
      <c r="G1180" t="b">
        <f>IF(OR(INDEX(IHZ_HAZ_AMOUNT,173,1)&lt;&gt;"",),IF(OR(INDEX(IHZ_HAZ_NETGROSS,173,1)="",INDEX(IHZ_HAZ_UNIT,173,1)="",),FALSE,TRUE),TRUE)</f>
        <v>1</v>
      </c>
      <c r="H1180" t="str">
        <f t="shared" si="36"/>
        <v>Row 173 - For ‘Transport unit’ if ‘Amount’ is given then ‘Gross / Net’ and ‘Amount unit’ are required</v>
      </c>
      <c r="I1180" t="s">
        <v>33308</v>
      </c>
      <c r="J1180" t="b">
        <f>IF(OR(INDEX(OHZ_HAZ_AMOUNT,173,1)&lt;&gt;"",),IF(OR(INDEX(OHZ_HAZ_NETGROSS,173,1)="",INDEX(OHZ_HAZ_UNIT,173,1)="",),FALSE,TRUE),TRUE)</f>
        <v>1</v>
      </c>
      <c r="K1180" t="str">
        <f t="shared" si="37"/>
        <v>Row 173 - For ‘Transport unit’ if ‘Amount’ is given then ‘Gross / Net’ and ‘Amount unit’ are required</v>
      </c>
      <c r="L1180" t="s">
        <v>33308</v>
      </c>
    </row>
    <row r="1181" spans="7:12" x14ac:dyDescent="0.2">
      <c r="G1181" t="b">
        <f>IF(OR(INDEX(IHZ_HAZ_AMOUNT,174,1)&lt;&gt;"",),IF(OR(INDEX(IHZ_HAZ_NETGROSS,174,1)="",INDEX(IHZ_HAZ_UNIT,174,1)="",),FALSE,TRUE),TRUE)</f>
        <v>1</v>
      </c>
      <c r="H1181" t="str">
        <f t="shared" si="36"/>
        <v>Row 174 - For ‘Transport unit’ if ‘Amount’ is given then ‘Gross / Net’ and ‘Amount unit’ are required</v>
      </c>
      <c r="I1181" t="s">
        <v>33308</v>
      </c>
      <c r="J1181" t="b">
        <f>IF(OR(INDEX(OHZ_HAZ_AMOUNT,174,1)&lt;&gt;"",),IF(OR(INDEX(OHZ_HAZ_NETGROSS,174,1)="",INDEX(OHZ_HAZ_UNIT,174,1)="",),FALSE,TRUE),TRUE)</f>
        <v>1</v>
      </c>
      <c r="K1181" t="str">
        <f t="shared" si="37"/>
        <v>Row 174 - For ‘Transport unit’ if ‘Amount’ is given then ‘Gross / Net’ and ‘Amount unit’ are required</v>
      </c>
      <c r="L1181" t="s">
        <v>33308</v>
      </c>
    </row>
    <row r="1182" spans="7:12" x14ac:dyDescent="0.2">
      <c r="G1182" t="b">
        <f>IF(OR(INDEX(IHZ_HAZ_AMOUNT,175,1)&lt;&gt;"",),IF(OR(INDEX(IHZ_HAZ_NETGROSS,175,1)="",INDEX(IHZ_HAZ_UNIT,175,1)="",),FALSE,TRUE),TRUE)</f>
        <v>1</v>
      </c>
      <c r="H1182" t="str">
        <f t="shared" si="36"/>
        <v>Row 175 - For ‘Transport unit’ if ‘Amount’ is given then ‘Gross / Net’ and ‘Amount unit’ are required</v>
      </c>
      <c r="I1182" t="s">
        <v>33308</v>
      </c>
      <c r="J1182" t="b">
        <f>IF(OR(INDEX(OHZ_HAZ_AMOUNT,175,1)&lt;&gt;"",),IF(OR(INDEX(OHZ_HAZ_NETGROSS,175,1)="",INDEX(OHZ_HAZ_UNIT,175,1)="",),FALSE,TRUE),TRUE)</f>
        <v>1</v>
      </c>
      <c r="K1182" t="str">
        <f t="shared" si="37"/>
        <v>Row 175 - For ‘Transport unit’ if ‘Amount’ is given then ‘Gross / Net’ and ‘Amount unit’ are required</v>
      </c>
      <c r="L1182" t="s">
        <v>33308</v>
      </c>
    </row>
    <row r="1183" spans="7:12" x14ac:dyDescent="0.2">
      <c r="G1183" t="b">
        <f>IF(OR(INDEX(IHZ_HAZ_AMOUNT,176,1)&lt;&gt;"",),IF(OR(INDEX(IHZ_HAZ_NETGROSS,176,1)="",INDEX(IHZ_HAZ_UNIT,176,1)="",),FALSE,TRUE),TRUE)</f>
        <v>1</v>
      </c>
      <c r="H1183" t="str">
        <f t="shared" si="36"/>
        <v>Row 176 - For ‘Transport unit’ if ‘Amount’ is given then ‘Gross / Net’ and ‘Amount unit’ are required</v>
      </c>
      <c r="I1183" t="s">
        <v>33308</v>
      </c>
      <c r="J1183" t="b">
        <f>IF(OR(INDEX(OHZ_HAZ_AMOUNT,176,1)&lt;&gt;"",),IF(OR(INDEX(OHZ_HAZ_NETGROSS,176,1)="",INDEX(OHZ_HAZ_UNIT,176,1)="",),FALSE,TRUE),TRUE)</f>
        <v>1</v>
      </c>
      <c r="K1183" t="str">
        <f t="shared" si="37"/>
        <v>Row 176 - For ‘Transport unit’ if ‘Amount’ is given then ‘Gross / Net’ and ‘Amount unit’ are required</v>
      </c>
      <c r="L1183" t="s">
        <v>33308</v>
      </c>
    </row>
    <row r="1184" spans="7:12" x14ac:dyDescent="0.2">
      <c r="G1184" t="b">
        <f>IF(OR(INDEX(IHZ_HAZ_AMOUNT,177,1)&lt;&gt;"",),IF(OR(INDEX(IHZ_HAZ_NETGROSS,177,1)="",INDEX(IHZ_HAZ_UNIT,177,1)="",),FALSE,TRUE),TRUE)</f>
        <v>1</v>
      </c>
      <c r="H1184" t="str">
        <f t="shared" si="36"/>
        <v>Row 177 - For ‘Transport unit’ if ‘Amount’ is given then ‘Gross / Net’ and ‘Amount unit’ are required</v>
      </c>
      <c r="I1184" t="s">
        <v>33308</v>
      </c>
      <c r="J1184" t="b">
        <f>IF(OR(INDEX(OHZ_HAZ_AMOUNT,177,1)&lt;&gt;"",),IF(OR(INDEX(OHZ_HAZ_NETGROSS,177,1)="",INDEX(OHZ_HAZ_UNIT,177,1)="",),FALSE,TRUE),TRUE)</f>
        <v>1</v>
      </c>
      <c r="K1184" t="str">
        <f t="shared" si="37"/>
        <v>Row 177 - For ‘Transport unit’ if ‘Amount’ is given then ‘Gross / Net’ and ‘Amount unit’ are required</v>
      </c>
      <c r="L1184" t="s">
        <v>33308</v>
      </c>
    </row>
    <row r="1185" spans="7:12" x14ac:dyDescent="0.2">
      <c r="G1185" t="b">
        <f>IF(OR(INDEX(IHZ_HAZ_AMOUNT,178,1)&lt;&gt;"",),IF(OR(INDEX(IHZ_HAZ_NETGROSS,178,1)="",INDEX(IHZ_HAZ_UNIT,178,1)="",),FALSE,TRUE),TRUE)</f>
        <v>1</v>
      </c>
      <c r="H1185" t="str">
        <f t="shared" si="36"/>
        <v>Row 178 - For ‘Transport unit’ if ‘Amount’ is given then ‘Gross / Net’ and ‘Amount unit’ are required</v>
      </c>
      <c r="I1185" t="s">
        <v>33308</v>
      </c>
      <c r="J1185" t="b">
        <f>IF(OR(INDEX(OHZ_HAZ_AMOUNT,178,1)&lt;&gt;"",),IF(OR(INDEX(OHZ_HAZ_NETGROSS,178,1)="",INDEX(OHZ_HAZ_UNIT,178,1)="",),FALSE,TRUE),TRUE)</f>
        <v>1</v>
      </c>
      <c r="K1185" t="str">
        <f t="shared" si="37"/>
        <v>Row 178 - For ‘Transport unit’ if ‘Amount’ is given then ‘Gross / Net’ and ‘Amount unit’ are required</v>
      </c>
      <c r="L1185" t="s">
        <v>33308</v>
      </c>
    </row>
    <row r="1186" spans="7:12" x14ac:dyDescent="0.2">
      <c r="G1186" t="b">
        <f>IF(OR(INDEX(IHZ_HAZ_AMOUNT,179,1)&lt;&gt;"",),IF(OR(INDEX(IHZ_HAZ_NETGROSS,179,1)="",INDEX(IHZ_HAZ_UNIT,179,1)="",),FALSE,TRUE),TRUE)</f>
        <v>1</v>
      </c>
      <c r="H1186" t="str">
        <f t="shared" si="36"/>
        <v>Row 179 - For ‘Transport unit’ if ‘Amount’ is given then ‘Gross / Net’ and ‘Amount unit’ are required</v>
      </c>
      <c r="I1186" t="s">
        <v>33308</v>
      </c>
      <c r="J1186" t="b">
        <f>IF(OR(INDEX(OHZ_HAZ_AMOUNT,179,1)&lt;&gt;"",),IF(OR(INDEX(OHZ_HAZ_NETGROSS,179,1)="",INDEX(OHZ_HAZ_UNIT,179,1)="",),FALSE,TRUE),TRUE)</f>
        <v>1</v>
      </c>
      <c r="K1186" t="str">
        <f t="shared" si="37"/>
        <v>Row 179 - For ‘Transport unit’ if ‘Amount’ is given then ‘Gross / Net’ and ‘Amount unit’ are required</v>
      </c>
      <c r="L1186" t="s">
        <v>33308</v>
      </c>
    </row>
    <row r="1187" spans="7:12" x14ac:dyDescent="0.2">
      <c r="G1187" t="b">
        <f>IF(OR(INDEX(IHZ_HAZ_AMOUNT,180,1)&lt;&gt;"",),IF(OR(INDEX(IHZ_HAZ_NETGROSS,180,1)="",INDEX(IHZ_HAZ_UNIT,180,1)="",),FALSE,TRUE),TRUE)</f>
        <v>1</v>
      </c>
      <c r="H1187" t="str">
        <f t="shared" si="36"/>
        <v>Row 180 - For ‘Transport unit’ if ‘Amount’ is given then ‘Gross / Net’ and ‘Amount unit’ are required</v>
      </c>
      <c r="I1187" t="s">
        <v>33308</v>
      </c>
      <c r="J1187" t="b">
        <f>IF(OR(INDEX(OHZ_HAZ_AMOUNT,180,1)&lt;&gt;"",),IF(OR(INDEX(OHZ_HAZ_NETGROSS,180,1)="",INDEX(OHZ_HAZ_UNIT,180,1)="",),FALSE,TRUE),TRUE)</f>
        <v>1</v>
      </c>
      <c r="K1187" t="str">
        <f t="shared" si="37"/>
        <v>Row 180 - For ‘Transport unit’ if ‘Amount’ is given then ‘Gross / Net’ and ‘Amount unit’ are required</v>
      </c>
      <c r="L1187" t="s">
        <v>33308</v>
      </c>
    </row>
    <row r="1188" spans="7:12" x14ac:dyDescent="0.2">
      <c r="G1188" t="b">
        <f>IF(OR(INDEX(IHZ_HAZ_AMOUNT,181,1)&lt;&gt;"",),IF(OR(INDEX(IHZ_HAZ_NETGROSS,181,1)="",INDEX(IHZ_HAZ_UNIT,181,1)="",),FALSE,TRUE),TRUE)</f>
        <v>1</v>
      </c>
      <c r="H1188" t="str">
        <f t="shared" si="36"/>
        <v>Row 181 - For ‘Transport unit’ if ‘Amount’ is given then ‘Gross / Net’ and ‘Amount unit’ are required</v>
      </c>
      <c r="I1188" t="s">
        <v>33308</v>
      </c>
      <c r="J1188" t="b">
        <f>IF(OR(INDEX(OHZ_HAZ_AMOUNT,181,1)&lt;&gt;"",),IF(OR(INDEX(OHZ_HAZ_NETGROSS,181,1)="",INDEX(OHZ_HAZ_UNIT,181,1)="",),FALSE,TRUE),TRUE)</f>
        <v>1</v>
      </c>
      <c r="K1188" t="str">
        <f t="shared" si="37"/>
        <v>Row 181 - For ‘Transport unit’ if ‘Amount’ is given then ‘Gross / Net’ and ‘Amount unit’ are required</v>
      </c>
      <c r="L1188" t="s">
        <v>33308</v>
      </c>
    </row>
    <row r="1189" spans="7:12" x14ac:dyDescent="0.2">
      <c r="G1189" t="b">
        <f>IF(OR(INDEX(IHZ_HAZ_AMOUNT,182,1)&lt;&gt;"",),IF(OR(INDEX(IHZ_HAZ_NETGROSS,182,1)="",INDEX(IHZ_HAZ_UNIT,182,1)="",),FALSE,TRUE),TRUE)</f>
        <v>1</v>
      </c>
      <c r="H1189" t="str">
        <f t="shared" si="36"/>
        <v>Row 182 - For ‘Transport unit’ if ‘Amount’ is given then ‘Gross / Net’ and ‘Amount unit’ are required</v>
      </c>
      <c r="I1189" t="s">
        <v>33308</v>
      </c>
      <c r="J1189" t="b">
        <f>IF(OR(INDEX(OHZ_HAZ_AMOUNT,182,1)&lt;&gt;"",),IF(OR(INDEX(OHZ_HAZ_NETGROSS,182,1)="",INDEX(OHZ_HAZ_UNIT,182,1)="",),FALSE,TRUE),TRUE)</f>
        <v>1</v>
      </c>
      <c r="K1189" t="str">
        <f t="shared" si="37"/>
        <v>Row 182 - For ‘Transport unit’ if ‘Amount’ is given then ‘Gross / Net’ and ‘Amount unit’ are required</v>
      </c>
      <c r="L1189" t="s">
        <v>33308</v>
      </c>
    </row>
    <row r="1190" spans="7:12" x14ac:dyDescent="0.2">
      <c r="G1190" t="b">
        <f>IF(OR(INDEX(IHZ_HAZ_AMOUNT,183,1)&lt;&gt;"",),IF(OR(INDEX(IHZ_HAZ_NETGROSS,183,1)="",INDEX(IHZ_HAZ_UNIT,183,1)="",),FALSE,TRUE),TRUE)</f>
        <v>1</v>
      </c>
      <c r="H1190" t="str">
        <f t="shared" si="36"/>
        <v>Row 183 - For ‘Transport unit’ if ‘Amount’ is given then ‘Gross / Net’ and ‘Amount unit’ are required</v>
      </c>
      <c r="I1190" t="s">
        <v>33308</v>
      </c>
      <c r="J1190" t="b">
        <f>IF(OR(INDEX(OHZ_HAZ_AMOUNT,183,1)&lt;&gt;"",),IF(OR(INDEX(OHZ_HAZ_NETGROSS,183,1)="",INDEX(OHZ_HAZ_UNIT,183,1)="",),FALSE,TRUE),TRUE)</f>
        <v>1</v>
      </c>
      <c r="K1190" t="str">
        <f t="shared" si="37"/>
        <v>Row 183 - For ‘Transport unit’ if ‘Amount’ is given then ‘Gross / Net’ and ‘Amount unit’ are required</v>
      </c>
      <c r="L1190" t="s">
        <v>33308</v>
      </c>
    </row>
    <row r="1191" spans="7:12" x14ac:dyDescent="0.2">
      <c r="G1191" t="b">
        <f>IF(OR(INDEX(IHZ_HAZ_AMOUNT,184,1)&lt;&gt;"",),IF(OR(INDEX(IHZ_HAZ_NETGROSS,184,1)="",INDEX(IHZ_HAZ_UNIT,184,1)="",),FALSE,TRUE),TRUE)</f>
        <v>1</v>
      </c>
      <c r="H1191" t="str">
        <f t="shared" si="36"/>
        <v>Row 184 - For ‘Transport unit’ if ‘Amount’ is given then ‘Gross / Net’ and ‘Amount unit’ are required</v>
      </c>
      <c r="I1191" t="s">
        <v>33308</v>
      </c>
      <c r="J1191" t="b">
        <f>IF(OR(INDEX(OHZ_HAZ_AMOUNT,184,1)&lt;&gt;"",),IF(OR(INDEX(OHZ_HAZ_NETGROSS,184,1)="",INDEX(OHZ_HAZ_UNIT,184,1)="",),FALSE,TRUE),TRUE)</f>
        <v>1</v>
      </c>
      <c r="K1191" t="str">
        <f t="shared" si="37"/>
        <v>Row 184 - For ‘Transport unit’ if ‘Amount’ is given then ‘Gross / Net’ and ‘Amount unit’ are required</v>
      </c>
      <c r="L1191" t="s">
        <v>33308</v>
      </c>
    </row>
    <row r="1192" spans="7:12" x14ac:dyDescent="0.2">
      <c r="G1192" t="b">
        <f>IF(OR(INDEX(IHZ_HAZ_AMOUNT,185,1)&lt;&gt;"",),IF(OR(INDEX(IHZ_HAZ_NETGROSS,185,1)="",INDEX(IHZ_HAZ_UNIT,185,1)="",),FALSE,TRUE),TRUE)</f>
        <v>1</v>
      </c>
      <c r="H1192" t="str">
        <f t="shared" si="36"/>
        <v>Row 185 - For ‘Transport unit’ if ‘Amount’ is given then ‘Gross / Net’ and ‘Amount unit’ are required</v>
      </c>
      <c r="I1192" t="s">
        <v>33308</v>
      </c>
      <c r="J1192" t="b">
        <f>IF(OR(INDEX(OHZ_HAZ_AMOUNT,185,1)&lt;&gt;"",),IF(OR(INDEX(OHZ_HAZ_NETGROSS,185,1)="",INDEX(OHZ_HAZ_UNIT,185,1)="",),FALSE,TRUE),TRUE)</f>
        <v>1</v>
      </c>
      <c r="K1192" t="str">
        <f t="shared" si="37"/>
        <v>Row 185 - For ‘Transport unit’ if ‘Amount’ is given then ‘Gross / Net’ and ‘Amount unit’ are required</v>
      </c>
      <c r="L1192" t="s">
        <v>33308</v>
      </c>
    </row>
    <row r="1193" spans="7:12" x14ac:dyDescent="0.2">
      <c r="G1193" t="b">
        <f>IF(OR(INDEX(IHZ_HAZ_AMOUNT,186,1)&lt;&gt;"",),IF(OR(INDEX(IHZ_HAZ_NETGROSS,186,1)="",INDEX(IHZ_HAZ_UNIT,186,1)="",),FALSE,TRUE),TRUE)</f>
        <v>1</v>
      </c>
      <c r="H1193" t="str">
        <f t="shared" si="36"/>
        <v>Row 186 - For ‘Transport unit’ if ‘Amount’ is given then ‘Gross / Net’ and ‘Amount unit’ are required</v>
      </c>
      <c r="I1193" t="s">
        <v>33308</v>
      </c>
      <c r="J1193" t="b">
        <f>IF(OR(INDEX(OHZ_HAZ_AMOUNT,186,1)&lt;&gt;"",),IF(OR(INDEX(OHZ_HAZ_NETGROSS,186,1)="",INDEX(OHZ_HAZ_UNIT,186,1)="",),FALSE,TRUE),TRUE)</f>
        <v>1</v>
      </c>
      <c r="K1193" t="str">
        <f t="shared" si="37"/>
        <v>Row 186 - For ‘Transport unit’ if ‘Amount’ is given then ‘Gross / Net’ and ‘Amount unit’ are required</v>
      </c>
      <c r="L1193" t="s">
        <v>33308</v>
      </c>
    </row>
    <row r="1194" spans="7:12" x14ac:dyDescent="0.2">
      <c r="G1194" t="b">
        <f>IF(OR(INDEX(IHZ_HAZ_AMOUNT,187,1)&lt;&gt;"",),IF(OR(INDEX(IHZ_HAZ_NETGROSS,187,1)="",INDEX(IHZ_HAZ_UNIT,187,1)="",),FALSE,TRUE),TRUE)</f>
        <v>1</v>
      </c>
      <c r="H1194" t="str">
        <f t="shared" si="36"/>
        <v>Row 187 - For ‘Transport unit’ if ‘Amount’ is given then ‘Gross / Net’ and ‘Amount unit’ are required</v>
      </c>
      <c r="I1194" t="s">
        <v>33308</v>
      </c>
      <c r="J1194" t="b">
        <f>IF(OR(INDEX(OHZ_HAZ_AMOUNT,187,1)&lt;&gt;"",),IF(OR(INDEX(OHZ_HAZ_NETGROSS,187,1)="",INDEX(OHZ_HAZ_UNIT,187,1)="",),FALSE,TRUE),TRUE)</f>
        <v>1</v>
      </c>
      <c r="K1194" t="str">
        <f t="shared" si="37"/>
        <v>Row 187 - For ‘Transport unit’ if ‘Amount’ is given then ‘Gross / Net’ and ‘Amount unit’ are required</v>
      </c>
      <c r="L1194" t="s">
        <v>33308</v>
      </c>
    </row>
    <row r="1195" spans="7:12" x14ac:dyDescent="0.2">
      <c r="G1195" t="b">
        <f>IF(OR(INDEX(IHZ_HAZ_AMOUNT,188,1)&lt;&gt;"",),IF(OR(INDEX(IHZ_HAZ_NETGROSS,188,1)="",INDEX(IHZ_HAZ_UNIT,188,1)="",),FALSE,TRUE),TRUE)</f>
        <v>1</v>
      </c>
      <c r="H1195" t="str">
        <f t="shared" si="36"/>
        <v>Row 188 - For ‘Transport unit’ if ‘Amount’ is given then ‘Gross / Net’ and ‘Amount unit’ are required</v>
      </c>
      <c r="I1195" t="s">
        <v>33308</v>
      </c>
      <c r="J1195" t="b">
        <f>IF(OR(INDEX(OHZ_HAZ_AMOUNT,188,1)&lt;&gt;"",),IF(OR(INDEX(OHZ_HAZ_NETGROSS,188,1)="",INDEX(OHZ_HAZ_UNIT,188,1)="",),FALSE,TRUE),TRUE)</f>
        <v>1</v>
      </c>
      <c r="K1195" t="str">
        <f t="shared" si="37"/>
        <v>Row 188 - For ‘Transport unit’ if ‘Amount’ is given then ‘Gross / Net’ and ‘Amount unit’ are required</v>
      </c>
      <c r="L1195" t="s">
        <v>33308</v>
      </c>
    </row>
    <row r="1196" spans="7:12" x14ac:dyDescent="0.2">
      <c r="G1196" t="b">
        <f>IF(OR(INDEX(IHZ_HAZ_AMOUNT,189,1)&lt;&gt;"",),IF(OR(INDEX(IHZ_HAZ_NETGROSS,189,1)="",INDEX(IHZ_HAZ_UNIT,189,1)="",),FALSE,TRUE),TRUE)</f>
        <v>1</v>
      </c>
      <c r="H1196" t="str">
        <f t="shared" si="36"/>
        <v>Row 189 - For ‘Transport unit’ if ‘Amount’ is given then ‘Gross / Net’ and ‘Amount unit’ are required</v>
      </c>
      <c r="I1196" t="s">
        <v>33308</v>
      </c>
      <c r="J1196" t="b">
        <f>IF(OR(INDEX(OHZ_HAZ_AMOUNT,189,1)&lt;&gt;"",),IF(OR(INDEX(OHZ_HAZ_NETGROSS,189,1)="",INDEX(OHZ_HAZ_UNIT,189,1)="",),FALSE,TRUE),TRUE)</f>
        <v>1</v>
      </c>
      <c r="K1196" t="str">
        <f t="shared" si="37"/>
        <v>Row 189 - For ‘Transport unit’ if ‘Amount’ is given then ‘Gross / Net’ and ‘Amount unit’ are required</v>
      </c>
      <c r="L1196" t="s">
        <v>33308</v>
      </c>
    </row>
    <row r="1197" spans="7:12" x14ac:dyDescent="0.2">
      <c r="G1197" t="b">
        <f>IF(OR(INDEX(IHZ_HAZ_AMOUNT,190,1)&lt;&gt;"",),IF(OR(INDEX(IHZ_HAZ_NETGROSS,190,1)="",INDEX(IHZ_HAZ_UNIT,190,1)="",),FALSE,TRUE),TRUE)</f>
        <v>1</v>
      </c>
      <c r="H1197" t="str">
        <f t="shared" si="36"/>
        <v>Row 190 - For ‘Transport unit’ if ‘Amount’ is given then ‘Gross / Net’ and ‘Amount unit’ are required</v>
      </c>
      <c r="I1197" t="s">
        <v>33308</v>
      </c>
      <c r="J1197" t="b">
        <f>IF(OR(INDEX(OHZ_HAZ_AMOUNT,190,1)&lt;&gt;"",),IF(OR(INDEX(OHZ_HAZ_NETGROSS,190,1)="",INDEX(OHZ_HAZ_UNIT,190,1)="",),FALSE,TRUE),TRUE)</f>
        <v>1</v>
      </c>
      <c r="K1197" t="str">
        <f t="shared" si="37"/>
        <v>Row 190 - For ‘Transport unit’ if ‘Amount’ is given then ‘Gross / Net’ and ‘Amount unit’ are required</v>
      </c>
      <c r="L1197" t="s">
        <v>33308</v>
      </c>
    </row>
    <row r="1198" spans="7:12" x14ac:dyDescent="0.2">
      <c r="G1198" t="b">
        <f>IF(OR(INDEX(IHZ_HAZ_AMOUNT,191,1)&lt;&gt;"",),IF(OR(INDEX(IHZ_HAZ_NETGROSS,191,1)="",INDEX(IHZ_HAZ_UNIT,191,1)="",),FALSE,TRUE),TRUE)</f>
        <v>1</v>
      </c>
      <c r="H1198" t="str">
        <f t="shared" si="36"/>
        <v>Row 191 - For ‘Transport unit’ if ‘Amount’ is given then ‘Gross / Net’ and ‘Amount unit’ are required</v>
      </c>
      <c r="I1198" t="s">
        <v>33308</v>
      </c>
      <c r="J1198" t="b">
        <f>IF(OR(INDEX(OHZ_HAZ_AMOUNT,191,1)&lt;&gt;"",),IF(OR(INDEX(OHZ_HAZ_NETGROSS,191,1)="",INDEX(OHZ_HAZ_UNIT,191,1)="",),FALSE,TRUE),TRUE)</f>
        <v>1</v>
      </c>
      <c r="K1198" t="str">
        <f t="shared" si="37"/>
        <v>Row 191 - For ‘Transport unit’ if ‘Amount’ is given then ‘Gross / Net’ and ‘Amount unit’ are required</v>
      </c>
      <c r="L1198" t="s">
        <v>33308</v>
      </c>
    </row>
    <row r="1199" spans="7:12" x14ac:dyDescent="0.2">
      <c r="G1199" t="b">
        <f>IF(OR(INDEX(IHZ_HAZ_AMOUNT,192,1)&lt;&gt;"",),IF(OR(INDEX(IHZ_HAZ_NETGROSS,192,1)="",INDEX(IHZ_HAZ_UNIT,192,1)="",),FALSE,TRUE),TRUE)</f>
        <v>1</v>
      </c>
      <c r="H1199" t="str">
        <f t="shared" si="36"/>
        <v>Row 192 - For ‘Transport unit’ if ‘Amount’ is given then ‘Gross / Net’ and ‘Amount unit’ are required</v>
      </c>
      <c r="I1199" t="s">
        <v>33308</v>
      </c>
      <c r="J1199" t="b">
        <f>IF(OR(INDEX(OHZ_HAZ_AMOUNT,192,1)&lt;&gt;"",),IF(OR(INDEX(OHZ_HAZ_NETGROSS,192,1)="",INDEX(OHZ_HAZ_UNIT,192,1)="",),FALSE,TRUE),TRUE)</f>
        <v>1</v>
      </c>
      <c r="K1199" t="str">
        <f t="shared" si="37"/>
        <v>Row 192 - For ‘Transport unit’ if ‘Amount’ is given then ‘Gross / Net’ and ‘Amount unit’ are required</v>
      </c>
      <c r="L1199" t="s">
        <v>33308</v>
      </c>
    </row>
    <row r="1200" spans="7:12" x14ac:dyDescent="0.2">
      <c r="G1200" t="b">
        <f>IF(OR(INDEX(IHZ_HAZ_AMOUNT,193,1)&lt;&gt;"",),IF(OR(INDEX(IHZ_HAZ_NETGROSS,193,1)="",INDEX(IHZ_HAZ_UNIT,193,1)="",),FALSE,TRUE),TRUE)</f>
        <v>1</v>
      </c>
      <c r="H1200" t="str">
        <f t="shared" si="36"/>
        <v>Row 193 - For ‘Transport unit’ if ‘Amount’ is given then ‘Gross / Net’ and ‘Amount unit’ are required</v>
      </c>
      <c r="I1200" t="s">
        <v>33308</v>
      </c>
      <c r="J1200" t="b">
        <f>IF(OR(INDEX(OHZ_HAZ_AMOUNT,193,1)&lt;&gt;"",),IF(OR(INDEX(OHZ_HAZ_NETGROSS,193,1)="",INDEX(OHZ_HAZ_UNIT,193,1)="",),FALSE,TRUE),TRUE)</f>
        <v>1</v>
      </c>
      <c r="K1200" t="str">
        <f t="shared" si="37"/>
        <v>Row 193 - For ‘Transport unit’ if ‘Amount’ is given then ‘Gross / Net’ and ‘Amount unit’ are required</v>
      </c>
      <c r="L1200" t="s">
        <v>33308</v>
      </c>
    </row>
    <row r="1201" spans="7:12" x14ac:dyDescent="0.2">
      <c r="G1201" t="b">
        <f>IF(OR(INDEX(IHZ_HAZ_AMOUNT,194,1)&lt;&gt;"",),IF(OR(INDEX(IHZ_HAZ_NETGROSS,194,1)="",INDEX(IHZ_HAZ_UNIT,194,1)="",),FALSE,TRUE),TRUE)</f>
        <v>1</v>
      </c>
      <c r="H1201" t="str">
        <f t="shared" ref="H1201:H1257" si="38">T194&amp;$V$5</f>
        <v>Row 194 - For ‘Transport unit’ if ‘Amount’ is given then ‘Gross / Net’ and ‘Amount unit’ are required</v>
      </c>
      <c r="I1201" t="s">
        <v>33308</v>
      </c>
      <c r="J1201" t="b">
        <f>IF(OR(INDEX(OHZ_HAZ_AMOUNT,194,1)&lt;&gt;"",),IF(OR(INDEX(OHZ_HAZ_NETGROSS,194,1)="",INDEX(OHZ_HAZ_UNIT,194,1)="",),FALSE,TRUE),TRUE)</f>
        <v>1</v>
      </c>
      <c r="K1201" t="str">
        <f t="shared" ref="K1201:K1257" si="39">T194&amp;$V$5</f>
        <v>Row 194 - For ‘Transport unit’ if ‘Amount’ is given then ‘Gross / Net’ and ‘Amount unit’ are required</v>
      </c>
      <c r="L1201" t="s">
        <v>33308</v>
      </c>
    </row>
    <row r="1202" spans="7:12" x14ac:dyDescent="0.2">
      <c r="G1202" t="b">
        <f>IF(OR(INDEX(IHZ_HAZ_AMOUNT,195,1)&lt;&gt;"",),IF(OR(INDEX(IHZ_HAZ_NETGROSS,195,1)="",INDEX(IHZ_HAZ_UNIT,195,1)="",),FALSE,TRUE),TRUE)</f>
        <v>1</v>
      </c>
      <c r="H1202" t="str">
        <f t="shared" si="38"/>
        <v>Row 195 - For ‘Transport unit’ if ‘Amount’ is given then ‘Gross / Net’ and ‘Amount unit’ are required</v>
      </c>
      <c r="I1202" t="s">
        <v>33308</v>
      </c>
      <c r="J1202" t="b">
        <f>IF(OR(INDEX(OHZ_HAZ_AMOUNT,195,1)&lt;&gt;"",),IF(OR(INDEX(OHZ_HAZ_NETGROSS,195,1)="",INDEX(OHZ_HAZ_UNIT,195,1)="",),FALSE,TRUE),TRUE)</f>
        <v>1</v>
      </c>
      <c r="K1202" t="str">
        <f t="shared" si="39"/>
        <v>Row 195 - For ‘Transport unit’ if ‘Amount’ is given then ‘Gross / Net’ and ‘Amount unit’ are required</v>
      </c>
      <c r="L1202" t="s">
        <v>33308</v>
      </c>
    </row>
    <row r="1203" spans="7:12" x14ac:dyDescent="0.2">
      <c r="G1203" t="b">
        <f>IF(OR(INDEX(IHZ_HAZ_AMOUNT,196,1)&lt;&gt;"",),IF(OR(INDEX(IHZ_HAZ_NETGROSS,196,1)="",INDEX(IHZ_HAZ_UNIT,196,1)="",),FALSE,TRUE),TRUE)</f>
        <v>1</v>
      </c>
      <c r="H1203" t="str">
        <f t="shared" si="38"/>
        <v>Row 196 - For ‘Transport unit’ if ‘Amount’ is given then ‘Gross / Net’ and ‘Amount unit’ are required</v>
      </c>
      <c r="I1203" t="s">
        <v>33308</v>
      </c>
      <c r="J1203" t="b">
        <f>IF(OR(INDEX(OHZ_HAZ_AMOUNT,196,1)&lt;&gt;"",),IF(OR(INDEX(OHZ_HAZ_NETGROSS,196,1)="",INDEX(OHZ_HAZ_UNIT,196,1)="",),FALSE,TRUE),TRUE)</f>
        <v>1</v>
      </c>
      <c r="K1203" t="str">
        <f t="shared" si="39"/>
        <v>Row 196 - For ‘Transport unit’ if ‘Amount’ is given then ‘Gross / Net’ and ‘Amount unit’ are required</v>
      </c>
      <c r="L1203" t="s">
        <v>33308</v>
      </c>
    </row>
    <row r="1204" spans="7:12" x14ac:dyDescent="0.2">
      <c r="G1204" t="b">
        <f>IF(OR(INDEX(IHZ_HAZ_AMOUNT,197,1)&lt;&gt;"",),IF(OR(INDEX(IHZ_HAZ_NETGROSS,197,1)="",INDEX(IHZ_HAZ_UNIT,197,1)="",),FALSE,TRUE),TRUE)</f>
        <v>1</v>
      </c>
      <c r="H1204" t="str">
        <f t="shared" si="38"/>
        <v>Row 197 - For ‘Transport unit’ if ‘Amount’ is given then ‘Gross / Net’ and ‘Amount unit’ are required</v>
      </c>
      <c r="I1204" t="s">
        <v>33308</v>
      </c>
      <c r="J1204" t="b">
        <f>IF(OR(INDEX(OHZ_HAZ_AMOUNT,197,1)&lt;&gt;"",),IF(OR(INDEX(OHZ_HAZ_NETGROSS,197,1)="",INDEX(OHZ_HAZ_UNIT,197,1)="",),FALSE,TRUE),TRUE)</f>
        <v>1</v>
      </c>
      <c r="K1204" t="str">
        <f t="shared" si="39"/>
        <v>Row 197 - For ‘Transport unit’ if ‘Amount’ is given then ‘Gross / Net’ and ‘Amount unit’ are required</v>
      </c>
      <c r="L1204" t="s">
        <v>33308</v>
      </c>
    </row>
    <row r="1205" spans="7:12" x14ac:dyDescent="0.2">
      <c r="G1205" t="b">
        <f>IF(OR(INDEX(IHZ_HAZ_AMOUNT,198,1)&lt;&gt;"",),IF(OR(INDEX(IHZ_HAZ_NETGROSS,198,1)="",INDEX(IHZ_HAZ_UNIT,198,1)="",),FALSE,TRUE),TRUE)</f>
        <v>1</v>
      </c>
      <c r="H1205" t="str">
        <f t="shared" si="38"/>
        <v>Row 198 - For ‘Transport unit’ if ‘Amount’ is given then ‘Gross / Net’ and ‘Amount unit’ are required</v>
      </c>
      <c r="I1205" t="s">
        <v>33308</v>
      </c>
      <c r="J1205" t="b">
        <f>IF(OR(INDEX(OHZ_HAZ_AMOUNT,198,1)&lt;&gt;"",),IF(OR(INDEX(OHZ_HAZ_NETGROSS,198,1)="",INDEX(OHZ_HAZ_UNIT,198,1)="",),FALSE,TRUE),TRUE)</f>
        <v>1</v>
      </c>
      <c r="K1205" t="str">
        <f t="shared" si="39"/>
        <v>Row 198 - For ‘Transport unit’ if ‘Amount’ is given then ‘Gross / Net’ and ‘Amount unit’ are required</v>
      </c>
      <c r="L1205" t="s">
        <v>33308</v>
      </c>
    </row>
    <row r="1206" spans="7:12" x14ac:dyDescent="0.2">
      <c r="G1206" t="b">
        <f>IF(OR(INDEX(IHZ_HAZ_AMOUNT,199,1)&lt;&gt;"",),IF(OR(INDEX(IHZ_HAZ_NETGROSS,199,1)="",INDEX(IHZ_HAZ_UNIT,199,1)="",),FALSE,TRUE),TRUE)</f>
        <v>1</v>
      </c>
      <c r="H1206" t="str">
        <f t="shared" si="38"/>
        <v>Row 199 - For ‘Transport unit’ if ‘Amount’ is given then ‘Gross / Net’ and ‘Amount unit’ are required</v>
      </c>
      <c r="I1206" t="s">
        <v>33308</v>
      </c>
      <c r="J1206" t="b">
        <f>IF(OR(INDEX(OHZ_HAZ_AMOUNT,199,1)&lt;&gt;"",),IF(OR(INDEX(OHZ_HAZ_NETGROSS,199,1)="",INDEX(OHZ_HAZ_UNIT,199,1)="",),FALSE,TRUE),TRUE)</f>
        <v>1</v>
      </c>
      <c r="K1206" t="str">
        <f t="shared" si="39"/>
        <v>Row 199 - For ‘Transport unit’ if ‘Amount’ is given then ‘Gross / Net’ and ‘Amount unit’ are required</v>
      </c>
      <c r="L1206" t="s">
        <v>33308</v>
      </c>
    </row>
    <row r="1207" spans="7:12" x14ac:dyDescent="0.2">
      <c r="G1207" t="b">
        <f>IF(OR(INDEX(IHZ_HAZ_AMOUNT,200,1)&lt;&gt;"",),IF(OR(INDEX(IHZ_HAZ_NETGROSS,200,1)="",INDEX(IHZ_HAZ_UNIT,200,1)="",),FALSE,TRUE),TRUE)</f>
        <v>1</v>
      </c>
      <c r="H1207" t="str">
        <f t="shared" si="38"/>
        <v>Row 200 - For ‘Transport unit’ if ‘Amount’ is given then ‘Gross / Net’ and ‘Amount unit’ are required</v>
      </c>
      <c r="I1207" t="s">
        <v>33308</v>
      </c>
      <c r="J1207" t="b">
        <f>IF(OR(INDEX(OHZ_HAZ_AMOUNT,200,1)&lt;&gt;"",),IF(OR(INDEX(OHZ_HAZ_NETGROSS,200,1)="",INDEX(OHZ_HAZ_UNIT,200,1)="",),FALSE,TRUE),TRUE)</f>
        <v>1</v>
      </c>
      <c r="K1207" t="str">
        <f t="shared" si="39"/>
        <v>Row 200 - For ‘Transport unit’ if ‘Amount’ is given then ‘Gross / Net’ and ‘Amount unit’ are required</v>
      </c>
      <c r="L1207" t="s">
        <v>33308</v>
      </c>
    </row>
    <row r="1208" spans="7:12" x14ac:dyDescent="0.2">
      <c r="G1208" t="b">
        <f>IF(OR(INDEX(IHZ_HAZ_AMOUNT,201,1)&lt;&gt;"",),IF(OR(INDEX(IHZ_HAZ_NETGROSS,201,1)="",INDEX(IHZ_HAZ_UNIT,201,1)="",),FALSE,TRUE),TRUE)</f>
        <v>1</v>
      </c>
      <c r="H1208" t="str">
        <f t="shared" si="38"/>
        <v>Row 201 - For ‘Transport unit’ if ‘Amount’ is given then ‘Gross / Net’ and ‘Amount unit’ are required</v>
      </c>
      <c r="I1208" t="s">
        <v>33308</v>
      </c>
      <c r="J1208" t="b">
        <f>IF(OR(INDEX(OHZ_HAZ_AMOUNT,201,1)&lt;&gt;"",),IF(OR(INDEX(OHZ_HAZ_NETGROSS,201,1)="",INDEX(OHZ_HAZ_UNIT,201,1)="",),FALSE,TRUE),TRUE)</f>
        <v>1</v>
      </c>
      <c r="K1208" t="str">
        <f t="shared" si="39"/>
        <v>Row 201 - For ‘Transport unit’ if ‘Amount’ is given then ‘Gross / Net’ and ‘Amount unit’ are required</v>
      </c>
      <c r="L1208" t="s">
        <v>33308</v>
      </c>
    </row>
    <row r="1209" spans="7:12" x14ac:dyDescent="0.2">
      <c r="G1209" t="b">
        <f>IF(OR(INDEX(IHZ_HAZ_AMOUNT,202,1)&lt;&gt;"",),IF(OR(INDEX(IHZ_HAZ_NETGROSS,202,1)="",INDEX(IHZ_HAZ_UNIT,202,1)="",),FALSE,TRUE),TRUE)</f>
        <v>1</v>
      </c>
      <c r="H1209" t="str">
        <f t="shared" si="38"/>
        <v>Row 202 - For ‘Transport unit’ if ‘Amount’ is given then ‘Gross / Net’ and ‘Amount unit’ are required</v>
      </c>
      <c r="I1209" t="s">
        <v>33308</v>
      </c>
      <c r="J1209" t="b">
        <f>IF(OR(INDEX(OHZ_HAZ_AMOUNT,202,1)&lt;&gt;"",),IF(OR(INDEX(OHZ_HAZ_NETGROSS,202,1)="",INDEX(OHZ_HAZ_UNIT,202,1)="",),FALSE,TRUE),TRUE)</f>
        <v>1</v>
      </c>
      <c r="K1209" t="str">
        <f t="shared" si="39"/>
        <v>Row 202 - For ‘Transport unit’ if ‘Amount’ is given then ‘Gross / Net’ and ‘Amount unit’ are required</v>
      </c>
      <c r="L1209" t="s">
        <v>33308</v>
      </c>
    </row>
    <row r="1210" spans="7:12" x14ac:dyDescent="0.2">
      <c r="G1210" t="b">
        <f>IF(OR(INDEX(IHZ_HAZ_AMOUNT,203,1)&lt;&gt;"",),IF(OR(INDEX(IHZ_HAZ_NETGROSS,203,1)="",INDEX(IHZ_HAZ_UNIT,203,1)="",),FALSE,TRUE),TRUE)</f>
        <v>1</v>
      </c>
      <c r="H1210" t="str">
        <f t="shared" si="38"/>
        <v>Row 203 - For ‘Transport unit’ if ‘Amount’ is given then ‘Gross / Net’ and ‘Amount unit’ are required</v>
      </c>
      <c r="I1210" t="s">
        <v>33308</v>
      </c>
      <c r="J1210" t="b">
        <f>IF(OR(INDEX(OHZ_HAZ_AMOUNT,203,1)&lt;&gt;"",),IF(OR(INDEX(OHZ_HAZ_NETGROSS,203,1)="",INDEX(OHZ_HAZ_UNIT,203,1)="",),FALSE,TRUE),TRUE)</f>
        <v>1</v>
      </c>
      <c r="K1210" t="str">
        <f t="shared" si="39"/>
        <v>Row 203 - For ‘Transport unit’ if ‘Amount’ is given then ‘Gross / Net’ and ‘Amount unit’ are required</v>
      </c>
      <c r="L1210" t="s">
        <v>33308</v>
      </c>
    </row>
    <row r="1211" spans="7:12" x14ac:dyDescent="0.2">
      <c r="G1211" t="b">
        <f>IF(OR(INDEX(IHZ_HAZ_AMOUNT,204,1)&lt;&gt;"",),IF(OR(INDEX(IHZ_HAZ_NETGROSS,204,1)="",INDEX(IHZ_HAZ_UNIT,204,1)="",),FALSE,TRUE),TRUE)</f>
        <v>1</v>
      </c>
      <c r="H1211" t="str">
        <f t="shared" si="38"/>
        <v>Row 204 - For ‘Transport unit’ if ‘Amount’ is given then ‘Gross / Net’ and ‘Amount unit’ are required</v>
      </c>
      <c r="I1211" t="s">
        <v>33308</v>
      </c>
      <c r="J1211" t="b">
        <f>IF(OR(INDEX(OHZ_HAZ_AMOUNT,204,1)&lt;&gt;"",),IF(OR(INDEX(OHZ_HAZ_NETGROSS,204,1)="",INDEX(OHZ_HAZ_UNIT,204,1)="",),FALSE,TRUE),TRUE)</f>
        <v>1</v>
      </c>
      <c r="K1211" t="str">
        <f t="shared" si="39"/>
        <v>Row 204 - For ‘Transport unit’ if ‘Amount’ is given then ‘Gross / Net’ and ‘Amount unit’ are required</v>
      </c>
      <c r="L1211" t="s">
        <v>33308</v>
      </c>
    </row>
    <row r="1212" spans="7:12" x14ac:dyDescent="0.2">
      <c r="G1212" t="b">
        <f>IF(OR(INDEX(IHZ_HAZ_AMOUNT,205,1)&lt;&gt;"",),IF(OR(INDEX(IHZ_HAZ_NETGROSS,205,1)="",INDEX(IHZ_HAZ_UNIT,205,1)="",),FALSE,TRUE),TRUE)</f>
        <v>1</v>
      </c>
      <c r="H1212" t="str">
        <f t="shared" si="38"/>
        <v>Row 205 - For ‘Transport unit’ if ‘Amount’ is given then ‘Gross / Net’ and ‘Amount unit’ are required</v>
      </c>
      <c r="I1212" t="s">
        <v>33308</v>
      </c>
      <c r="J1212" t="b">
        <f>IF(OR(INDEX(OHZ_HAZ_AMOUNT,205,1)&lt;&gt;"",),IF(OR(INDEX(OHZ_HAZ_NETGROSS,205,1)="",INDEX(OHZ_HAZ_UNIT,205,1)="",),FALSE,TRUE),TRUE)</f>
        <v>1</v>
      </c>
      <c r="K1212" t="str">
        <f t="shared" si="39"/>
        <v>Row 205 - For ‘Transport unit’ if ‘Amount’ is given then ‘Gross / Net’ and ‘Amount unit’ are required</v>
      </c>
      <c r="L1212" t="s">
        <v>33308</v>
      </c>
    </row>
    <row r="1213" spans="7:12" x14ac:dyDescent="0.2">
      <c r="G1213" t="b">
        <f>IF(OR(INDEX(IHZ_HAZ_AMOUNT,206,1)&lt;&gt;"",),IF(OR(INDEX(IHZ_HAZ_NETGROSS,206,1)="",INDEX(IHZ_HAZ_UNIT,206,1)="",),FALSE,TRUE),TRUE)</f>
        <v>1</v>
      </c>
      <c r="H1213" t="str">
        <f t="shared" si="38"/>
        <v>Row 206 - For ‘Transport unit’ if ‘Amount’ is given then ‘Gross / Net’ and ‘Amount unit’ are required</v>
      </c>
      <c r="I1213" t="s">
        <v>33308</v>
      </c>
      <c r="J1213" t="b">
        <f>IF(OR(INDEX(OHZ_HAZ_AMOUNT,206,1)&lt;&gt;"",),IF(OR(INDEX(OHZ_HAZ_NETGROSS,206,1)="",INDEX(OHZ_HAZ_UNIT,206,1)="",),FALSE,TRUE),TRUE)</f>
        <v>1</v>
      </c>
      <c r="K1213" t="str">
        <f t="shared" si="39"/>
        <v>Row 206 - For ‘Transport unit’ if ‘Amount’ is given then ‘Gross / Net’ and ‘Amount unit’ are required</v>
      </c>
      <c r="L1213" t="s">
        <v>33308</v>
      </c>
    </row>
    <row r="1214" spans="7:12" x14ac:dyDescent="0.2">
      <c r="G1214" t="b">
        <f>IF(OR(INDEX(IHZ_HAZ_AMOUNT,207,1)&lt;&gt;"",),IF(OR(INDEX(IHZ_HAZ_NETGROSS,207,1)="",INDEX(IHZ_HAZ_UNIT,207,1)="",),FALSE,TRUE),TRUE)</f>
        <v>1</v>
      </c>
      <c r="H1214" t="str">
        <f t="shared" si="38"/>
        <v>Row 207 - For ‘Transport unit’ if ‘Amount’ is given then ‘Gross / Net’ and ‘Amount unit’ are required</v>
      </c>
      <c r="I1214" t="s">
        <v>33308</v>
      </c>
      <c r="J1214" t="b">
        <f>IF(OR(INDEX(OHZ_HAZ_AMOUNT,207,1)&lt;&gt;"",),IF(OR(INDEX(OHZ_HAZ_NETGROSS,207,1)="",INDEX(OHZ_HAZ_UNIT,207,1)="",),FALSE,TRUE),TRUE)</f>
        <v>1</v>
      </c>
      <c r="K1214" t="str">
        <f t="shared" si="39"/>
        <v>Row 207 - For ‘Transport unit’ if ‘Amount’ is given then ‘Gross / Net’ and ‘Amount unit’ are required</v>
      </c>
      <c r="L1214" t="s">
        <v>33308</v>
      </c>
    </row>
    <row r="1215" spans="7:12" x14ac:dyDescent="0.2">
      <c r="G1215" t="b">
        <f>IF(OR(INDEX(IHZ_HAZ_AMOUNT,208,1)&lt;&gt;"",),IF(OR(INDEX(IHZ_HAZ_NETGROSS,208,1)="",INDEX(IHZ_HAZ_UNIT,208,1)="",),FALSE,TRUE),TRUE)</f>
        <v>1</v>
      </c>
      <c r="H1215" t="str">
        <f t="shared" si="38"/>
        <v>Row 208 - For ‘Transport unit’ if ‘Amount’ is given then ‘Gross / Net’ and ‘Amount unit’ are required</v>
      </c>
      <c r="I1215" t="s">
        <v>33308</v>
      </c>
      <c r="J1215" t="b">
        <f>IF(OR(INDEX(OHZ_HAZ_AMOUNT,208,1)&lt;&gt;"",),IF(OR(INDEX(OHZ_HAZ_NETGROSS,208,1)="",INDEX(OHZ_HAZ_UNIT,208,1)="",),FALSE,TRUE),TRUE)</f>
        <v>1</v>
      </c>
      <c r="K1215" t="str">
        <f t="shared" si="39"/>
        <v>Row 208 - For ‘Transport unit’ if ‘Amount’ is given then ‘Gross / Net’ and ‘Amount unit’ are required</v>
      </c>
      <c r="L1215" t="s">
        <v>33308</v>
      </c>
    </row>
    <row r="1216" spans="7:12" x14ac:dyDescent="0.2">
      <c r="G1216" t="b">
        <f>IF(OR(INDEX(IHZ_HAZ_AMOUNT,209,1)&lt;&gt;"",),IF(OR(INDEX(IHZ_HAZ_NETGROSS,209,1)="",INDEX(IHZ_HAZ_UNIT,209,1)="",),FALSE,TRUE),TRUE)</f>
        <v>1</v>
      </c>
      <c r="H1216" t="str">
        <f t="shared" si="38"/>
        <v>Row 209 - For ‘Transport unit’ if ‘Amount’ is given then ‘Gross / Net’ and ‘Amount unit’ are required</v>
      </c>
      <c r="I1216" t="s">
        <v>33308</v>
      </c>
      <c r="J1216" t="b">
        <f>IF(OR(INDEX(OHZ_HAZ_AMOUNT,209,1)&lt;&gt;"",),IF(OR(INDEX(OHZ_HAZ_NETGROSS,209,1)="",INDEX(OHZ_HAZ_UNIT,209,1)="",),FALSE,TRUE),TRUE)</f>
        <v>1</v>
      </c>
      <c r="K1216" t="str">
        <f t="shared" si="39"/>
        <v>Row 209 - For ‘Transport unit’ if ‘Amount’ is given then ‘Gross / Net’ and ‘Amount unit’ are required</v>
      </c>
      <c r="L1216" t="s">
        <v>33308</v>
      </c>
    </row>
    <row r="1217" spans="7:12" x14ac:dyDescent="0.2">
      <c r="G1217" t="b">
        <f>IF(OR(INDEX(IHZ_HAZ_AMOUNT,210,1)&lt;&gt;"",),IF(OR(INDEX(IHZ_HAZ_NETGROSS,210,1)="",INDEX(IHZ_HAZ_UNIT,210,1)="",),FALSE,TRUE),TRUE)</f>
        <v>1</v>
      </c>
      <c r="H1217" t="str">
        <f t="shared" si="38"/>
        <v>Row 210 - For ‘Transport unit’ if ‘Amount’ is given then ‘Gross / Net’ and ‘Amount unit’ are required</v>
      </c>
      <c r="I1217" t="s">
        <v>33308</v>
      </c>
      <c r="J1217" t="b">
        <f>IF(OR(INDEX(OHZ_HAZ_AMOUNT,210,1)&lt;&gt;"",),IF(OR(INDEX(OHZ_HAZ_NETGROSS,210,1)="",INDEX(OHZ_HAZ_UNIT,210,1)="",),FALSE,TRUE),TRUE)</f>
        <v>1</v>
      </c>
      <c r="K1217" t="str">
        <f t="shared" si="39"/>
        <v>Row 210 - For ‘Transport unit’ if ‘Amount’ is given then ‘Gross / Net’ and ‘Amount unit’ are required</v>
      </c>
      <c r="L1217" t="s">
        <v>33308</v>
      </c>
    </row>
    <row r="1218" spans="7:12" x14ac:dyDescent="0.2">
      <c r="G1218" t="b">
        <f>IF(OR(INDEX(IHZ_HAZ_AMOUNT,211,1)&lt;&gt;"",),IF(OR(INDEX(IHZ_HAZ_NETGROSS,211,1)="",INDEX(IHZ_HAZ_UNIT,211,1)="",),FALSE,TRUE),TRUE)</f>
        <v>1</v>
      </c>
      <c r="H1218" t="str">
        <f t="shared" si="38"/>
        <v>Row 211 - For ‘Transport unit’ if ‘Amount’ is given then ‘Gross / Net’ and ‘Amount unit’ are required</v>
      </c>
      <c r="I1218" t="s">
        <v>33308</v>
      </c>
      <c r="J1218" t="b">
        <f>IF(OR(INDEX(OHZ_HAZ_AMOUNT,211,1)&lt;&gt;"",),IF(OR(INDEX(OHZ_HAZ_NETGROSS,211,1)="",INDEX(OHZ_HAZ_UNIT,211,1)="",),FALSE,TRUE),TRUE)</f>
        <v>1</v>
      </c>
      <c r="K1218" t="str">
        <f t="shared" si="39"/>
        <v>Row 211 - For ‘Transport unit’ if ‘Amount’ is given then ‘Gross / Net’ and ‘Amount unit’ are required</v>
      </c>
      <c r="L1218" t="s">
        <v>33308</v>
      </c>
    </row>
    <row r="1219" spans="7:12" x14ac:dyDescent="0.2">
      <c r="G1219" t="b">
        <f>IF(OR(INDEX(IHZ_HAZ_AMOUNT,212,1)&lt;&gt;"",),IF(OR(INDEX(IHZ_HAZ_NETGROSS,212,1)="",INDEX(IHZ_HAZ_UNIT,212,1)="",),FALSE,TRUE),TRUE)</f>
        <v>1</v>
      </c>
      <c r="H1219" t="str">
        <f t="shared" si="38"/>
        <v>Row 212 - For ‘Transport unit’ if ‘Amount’ is given then ‘Gross / Net’ and ‘Amount unit’ are required</v>
      </c>
      <c r="I1219" t="s">
        <v>33308</v>
      </c>
      <c r="J1219" t="b">
        <f>IF(OR(INDEX(OHZ_HAZ_AMOUNT,212,1)&lt;&gt;"",),IF(OR(INDEX(OHZ_HAZ_NETGROSS,212,1)="",INDEX(OHZ_HAZ_UNIT,212,1)="",),FALSE,TRUE),TRUE)</f>
        <v>1</v>
      </c>
      <c r="K1219" t="str">
        <f t="shared" si="39"/>
        <v>Row 212 - For ‘Transport unit’ if ‘Amount’ is given then ‘Gross / Net’ and ‘Amount unit’ are required</v>
      </c>
      <c r="L1219" t="s">
        <v>33308</v>
      </c>
    </row>
    <row r="1220" spans="7:12" x14ac:dyDescent="0.2">
      <c r="G1220" t="b">
        <f>IF(OR(INDEX(IHZ_HAZ_AMOUNT,213,1)&lt;&gt;"",),IF(OR(INDEX(IHZ_HAZ_NETGROSS,213,1)="",INDEX(IHZ_HAZ_UNIT,213,1)="",),FALSE,TRUE),TRUE)</f>
        <v>1</v>
      </c>
      <c r="H1220" t="str">
        <f t="shared" si="38"/>
        <v>Row 213 - For ‘Transport unit’ if ‘Amount’ is given then ‘Gross / Net’ and ‘Amount unit’ are required</v>
      </c>
      <c r="I1220" t="s">
        <v>33308</v>
      </c>
      <c r="J1220" t="b">
        <f>IF(OR(INDEX(OHZ_HAZ_AMOUNT,213,1)&lt;&gt;"",),IF(OR(INDEX(OHZ_HAZ_NETGROSS,213,1)="",INDEX(OHZ_HAZ_UNIT,213,1)="",),FALSE,TRUE),TRUE)</f>
        <v>1</v>
      </c>
      <c r="K1220" t="str">
        <f t="shared" si="39"/>
        <v>Row 213 - For ‘Transport unit’ if ‘Amount’ is given then ‘Gross / Net’ and ‘Amount unit’ are required</v>
      </c>
      <c r="L1220" t="s">
        <v>33308</v>
      </c>
    </row>
    <row r="1221" spans="7:12" x14ac:dyDescent="0.2">
      <c r="G1221" t="b">
        <f>IF(OR(INDEX(IHZ_HAZ_AMOUNT,214,1)&lt;&gt;"",),IF(OR(INDEX(IHZ_HAZ_NETGROSS,214,1)="",INDEX(IHZ_HAZ_UNIT,214,1)="",),FALSE,TRUE),TRUE)</f>
        <v>1</v>
      </c>
      <c r="H1221" t="str">
        <f t="shared" si="38"/>
        <v>Row 214 - For ‘Transport unit’ if ‘Amount’ is given then ‘Gross / Net’ and ‘Amount unit’ are required</v>
      </c>
      <c r="I1221" t="s">
        <v>33308</v>
      </c>
      <c r="J1221" t="b">
        <f>IF(OR(INDEX(OHZ_HAZ_AMOUNT,214,1)&lt;&gt;"",),IF(OR(INDEX(OHZ_HAZ_NETGROSS,214,1)="",INDEX(OHZ_HAZ_UNIT,214,1)="",),FALSE,TRUE),TRUE)</f>
        <v>1</v>
      </c>
      <c r="K1221" t="str">
        <f t="shared" si="39"/>
        <v>Row 214 - For ‘Transport unit’ if ‘Amount’ is given then ‘Gross / Net’ and ‘Amount unit’ are required</v>
      </c>
      <c r="L1221" t="s">
        <v>33308</v>
      </c>
    </row>
    <row r="1222" spans="7:12" x14ac:dyDescent="0.2">
      <c r="G1222" t="b">
        <f>IF(OR(INDEX(IHZ_HAZ_AMOUNT,215,1)&lt;&gt;"",),IF(OR(INDEX(IHZ_HAZ_NETGROSS,215,1)="",INDEX(IHZ_HAZ_UNIT,215,1)="",),FALSE,TRUE),TRUE)</f>
        <v>1</v>
      </c>
      <c r="H1222" t="str">
        <f t="shared" si="38"/>
        <v>Row 215 - For ‘Transport unit’ if ‘Amount’ is given then ‘Gross / Net’ and ‘Amount unit’ are required</v>
      </c>
      <c r="I1222" t="s">
        <v>33308</v>
      </c>
      <c r="J1222" t="b">
        <f>IF(OR(INDEX(OHZ_HAZ_AMOUNT,215,1)&lt;&gt;"",),IF(OR(INDEX(OHZ_HAZ_NETGROSS,215,1)="",INDEX(OHZ_HAZ_UNIT,215,1)="",),FALSE,TRUE),TRUE)</f>
        <v>1</v>
      </c>
      <c r="K1222" t="str">
        <f t="shared" si="39"/>
        <v>Row 215 - For ‘Transport unit’ if ‘Amount’ is given then ‘Gross / Net’ and ‘Amount unit’ are required</v>
      </c>
      <c r="L1222" t="s">
        <v>33308</v>
      </c>
    </row>
    <row r="1223" spans="7:12" x14ac:dyDescent="0.2">
      <c r="G1223" t="b">
        <f>IF(OR(INDEX(IHZ_HAZ_AMOUNT,216,1)&lt;&gt;"",),IF(OR(INDEX(IHZ_HAZ_NETGROSS,216,1)="",INDEX(IHZ_HAZ_UNIT,216,1)="",),FALSE,TRUE),TRUE)</f>
        <v>1</v>
      </c>
      <c r="H1223" t="str">
        <f t="shared" si="38"/>
        <v>Row 216 - For ‘Transport unit’ if ‘Amount’ is given then ‘Gross / Net’ and ‘Amount unit’ are required</v>
      </c>
      <c r="I1223" t="s">
        <v>33308</v>
      </c>
      <c r="J1223" t="b">
        <f>IF(OR(INDEX(OHZ_HAZ_AMOUNT,216,1)&lt;&gt;"",),IF(OR(INDEX(OHZ_HAZ_NETGROSS,216,1)="",INDEX(OHZ_HAZ_UNIT,216,1)="",),FALSE,TRUE),TRUE)</f>
        <v>1</v>
      </c>
      <c r="K1223" t="str">
        <f t="shared" si="39"/>
        <v>Row 216 - For ‘Transport unit’ if ‘Amount’ is given then ‘Gross / Net’ and ‘Amount unit’ are required</v>
      </c>
      <c r="L1223" t="s">
        <v>33308</v>
      </c>
    </row>
    <row r="1224" spans="7:12" x14ac:dyDescent="0.2">
      <c r="G1224" t="b">
        <f>IF(OR(INDEX(IHZ_HAZ_AMOUNT,217,1)&lt;&gt;"",),IF(OR(INDEX(IHZ_HAZ_NETGROSS,217,1)="",INDEX(IHZ_HAZ_UNIT,217,1)="",),FALSE,TRUE),TRUE)</f>
        <v>1</v>
      </c>
      <c r="H1224" t="str">
        <f t="shared" si="38"/>
        <v>Row 217 - For ‘Transport unit’ if ‘Amount’ is given then ‘Gross / Net’ and ‘Amount unit’ are required</v>
      </c>
      <c r="I1224" t="s">
        <v>33308</v>
      </c>
      <c r="J1224" t="b">
        <f>IF(OR(INDEX(OHZ_HAZ_AMOUNT,217,1)&lt;&gt;"",),IF(OR(INDEX(OHZ_HAZ_NETGROSS,217,1)="",INDEX(OHZ_HAZ_UNIT,217,1)="",),FALSE,TRUE),TRUE)</f>
        <v>1</v>
      </c>
      <c r="K1224" t="str">
        <f t="shared" si="39"/>
        <v>Row 217 - For ‘Transport unit’ if ‘Amount’ is given then ‘Gross / Net’ and ‘Amount unit’ are required</v>
      </c>
      <c r="L1224" t="s">
        <v>33308</v>
      </c>
    </row>
    <row r="1225" spans="7:12" x14ac:dyDescent="0.2">
      <c r="G1225" t="b">
        <f>IF(OR(INDEX(IHZ_HAZ_AMOUNT,218,1)&lt;&gt;"",),IF(OR(INDEX(IHZ_HAZ_NETGROSS,218,1)="",INDEX(IHZ_HAZ_UNIT,218,1)="",),FALSE,TRUE),TRUE)</f>
        <v>1</v>
      </c>
      <c r="H1225" t="str">
        <f t="shared" si="38"/>
        <v>Row 218 - For ‘Transport unit’ if ‘Amount’ is given then ‘Gross / Net’ and ‘Amount unit’ are required</v>
      </c>
      <c r="I1225" t="s">
        <v>33308</v>
      </c>
      <c r="J1225" t="b">
        <f>IF(OR(INDEX(OHZ_HAZ_AMOUNT,218,1)&lt;&gt;"",),IF(OR(INDEX(OHZ_HAZ_NETGROSS,218,1)="",INDEX(OHZ_HAZ_UNIT,218,1)="",),FALSE,TRUE),TRUE)</f>
        <v>1</v>
      </c>
      <c r="K1225" t="str">
        <f t="shared" si="39"/>
        <v>Row 218 - For ‘Transport unit’ if ‘Amount’ is given then ‘Gross / Net’ and ‘Amount unit’ are required</v>
      </c>
      <c r="L1225" t="s">
        <v>33308</v>
      </c>
    </row>
    <row r="1226" spans="7:12" x14ac:dyDescent="0.2">
      <c r="G1226" t="b">
        <f>IF(OR(INDEX(IHZ_HAZ_AMOUNT,219,1)&lt;&gt;"",),IF(OR(INDEX(IHZ_HAZ_NETGROSS,219,1)="",INDEX(IHZ_HAZ_UNIT,219,1)="",),FALSE,TRUE),TRUE)</f>
        <v>1</v>
      </c>
      <c r="H1226" t="str">
        <f t="shared" si="38"/>
        <v>Row 219 - For ‘Transport unit’ if ‘Amount’ is given then ‘Gross / Net’ and ‘Amount unit’ are required</v>
      </c>
      <c r="I1226" t="s">
        <v>33308</v>
      </c>
      <c r="J1226" t="b">
        <f>IF(OR(INDEX(OHZ_HAZ_AMOUNT,219,1)&lt;&gt;"",),IF(OR(INDEX(OHZ_HAZ_NETGROSS,219,1)="",INDEX(OHZ_HAZ_UNIT,219,1)="",),FALSE,TRUE),TRUE)</f>
        <v>1</v>
      </c>
      <c r="K1226" t="str">
        <f t="shared" si="39"/>
        <v>Row 219 - For ‘Transport unit’ if ‘Amount’ is given then ‘Gross / Net’ and ‘Amount unit’ are required</v>
      </c>
      <c r="L1226" t="s">
        <v>33308</v>
      </c>
    </row>
    <row r="1227" spans="7:12" x14ac:dyDescent="0.2">
      <c r="G1227" t="b">
        <f>IF(OR(INDEX(IHZ_HAZ_AMOUNT,220,1)&lt;&gt;"",),IF(OR(INDEX(IHZ_HAZ_NETGROSS,220,1)="",INDEX(IHZ_HAZ_UNIT,220,1)="",),FALSE,TRUE),TRUE)</f>
        <v>1</v>
      </c>
      <c r="H1227" t="str">
        <f t="shared" si="38"/>
        <v>Row 220 - For ‘Transport unit’ if ‘Amount’ is given then ‘Gross / Net’ and ‘Amount unit’ are required</v>
      </c>
      <c r="I1227" t="s">
        <v>33308</v>
      </c>
      <c r="J1227" t="b">
        <f>IF(OR(INDEX(OHZ_HAZ_AMOUNT,220,1)&lt;&gt;"",),IF(OR(INDEX(OHZ_HAZ_NETGROSS,220,1)="",INDEX(OHZ_HAZ_UNIT,220,1)="",),FALSE,TRUE),TRUE)</f>
        <v>1</v>
      </c>
      <c r="K1227" t="str">
        <f t="shared" si="39"/>
        <v>Row 220 - For ‘Transport unit’ if ‘Amount’ is given then ‘Gross / Net’ and ‘Amount unit’ are required</v>
      </c>
      <c r="L1227" t="s">
        <v>33308</v>
      </c>
    </row>
    <row r="1228" spans="7:12" x14ac:dyDescent="0.2">
      <c r="G1228" t="b">
        <f>IF(OR(INDEX(IHZ_HAZ_AMOUNT,221,1)&lt;&gt;"",),IF(OR(INDEX(IHZ_HAZ_NETGROSS,221,1)="",INDEX(IHZ_HAZ_UNIT,221,1)="",),FALSE,TRUE),TRUE)</f>
        <v>1</v>
      </c>
      <c r="H1228" t="str">
        <f t="shared" si="38"/>
        <v>Row 221 - For ‘Transport unit’ if ‘Amount’ is given then ‘Gross / Net’ and ‘Amount unit’ are required</v>
      </c>
      <c r="I1228" t="s">
        <v>33308</v>
      </c>
      <c r="J1228" t="b">
        <f>IF(OR(INDEX(OHZ_HAZ_AMOUNT,221,1)&lt;&gt;"",),IF(OR(INDEX(OHZ_HAZ_NETGROSS,221,1)="",INDEX(OHZ_HAZ_UNIT,221,1)="",),FALSE,TRUE),TRUE)</f>
        <v>1</v>
      </c>
      <c r="K1228" t="str">
        <f t="shared" si="39"/>
        <v>Row 221 - For ‘Transport unit’ if ‘Amount’ is given then ‘Gross / Net’ and ‘Amount unit’ are required</v>
      </c>
      <c r="L1228" t="s">
        <v>33308</v>
      </c>
    </row>
    <row r="1229" spans="7:12" x14ac:dyDescent="0.2">
      <c r="G1229" t="b">
        <f>IF(OR(INDEX(IHZ_HAZ_AMOUNT,222,1)&lt;&gt;"",),IF(OR(INDEX(IHZ_HAZ_NETGROSS,222,1)="",INDEX(IHZ_HAZ_UNIT,222,1)="",),FALSE,TRUE),TRUE)</f>
        <v>1</v>
      </c>
      <c r="H1229" t="str">
        <f t="shared" si="38"/>
        <v>Row 222 - For ‘Transport unit’ if ‘Amount’ is given then ‘Gross / Net’ and ‘Amount unit’ are required</v>
      </c>
      <c r="I1229" t="s">
        <v>33308</v>
      </c>
      <c r="J1229" t="b">
        <f>IF(OR(INDEX(OHZ_HAZ_AMOUNT,222,1)&lt;&gt;"",),IF(OR(INDEX(OHZ_HAZ_NETGROSS,222,1)="",INDEX(OHZ_HAZ_UNIT,222,1)="",),FALSE,TRUE),TRUE)</f>
        <v>1</v>
      </c>
      <c r="K1229" t="str">
        <f t="shared" si="39"/>
        <v>Row 222 - For ‘Transport unit’ if ‘Amount’ is given then ‘Gross / Net’ and ‘Amount unit’ are required</v>
      </c>
      <c r="L1229" t="s">
        <v>33308</v>
      </c>
    </row>
    <row r="1230" spans="7:12" x14ac:dyDescent="0.2">
      <c r="G1230" t="b">
        <f>IF(OR(INDEX(IHZ_HAZ_AMOUNT,223,1)&lt;&gt;"",),IF(OR(INDEX(IHZ_HAZ_NETGROSS,223,1)="",INDEX(IHZ_HAZ_UNIT,223,1)="",),FALSE,TRUE),TRUE)</f>
        <v>1</v>
      </c>
      <c r="H1230" t="str">
        <f t="shared" si="38"/>
        <v>Row 223 - For ‘Transport unit’ if ‘Amount’ is given then ‘Gross / Net’ and ‘Amount unit’ are required</v>
      </c>
      <c r="I1230" t="s">
        <v>33308</v>
      </c>
      <c r="J1230" t="b">
        <f>IF(OR(INDEX(OHZ_HAZ_AMOUNT,223,1)&lt;&gt;"",),IF(OR(INDEX(OHZ_HAZ_NETGROSS,223,1)="",INDEX(OHZ_HAZ_UNIT,223,1)="",),FALSE,TRUE),TRUE)</f>
        <v>1</v>
      </c>
      <c r="K1230" t="str">
        <f t="shared" si="39"/>
        <v>Row 223 - For ‘Transport unit’ if ‘Amount’ is given then ‘Gross / Net’ and ‘Amount unit’ are required</v>
      </c>
      <c r="L1230" t="s">
        <v>33308</v>
      </c>
    </row>
    <row r="1231" spans="7:12" x14ac:dyDescent="0.2">
      <c r="G1231" t="b">
        <f>IF(OR(INDEX(IHZ_HAZ_AMOUNT,224,1)&lt;&gt;"",),IF(OR(INDEX(IHZ_HAZ_NETGROSS,224,1)="",INDEX(IHZ_HAZ_UNIT,224,1)="",),FALSE,TRUE),TRUE)</f>
        <v>1</v>
      </c>
      <c r="H1231" t="str">
        <f t="shared" si="38"/>
        <v>Row 224 - For ‘Transport unit’ if ‘Amount’ is given then ‘Gross / Net’ and ‘Amount unit’ are required</v>
      </c>
      <c r="I1231" t="s">
        <v>33308</v>
      </c>
      <c r="J1231" t="b">
        <f>IF(OR(INDEX(OHZ_HAZ_AMOUNT,224,1)&lt;&gt;"",),IF(OR(INDEX(OHZ_HAZ_NETGROSS,224,1)="",INDEX(OHZ_HAZ_UNIT,224,1)="",),FALSE,TRUE),TRUE)</f>
        <v>1</v>
      </c>
      <c r="K1231" t="str">
        <f t="shared" si="39"/>
        <v>Row 224 - For ‘Transport unit’ if ‘Amount’ is given then ‘Gross / Net’ and ‘Amount unit’ are required</v>
      </c>
      <c r="L1231" t="s">
        <v>33308</v>
      </c>
    </row>
    <row r="1232" spans="7:12" x14ac:dyDescent="0.2">
      <c r="G1232" t="b">
        <f>IF(OR(INDEX(IHZ_HAZ_AMOUNT,225,1)&lt;&gt;"",),IF(OR(INDEX(IHZ_HAZ_NETGROSS,225,1)="",INDEX(IHZ_HAZ_UNIT,225,1)="",),FALSE,TRUE),TRUE)</f>
        <v>1</v>
      </c>
      <c r="H1232" t="str">
        <f t="shared" si="38"/>
        <v>Row 225 - For ‘Transport unit’ if ‘Amount’ is given then ‘Gross / Net’ and ‘Amount unit’ are required</v>
      </c>
      <c r="I1232" t="s">
        <v>33308</v>
      </c>
      <c r="J1232" t="b">
        <f>IF(OR(INDEX(OHZ_HAZ_AMOUNT,225,1)&lt;&gt;"",),IF(OR(INDEX(OHZ_HAZ_NETGROSS,225,1)="",INDEX(OHZ_HAZ_UNIT,225,1)="",),FALSE,TRUE),TRUE)</f>
        <v>1</v>
      </c>
      <c r="K1232" t="str">
        <f t="shared" si="39"/>
        <v>Row 225 - For ‘Transport unit’ if ‘Amount’ is given then ‘Gross / Net’ and ‘Amount unit’ are required</v>
      </c>
      <c r="L1232" t="s">
        <v>33308</v>
      </c>
    </row>
    <row r="1233" spans="7:12" x14ac:dyDescent="0.2">
      <c r="G1233" t="b">
        <f>IF(OR(INDEX(IHZ_HAZ_AMOUNT,226,1)&lt;&gt;"",),IF(OR(INDEX(IHZ_HAZ_NETGROSS,226,1)="",INDEX(IHZ_HAZ_UNIT,226,1)="",),FALSE,TRUE),TRUE)</f>
        <v>1</v>
      </c>
      <c r="H1233" t="str">
        <f t="shared" si="38"/>
        <v>Row 226 - For ‘Transport unit’ if ‘Amount’ is given then ‘Gross / Net’ and ‘Amount unit’ are required</v>
      </c>
      <c r="I1233" t="s">
        <v>33308</v>
      </c>
      <c r="J1233" t="b">
        <f>IF(OR(INDEX(OHZ_HAZ_AMOUNT,226,1)&lt;&gt;"",),IF(OR(INDEX(OHZ_HAZ_NETGROSS,226,1)="",INDEX(OHZ_HAZ_UNIT,226,1)="",),FALSE,TRUE),TRUE)</f>
        <v>1</v>
      </c>
      <c r="K1233" t="str">
        <f t="shared" si="39"/>
        <v>Row 226 - For ‘Transport unit’ if ‘Amount’ is given then ‘Gross / Net’ and ‘Amount unit’ are required</v>
      </c>
      <c r="L1233" t="s">
        <v>33308</v>
      </c>
    </row>
    <row r="1234" spans="7:12" x14ac:dyDescent="0.2">
      <c r="G1234" t="b">
        <f>IF(OR(INDEX(IHZ_HAZ_AMOUNT,227,1)&lt;&gt;"",),IF(OR(INDEX(IHZ_HAZ_NETGROSS,227,1)="",INDEX(IHZ_HAZ_UNIT,227,1)="",),FALSE,TRUE),TRUE)</f>
        <v>1</v>
      </c>
      <c r="H1234" t="str">
        <f t="shared" si="38"/>
        <v>Row 227 - For ‘Transport unit’ if ‘Amount’ is given then ‘Gross / Net’ and ‘Amount unit’ are required</v>
      </c>
      <c r="I1234" t="s">
        <v>33308</v>
      </c>
      <c r="J1234" t="b">
        <f>IF(OR(INDEX(OHZ_HAZ_AMOUNT,227,1)&lt;&gt;"",),IF(OR(INDEX(OHZ_HAZ_NETGROSS,227,1)="",INDEX(OHZ_HAZ_UNIT,227,1)="",),FALSE,TRUE),TRUE)</f>
        <v>1</v>
      </c>
      <c r="K1234" t="str">
        <f t="shared" si="39"/>
        <v>Row 227 - For ‘Transport unit’ if ‘Amount’ is given then ‘Gross / Net’ and ‘Amount unit’ are required</v>
      </c>
      <c r="L1234" t="s">
        <v>33308</v>
      </c>
    </row>
    <row r="1235" spans="7:12" x14ac:dyDescent="0.2">
      <c r="G1235" t="b">
        <f>IF(OR(INDEX(IHZ_HAZ_AMOUNT,228,1)&lt;&gt;"",),IF(OR(INDEX(IHZ_HAZ_NETGROSS,228,1)="",INDEX(IHZ_HAZ_UNIT,228,1)="",),FALSE,TRUE),TRUE)</f>
        <v>1</v>
      </c>
      <c r="H1235" t="str">
        <f t="shared" si="38"/>
        <v>Row 228 - For ‘Transport unit’ if ‘Amount’ is given then ‘Gross / Net’ and ‘Amount unit’ are required</v>
      </c>
      <c r="I1235" t="s">
        <v>33308</v>
      </c>
      <c r="J1235" t="b">
        <f>IF(OR(INDEX(OHZ_HAZ_AMOUNT,228,1)&lt;&gt;"",),IF(OR(INDEX(OHZ_HAZ_NETGROSS,228,1)="",INDEX(OHZ_HAZ_UNIT,228,1)="",),FALSE,TRUE),TRUE)</f>
        <v>1</v>
      </c>
      <c r="K1235" t="str">
        <f t="shared" si="39"/>
        <v>Row 228 - For ‘Transport unit’ if ‘Amount’ is given then ‘Gross / Net’ and ‘Amount unit’ are required</v>
      </c>
      <c r="L1235" t="s">
        <v>33308</v>
      </c>
    </row>
    <row r="1236" spans="7:12" x14ac:dyDescent="0.2">
      <c r="G1236" t="b">
        <f>IF(OR(INDEX(IHZ_HAZ_AMOUNT,229,1)&lt;&gt;"",),IF(OR(INDEX(IHZ_HAZ_NETGROSS,229,1)="",INDEX(IHZ_HAZ_UNIT,229,1)="",),FALSE,TRUE),TRUE)</f>
        <v>1</v>
      </c>
      <c r="H1236" t="str">
        <f t="shared" si="38"/>
        <v>Row 229 - For ‘Transport unit’ if ‘Amount’ is given then ‘Gross / Net’ and ‘Amount unit’ are required</v>
      </c>
      <c r="I1236" t="s">
        <v>33308</v>
      </c>
      <c r="J1236" t="b">
        <f>IF(OR(INDEX(OHZ_HAZ_AMOUNT,229,1)&lt;&gt;"",),IF(OR(INDEX(OHZ_HAZ_NETGROSS,229,1)="",INDEX(OHZ_HAZ_UNIT,229,1)="",),FALSE,TRUE),TRUE)</f>
        <v>1</v>
      </c>
      <c r="K1236" t="str">
        <f t="shared" si="39"/>
        <v>Row 229 - For ‘Transport unit’ if ‘Amount’ is given then ‘Gross / Net’ and ‘Amount unit’ are required</v>
      </c>
      <c r="L1236" t="s">
        <v>33308</v>
      </c>
    </row>
    <row r="1237" spans="7:12" x14ac:dyDescent="0.2">
      <c r="G1237" t="b">
        <f>IF(OR(INDEX(IHZ_HAZ_AMOUNT,230,1)&lt;&gt;"",),IF(OR(INDEX(IHZ_HAZ_NETGROSS,230,1)="",INDEX(IHZ_HAZ_UNIT,230,1)="",),FALSE,TRUE),TRUE)</f>
        <v>1</v>
      </c>
      <c r="H1237" t="str">
        <f t="shared" si="38"/>
        <v>Row 230 - For ‘Transport unit’ if ‘Amount’ is given then ‘Gross / Net’ and ‘Amount unit’ are required</v>
      </c>
      <c r="I1237" t="s">
        <v>33308</v>
      </c>
      <c r="J1237" t="b">
        <f>IF(OR(INDEX(OHZ_HAZ_AMOUNT,230,1)&lt;&gt;"",),IF(OR(INDEX(OHZ_HAZ_NETGROSS,230,1)="",INDEX(OHZ_HAZ_UNIT,230,1)="",),FALSE,TRUE),TRUE)</f>
        <v>1</v>
      </c>
      <c r="K1237" t="str">
        <f t="shared" si="39"/>
        <v>Row 230 - For ‘Transport unit’ if ‘Amount’ is given then ‘Gross / Net’ and ‘Amount unit’ are required</v>
      </c>
      <c r="L1237" t="s">
        <v>33308</v>
      </c>
    </row>
    <row r="1238" spans="7:12" x14ac:dyDescent="0.2">
      <c r="G1238" t="b">
        <f>IF(OR(INDEX(IHZ_HAZ_AMOUNT,231,1)&lt;&gt;"",),IF(OR(INDEX(IHZ_HAZ_NETGROSS,231,1)="",INDEX(IHZ_HAZ_UNIT,231,1)="",),FALSE,TRUE),TRUE)</f>
        <v>1</v>
      </c>
      <c r="H1238" t="str">
        <f t="shared" si="38"/>
        <v>Row 231 - For ‘Transport unit’ if ‘Amount’ is given then ‘Gross / Net’ and ‘Amount unit’ are required</v>
      </c>
      <c r="I1238" t="s">
        <v>33308</v>
      </c>
      <c r="J1238" t="b">
        <f>IF(OR(INDEX(OHZ_HAZ_AMOUNT,231,1)&lt;&gt;"",),IF(OR(INDEX(OHZ_HAZ_NETGROSS,231,1)="",INDEX(OHZ_HAZ_UNIT,231,1)="",),FALSE,TRUE),TRUE)</f>
        <v>1</v>
      </c>
      <c r="K1238" t="str">
        <f t="shared" si="39"/>
        <v>Row 231 - For ‘Transport unit’ if ‘Amount’ is given then ‘Gross / Net’ and ‘Amount unit’ are required</v>
      </c>
      <c r="L1238" t="s">
        <v>33308</v>
      </c>
    </row>
    <row r="1239" spans="7:12" x14ac:dyDescent="0.2">
      <c r="G1239" t="b">
        <f>IF(OR(INDEX(IHZ_HAZ_AMOUNT,232,1)&lt;&gt;"",),IF(OR(INDEX(IHZ_HAZ_NETGROSS,232,1)="",INDEX(IHZ_HAZ_UNIT,232,1)="",),FALSE,TRUE),TRUE)</f>
        <v>1</v>
      </c>
      <c r="H1239" t="str">
        <f t="shared" si="38"/>
        <v>Row 232 - For ‘Transport unit’ if ‘Amount’ is given then ‘Gross / Net’ and ‘Amount unit’ are required</v>
      </c>
      <c r="I1239" t="s">
        <v>33308</v>
      </c>
      <c r="J1239" t="b">
        <f>IF(OR(INDEX(OHZ_HAZ_AMOUNT,232,1)&lt;&gt;"",),IF(OR(INDEX(OHZ_HAZ_NETGROSS,232,1)="",INDEX(OHZ_HAZ_UNIT,232,1)="",),FALSE,TRUE),TRUE)</f>
        <v>1</v>
      </c>
      <c r="K1239" t="str">
        <f t="shared" si="39"/>
        <v>Row 232 - For ‘Transport unit’ if ‘Amount’ is given then ‘Gross / Net’ and ‘Amount unit’ are required</v>
      </c>
      <c r="L1239" t="s">
        <v>33308</v>
      </c>
    </row>
    <row r="1240" spans="7:12" x14ac:dyDescent="0.2">
      <c r="G1240" t="b">
        <f>IF(OR(INDEX(IHZ_HAZ_AMOUNT,233,1)&lt;&gt;"",),IF(OR(INDEX(IHZ_HAZ_NETGROSS,233,1)="",INDEX(IHZ_HAZ_UNIT,233,1)="",),FALSE,TRUE),TRUE)</f>
        <v>1</v>
      </c>
      <c r="H1240" t="str">
        <f t="shared" si="38"/>
        <v>Row 233 - For ‘Transport unit’ if ‘Amount’ is given then ‘Gross / Net’ and ‘Amount unit’ are required</v>
      </c>
      <c r="I1240" t="s">
        <v>33308</v>
      </c>
      <c r="J1240" t="b">
        <f>IF(OR(INDEX(OHZ_HAZ_AMOUNT,233,1)&lt;&gt;"",),IF(OR(INDEX(OHZ_HAZ_NETGROSS,233,1)="",INDEX(OHZ_HAZ_UNIT,233,1)="",),FALSE,TRUE),TRUE)</f>
        <v>1</v>
      </c>
      <c r="K1240" t="str">
        <f t="shared" si="39"/>
        <v>Row 233 - For ‘Transport unit’ if ‘Amount’ is given then ‘Gross / Net’ and ‘Amount unit’ are required</v>
      </c>
      <c r="L1240" t="s">
        <v>33308</v>
      </c>
    </row>
    <row r="1241" spans="7:12" x14ac:dyDescent="0.2">
      <c r="G1241" t="b">
        <f>IF(OR(INDEX(IHZ_HAZ_AMOUNT,234,1)&lt;&gt;"",),IF(OR(INDEX(IHZ_HAZ_NETGROSS,234,1)="",INDEX(IHZ_HAZ_UNIT,234,1)="",),FALSE,TRUE),TRUE)</f>
        <v>1</v>
      </c>
      <c r="H1241" t="str">
        <f t="shared" si="38"/>
        <v>Row 234 - For ‘Transport unit’ if ‘Amount’ is given then ‘Gross / Net’ and ‘Amount unit’ are required</v>
      </c>
      <c r="I1241" t="s">
        <v>33308</v>
      </c>
      <c r="J1241" t="b">
        <f>IF(OR(INDEX(OHZ_HAZ_AMOUNT,234,1)&lt;&gt;"",),IF(OR(INDEX(OHZ_HAZ_NETGROSS,234,1)="",INDEX(OHZ_HAZ_UNIT,234,1)="",),FALSE,TRUE),TRUE)</f>
        <v>1</v>
      </c>
      <c r="K1241" t="str">
        <f t="shared" si="39"/>
        <v>Row 234 - For ‘Transport unit’ if ‘Amount’ is given then ‘Gross / Net’ and ‘Amount unit’ are required</v>
      </c>
      <c r="L1241" t="s">
        <v>33308</v>
      </c>
    </row>
    <row r="1242" spans="7:12" x14ac:dyDescent="0.2">
      <c r="G1242" t="b">
        <f>IF(OR(INDEX(IHZ_HAZ_AMOUNT,235,1)&lt;&gt;"",),IF(OR(INDEX(IHZ_HAZ_NETGROSS,235,1)="",INDEX(IHZ_HAZ_UNIT,235,1)="",),FALSE,TRUE),TRUE)</f>
        <v>1</v>
      </c>
      <c r="H1242" t="str">
        <f t="shared" si="38"/>
        <v>Row 235 - For ‘Transport unit’ if ‘Amount’ is given then ‘Gross / Net’ and ‘Amount unit’ are required</v>
      </c>
      <c r="I1242" t="s">
        <v>33308</v>
      </c>
      <c r="J1242" t="b">
        <f>IF(OR(INDEX(OHZ_HAZ_AMOUNT,235,1)&lt;&gt;"",),IF(OR(INDEX(OHZ_HAZ_NETGROSS,235,1)="",INDEX(OHZ_HAZ_UNIT,235,1)="",),FALSE,TRUE),TRUE)</f>
        <v>1</v>
      </c>
      <c r="K1242" t="str">
        <f t="shared" si="39"/>
        <v>Row 235 - For ‘Transport unit’ if ‘Amount’ is given then ‘Gross / Net’ and ‘Amount unit’ are required</v>
      </c>
      <c r="L1242" t="s">
        <v>33308</v>
      </c>
    </row>
    <row r="1243" spans="7:12" x14ac:dyDescent="0.2">
      <c r="G1243" t="b">
        <f>IF(OR(INDEX(IHZ_HAZ_AMOUNT,236,1)&lt;&gt;"",),IF(OR(INDEX(IHZ_HAZ_NETGROSS,236,1)="",INDEX(IHZ_HAZ_UNIT,236,1)="",),FALSE,TRUE),TRUE)</f>
        <v>1</v>
      </c>
      <c r="H1243" t="str">
        <f t="shared" si="38"/>
        <v>Row 236 - For ‘Transport unit’ if ‘Amount’ is given then ‘Gross / Net’ and ‘Amount unit’ are required</v>
      </c>
      <c r="I1243" t="s">
        <v>33308</v>
      </c>
      <c r="J1243" t="b">
        <f>IF(OR(INDEX(OHZ_HAZ_AMOUNT,236,1)&lt;&gt;"",),IF(OR(INDEX(OHZ_HAZ_NETGROSS,236,1)="",INDEX(OHZ_HAZ_UNIT,236,1)="",),FALSE,TRUE),TRUE)</f>
        <v>1</v>
      </c>
      <c r="K1243" t="str">
        <f t="shared" si="39"/>
        <v>Row 236 - For ‘Transport unit’ if ‘Amount’ is given then ‘Gross / Net’ and ‘Amount unit’ are required</v>
      </c>
      <c r="L1243" t="s">
        <v>33308</v>
      </c>
    </row>
    <row r="1244" spans="7:12" x14ac:dyDescent="0.2">
      <c r="G1244" t="b">
        <f>IF(OR(INDEX(IHZ_HAZ_AMOUNT,237,1)&lt;&gt;"",),IF(OR(INDEX(IHZ_HAZ_NETGROSS,237,1)="",INDEX(IHZ_HAZ_UNIT,237,1)="",),FALSE,TRUE),TRUE)</f>
        <v>1</v>
      </c>
      <c r="H1244" t="str">
        <f t="shared" si="38"/>
        <v>Row 237 - For ‘Transport unit’ if ‘Amount’ is given then ‘Gross / Net’ and ‘Amount unit’ are required</v>
      </c>
      <c r="I1244" t="s">
        <v>33308</v>
      </c>
      <c r="J1244" t="b">
        <f>IF(OR(INDEX(OHZ_HAZ_AMOUNT,237,1)&lt;&gt;"",),IF(OR(INDEX(OHZ_HAZ_NETGROSS,237,1)="",INDEX(OHZ_HAZ_UNIT,237,1)="",),FALSE,TRUE),TRUE)</f>
        <v>1</v>
      </c>
      <c r="K1244" t="str">
        <f t="shared" si="39"/>
        <v>Row 237 - For ‘Transport unit’ if ‘Amount’ is given then ‘Gross / Net’ and ‘Amount unit’ are required</v>
      </c>
      <c r="L1244" t="s">
        <v>33308</v>
      </c>
    </row>
    <row r="1245" spans="7:12" x14ac:dyDescent="0.2">
      <c r="G1245" t="b">
        <f>IF(OR(INDEX(IHZ_HAZ_AMOUNT,238,1)&lt;&gt;"",),IF(OR(INDEX(IHZ_HAZ_NETGROSS,238,1)="",INDEX(IHZ_HAZ_UNIT,238,1)="",),FALSE,TRUE),TRUE)</f>
        <v>1</v>
      </c>
      <c r="H1245" t="str">
        <f t="shared" si="38"/>
        <v>Row 238 - For ‘Transport unit’ if ‘Amount’ is given then ‘Gross / Net’ and ‘Amount unit’ are required</v>
      </c>
      <c r="I1245" t="s">
        <v>33308</v>
      </c>
      <c r="J1245" t="b">
        <f>IF(OR(INDEX(OHZ_HAZ_AMOUNT,238,1)&lt;&gt;"",),IF(OR(INDEX(OHZ_HAZ_NETGROSS,238,1)="",INDEX(OHZ_HAZ_UNIT,238,1)="",),FALSE,TRUE),TRUE)</f>
        <v>1</v>
      </c>
      <c r="K1245" t="str">
        <f t="shared" si="39"/>
        <v>Row 238 - For ‘Transport unit’ if ‘Amount’ is given then ‘Gross / Net’ and ‘Amount unit’ are required</v>
      </c>
      <c r="L1245" t="s">
        <v>33308</v>
      </c>
    </row>
    <row r="1246" spans="7:12" x14ac:dyDescent="0.2">
      <c r="G1246" t="b">
        <f>IF(OR(INDEX(IHZ_HAZ_AMOUNT,239,1)&lt;&gt;"",),IF(OR(INDEX(IHZ_HAZ_NETGROSS,239,1)="",INDEX(IHZ_HAZ_UNIT,239,1)="",),FALSE,TRUE),TRUE)</f>
        <v>1</v>
      </c>
      <c r="H1246" t="str">
        <f t="shared" si="38"/>
        <v>Row 239 - For ‘Transport unit’ if ‘Amount’ is given then ‘Gross / Net’ and ‘Amount unit’ are required</v>
      </c>
      <c r="I1246" t="s">
        <v>33308</v>
      </c>
      <c r="J1246" t="b">
        <f>IF(OR(INDEX(OHZ_HAZ_AMOUNT,239,1)&lt;&gt;"",),IF(OR(INDEX(OHZ_HAZ_NETGROSS,239,1)="",INDEX(OHZ_HAZ_UNIT,239,1)="",),FALSE,TRUE),TRUE)</f>
        <v>1</v>
      </c>
      <c r="K1246" t="str">
        <f t="shared" si="39"/>
        <v>Row 239 - For ‘Transport unit’ if ‘Amount’ is given then ‘Gross / Net’ and ‘Amount unit’ are required</v>
      </c>
      <c r="L1246" t="s">
        <v>33308</v>
      </c>
    </row>
    <row r="1247" spans="7:12" x14ac:dyDescent="0.2">
      <c r="G1247" t="b">
        <f>IF(OR(INDEX(IHZ_HAZ_AMOUNT,240,1)&lt;&gt;"",),IF(OR(INDEX(IHZ_HAZ_NETGROSS,240,1)="",INDEX(IHZ_HAZ_UNIT,240,1)="",),FALSE,TRUE),TRUE)</f>
        <v>1</v>
      </c>
      <c r="H1247" t="str">
        <f t="shared" si="38"/>
        <v>Row 240 - For ‘Transport unit’ if ‘Amount’ is given then ‘Gross / Net’ and ‘Amount unit’ are required</v>
      </c>
      <c r="I1247" t="s">
        <v>33308</v>
      </c>
      <c r="J1247" t="b">
        <f>IF(OR(INDEX(OHZ_HAZ_AMOUNT,240,1)&lt;&gt;"",),IF(OR(INDEX(OHZ_HAZ_NETGROSS,240,1)="",INDEX(OHZ_HAZ_UNIT,240,1)="",),FALSE,TRUE),TRUE)</f>
        <v>1</v>
      </c>
      <c r="K1247" t="str">
        <f t="shared" si="39"/>
        <v>Row 240 - For ‘Transport unit’ if ‘Amount’ is given then ‘Gross / Net’ and ‘Amount unit’ are required</v>
      </c>
      <c r="L1247" t="s">
        <v>33308</v>
      </c>
    </row>
    <row r="1248" spans="7:12" x14ac:dyDescent="0.2">
      <c r="G1248" t="b">
        <f>IF(OR(INDEX(IHZ_HAZ_AMOUNT,241,1)&lt;&gt;"",),IF(OR(INDEX(IHZ_HAZ_NETGROSS,241,1)="",INDEX(IHZ_HAZ_UNIT,241,1)="",),FALSE,TRUE),TRUE)</f>
        <v>1</v>
      </c>
      <c r="H1248" t="str">
        <f t="shared" si="38"/>
        <v>Row 241 - For ‘Transport unit’ if ‘Amount’ is given then ‘Gross / Net’ and ‘Amount unit’ are required</v>
      </c>
      <c r="I1248" t="s">
        <v>33308</v>
      </c>
      <c r="J1248" t="b">
        <f>IF(OR(INDEX(OHZ_HAZ_AMOUNT,241,1)&lt;&gt;"",),IF(OR(INDEX(OHZ_HAZ_NETGROSS,241,1)="",INDEX(OHZ_HAZ_UNIT,241,1)="",),FALSE,TRUE),TRUE)</f>
        <v>1</v>
      </c>
      <c r="K1248" t="str">
        <f t="shared" si="39"/>
        <v>Row 241 - For ‘Transport unit’ if ‘Amount’ is given then ‘Gross / Net’ and ‘Amount unit’ are required</v>
      </c>
      <c r="L1248" t="s">
        <v>33308</v>
      </c>
    </row>
    <row r="1249" spans="7:12" x14ac:dyDescent="0.2">
      <c r="G1249" t="b">
        <f>IF(OR(INDEX(IHZ_HAZ_AMOUNT,242,1)&lt;&gt;"",),IF(OR(INDEX(IHZ_HAZ_NETGROSS,242,1)="",INDEX(IHZ_HAZ_UNIT,242,1)="",),FALSE,TRUE),TRUE)</f>
        <v>1</v>
      </c>
      <c r="H1249" t="str">
        <f t="shared" si="38"/>
        <v>Row 242 - For ‘Transport unit’ if ‘Amount’ is given then ‘Gross / Net’ and ‘Amount unit’ are required</v>
      </c>
      <c r="I1249" t="s">
        <v>33308</v>
      </c>
      <c r="J1249" t="b">
        <f>IF(OR(INDEX(OHZ_HAZ_AMOUNT,242,1)&lt;&gt;"",),IF(OR(INDEX(OHZ_HAZ_NETGROSS,242,1)="",INDEX(OHZ_HAZ_UNIT,242,1)="",),FALSE,TRUE),TRUE)</f>
        <v>1</v>
      </c>
      <c r="K1249" t="str">
        <f t="shared" si="39"/>
        <v>Row 242 - For ‘Transport unit’ if ‘Amount’ is given then ‘Gross / Net’ and ‘Amount unit’ are required</v>
      </c>
      <c r="L1249" t="s">
        <v>33308</v>
      </c>
    </row>
    <row r="1250" spans="7:12" x14ac:dyDescent="0.2">
      <c r="G1250" t="b">
        <f>IF(OR(INDEX(IHZ_HAZ_AMOUNT,243,1)&lt;&gt;"",),IF(OR(INDEX(IHZ_HAZ_NETGROSS,243,1)="",INDEX(IHZ_HAZ_UNIT,243,1)="",),FALSE,TRUE),TRUE)</f>
        <v>1</v>
      </c>
      <c r="H1250" t="str">
        <f t="shared" si="38"/>
        <v>Row 243 - For ‘Transport unit’ if ‘Amount’ is given then ‘Gross / Net’ and ‘Amount unit’ are required</v>
      </c>
      <c r="I1250" t="s">
        <v>33308</v>
      </c>
      <c r="J1250" t="b">
        <f>IF(OR(INDEX(OHZ_HAZ_AMOUNT,243,1)&lt;&gt;"",),IF(OR(INDEX(OHZ_HAZ_NETGROSS,243,1)="",INDEX(OHZ_HAZ_UNIT,243,1)="",),FALSE,TRUE),TRUE)</f>
        <v>1</v>
      </c>
      <c r="K1250" t="str">
        <f t="shared" si="39"/>
        <v>Row 243 - For ‘Transport unit’ if ‘Amount’ is given then ‘Gross / Net’ and ‘Amount unit’ are required</v>
      </c>
      <c r="L1250" t="s">
        <v>33308</v>
      </c>
    </row>
    <row r="1251" spans="7:12" x14ac:dyDescent="0.2">
      <c r="G1251" t="b">
        <f>IF(OR(INDEX(IHZ_HAZ_AMOUNT,244,1)&lt;&gt;"",),IF(OR(INDEX(IHZ_HAZ_NETGROSS,244,1)="",INDEX(IHZ_HAZ_UNIT,244,1)="",),FALSE,TRUE),TRUE)</f>
        <v>1</v>
      </c>
      <c r="H1251" t="str">
        <f t="shared" si="38"/>
        <v>Row 244 - For ‘Transport unit’ if ‘Amount’ is given then ‘Gross / Net’ and ‘Amount unit’ are required</v>
      </c>
      <c r="I1251" t="s">
        <v>33308</v>
      </c>
      <c r="J1251" t="b">
        <f>IF(OR(INDEX(OHZ_HAZ_AMOUNT,244,1)&lt;&gt;"",),IF(OR(INDEX(OHZ_HAZ_NETGROSS,244,1)="",INDEX(OHZ_HAZ_UNIT,244,1)="",),FALSE,TRUE),TRUE)</f>
        <v>1</v>
      </c>
      <c r="K1251" t="str">
        <f t="shared" si="39"/>
        <v>Row 244 - For ‘Transport unit’ if ‘Amount’ is given then ‘Gross / Net’ and ‘Amount unit’ are required</v>
      </c>
      <c r="L1251" t="s">
        <v>33308</v>
      </c>
    </row>
    <row r="1252" spans="7:12" x14ac:dyDescent="0.2">
      <c r="G1252" t="b">
        <f>IF(OR(INDEX(IHZ_HAZ_AMOUNT,245,1)&lt;&gt;"",),IF(OR(INDEX(IHZ_HAZ_NETGROSS,245,1)="",INDEX(IHZ_HAZ_UNIT,245,1)="",),FALSE,TRUE),TRUE)</f>
        <v>1</v>
      </c>
      <c r="H1252" t="str">
        <f t="shared" si="38"/>
        <v>Row 245 - For ‘Transport unit’ if ‘Amount’ is given then ‘Gross / Net’ and ‘Amount unit’ are required</v>
      </c>
      <c r="I1252" t="s">
        <v>33308</v>
      </c>
      <c r="J1252" t="b">
        <f>IF(OR(INDEX(OHZ_HAZ_AMOUNT,245,1)&lt;&gt;"",),IF(OR(INDEX(OHZ_HAZ_NETGROSS,245,1)="",INDEX(OHZ_HAZ_UNIT,245,1)="",),FALSE,TRUE),TRUE)</f>
        <v>1</v>
      </c>
      <c r="K1252" t="str">
        <f t="shared" si="39"/>
        <v>Row 245 - For ‘Transport unit’ if ‘Amount’ is given then ‘Gross / Net’ and ‘Amount unit’ are required</v>
      </c>
      <c r="L1252" t="s">
        <v>33308</v>
      </c>
    </row>
    <row r="1253" spans="7:12" x14ac:dyDescent="0.2">
      <c r="G1253" t="b">
        <f>IF(OR(INDEX(IHZ_HAZ_AMOUNT,246,1)&lt;&gt;"",),IF(OR(INDEX(IHZ_HAZ_NETGROSS,246,1)="",INDEX(IHZ_HAZ_UNIT,246,1)="",),FALSE,TRUE),TRUE)</f>
        <v>1</v>
      </c>
      <c r="H1253" t="str">
        <f t="shared" si="38"/>
        <v>Row 246 - For ‘Transport unit’ if ‘Amount’ is given then ‘Gross / Net’ and ‘Amount unit’ are required</v>
      </c>
      <c r="I1253" t="s">
        <v>33308</v>
      </c>
      <c r="J1253" t="b">
        <f>IF(OR(INDEX(OHZ_HAZ_AMOUNT,246,1)&lt;&gt;"",),IF(OR(INDEX(OHZ_HAZ_NETGROSS,246,1)="",INDEX(OHZ_HAZ_UNIT,246,1)="",),FALSE,TRUE),TRUE)</f>
        <v>1</v>
      </c>
      <c r="K1253" t="str">
        <f t="shared" si="39"/>
        <v>Row 246 - For ‘Transport unit’ if ‘Amount’ is given then ‘Gross / Net’ and ‘Amount unit’ are required</v>
      </c>
      <c r="L1253" t="s">
        <v>33308</v>
      </c>
    </row>
    <row r="1254" spans="7:12" x14ac:dyDescent="0.2">
      <c r="G1254" t="b">
        <f>IF(OR(INDEX(IHZ_HAZ_AMOUNT,247,1)&lt;&gt;"",),IF(OR(INDEX(IHZ_HAZ_NETGROSS,247,1)="",INDEX(IHZ_HAZ_UNIT,247,1)="",),FALSE,TRUE),TRUE)</f>
        <v>1</v>
      </c>
      <c r="H1254" t="str">
        <f t="shared" si="38"/>
        <v>Row 247 - For ‘Transport unit’ if ‘Amount’ is given then ‘Gross / Net’ and ‘Amount unit’ are required</v>
      </c>
      <c r="I1254" t="s">
        <v>33308</v>
      </c>
      <c r="J1254" t="b">
        <f>IF(OR(INDEX(OHZ_HAZ_AMOUNT,247,1)&lt;&gt;"",),IF(OR(INDEX(OHZ_HAZ_NETGROSS,247,1)="",INDEX(OHZ_HAZ_UNIT,247,1)="",),FALSE,TRUE),TRUE)</f>
        <v>1</v>
      </c>
      <c r="K1254" t="str">
        <f t="shared" si="39"/>
        <v>Row 247 - For ‘Transport unit’ if ‘Amount’ is given then ‘Gross / Net’ and ‘Amount unit’ are required</v>
      </c>
      <c r="L1254" t="s">
        <v>33308</v>
      </c>
    </row>
    <row r="1255" spans="7:12" x14ac:dyDescent="0.2">
      <c r="G1255" t="b">
        <f>IF(OR(INDEX(IHZ_HAZ_AMOUNT,248,1)&lt;&gt;"",),IF(OR(INDEX(IHZ_HAZ_NETGROSS,248,1)="",INDEX(IHZ_HAZ_UNIT,248,1)="",),FALSE,TRUE),TRUE)</f>
        <v>1</v>
      </c>
      <c r="H1255" t="str">
        <f t="shared" si="38"/>
        <v>Row 248 - For ‘Transport unit’ if ‘Amount’ is given then ‘Gross / Net’ and ‘Amount unit’ are required</v>
      </c>
      <c r="I1255" t="s">
        <v>33308</v>
      </c>
      <c r="J1255" t="b">
        <f>IF(OR(INDEX(OHZ_HAZ_AMOUNT,248,1)&lt;&gt;"",),IF(OR(INDEX(OHZ_HAZ_NETGROSS,248,1)="",INDEX(OHZ_HAZ_UNIT,248,1)="",),FALSE,TRUE),TRUE)</f>
        <v>1</v>
      </c>
      <c r="K1255" t="str">
        <f t="shared" si="39"/>
        <v>Row 248 - For ‘Transport unit’ if ‘Amount’ is given then ‘Gross / Net’ and ‘Amount unit’ are required</v>
      </c>
      <c r="L1255" t="s">
        <v>33308</v>
      </c>
    </row>
    <row r="1256" spans="7:12" x14ac:dyDescent="0.2">
      <c r="G1256" t="b">
        <f>IF(OR(INDEX(IHZ_HAZ_AMOUNT,249,1)&lt;&gt;"",),IF(OR(INDEX(IHZ_HAZ_NETGROSS,249,1)="",INDEX(IHZ_HAZ_UNIT,249,1)="",),FALSE,TRUE),TRUE)</f>
        <v>1</v>
      </c>
      <c r="H1256" t="str">
        <f t="shared" si="38"/>
        <v>Row 249 - For ‘Transport unit’ if ‘Amount’ is given then ‘Gross / Net’ and ‘Amount unit’ are required</v>
      </c>
      <c r="I1256" t="s">
        <v>33308</v>
      </c>
      <c r="J1256" t="b">
        <f>IF(OR(INDEX(OHZ_HAZ_AMOUNT,249,1)&lt;&gt;"",),IF(OR(INDEX(OHZ_HAZ_NETGROSS,249,1)="",INDEX(OHZ_HAZ_UNIT,249,1)="",),FALSE,TRUE),TRUE)</f>
        <v>1</v>
      </c>
      <c r="K1256" t="str">
        <f t="shared" si="39"/>
        <v>Row 249 - For ‘Transport unit’ if ‘Amount’ is given then ‘Gross / Net’ and ‘Amount unit’ are required</v>
      </c>
      <c r="L1256" t="s">
        <v>33308</v>
      </c>
    </row>
    <row r="1257" spans="7:12" x14ac:dyDescent="0.2">
      <c r="G1257" t="b">
        <f>IF(OR(INDEX(IHZ_HAZ_AMOUNT,250,1)&lt;&gt;"",),IF(OR(INDEX(IHZ_HAZ_NETGROSS,250,1)="",INDEX(IHZ_HAZ_UNIT,250,1)="",),FALSE,TRUE),TRUE)</f>
        <v>1</v>
      </c>
      <c r="H1257" t="str">
        <f t="shared" si="38"/>
        <v>Row 250 - For ‘Transport unit’ if ‘Amount’ is given then ‘Gross / Net’ and ‘Amount unit’ are required</v>
      </c>
      <c r="I1257" t="s">
        <v>33308</v>
      </c>
      <c r="J1257" t="b">
        <f>IF(OR(INDEX(OHZ_HAZ_AMOUNT,250,1)&lt;&gt;"",),IF(OR(INDEX(OHZ_HAZ_NETGROSS,250,1)="",INDEX(OHZ_HAZ_UNIT,250,1)="",),FALSE,TRUE),TRUE)</f>
        <v>1</v>
      </c>
      <c r="K1257" t="str">
        <f t="shared" si="39"/>
        <v>Row 250 - For ‘Transport unit’ if ‘Amount’ is given then ‘Gross / Net’ and ‘Amount unit’ are required</v>
      </c>
      <c r="L1257" t="s">
        <v>33308</v>
      </c>
    </row>
    <row r="1258" spans="7:12" s="35" customFormat="1" x14ac:dyDescent="0.2">
      <c r="G1258" s="35" t="b">
        <f>IF(OR(INDEX(IHZ_HAZ_DGCLASSIFI,1,1)="IBC",INDEX(IHZ_HAZ_DGCLASSIFI,1,1)="IMSBC"),INDEX(IHZ_HAZ_IMOHAZARDC,1,1)&lt;&gt;"",TRUE)</f>
        <v>1</v>
      </c>
      <c r="H1258" s="35" t="str">
        <f>T1&amp;$V$7</f>
        <v>Row 1 - If ‘DG classification’ is ‘IBC’ or ‘IMSBC’  the ‘IMO Hazard Class’ is mandatory</v>
      </c>
      <c r="J1258" s="35" t="b">
        <f>IF(OR(INDEX(OHZ_HAZ_DGCLASSIFI,1,1)="IBC",INDEX(OHZ_HAZ_DGCLASSIFI,1,1)="IMSBC"),INDEX(OHZ_HAZ_IMOHAZARDC,1,1)&lt;&gt;"",TRUE)</f>
        <v>1</v>
      </c>
      <c r="K1258" s="35" t="str">
        <f>T1&amp;$V$7</f>
        <v>Row 1 - If ‘DG classification’ is ‘IBC’ or ‘IMSBC’  the ‘IMO Hazard Class’ is mandatory</v>
      </c>
    </row>
    <row r="1259" spans="7:12" s="35" customFormat="1" x14ac:dyDescent="0.2">
      <c r="G1259" s="35" t="b">
        <f>IF(OR(INDEX(IHZ_HAZ_DGCLASSIFI,2,1)="IBC",INDEX(IHZ_HAZ_DGCLASSIFI,2,1)="IMSBC"),INDEX(IHZ_HAZ_IMOHAZARDC,2,1)&lt;&gt;"",TRUE)</f>
        <v>1</v>
      </c>
      <c r="H1259" s="35" t="str">
        <f t="shared" ref="H1259:H1322" si="40">T2&amp;$V$7</f>
        <v>Row 2 - If ‘DG classification’ is ‘IBC’ or ‘IMSBC’  the ‘IMO Hazard Class’ is mandatory</v>
      </c>
      <c r="J1259" s="35" t="b">
        <f>IF(OR(INDEX(OHZ_HAZ_DGCLASSIFI,2,1)="IBC",INDEX(OHZ_HAZ_DGCLASSIFI,2,1)="IMSBC"),INDEX(OHZ_HAZ_IMOHAZARDC,2,1)&lt;&gt;"",TRUE)</f>
        <v>1</v>
      </c>
      <c r="K1259" s="35" t="str">
        <f t="shared" ref="K1259:K1322" si="41">T2&amp;$V$7</f>
        <v>Row 2 - If ‘DG classification’ is ‘IBC’ or ‘IMSBC’  the ‘IMO Hazard Class’ is mandatory</v>
      </c>
    </row>
    <row r="1260" spans="7:12" s="35" customFormat="1" x14ac:dyDescent="0.2">
      <c r="G1260" s="35" t="b">
        <f>IF(OR(INDEX(IHZ_HAZ_DGCLASSIFI,3,1)="IBC",INDEX(IHZ_HAZ_DGCLASSIFI,3,1)="IMSBC"),INDEX(IHZ_HAZ_IMOHAZARDC,3,1)&lt;&gt;"",TRUE)</f>
        <v>1</v>
      </c>
      <c r="H1260" s="35" t="str">
        <f t="shared" si="40"/>
        <v>Row 3 - If ‘DG classification’ is ‘IBC’ or ‘IMSBC’  the ‘IMO Hazard Class’ is mandatory</v>
      </c>
      <c r="J1260" s="35" t="b">
        <f>IF(OR(INDEX(OHZ_HAZ_DGCLASSIFI,3,1)="IBC",INDEX(OHZ_HAZ_DGCLASSIFI,3,1)="IMSBC"),INDEX(OHZ_HAZ_IMOHAZARDC,3,1)&lt;&gt;"",TRUE)</f>
        <v>1</v>
      </c>
      <c r="K1260" s="35" t="str">
        <f t="shared" si="41"/>
        <v>Row 3 - If ‘DG classification’ is ‘IBC’ or ‘IMSBC’  the ‘IMO Hazard Class’ is mandatory</v>
      </c>
    </row>
    <row r="1261" spans="7:12" s="35" customFormat="1" x14ac:dyDescent="0.2">
      <c r="G1261" s="35" t="b">
        <f>IF(OR(INDEX(IHZ_HAZ_DGCLASSIFI,4,1)="IBC",INDEX(IHZ_HAZ_DGCLASSIFI,4,1)="IMSBC"),INDEX(IHZ_HAZ_IMOHAZARDC,4,1)&lt;&gt;"",TRUE)</f>
        <v>1</v>
      </c>
      <c r="H1261" s="35" t="str">
        <f t="shared" si="40"/>
        <v>Row 4 - If ‘DG classification’ is ‘IBC’ or ‘IMSBC’  the ‘IMO Hazard Class’ is mandatory</v>
      </c>
      <c r="J1261" s="35" t="b">
        <f>IF(OR(INDEX(OHZ_HAZ_DGCLASSIFI,4,1)="IBC",INDEX(OHZ_HAZ_DGCLASSIFI,4,1)="IMSBC"),INDEX(OHZ_HAZ_IMOHAZARDC,4,1)&lt;&gt;"",TRUE)</f>
        <v>1</v>
      </c>
      <c r="K1261" s="35" t="str">
        <f t="shared" si="41"/>
        <v>Row 4 - If ‘DG classification’ is ‘IBC’ or ‘IMSBC’  the ‘IMO Hazard Class’ is mandatory</v>
      </c>
    </row>
    <row r="1262" spans="7:12" s="35" customFormat="1" x14ac:dyDescent="0.2">
      <c r="G1262" s="35" t="b">
        <f>IF(OR(INDEX(IHZ_HAZ_DGCLASSIFI,5,1)="IBC",INDEX(IHZ_HAZ_DGCLASSIFI,5,1)="IMSBC"),INDEX(IHZ_HAZ_IMOHAZARDC,5,1)&lt;&gt;"",TRUE)</f>
        <v>1</v>
      </c>
      <c r="H1262" s="35" t="str">
        <f t="shared" si="40"/>
        <v>Row 5 - If ‘DG classification’ is ‘IBC’ or ‘IMSBC’  the ‘IMO Hazard Class’ is mandatory</v>
      </c>
      <c r="J1262" s="35" t="b">
        <f>IF(OR(INDEX(OHZ_HAZ_DGCLASSIFI,5,1)="IBC",INDEX(OHZ_HAZ_DGCLASSIFI,5,1)="IMSBC"),INDEX(OHZ_HAZ_IMOHAZARDC,5,1)&lt;&gt;"",TRUE)</f>
        <v>1</v>
      </c>
      <c r="K1262" s="35" t="str">
        <f t="shared" si="41"/>
        <v>Row 5 - If ‘DG classification’ is ‘IBC’ or ‘IMSBC’  the ‘IMO Hazard Class’ is mandatory</v>
      </c>
    </row>
    <row r="1263" spans="7:12" s="35" customFormat="1" x14ac:dyDescent="0.2">
      <c r="G1263" s="35" t="b">
        <f>IF(OR(INDEX(IHZ_HAZ_DGCLASSIFI,6,1)="IBC",INDEX(IHZ_HAZ_DGCLASSIFI,6,1)="IMSBC"),INDEX(IHZ_HAZ_IMOHAZARDC,6,1)&lt;&gt;"",TRUE)</f>
        <v>1</v>
      </c>
      <c r="H1263" s="35" t="str">
        <f t="shared" si="40"/>
        <v>Row 6 - If ‘DG classification’ is ‘IBC’ or ‘IMSBC’  the ‘IMO Hazard Class’ is mandatory</v>
      </c>
      <c r="J1263" s="35" t="b">
        <f>IF(OR(INDEX(OHZ_HAZ_DGCLASSIFI,6,1)="IBC",INDEX(OHZ_HAZ_DGCLASSIFI,6,1)="IMSBC"),INDEX(OHZ_HAZ_IMOHAZARDC,6,1)&lt;&gt;"",TRUE)</f>
        <v>1</v>
      </c>
      <c r="K1263" s="35" t="str">
        <f t="shared" si="41"/>
        <v>Row 6 - If ‘DG classification’ is ‘IBC’ or ‘IMSBC’  the ‘IMO Hazard Class’ is mandatory</v>
      </c>
    </row>
    <row r="1264" spans="7:12" s="35" customFormat="1" x14ac:dyDescent="0.2">
      <c r="G1264" s="35" t="b">
        <f>IF(OR(INDEX(IHZ_HAZ_DGCLASSIFI,7,1)="IBC",INDEX(IHZ_HAZ_DGCLASSIFI,7,1)="IMSBC"),INDEX(IHZ_HAZ_IMOHAZARDC,7,1)&lt;&gt;"",TRUE)</f>
        <v>1</v>
      </c>
      <c r="H1264" s="35" t="str">
        <f t="shared" si="40"/>
        <v>Row 7 - If ‘DG classification’ is ‘IBC’ or ‘IMSBC’  the ‘IMO Hazard Class’ is mandatory</v>
      </c>
      <c r="J1264" s="35" t="b">
        <f>IF(OR(INDEX(OHZ_HAZ_DGCLASSIFI,7,1)="IBC",INDEX(OHZ_HAZ_DGCLASSIFI,7,1)="IMSBC"),INDEX(OHZ_HAZ_IMOHAZARDC,7,1)&lt;&gt;"",TRUE)</f>
        <v>1</v>
      </c>
      <c r="K1264" s="35" t="str">
        <f t="shared" si="41"/>
        <v>Row 7 - If ‘DG classification’ is ‘IBC’ or ‘IMSBC’  the ‘IMO Hazard Class’ is mandatory</v>
      </c>
    </row>
    <row r="1265" spans="7:11" s="35" customFormat="1" x14ac:dyDescent="0.2">
      <c r="G1265" s="35" t="b">
        <f>IF(OR(INDEX(IHZ_HAZ_DGCLASSIFI,8,1)="IBC",INDEX(IHZ_HAZ_DGCLASSIFI,8,1)="IMSBC"),INDEX(IHZ_HAZ_IMOHAZARDC,8,1)&lt;&gt;"",TRUE)</f>
        <v>1</v>
      </c>
      <c r="H1265" s="35" t="str">
        <f t="shared" si="40"/>
        <v>Row 8 - If ‘DG classification’ is ‘IBC’ or ‘IMSBC’  the ‘IMO Hazard Class’ is mandatory</v>
      </c>
      <c r="J1265" s="35" t="b">
        <f>IF(OR(INDEX(OHZ_HAZ_DGCLASSIFI,8,1)="IBC",INDEX(OHZ_HAZ_DGCLASSIFI,8,1)="IMSBC"),INDEX(OHZ_HAZ_IMOHAZARDC,8,1)&lt;&gt;"",TRUE)</f>
        <v>1</v>
      </c>
      <c r="K1265" s="35" t="str">
        <f t="shared" si="41"/>
        <v>Row 8 - If ‘DG classification’ is ‘IBC’ or ‘IMSBC’  the ‘IMO Hazard Class’ is mandatory</v>
      </c>
    </row>
    <row r="1266" spans="7:11" s="35" customFormat="1" x14ac:dyDescent="0.2">
      <c r="G1266" s="35" t="b">
        <f>IF(OR(INDEX(IHZ_HAZ_DGCLASSIFI,9,1)="IBC",INDEX(IHZ_HAZ_DGCLASSIFI,9,1)="IMSBC"),INDEX(IHZ_HAZ_IMOHAZARDC,9,1)&lt;&gt;"",TRUE)</f>
        <v>1</v>
      </c>
      <c r="H1266" s="35" t="str">
        <f t="shared" si="40"/>
        <v>Row 9 - If ‘DG classification’ is ‘IBC’ or ‘IMSBC’  the ‘IMO Hazard Class’ is mandatory</v>
      </c>
      <c r="J1266" s="35" t="b">
        <f>IF(OR(INDEX(OHZ_HAZ_DGCLASSIFI,9,1)="IBC",INDEX(OHZ_HAZ_DGCLASSIFI,9,1)="IMSBC"),INDEX(OHZ_HAZ_IMOHAZARDC,9,1)&lt;&gt;"",TRUE)</f>
        <v>1</v>
      </c>
      <c r="K1266" s="35" t="str">
        <f t="shared" si="41"/>
        <v>Row 9 - If ‘DG classification’ is ‘IBC’ or ‘IMSBC’  the ‘IMO Hazard Class’ is mandatory</v>
      </c>
    </row>
    <row r="1267" spans="7:11" s="35" customFormat="1" x14ac:dyDescent="0.2">
      <c r="G1267" s="35" t="b">
        <f>IF(OR(INDEX(IHZ_HAZ_DGCLASSIFI,10,1)="IBC",INDEX(IHZ_HAZ_DGCLASSIFI,10,1)="IMSBC"),INDEX(IHZ_HAZ_IMOHAZARDC,10,1)&lt;&gt;"",TRUE)</f>
        <v>1</v>
      </c>
      <c r="H1267" s="35" t="str">
        <f t="shared" si="40"/>
        <v>Row 10 - If ‘DG classification’ is ‘IBC’ or ‘IMSBC’  the ‘IMO Hazard Class’ is mandatory</v>
      </c>
      <c r="J1267" s="35" t="b">
        <f>IF(OR(INDEX(OHZ_HAZ_DGCLASSIFI,10,1)="IBC",INDEX(OHZ_HAZ_DGCLASSIFI,10,1)="IMSBC"),INDEX(OHZ_HAZ_IMOHAZARDC,10,1)&lt;&gt;"",TRUE)</f>
        <v>1</v>
      </c>
      <c r="K1267" s="35" t="str">
        <f t="shared" si="41"/>
        <v>Row 10 - If ‘DG classification’ is ‘IBC’ or ‘IMSBC’  the ‘IMO Hazard Class’ is mandatory</v>
      </c>
    </row>
    <row r="1268" spans="7:11" s="35" customFormat="1" x14ac:dyDescent="0.2">
      <c r="G1268" s="35" t="b">
        <f>IF(OR(INDEX(IHZ_HAZ_DGCLASSIFI,11,1)="IBC",INDEX(IHZ_HAZ_DGCLASSIFI,11,1)="IMSBC"),INDEX(IHZ_HAZ_IMOHAZARDC,11,1)&lt;&gt;"",TRUE)</f>
        <v>1</v>
      </c>
      <c r="H1268" s="35" t="str">
        <f t="shared" si="40"/>
        <v>Row 11 - If ‘DG classification’ is ‘IBC’ or ‘IMSBC’  the ‘IMO Hazard Class’ is mandatory</v>
      </c>
      <c r="J1268" s="35" t="b">
        <f>IF(OR(INDEX(OHZ_HAZ_DGCLASSIFI,11,1)="IBC",INDEX(OHZ_HAZ_DGCLASSIFI,11,1)="IMSBC"),INDEX(OHZ_HAZ_IMOHAZARDC,11,1)&lt;&gt;"",TRUE)</f>
        <v>1</v>
      </c>
      <c r="K1268" s="35" t="str">
        <f t="shared" si="41"/>
        <v>Row 11 - If ‘DG classification’ is ‘IBC’ or ‘IMSBC’  the ‘IMO Hazard Class’ is mandatory</v>
      </c>
    </row>
    <row r="1269" spans="7:11" s="35" customFormat="1" x14ac:dyDescent="0.2">
      <c r="G1269" s="35" t="b">
        <f>IF(OR(INDEX(IHZ_HAZ_DGCLASSIFI,12,1)="IBC",INDEX(IHZ_HAZ_DGCLASSIFI,12,1)="IMSBC"),INDEX(IHZ_HAZ_IMOHAZARDC,12,1)&lt;&gt;"",TRUE)</f>
        <v>1</v>
      </c>
      <c r="H1269" s="35" t="str">
        <f t="shared" si="40"/>
        <v>Row 12 - If ‘DG classification’ is ‘IBC’ or ‘IMSBC’  the ‘IMO Hazard Class’ is mandatory</v>
      </c>
      <c r="J1269" s="35" t="b">
        <f>IF(OR(INDEX(OHZ_HAZ_DGCLASSIFI,12,1)="IBC",INDEX(OHZ_HAZ_DGCLASSIFI,12,1)="IMSBC"),INDEX(OHZ_HAZ_IMOHAZARDC,12,1)&lt;&gt;"",TRUE)</f>
        <v>1</v>
      </c>
      <c r="K1269" s="35" t="str">
        <f t="shared" si="41"/>
        <v>Row 12 - If ‘DG classification’ is ‘IBC’ or ‘IMSBC’  the ‘IMO Hazard Class’ is mandatory</v>
      </c>
    </row>
    <row r="1270" spans="7:11" s="35" customFormat="1" x14ac:dyDescent="0.2">
      <c r="G1270" s="35" t="b">
        <f>IF(OR(INDEX(IHZ_HAZ_DGCLASSIFI,13,1)="IBC",INDEX(IHZ_HAZ_DGCLASSIFI,13,1)="IMSBC"),INDEX(IHZ_HAZ_IMOHAZARDC,13,1)&lt;&gt;"",TRUE)</f>
        <v>1</v>
      </c>
      <c r="H1270" s="35" t="str">
        <f t="shared" si="40"/>
        <v>Row 13 - If ‘DG classification’ is ‘IBC’ or ‘IMSBC’  the ‘IMO Hazard Class’ is mandatory</v>
      </c>
      <c r="J1270" s="35" t="b">
        <f>IF(OR(INDEX(OHZ_HAZ_DGCLASSIFI,13,1)="IBC",INDEX(OHZ_HAZ_DGCLASSIFI,13,1)="IMSBC"),INDEX(OHZ_HAZ_IMOHAZARDC,13,1)&lt;&gt;"",TRUE)</f>
        <v>1</v>
      </c>
      <c r="K1270" s="35" t="str">
        <f t="shared" si="41"/>
        <v>Row 13 - If ‘DG classification’ is ‘IBC’ or ‘IMSBC’  the ‘IMO Hazard Class’ is mandatory</v>
      </c>
    </row>
    <row r="1271" spans="7:11" s="35" customFormat="1" x14ac:dyDescent="0.2">
      <c r="G1271" s="35" t="b">
        <f>IF(OR(INDEX(IHZ_HAZ_DGCLASSIFI,14,1)="IBC",INDEX(IHZ_HAZ_DGCLASSIFI,14,1)="IMSBC"),INDEX(IHZ_HAZ_IMOHAZARDC,14,1)&lt;&gt;"",TRUE)</f>
        <v>1</v>
      </c>
      <c r="H1271" s="35" t="str">
        <f t="shared" si="40"/>
        <v>Row 14 - If ‘DG classification’ is ‘IBC’ or ‘IMSBC’  the ‘IMO Hazard Class’ is mandatory</v>
      </c>
      <c r="J1271" s="35" t="b">
        <f>IF(OR(INDEX(OHZ_HAZ_DGCLASSIFI,14,1)="IBC",INDEX(OHZ_HAZ_DGCLASSIFI,14,1)="IMSBC"),INDEX(OHZ_HAZ_IMOHAZARDC,14,1)&lt;&gt;"",TRUE)</f>
        <v>1</v>
      </c>
      <c r="K1271" s="35" t="str">
        <f t="shared" si="41"/>
        <v>Row 14 - If ‘DG classification’ is ‘IBC’ or ‘IMSBC’  the ‘IMO Hazard Class’ is mandatory</v>
      </c>
    </row>
    <row r="1272" spans="7:11" s="35" customFormat="1" x14ac:dyDescent="0.2">
      <c r="G1272" s="35" t="b">
        <f>IF(OR(INDEX(IHZ_HAZ_DGCLASSIFI,15,1)="IBC",INDEX(IHZ_HAZ_DGCLASSIFI,15,1)="IMSBC"),INDEX(IHZ_HAZ_IMOHAZARDC,15,1)&lt;&gt;"",TRUE)</f>
        <v>1</v>
      </c>
      <c r="H1272" s="35" t="str">
        <f t="shared" si="40"/>
        <v>Row 15 - If ‘DG classification’ is ‘IBC’ or ‘IMSBC’  the ‘IMO Hazard Class’ is mandatory</v>
      </c>
      <c r="J1272" s="35" t="b">
        <f>IF(OR(INDEX(OHZ_HAZ_DGCLASSIFI,15,1)="IBC",INDEX(OHZ_HAZ_DGCLASSIFI,15,1)="IMSBC"),INDEX(OHZ_HAZ_IMOHAZARDC,15,1)&lt;&gt;"",TRUE)</f>
        <v>1</v>
      </c>
      <c r="K1272" s="35" t="str">
        <f t="shared" si="41"/>
        <v>Row 15 - If ‘DG classification’ is ‘IBC’ or ‘IMSBC’  the ‘IMO Hazard Class’ is mandatory</v>
      </c>
    </row>
    <row r="1273" spans="7:11" s="35" customFormat="1" x14ac:dyDescent="0.2">
      <c r="G1273" s="35" t="b">
        <f>IF(OR(INDEX(IHZ_HAZ_DGCLASSIFI,16,1)="IBC",INDEX(IHZ_HAZ_DGCLASSIFI,16,1)="IMSBC"),INDEX(IHZ_HAZ_IMOHAZARDC,16,1)&lt;&gt;"",TRUE)</f>
        <v>1</v>
      </c>
      <c r="H1273" s="35" t="str">
        <f t="shared" si="40"/>
        <v>Row 16 - If ‘DG classification’ is ‘IBC’ or ‘IMSBC’  the ‘IMO Hazard Class’ is mandatory</v>
      </c>
      <c r="J1273" s="35" t="b">
        <f>IF(OR(INDEX(OHZ_HAZ_DGCLASSIFI,16,1)="IBC",INDEX(OHZ_HAZ_DGCLASSIFI,16,1)="IMSBC"),INDEX(OHZ_HAZ_IMOHAZARDC,16,1)&lt;&gt;"",TRUE)</f>
        <v>1</v>
      </c>
      <c r="K1273" s="35" t="str">
        <f t="shared" si="41"/>
        <v>Row 16 - If ‘DG classification’ is ‘IBC’ or ‘IMSBC’  the ‘IMO Hazard Class’ is mandatory</v>
      </c>
    </row>
    <row r="1274" spans="7:11" s="35" customFormat="1" x14ac:dyDescent="0.2">
      <c r="G1274" s="35" t="b">
        <f>IF(OR(INDEX(IHZ_HAZ_DGCLASSIFI,17,1)="IBC",INDEX(IHZ_HAZ_DGCLASSIFI,17,1)="IMSBC"),INDEX(IHZ_HAZ_IMOHAZARDC,17,1)&lt;&gt;"",TRUE)</f>
        <v>1</v>
      </c>
      <c r="H1274" s="35" t="str">
        <f t="shared" si="40"/>
        <v>Row 17 - If ‘DG classification’ is ‘IBC’ or ‘IMSBC’  the ‘IMO Hazard Class’ is mandatory</v>
      </c>
      <c r="J1274" s="35" t="b">
        <f>IF(OR(INDEX(OHZ_HAZ_DGCLASSIFI,17,1)="IBC",INDEX(OHZ_HAZ_DGCLASSIFI,17,1)="IMSBC"),INDEX(OHZ_HAZ_IMOHAZARDC,17,1)&lt;&gt;"",TRUE)</f>
        <v>1</v>
      </c>
      <c r="K1274" s="35" t="str">
        <f t="shared" si="41"/>
        <v>Row 17 - If ‘DG classification’ is ‘IBC’ or ‘IMSBC’  the ‘IMO Hazard Class’ is mandatory</v>
      </c>
    </row>
    <row r="1275" spans="7:11" s="35" customFormat="1" x14ac:dyDescent="0.2">
      <c r="G1275" s="35" t="b">
        <f>IF(OR(INDEX(IHZ_HAZ_DGCLASSIFI,18,1)="IBC",INDEX(IHZ_HAZ_DGCLASSIFI,18,1)="IMSBC"),INDEX(IHZ_HAZ_IMOHAZARDC,18,1)&lt;&gt;"",TRUE)</f>
        <v>1</v>
      </c>
      <c r="H1275" s="35" t="str">
        <f t="shared" si="40"/>
        <v>Row 18 - If ‘DG classification’ is ‘IBC’ or ‘IMSBC’  the ‘IMO Hazard Class’ is mandatory</v>
      </c>
      <c r="J1275" s="35" t="b">
        <f>IF(OR(INDEX(OHZ_HAZ_DGCLASSIFI,18,1)="IBC",INDEX(OHZ_HAZ_DGCLASSIFI,18,1)="IMSBC"),INDEX(OHZ_HAZ_IMOHAZARDC,18,1)&lt;&gt;"",TRUE)</f>
        <v>1</v>
      </c>
      <c r="K1275" s="35" t="str">
        <f t="shared" si="41"/>
        <v>Row 18 - If ‘DG classification’ is ‘IBC’ or ‘IMSBC’  the ‘IMO Hazard Class’ is mandatory</v>
      </c>
    </row>
    <row r="1276" spans="7:11" s="35" customFormat="1" x14ac:dyDescent="0.2">
      <c r="G1276" s="35" t="b">
        <f>IF(OR(INDEX(IHZ_HAZ_DGCLASSIFI,19,1)="IBC",INDEX(IHZ_HAZ_DGCLASSIFI,19,1)="IMSBC"),INDEX(IHZ_HAZ_IMOHAZARDC,19,1)&lt;&gt;"",TRUE)</f>
        <v>1</v>
      </c>
      <c r="H1276" s="35" t="str">
        <f t="shared" si="40"/>
        <v>Row 19 - If ‘DG classification’ is ‘IBC’ or ‘IMSBC’  the ‘IMO Hazard Class’ is mandatory</v>
      </c>
      <c r="J1276" s="35" t="b">
        <f>IF(OR(INDEX(OHZ_HAZ_DGCLASSIFI,19,1)="IBC",INDEX(OHZ_HAZ_DGCLASSIFI,19,1)="IMSBC"),INDEX(OHZ_HAZ_IMOHAZARDC,19,1)&lt;&gt;"",TRUE)</f>
        <v>1</v>
      </c>
      <c r="K1276" s="35" t="str">
        <f t="shared" si="41"/>
        <v>Row 19 - If ‘DG classification’ is ‘IBC’ or ‘IMSBC’  the ‘IMO Hazard Class’ is mandatory</v>
      </c>
    </row>
    <row r="1277" spans="7:11" s="35" customFormat="1" x14ac:dyDescent="0.2">
      <c r="G1277" s="35" t="b">
        <f>IF(OR(INDEX(IHZ_HAZ_DGCLASSIFI,20,1)="IBC",INDEX(IHZ_HAZ_DGCLASSIFI,20,1)="IMSBC"),INDEX(IHZ_HAZ_IMOHAZARDC,20,1)&lt;&gt;"",TRUE)</f>
        <v>1</v>
      </c>
      <c r="H1277" s="35" t="str">
        <f t="shared" si="40"/>
        <v>Row 20 - If ‘DG classification’ is ‘IBC’ or ‘IMSBC’  the ‘IMO Hazard Class’ is mandatory</v>
      </c>
      <c r="J1277" s="35" t="b">
        <f>IF(OR(INDEX(OHZ_HAZ_DGCLASSIFI,20,1)="IBC",INDEX(OHZ_HAZ_DGCLASSIFI,20,1)="IMSBC"),INDEX(OHZ_HAZ_IMOHAZARDC,20,1)&lt;&gt;"",TRUE)</f>
        <v>1</v>
      </c>
      <c r="K1277" s="35" t="str">
        <f t="shared" si="41"/>
        <v>Row 20 - If ‘DG classification’ is ‘IBC’ or ‘IMSBC’  the ‘IMO Hazard Class’ is mandatory</v>
      </c>
    </row>
    <row r="1278" spans="7:11" s="35" customFormat="1" x14ac:dyDescent="0.2">
      <c r="G1278" s="35" t="b">
        <f>IF(OR(INDEX(IHZ_HAZ_DGCLASSIFI,21,1)="IBC",INDEX(IHZ_HAZ_DGCLASSIFI,21,1)="IMSBC"),INDEX(IHZ_HAZ_IMOHAZARDC,21,1)&lt;&gt;"",TRUE)</f>
        <v>1</v>
      </c>
      <c r="H1278" s="35" t="str">
        <f t="shared" si="40"/>
        <v>Row 21 - If ‘DG classification’ is ‘IBC’ or ‘IMSBC’  the ‘IMO Hazard Class’ is mandatory</v>
      </c>
      <c r="J1278" s="35" t="b">
        <f>IF(OR(INDEX(OHZ_HAZ_DGCLASSIFI,21,1)="IBC",INDEX(OHZ_HAZ_DGCLASSIFI,21,1)="IMSBC"),INDEX(OHZ_HAZ_IMOHAZARDC,21,1)&lt;&gt;"",TRUE)</f>
        <v>1</v>
      </c>
      <c r="K1278" s="35" t="str">
        <f t="shared" si="41"/>
        <v>Row 21 - If ‘DG classification’ is ‘IBC’ or ‘IMSBC’  the ‘IMO Hazard Class’ is mandatory</v>
      </c>
    </row>
    <row r="1279" spans="7:11" s="35" customFormat="1" x14ac:dyDescent="0.2">
      <c r="G1279" s="35" t="b">
        <f>IF(OR(INDEX(IHZ_HAZ_DGCLASSIFI,22,1)="IBC",INDEX(IHZ_HAZ_DGCLASSIFI,22,1)="IMSBC"),INDEX(IHZ_HAZ_IMOHAZARDC,22,1)&lt;&gt;"",TRUE)</f>
        <v>1</v>
      </c>
      <c r="H1279" s="35" t="str">
        <f t="shared" si="40"/>
        <v>Row 22 - If ‘DG classification’ is ‘IBC’ or ‘IMSBC’  the ‘IMO Hazard Class’ is mandatory</v>
      </c>
      <c r="J1279" s="35" t="b">
        <f>IF(OR(INDEX(OHZ_HAZ_DGCLASSIFI,22,1)="IBC",INDEX(OHZ_HAZ_DGCLASSIFI,22,1)="IMSBC"),INDEX(OHZ_HAZ_IMOHAZARDC,22,1)&lt;&gt;"",TRUE)</f>
        <v>1</v>
      </c>
      <c r="K1279" s="35" t="str">
        <f t="shared" si="41"/>
        <v>Row 22 - If ‘DG classification’ is ‘IBC’ or ‘IMSBC’  the ‘IMO Hazard Class’ is mandatory</v>
      </c>
    </row>
    <row r="1280" spans="7:11" s="35" customFormat="1" x14ac:dyDescent="0.2">
      <c r="G1280" s="35" t="b">
        <f>IF(OR(INDEX(IHZ_HAZ_DGCLASSIFI,23,1)="IBC",INDEX(IHZ_HAZ_DGCLASSIFI,23,1)="IMSBC"),INDEX(IHZ_HAZ_IMOHAZARDC,23,1)&lt;&gt;"",TRUE)</f>
        <v>1</v>
      </c>
      <c r="H1280" s="35" t="str">
        <f t="shared" si="40"/>
        <v>Row 23 - If ‘DG classification’ is ‘IBC’ or ‘IMSBC’  the ‘IMO Hazard Class’ is mandatory</v>
      </c>
      <c r="J1280" s="35" t="b">
        <f>IF(OR(INDEX(OHZ_HAZ_DGCLASSIFI,23,1)="IBC",INDEX(OHZ_HAZ_DGCLASSIFI,23,1)="IMSBC"),INDEX(OHZ_HAZ_IMOHAZARDC,23,1)&lt;&gt;"",TRUE)</f>
        <v>1</v>
      </c>
      <c r="K1280" s="35" t="str">
        <f t="shared" si="41"/>
        <v>Row 23 - If ‘DG classification’ is ‘IBC’ or ‘IMSBC’  the ‘IMO Hazard Class’ is mandatory</v>
      </c>
    </row>
    <row r="1281" spans="7:11" s="35" customFormat="1" x14ac:dyDescent="0.2">
      <c r="G1281" s="35" t="b">
        <f>IF(OR(INDEX(IHZ_HAZ_DGCLASSIFI,24,1)="IBC",INDEX(IHZ_HAZ_DGCLASSIFI,24,1)="IMSBC"),INDEX(IHZ_HAZ_IMOHAZARDC,24,1)&lt;&gt;"",TRUE)</f>
        <v>1</v>
      </c>
      <c r="H1281" s="35" t="str">
        <f t="shared" si="40"/>
        <v>Row 24 - If ‘DG classification’ is ‘IBC’ or ‘IMSBC’  the ‘IMO Hazard Class’ is mandatory</v>
      </c>
      <c r="J1281" s="35" t="b">
        <f>IF(OR(INDEX(OHZ_HAZ_DGCLASSIFI,24,1)="IBC",INDEX(OHZ_HAZ_DGCLASSIFI,24,1)="IMSBC"),INDEX(OHZ_HAZ_IMOHAZARDC,24,1)&lt;&gt;"",TRUE)</f>
        <v>1</v>
      </c>
      <c r="K1281" s="35" t="str">
        <f t="shared" si="41"/>
        <v>Row 24 - If ‘DG classification’ is ‘IBC’ or ‘IMSBC’  the ‘IMO Hazard Class’ is mandatory</v>
      </c>
    </row>
    <row r="1282" spans="7:11" s="35" customFormat="1" x14ac:dyDescent="0.2">
      <c r="G1282" s="35" t="b">
        <f>IF(OR(INDEX(IHZ_HAZ_DGCLASSIFI,25,1)="IBC",INDEX(IHZ_HAZ_DGCLASSIFI,25,1)="IMSBC"),INDEX(IHZ_HAZ_IMOHAZARDC,25,1)&lt;&gt;"",TRUE)</f>
        <v>1</v>
      </c>
      <c r="H1282" s="35" t="str">
        <f t="shared" si="40"/>
        <v>Row 25 - If ‘DG classification’ is ‘IBC’ or ‘IMSBC’  the ‘IMO Hazard Class’ is mandatory</v>
      </c>
      <c r="J1282" s="35" t="b">
        <f>IF(OR(INDEX(OHZ_HAZ_DGCLASSIFI,25,1)="IBC",INDEX(OHZ_HAZ_DGCLASSIFI,25,1)="IMSBC"),INDEX(OHZ_HAZ_IMOHAZARDC,25,1)&lt;&gt;"",TRUE)</f>
        <v>1</v>
      </c>
      <c r="K1282" s="35" t="str">
        <f t="shared" si="41"/>
        <v>Row 25 - If ‘DG classification’ is ‘IBC’ or ‘IMSBC’  the ‘IMO Hazard Class’ is mandatory</v>
      </c>
    </row>
    <row r="1283" spans="7:11" s="35" customFormat="1" x14ac:dyDescent="0.2">
      <c r="G1283" s="35" t="b">
        <f>IF(OR(INDEX(IHZ_HAZ_DGCLASSIFI,26,1)="IBC",INDEX(IHZ_HAZ_DGCLASSIFI,26,1)="IMSBC"),INDEX(IHZ_HAZ_IMOHAZARDC,26,1)&lt;&gt;"",TRUE)</f>
        <v>1</v>
      </c>
      <c r="H1283" s="35" t="str">
        <f t="shared" si="40"/>
        <v>Row 26 - If ‘DG classification’ is ‘IBC’ or ‘IMSBC’  the ‘IMO Hazard Class’ is mandatory</v>
      </c>
      <c r="J1283" s="35" t="b">
        <f>IF(OR(INDEX(OHZ_HAZ_DGCLASSIFI,26,1)="IBC",INDEX(OHZ_HAZ_DGCLASSIFI,26,1)="IMSBC"),INDEX(OHZ_HAZ_IMOHAZARDC,26,1)&lt;&gt;"",TRUE)</f>
        <v>1</v>
      </c>
      <c r="K1283" s="35" t="str">
        <f t="shared" si="41"/>
        <v>Row 26 - If ‘DG classification’ is ‘IBC’ or ‘IMSBC’  the ‘IMO Hazard Class’ is mandatory</v>
      </c>
    </row>
    <row r="1284" spans="7:11" s="35" customFormat="1" x14ac:dyDescent="0.2">
      <c r="G1284" s="35" t="b">
        <f>IF(OR(INDEX(IHZ_HAZ_DGCLASSIFI,27,1)="IBC",INDEX(IHZ_HAZ_DGCLASSIFI,27,1)="IMSBC"),INDEX(IHZ_HAZ_IMOHAZARDC,27,1)&lt;&gt;"",TRUE)</f>
        <v>1</v>
      </c>
      <c r="H1284" s="35" t="str">
        <f t="shared" si="40"/>
        <v>Row 27 - If ‘DG classification’ is ‘IBC’ or ‘IMSBC’  the ‘IMO Hazard Class’ is mandatory</v>
      </c>
      <c r="J1284" s="35" t="b">
        <f>IF(OR(INDEX(OHZ_HAZ_DGCLASSIFI,27,1)="IBC",INDEX(OHZ_HAZ_DGCLASSIFI,27,1)="IMSBC"),INDEX(OHZ_HAZ_IMOHAZARDC,27,1)&lt;&gt;"",TRUE)</f>
        <v>1</v>
      </c>
      <c r="K1284" s="35" t="str">
        <f t="shared" si="41"/>
        <v>Row 27 - If ‘DG classification’ is ‘IBC’ or ‘IMSBC’  the ‘IMO Hazard Class’ is mandatory</v>
      </c>
    </row>
    <row r="1285" spans="7:11" s="35" customFormat="1" x14ac:dyDescent="0.2">
      <c r="G1285" s="35" t="b">
        <f>IF(OR(INDEX(IHZ_HAZ_DGCLASSIFI,28,1)="IBC",INDEX(IHZ_HAZ_DGCLASSIFI,28,1)="IMSBC"),INDEX(IHZ_HAZ_IMOHAZARDC,28,1)&lt;&gt;"",TRUE)</f>
        <v>1</v>
      </c>
      <c r="H1285" s="35" t="str">
        <f t="shared" si="40"/>
        <v>Row 28 - If ‘DG classification’ is ‘IBC’ or ‘IMSBC’  the ‘IMO Hazard Class’ is mandatory</v>
      </c>
      <c r="J1285" s="35" t="b">
        <f>IF(OR(INDEX(OHZ_HAZ_DGCLASSIFI,28,1)="IBC",INDEX(OHZ_HAZ_DGCLASSIFI,28,1)="IMSBC"),INDEX(OHZ_HAZ_IMOHAZARDC,28,1)&lt;&gt;"",TRUE)</f>
        <v>1</v>
      </c>
      <c r="K1285" s="35" t="str">
        <f t="shared" si="41"/>
        <v>Row 28 - If ‘DG classification’ is ‘IBC’ or ‘IMSBC’  the ‘IMO Hazard Class’ is mandatory</v>
      </c>
    </row>
    <row r="1286" spans="7:11" s="35" customFormat="1" x14ac:dyDescent="0.2">
      <c r="G1286" s="35" t="b">
        <f>IF(OR(INDEX(IHZ_HAZ_DGCLASSIFI,29,1)="IBC",INDEX(IHZ_HAZ_DGCLASSIFI,29,1)="IMSBC"),INDEX(IHZ_HAZ_IMOHAZARDC,29,1)&lt;&gt;"",TRUE)</f>
        <v>1</v>
      </c>
      <c r="H1286" s="35" t="str">
        <f t="shared" si="40"/>
        <v>Row 29 - If ‘DG classification’ is ‘IBC’ or ‘IMSBC’  the ‘IMO Hazard Class’ is mandatory</v>
      </c>
      <c r="J1286" s="35" t="b">
        <f>IF(OR(INDEX(OHZ_HAZ_DGCLASSIFI,29,1)="IBC",INDEX(OHZ_HAZ_DGCLASSIFI,29,1)="IMSBC"),INDEX(OHZ_HAZ_IMOHAZARDC,29,1)&lt;&gt;"",TRUE)</f>
        <v>1</v>
      </c>
      <c r="K1286" s="35" t="str">
        <f t="shared" si="41"/>
        <v>Row 29 - If ‘DG classification’ is ‘IBC’ or ‘IMSBC’  the ‘IMO Hazard Class’ is mandatory</v>
      </c>
    </row>
    <row r="1287" spans="7:11" s="35" customFormat="1" x14ac:dyDescent="0.2">
      <c r="G1287" s="35" t="b">
        <f>IF(OR(INDEX(IHZ_HAZ_DGCLASSIFI,30,1)="IBC",INDEX(IHZ_HAZ_DGCLASSIFI,30,1)="IMSBC"),INDEX(IHZ_HAZ_IMOHAZARDC,30,1)&lt;&gt;"",TRUE)</f>
        <v>1</v>
      </c>
      <c r="H1287" s="35" t="str">
        <f t="shared" si="40"/>
        <v>Row 30 - If ‘DG classification’ is ‘IBC’ or ‘IMSBC’  the ‘IMO Hazard Class’ is mandatory</v>
      </c>
      <c r="J1287" s="35" t="b">
        <f>IF(OR(INDEX(OHZ_HAZ_DGCLASSIFI,30,1)="IBC",INDEX(OHZ_HAZ_DGCLASSIFI,30,1)="IMSBC"),INDEX(OHZ_HAZ_IMOHAZARDC,30,1)&lt;&gt;"",TRUE)</f>
        <v>1</v>
      </c>
      <c r="K1287" s="35" t="str">
        <f t="shared" si="41"/>
        <v>Row 30 - If ‘DG classification’ is ‘IBC’ or ‘IMSBC’  the ‘IMO Hazard Class’ is mandatory</v>
      </c>
    </row>
    <row r="1288" spans="7:11" s="35" customFormat="1" x14ac:dyDescent="0.2">
      <c r="G1288" s="35" t="b">
        <f>IF(OR(INDEX(IHZ_HAZ_DGCLASSIFI,31,1)="IBC",INDEX(IHZ_HAZ_DGCLASSIFI,31,1)="IMSBC"),INDEX(IHZ_HAZ_IMOHAZARDC,31,1)&lt;&gt;"",TRUE)</f>
        <v>1</v>
      </c>
      <c r="H1288" s="35" t="str">
        <f t="shared" si="40"/>
        <v>Row 31 - If ‘DG classification’ is ‘IBC’ or ‘IMSBC’  the ‘IMO Hazard Class’ is mandatory</v>
      </c>
      <c r="J1288" s="35" t="b">
        <f>IF(OR(INDEX(OHZ_HAZ_DGCLASSIFI,31,1)="IBC",INDEX(OHZ_HAZ_DGCLASSIFI,31,1)="IMSBC"),INDEX(OHZ_HAZ_IMOHAZARDC,31,1)&lt;&gt;"",TRUE)</f>
        <v>1</v>
      </c>
      <c r="K1288" s="35" t="str">
        <f t="shared" si="41"/>
        <v>Row 31 - If ‘DG classification’ is ‘IBC’ or ‘IMSBC’  the ‘IMO Hazard Class’ is mandatory</v>
      </c>
    </row>
    <row r="1289" spans="7:11" s="35" customFormat="1" x14ac:dyDescent="0.2">
      <c r="G1289" s="35" t="b">
        <f>IF(OR(INDEX(IHZ_HAZ_DGCLASSIFI,32,1)="IBC",INDEX(IHZ_HAZ_DGCLASSIFI,32,1)="IMSBC"),INDEX(IHZ_HAZ_IMOHAZARDC,32,1)&lt;&gt;"",TRUE)</f>
        <v>1</v>
      </c>
      <c r="H1289" s="35" t="str">
        <f t="shared" si="40"/>
        <v>Row 32 - If ‘DG classification’ is ‘IBC’ or ‘IMSBC’  the ‘IMO Hazard Class’ is mandatory</v>
      </c>
      <c r="J1289" s="35" t="b">
        <f>IF(OR(INDEX(OHZ_HAZ_DGCLASSIFI,32,1)="IBC",INDEX(OHZ_HAZ_DGCLASSIFI,32,1)="IMSBC"),INDEX(OHZ_HAZ_IMOHAZARDC,32,1)&lt;&gt;"",TRUE)</f>
        <v>1</v>
      </c>
      <c r="K1289" s="35" t="str">
        <f t="shared" si="41"/>
        <v>Row 32 - If ‘DG classification’ is ‘IBC’ or ‘IMSBC’  the ‘IMO Hazard Class’ is mandatory</v>
      </c>
    </row>
    <row r="1290" spans="7:11" s="35" customFormat="1" x14ac:dyDescent="0.2">
      <c r="G1290" s="35" t="b">
        <f>IF(OR(INDEX(IHZ_HAZ_DGCLASSIFI,33,1)="IBC",INDEX(IHZ_HAZ_DGCLASSIFI,33,1)="IMSBC"),INDEX(IHZ_HAZ_IMOHAZARDC,33,1)&lt;&gt;"",TRUE)</f>
        <v>1</v>
      </c>
      <c r="H1290" s="35" t="str">
        <f t="shared" si="40"/>
        <v>Row 33 - If ‘DG classification’ is ‘IBC’ or ‘IMSBC’  the ‘IMO Hazard Class’ is mandatory</v>
      </c>
      <c r="J1290" s="35" t="b">
        <f>IF(OR(INDEX(OHZ_HAZ_DGCLASSIFI,33,1)="IBC",INDEX(OHZ_HAZ_DGCLASSIFI,33,1)="IMSBC"),INDEX(OHZ_HAZ_IMOHAZARDC,33,1)&lt;&gt;"",TRUE)</f>
        <v>1</v>
      </c>
      <c r="K1290" s="35" t="str">
        <f t="shared" si="41"/>
        <v>Row 33 - If ‘DG classification’ is ‘IBC’ or ‘IMSBC’  the ‘IMO Hazard Class’ is mandatory</v>
      </c>
    </row>
    <row r="1291" spans="7:11" s="35" customFormat="1" x14ac:dyDescent="0.2">
      <c r="G1291" s="35" t="b">
        <f>IF(OR(INDEX(IHZ_HAZ_DGCLASSIFI,34,1)="IBC",INDEX(IHZ_HAZ_DGCLASSIFI,34,1)="IMSBC"),INDEX(IHZ_HAZ_IMOHAZARDC,34,1)&lt;&gt;"",TRUE)</f>
        <v>1</v>
      </c>
      <c r="H1291" s="35" t="str">
        <f t="shared" si="40"/>
        <v>Row 34 - If ‘DG classification’ is ‘IBC’ or ‘IMSBC’  the ‘IMO Hazard Class’ is mandatory</v>
      </c>
      <c r="J1291" s="35" t="b">
        <f>IF(OR(INDEX(OHZ_HAZ_DGCLASSIFI,34,1)="IBC",INDEX(OHZ_HAZ_DGCLASSIFI,34,1)="IMSBC"),INDEX(OHZ_HAZ_IMOHAZARDC,34,1)&lt;&gt;"",TRUE)</f>
        <v>1</v>
      </c>
      <c r="K1291" s="35" t="str">
        <f t="shared" si="41"/>
        <v>Row 34 - If ‘DG classification’ is ‘IBC’ or ‘IMSBC’  the ‘IMO Hazard Class’ is mandatory</v>
      </c>
    </row>
    <row r="1292" spans="7:11" s="35" customFormat="1" x14ac:dyDescent="0.2">
      <c r="G1292" s="35" t="b">
        <f>IF(OR(INDEX(IHZ_HAZ_DGCLASSIFI,35,1)="IBC",INDEX(IHZ_HAZ_DGCLASSIFI,35,1)="IMSBC"),INDEX(IHZ_HAZ_IMOHAZARDC,35,1)&lt;&gt;"",TRUE)</f>
        <v>1</v>
      </c>
      <c r="H1292" s="35" t="str">
        <f t="shared" si="40"/>
        <v>Row 35 - If ‘DG classification’ is ‘IBC’ or ‘IMSBC’  the ‘IMO Hazard Class’ is mandatory</v>
      </c>
      <c r="J1292" s="35" t="b">
        <f>IF(OR(INDEX(OHZ_HAZ_DGCLASSIFI,35,1)="IBC",INDEX(OHZ_HAZ_DGCLASSIFI,35,1)="IMSBC"),INDEX(OHZ_HAZ_IMOHAZARDC,35,1)&lt;&gt;"",TRUE)</f>
        <v>1</v>
      </c>
      <c r="K1292" s="35" t="str">
        <f t="shared" si="41"/>
        <v>Row 35 - If ‘DG classification’ is ‘IBC’ or ‘IMSBC’  the ‘IMO Hazard Class’ is mandatory</v>
      </c>
    </row>
    <row r="1293" spans="7:11" s="35" customFormat="1" x14ac:dyDescent="0.2">
      <c r="G1293" s="35" t="b">
        <f>IF(OR(INDEX(IHZ_HAZ_DGCLASSIFI,36,1)="IBC",INDEX(IHZ_HAZ_DGCLASSIFI,36,1)="IMSBC"),INDEX(IHZ_HAZ_IMOHAZARDC,36,1)&lt;&gt;"",TRUE)</f>
        <v>1</v>
      </c>
      <c r="H1293" s="35" t="str">
        <f t="shared" si="40"/>
        <v>Row 36 - If ‘DG classification’ is ‘IBC’ or ‘IMSBC’  the ‘IMO Hazard Class’ is mandatory</v>
      </c>
      <c r="J1293" s="35" t="b">
        <f>IF(OR(INDEX(OHZ_HAZ_DGCLASSIFI,36,1)="IBC",INDEX(OHZ_HAZ_DGCLASSIFI,36,1)="IMSBC"),INDEX(OHZ_HAZ_IMOHAZARDC,36,1)&lt;&gt;"",TRUE)</f>
        <v>1</v>
      </c>
      <c r="K1293" s="35" t="str">
        <f t="shared" si="41"/>
        <v>Row 36 - If ‘DG classification’ is ‘IBC’ or ‘IMSBC’  the ‘IMO Hazard Class’ is mandatory</v>
      </c>
    </row>
    <row r="1294" spans="7:11" s="35" customFormat="1" x14ac:dyDescent="0.2">
      <c r="G1294" s="35" t="b">
        <f>IF(OR(INDEX(IHZ_HAZ_DGCLASSIFI,37,1)="IBC",INDEX(IHZ_HAZ_DGCLASSIFI,37,1)="IMSBC"),INDEX(IHZ_HAZ_IMOHAZARDC,37,1)&lt;&gt;"",TRUE)</f>
        <v>1</v>
      </c>
      <c r="H1294" s="35" t="str">
        <f t="shared" si="40"/>
        <v>Row 37 - If ‘DG classification’ is ‘IBC’ or ‘IMSBC’  the ‘IMO Hazard Class’ is mandatory</v>
      </c>
      <c r="J1294" s="35" t="b">
        <f>IF(OR(INDEX(OHZ_HAZ_DGCLASSIFI,37,1)="IBC",INDEX(OHZ_HAZ_DGCLASSIFI,37,1)="IMSBC"),INDEX(OHZ_HAZ_IMOHAZARDC,37,1)&lt;&gt;"",TRUE)</f>
        <v>1</v>
      </c>
      <c r="K1294" s="35" t="str">
        <f t="shared" si="41"/>
        <v>Row 37 - If ‘DG classification’ is ‘IBC’ or ‘IMSBC’  the ‘IMO Hazard Class’ is mandatory</v>
      </c>
    </row>
    <row r="1295" spans="7:11" s="35" customFormat="1" x14ac:dyDescent="0.2">
      <c r="G1295" s="35" t="b">
        <f>IF(OR(INDEX(IHZ_HAZ_DGCLASSIFI,38,1)="IBC",INDEX(IHZ_HAZ_DGCLASSIFI,38,1)="IMSBC"),INDEX(IHZ_HAZ_IMOHAZARDC,38,1)&lt;&gt;"",TRUE)</f>
        <v>1</v>
      </c>
      <c r="H1295" s="35" t="str">
        <f t="shared" si="40"/>
        <v>Row 38 - If ‘DG classification’ is ‘IBC’ or ‘IMSBC’  the ‘IMO Hazard Class’ is mandatory</v>
      </c>
      <c r="J1295" s="35" t="b">
        <f>IF(OR(INDEX(OHZ_HAZ_DGCLASSIFI,38,1)="IBC",INDEX(OHZ_HAZ_DGCLASSIFI,38,1)="IMSBC"),INDEX(OHZ_HAZ_IMOHAZARDC,38,1)&lt;&gt;"",TRUE)</f>
        <v>1</v>
      </c>
      <c r="K1295" s="35" t="str">
        <f t="shared" si="41"/>
        <v>Row 38 - If ‘DG classification’ is ‘IBC’ or ‘IMSBC’  the ‘IMO Hazard Class’ is mandatory</v>
      </c>
    </row>
    <row r="1296" spans="7:11" s="35" customFormat="1" x14ac:dyDescent="0.2">
      <c r="G1296" s="35" t="b">
        <f>IF(OR(INDEX(IHZ_HAZ_DGCLASSIFI,39,1)="IBC",INDEX(IHZ_HAZ_DGCLASSIFI,39,1)="IMSBC"),INDEX(IHZ_HAZ_IMOHAZARDC,39,1)&lt;&gt;"",TRUE)</f>
        <v>1</v>
      </c>
      <c r="H1296" s="35" t="str">
        <f t="shared" si="40"/>
        <v>Row 39 - If ‘DG classification’ is ‘IBC’ or ‘IMSBC’  the ‘IMO Hazard Class’ is mandatory</v>
      </c>
      <c r="J1296" s="35" t="b">
        <f>IF(OR(INDEX(OHZ_HAZ_DGCLASSIFI,39,1)="IBC",INDEX(OHZ_HAZ_DGCLASSIFI,39,1)="IMSBC"),INDEX(OHZ_HAZ_IMOHAZARDC,39,1)&lt;&gt;"",TRUE)</f>
        <v>1</v>
      </c>
      <c r="K1296" s="35" t="str">
        <f t="shared" si="41"/>
        <v>Row 39 - If ‘DG classification’ is ‘IBC’ or ‘IMSBC’  the ‘IMO Hazard Class’ is mandatory</v>
      </c>
    </row>
    <row r="1297" spans="7:11" s="35" customFormat="1" x14ac:dyDescent="0.2">
      <c r="G1297" s="35" t="b">
        <f>IF(OR(INDEX(IHZ_HAZ_DGCLASSIFI,40,1)="IBC",INDEX(IHZ_HAZ_DGCLASSIFI,40,1)="IMSBC"),INDEX(IHZ_HAZ_IMOHAZARDC,40,1)&lt;&gt;"",TRUE)</f>
        <v>1</v>
      </c>
      <c r="H1297" s="35" t="str">
        <f t="shared" si="40"/>
        <v>Row 40 - If ‘DG classification’ is ‘IBC’ or ‘IMSBC’  the ‘IMO Hazard Class’ is mandatory</v>
      </c>
      <c r="J1297" s="35" t="b">
        <f>IF(OR(INDEX(OHZ_HAZ_DGCLASSIFI,40,1)="IBC",INDEX(OHZ_HAZ_DGCLASSIFI,40,1)="IMSBC"),INDEX(OHZ_HAZ_IMOHAZARDC,40,1)&lt;&gt;"",TRUE)</f>
        <v>1</v>
      </c>
      <c r="K1297" s="35" t="str">
        <f t="shared" si="41"/>
        <v>Row 40 - If ‘DG classification’ is ‘IBC’ or ‘IMSBC’  the ‘IMO Hazard Class’ is mandatory</v>
      </c>
    </row>
    <row r="1298" spans="7:11" s="35" customFormat="1" x14ac:dyDescent="0.2">
      <c r="G1298" s="35" t="b">
        <f>IF(OR(INDEX(IHZ_HAZ_DGCLASSIFI,41,1)="IBC",INDEX(IHZ_HAZ_DGCLASSIFI,41,1)="IMSBC"),INDEX(IHZ_HAZ_IMOHAZARDC,41,1)&lt;&gt;"",TRUE)</f>
        <v>1</v>
      </c>
      <c r="H1298" s="35" t="str">
        <f t="shared" si="40"/>
        <v>Row 41 - If ‘DG classification’ is ‘IBC’ or ‘IMSBC’  the ‘IMO Hazard Class’ is mandatory</v>
      </c>
      <c r="J1298" s="35" t="b">
        <f>IF(OR(INDEX(OHZ_HAZ_DGCLASSIFI,41,1)="IBC",INDEX(OHZ_HAZ_DGCLASSIFI,41,1)="IMSBC"),INDEX(OHZ_HAZ_IMOHAZARDC,41,1)&lt;&gt;"",TRUE)</f>
        <v>1</v>
      </c>
      <c r="K1298" s="35" t="str">
        <f t="shared" si="41"/>
        <v>Row 41 - If ‘DG classification’ is ‘IBC’ or ‘IMSBC’  the ‘IMO Hazard Class’ is mandatory</v>
      </c>
    </row>
    <row r="1299" spans="7:11" s="35" customFormat="1" x14ac:dyDescent="0.2">
      <c r="G1299" s="35" t="b">
        <f>IF(OR(INDEX(IHZ_HAZ_DGCLASSIFI,42,1)="IBC",INDEX(IHZ_HAZ_DGCLASSIFI,42,1)="IMSBC"),INDEX(IHZ_HAZ_IMOHAZARDC,42,1)&lt;&gt;"",TRUE)</f>
        <v>1</v>
      </c>
      <c r="H1299" s="35" t="str">
        <f t="shared" si="40"/>
        <v>Row 42 - If ‘DG classification’ is ‘IBC’ or ‘IMSBC’  the ‘IMO Hazard Class’ is mandatory</v>
      </c>
      <c r="J1299" s="35" t="b">
        <f>IF(OR(INDEX(OHZ_HAZ_DGCLASSIFI,42,1)="IBC",INDEX(OHZ_HAZ_DGCLASSIFI,42,1)="IMSBC"),INDEX(OHZ_HAZ_IMOHAZARDC,42,1)&lt;&gt;"",TRUE)</f>
        <v>1</v>
      </c>
      <c r="K1299" s="35" t="str">
        <f t="shared" si="41"/>
        <v>Row 42 - If ‘DG classification’ is ‘IBC’ or ‘IMSBC’  the ‘IMO Hazard Class’ is mandatory</v>
      </c>
    </row>
    <row r="1300" spans="7:11" s="35" customFormat="1" x14ac:dyDescent="0.2">
      <c r="G1300" s="35" t="b">
        <f>IF(OR(INDEX(IHZ_HAZ_DGCLASSIFI,43,1)="IBC",INDEX(IHZ_HAZ_DGCLASSIFI,43,1)="IMSBC"),INDEX(IHZ_HAZ_IMOHAZARDC,43,1)&lt;&gt;"",TRUE)</f>
        <v>1</v>
      </c>
      <c r="H1300" s="35" t="str">
        <f t="shared" si="40"/>
        <v>Row 43 - If ‘DG classification’ is ‘IBC’ or ‘IMSBC’  the ‘IMO Hazard Class’ is mandatory</v>
      </c>
      <c r="J1300" s="35" t="b">
        <f>IF(OR(INDEX(OHZ_HAZ_DGCLASSIFI,43,1)="IBC",INDEX(OHZ_HAZ_DGCLASSIFI,43,1)="IMSBC"),INDEX(OHZ_HAZ_IMOHAZARDC,43,1)&lt;&gt;"",TRUE)</f>
        <v>1</v>
      </c>
      <c r="K1300" s="35" t="str">
        <f t="shared" si="41"/>
        <v>Row 43 - If ‘DG classification’ is ‘IBC’ or ‘IMSBC’  the ‘IMO Hazard Class’ is mandatory</v>
      </c>
    </row>
    <row r="1301" spans="7:11" s="35" customFormat="1" x14ac:dyDescent="0.2">
      <c r="G1301" s="35" t="b">
        <f>IF(OR(INDEX(IHZ_HAZ_DGCLASSIFI,44,1)="IBC",INDEX(IHZ_HAZ_DGCLASSIFI,44,1)="IMSBC"),INDEX(IHZ_HAZ_IMOHAZARDC,44,1)&lt;&gt;"",TRUE)</f>
        <v>1</v>
      </c>
      <c r="H1301" s="35" t="str">
        <f t="shared" si="40"/>
        <v>Row 44 - If ‘DG classification’ is ‘IBC’ or ‘IMSBC’  the ‘IMO Hazard Class’ is mandatory</v>
      </c>
      <c r="J1301" s="35" t="b">
        <f>IF(OR(INDEX(OHZ_HAZ_DGCLASSIFI,44,1)="IBC",INDEX(OHZ_HAZ_DGCLASSIFI,44,1)="IMSBC"),INDEX(OHZ_HAZ_IMOHAZARDC,44,1)&lt;&gt;"",TRUE)</f>
        <v>1</v>
      </c>
      <c r="K1301" s="35" t="str">
        <f t="shared" si="41"/>
        <v>Row 44 - If ‘DG classification’ is ‘IBC’ or ‘IMSBC’  the ‘IMO Hazard Class’ is mandatory</v>
      </c>
    </row>
    <row r="1302" spans="7:11" s="35" customFormat="1" x14ac:dyDescent="0.2">
      <c r="G1302" s="35" t="b">
        <f>IF(OR(INDEX(IHZ_HAZ_DGCLASSIFI,45,1)="IBC",INDEX(IHZ_HAZ_DGCLASSIFI,45,1)="IMSBC"),INDEX(IHZ_HAZ_IMOHAZARDC,45,1)&lt;&gt;"",TRUE)</f>
        <v>1</v>
      </c>
      <c r="H1302" s="35" t="str">
        <f t="shared" si="40"/>
        <v>Row 45 - If ‘DG classification’ is ‘IBC’ or ‘IMSBC’  the ‘IMO Hazard Class’ is mandatory</v>
      </c>
      <c r="J1302" s="35" t="b">
        <f>IF(OR(INDEX(OHZ_HAZ_DGCLASSIFI,45,1)="IBC",INDEX(OHZ_HAZ_DGCLASSIFI,45,1)="IMSBC"),INDEX(OHZ_HAZ_IMOHAZARDC,45,1)&lt;&gt;"",TRUE)</f>
        <v>1</v>
      </c>
      <c r="K1302" s="35" t="str">
        <f t="shared" si="41"/>
        <v>Row 45 - If ‘DG classification’ is ‘IBC’ or ‘IMSBC’  the ‘IMO Hazard Class’ is mandatory</v>
      </c>
    </row>
    <row r="1303" spans="7:11" s="35" customFormat="1" x14ac:dyDescent="0.2">
      <c r="G1303" s="35" t="b">
        <f>IF(OR(INDEX(IHZ_HAZ_DGCLASSIFI,46,1)="IBC",INDEX(IHZ_HAZ_DGCLASSIFI,46,1)="IMSBC"),INDEX(IHZ_HAZ_IMOHAZARDC,46,1)&lt;&gt;"",TRUE)</f>
        <v>1</v>
      </c>
      <c r="H1303" s="35" t="str">
        <f t="shared" si="40"/>
        <v>Row 46 - If ‘DG classification’ is ‘IBC’ or ‘IMSBC’  the ‘IMO Hazard Class’ is mandatory</v>
      </c>
      <c r="J1303" s="35" t="b">
        <f>IF(OR(INDEX(OHZ_HAZ_DGCLASSIFI,46,1)="IBC",INDEX(OHZ_HAZ_DGCLASSIFI,46,1)="IMSBC"),INDEX(OHZ_HAZ_IMOHAZARDC,46,1)&lt;&gt;"",TRUE)</f>
        <v>1</v>
      </c>
      <c r="K1303" s="35" t="str">
        <f t="shared" si="41"/>
        <v>Row 46 - If ‘DG classification’ is ‘IBC’ or ‘IMSBC’  the ‘IMO Hazard Class’ is mandatory</v>
      </c>
    </row>
    <row r="1304" spans="7:11" s="35" customFormat="1" x14ac:dyDescent="0.2">
      <c r="G1304" s="35" t="b">
        <f>IF(OR(INDEX(IHZ_HAZ_DGCLASSIFI,47,1)="IBC",INDEX(IHZ_HAZ_DGCLASSIFI,47,1)="IMSBC"),INDEX(IHZ_HAZ_IMOHAZARDC,47,1)&lt;&gt;"",TRUE)</f>
        <v>1</v>
      </c>
      <c r="H1304" s="35" t="str">
        <f t="shared" si="40"/>
        <v>Row 47 - If ‘DG classification’ is ‘IBC’ or ‘IMSBC’  the ‘IMO Hazard Class’ is mandatory</v>
      </c>
      <c r="J1304" s="35" t="b">
        <f>IF(OR(INDEX(OHZ_HAZ_DGCLASSIFI,47,1)="IBC",INDEX(OHZ_HAZ_DGCLASSIFI,47,1)="IMSBC"),INDEX(OHZ_HAZ_IMOHAZARDC,47,1)&lt;&gt;"",TRUE)</f>
        <v>1</v>
      </c>
      <c r="K1304" s="35" t="str">
        <f t="shared" si="41"/>
        <v>Row 47 - If ‘DG classification’ is ‘IBC’ or ‘IMSBC’  the ‘IMO Hazard Class’ is mandatory</v>
      </c>
    </row>
    <row r="1305" spans="7:11" s="35" customFormat="1" x14ac:dyDescent="0.2">
      <c r="G1305" s="35" t="b">
        <f>IF(OR(INDEX(IHZ_HAZ_DGCLASSIFI,48,1)="IBC",INDEX(IHZ_HAZ_DGCLASSIFI,48,1)="IMSBC"),INDEX(IHZ_HAZ_IMOHAZARDC,48,1)&lt;&gt;"",TRUE)</f>
        <v>1</v>
      </c>
      <c r="H1305" s="35" t="str">
        <f t="shared" si="40"/>
        <v>Row 48 - If ‘DG classification’ is ‘IBC’ or ‘IMSBC’  the ‘IMO Hazard Class’ is mandatory</v>
      </c>
      <c r="J1305" s="35" t="b">
        <f>IF(OR(INDEX(OHZ_HAZ_DGCLASSIFI,48,1)="IBC",INDEX(OHZ_HAZ_DGCLASSIFI,48,1)="IMSBC"),INDEX(OHZ_HAZ_IMOHAZARDC,48,1)&lt;&gt;"",TRUE)</f>
        <v>1</v>
      </c>
      <c r="K1305" s="35" t="str">
        <f t="shared" si="41"/>
        <v>Row 48 - If ‘DG classification’ is ‘IBC’ or ‘IMSBC’  the ‘IMO Hazard Class’ is mandatory</v>
      </c>
    </row>
    <row r="1306" spans="7:11" s="35" customFormat="1" x14ac:dyDescent="0.2">
      <c r="G1306" s="35" t="b">
        <f>IF(OR(INDEX(IHZ_HAZ_DGCLASSIFI,49,1)="IBC",INDEX(IHZ_HAZ_DGCLASSIFI,49,1)="IMSBC"),INDEX(IHZ_HAZ_IMOHAZARDC,49,1)&lt;&gt;"",TRUE)</f>
        <v>1</v>
      </c>
      <c r="H1306" s="35" t="str">
        <f t="shared" si="40"/>
        <v>Row 49 - If ‘DG classification’ is ‘IBC’ or ‘IMSBC’  the ‘IMO Hazard Class’ is mandatory</v>
      </c>
      <c r="J1306" s="35" t="b">
        <f>IF(OR(INDEX(OHZ_HAZ_DGCLASSIFI,49,1)="IBC",INDEX(OHZ_HAZ_DGCLASSIFI,49,1)="IMSBC"),INDEX(OHZ_HAZ_IMOHAZARDC,49,1)&lt;&gt;"",TRUE)</f>
        <v>1</v>
      </c>
      <c r="K1306" s="35" t="str">
        <f t="shared" si="41"/>
        <v>Row 49 - If ‘DG classification’ is ‘IBC’ or ‘IMSBC’  the ‘IMO Hazard Class’ is mandatory</v>
      </c>
    </row>
    <row r="1307" spans="7:11" s="35" customFormat="1" x14ac:dyDescent="0.2">
      <c r="G1307" s="35" t="b">
        <f>IF(OR(INDEX(IHZ_HAZ_DGCLASSIFI,50,1)="IBC",INDEX(IHZ_HAZ_DGCLASSIFI,50,1)="IMSBC"),INDEX(IHZ_HAZ_IMOHAZARDC,50,1)&lt;&gt;"",TRUE)</f>
        <v>1</v>
      </c>
      <c r="H1307" s="35" t="str">
        <f t="shared" si="40"/>
        <v>Row 50 - If ‘DG classification’ is ‘IBC’ or ‘IMSBC’  the ‘IMO Hazard Class’ is mandatory</v>
      </c>
      <c r="J1307" s="35" t="b">
        <f>IF(OR(INDEX(OHZ_HAZ_DGCLASSIFI,50,1)="IBC",INDEX(OHZ_HAZ_DGCLASSIFI,50,1)="IMSBC"),INDEX(OHZ_HAZ_IMOHAZARDC,50,1)&lt;&gt;"",TRUE)</f>
        <v>1</v>
      </c>
      <c r="K1307" s="35" t="str">
        <f t="shared" si="41"/>
        <v>Row 50 - If ‘DG classification’ is ‘IBC’ or ‘IMSBC’  the ‘IMO Hazard Class’ is mandatory</v>
      </c>
    </row>
    <row r="1308" spans="7:11" s="35" customFormat="1" x14ac:dyDescent="0.2">
      <c r="G1308" s="35" t="b">
        <f>IF(OR(INDEX(IHZ_HAZ_DGCLASSIFI,51,1)="IBC",INDEX(IHZ_HAZ_DGCLASSIFI,51,1)="IMSBC"),INDEX(IHZ_HAZ_IMOHAZARDC,51,1)&lt;&gt;"",TRUE)</f>
        <v>1</v>
      </c>
      <c r="H1308" s="35" t="str">
        <f t="shared" si="40"/>
        <v>Row 51 - If ‘DG classification’ is ‘IBC’ or ‘IMSBC’  the ‘IMO Hazard Class’ is mandatory</v>
      </c>
      <c r="J1308" s="35" t="b">
        <f>IF(OR(INDEX(OHZ_HAZ_DGCLASSIFI,51,1)="IBC",INDEX(OHZ_HAZ_DGCLASSIFI,51,1)="IMSBC"),INDEX(OHZ_HAZ_IMOHAZARDC,51,1)&lt;&gt;"",TRUE)</f>
        <v>1</v>
      </c>
      <c r="K1308" s="35" t="str">
        <f t="shared" si="41"/>
        <v>Row 51 - If ‘DG classification’ is ‘IBC’ or ‘IMSBC’  the ‘IMO Hazard Class’ is mandatory</v>
      </c>
    </row>
    <row r="1309" spans="7:11" s="35" customFormat="1" x14ac:dyDescent="0.2">
      <c r="G1309" s="35" t="b">
        <f>IF(OR(INDEX(IHZ_HAZ_DGCLASSIFI,52,1)="IBC",INDEX(IHZ_HAZ_DGCLASSIFI,52,1)="IMSBC"),INDEX(IHZ_HAZ_IMOHAZARDC,52,1)&lt;&gt;"",TRUE)</f>
        <v>1</v>
      </c>
      <c r="H1309" s="35" t="str">
        <f t="shared" si="40"/>
        <v>Row 52 - If ‘DG classification’ is ‘IBC’ or ‘IMSBC’  the ‘IMO Hazard Class’ is mandatory</v>
      </c>
      <c r="J1309" s="35" t="b">
        <f>IF(OR(INDEX(OHZ_HAZ_DGCLASSIFI,52,1)="IBC",INDEX(OHZ_HAZ_DGCLASSIFI,52,1)="IMSBC"),INDEX(OHZ_HAZ_IMOHAZARDC,52,1)&lt;&gt;"",TRUE)</f>
        <v>1</v>
      </c>
      <c r="K1309" s="35" t="str">
        <f t="shared" si="41"/>
        <v>Row 52 - If ‘DG classification’ is ‘IBC’ or ‘IMSBC’  the ‘IMO Hazard Class’ is mandatory</v>
      </c>
    </row>
    <row r="1310" spans="7:11" s="35" customFormat="1" x14ac:dyDescent="0.2">
      <c r="G1310" s="35" t="b">
        <f>IF(OR(INDEX(IHZ_HAZ_DGCLASSIFI,53,1)="IBC",INDEX(IHZ_HAZ_DGCLASSIFI,53,1)="IMSBC"),INDEX(IHZ_HAZ_IMOHAZARDC,53,1)&lt;&gt;"",TRUE)</f>
        <v>1</v>
      </c>
      <c r="H1310" s="35" t="str">
        <f t="shared" si="40"/>
        <v>Row 53 - If ‘DG classification’ is ‘IBC’ or ‘IMSBC’  the ‘IMO Hazard Class’ is mandatory</v>
      </c>
      <c r="J1310" s="35" t="b">
        <f>IF(OR(INDEX(OHZ_HAZ_DGCLASSIFI,53,1)="IBC",INDEX(OHZ_HAZ_DGCLASSIFI,53,1)="IMSBC"),INDEX(OHZ_HAZ_IMOHAZARDC,53,1)&lt;&gt;"",TRUE)</f>
        <v>1</v>
      </c>
      <c r="K1310" s="35" t="str">
        <f t="shared" si="41"/>
        <v>Row 53 - If ‘DG classification’ is ‘IBC’ or ‘IMSBC’  the ‘IMO Hazard Class’ is mandatory</v>
      </c>
    </row>
    <row r="1311" spans="7:11" s="35" customFormat="1" x14ac:dyDescent="0.2">
      <c r="G1311" s="35" t="b">
        <f>IF(OR(INDEX(IHZ_HAZ_DGCLASSIFI,54,1)="IBC",INDEX(IHZ_HAZ_DGCLASSIFI,54,1)="IMSBC"),INDEX(IHZ_HAZ_IMOHAZARDC,54,1)&lt;&gt;"",TRUE)</f>
        <v>1</v>
      </c>
      <c r="H1311" s="35" t="str">
        <f t="shared" si="40"/>
        <v>Row 54 - If ‘DG classification’ is ‘IBC’ or ‘IMSBC’  the ‘IMO Hazard Class’ is mandatory</v>
      </c>
      <c r="J1311" s="35" t="b">
        <f>IF(OR(INDEX(OHZ_HAZ_DGCLASSIFI,54,1)="IBC",INDEX(OHZ_HAZ_DGCLASSIFI,54,1)="IMSBC"),INDEX(OHZ_HAZ_IMOHAZARDC,54,1)&lt;&gt;"",TRUE)</f>
        <v>1</v>
      </c>
      <c r="K1311" s="35" t="str">
        <f t="shared" si="41"/>
        <v>Row 54 - If ‘DG classification’ is ‘IBC’ or ‘IMSBC’  the ‘IMO Hazard Class’ is mandatory</v>
      </c>
    </row>
    <row r="1312" spans="7:11" s="35" customFormat="1" x14ac:dyDescent="0.2">
      <c r="G1312" s="35" t="b">
        <f>IF(OR(INDEX(IHZ_HAZ_DGCLASSIFI,55,1)="IBC",INDEX(IHZ_HAZ_DGCLASSIFI,55,1)="IMSBC"),INDEX(IHZ_HAZ_IMOHAZARDC,55,1)&lt;&gt;"",TRUE)</f>
        <v>1</v>
      </c>
      <c r="H1312" s="35" t="str">
        <f t="shared" si="40"/>
        <v>Row 55 - If ‘DG classification’ is ‘IBC’ or ‘IMSBC’  the ‘IMO Hazard Class’ is mandatory</v>
      </c>
      <c r="J1312" s="35" t="b">
        <f>IF(OR(INDEX(OHZ_HAZ_DGCLASSIFI,55,1)="IBC",INDEX(OHZ_HAZ_DGCLASSIFI,55,1)="IMSBC"),INDEX(OHZ_HAZ_IMOHAZARDC,55,1)&lt;&gt;"",TRUE)</f>
        <v>1</v>
      </c>
      <c r="K1312" s="35" t="str">
        <f t="shared" si="41"/>
        <v>Row 55 - If ‘DG classification’ is ‘IBC’ or ‘IMSBC’  the ‘IMO Hazard Class’ is mandatory</v>
      </c>
    </row>
    <row r="1313" spans="7:11" s="35" customFormat="1" x14ac:dyDescent="0.2">
      <c r="G1313" s="35" t="b">
        <f>IF(OR(INDEX(IHZ_HAZ_DGCLASSIFI,56,1)="IBC",INDEX(IHZ_HAZ_DGCLASSIFI,56,1)="IMSBC"),INDEX(IHZ_HAZ_IMOHAZARDC,56,1)&lt;&gt;"",TRUE)</f>
        <v>1</v>
      </c>
      <c r="H1313" s="35" t="str">
        <f t="shared" si="40"/>
        <v>Row 56 - If ‘DG classification’ is ‘IBC’ or ‘IMSBC’  the ‘IMO Hazard Class’ is mandatory</v>
      </c>
      <c r="J1313" s="35" t="b">
        <f>IF(OR(INDEX(OHZ_HAZ_DGCLASSIFI,56,1)="IBC",INDEX(OHZ_HAZ_DGCLASSIFI,56,1)="IMSBC"),INDEX(OHZ_HAZ_IMOHAZARDC,56,1)&lt;&gt;"",TRUE)</f>
        <v>1</v>
      </c>
      <c r="K1313" s="35" t="str">
        <f t="shared" si="41"/>
        <v>Row 56 - If ‘DG classification’ is ‘IBC’ or ‘IMSBC’  the ‘IMO Hazard Class’ is mandatory</v>
      </c>
    </row>
    <row r="1314" spans="7:11" s="35" customFormat="1" x14ac:dyDescent="0.2">
      <c r="G1314" s="35" t="b">
        <f>IF(OR(INDEX(IHZ_HAZ_DGCLASSIFI,57,1)="IBC",INDEX(IHZ_HAZ_DGCLASSIFI,57,1)="IMSBC"),INDEX(IHZ_HAZ_IMOHAZARDC,57,1)&lt;&gt;"",TRUE)</f>
        <v>1</v>
      </c>
      <c r="H1314" s="35" t="str">
        <f t="shared" si="40"/>
        <v>Row 57 - If ‘DG classification’ is ‘IBC’ or ‘IMSBC’  the ‘IMO Hazard Class’ is mandatory</v>
      </c>
      <c r="J1314" s="35" t="b">
        <f>IF(OR(INDEX(OHZ_HAZ_DGCLASSIFI,57,1)="IBC",INDEX(OHZ_HAZ_DGCLASSIFI,57,1)="IMSBC"),INDEX(OHZ_HAZ_IMOHAZARDC,57,1)&lt;&gt;"",TRUE)</f>
        <v>1</v>
      </c>
      <c r="K1314" s="35" t="str">
        <f t="shared" si="41"/>
        <v>Row 57 - If ‘DG classification’ is ‘IBC’ or ‘IMSBC’  the ‘IMO Hazard Class’ is mandatory</v>
      </c>
    </row>
    <row r="1315" spans="7:11" s="35" customFormat="1" x14ac:dyDescent="0.2">
      <c r="G1315" s="35" t="b">
        <f>IF(OR(INDEX(IHZ_HAZ_DGCLASSIFI,58,1)="IBC",INDEX(IHZ_HAZ_DGCLASSIFI,58,1)="IMSBC"),INDEX(IHZ_HAZ_IMOHAZARDC,58,1)&lt;&gt;"",TRUE)</f>
        <v>1</v>
      </c>
      <c r="H1315" s="35" t="str">
        <f t="shared" si="40"/>
        <v>Row 58 - If ‘DG classification’ is ‘IBC’ or ‘IMSBC’  the ‘IMO Hazard Class’ is mandatory</v>
      </c>
      <c r="J1315" s="35" t="b">
        <f>IF(OR(INDEX(OHZ_HAZ_DGCLASSIFI,58,1)="IBC",INDEX(OHZ_HAZ_DGCLASSIFI,58,1)="IMSBC"),INDEX(OHZ_HAZ_IMOHAZARDC,58,1)&lt;&gt;"",TRUE)</f>
        <v>1</v>
      </c>
      <c r="K1315" s="35" t="str">
        <f t="shared" si="41"/>
        <v>Row 58 - If ‘DG classification’ is ‘IBC’ or ‘IMSBC’  the ‘IMO Hazard Class’ is mandatory</v>
      </c>
    </row>
    <row r="1316" spans="7:11" s="35" customFormat="1" x14ac:dyDescent="0.2">
      <c r="G1316" s="35" t="b">
        <f>IF(OR(INDEX(IHZ_HAZ_DGCLASSIFI,59,1)="IBC",INDEX(IHZ_HAZ_DGCLASSIFI,59,1)="IMSBC"),INDEX(IHZ_HAZ_IMOHAZARDC,59,1)&lt;&gt;"",TRUE)</f>
        <v>1</v>
      </c>
      <c r="H1316" s="35" t="str">
        <f t="shared" si="40"/>
        <v>Row 59 - If ‘DG classification’ is ‘IBC’ or ‘IMSBC’  the ‘IMO Hazard Class’ is mandatory</v>
      </c>
      <c r="J1316" s="35" t="b">
        <f>IF(OR(INDEX(OHZ_HAZ_DGCLASSIFI,59,1)="IBC",INDEX(OHZ_HAZ_DGCLASSIFI,59,1)="IMSBC"),INDEX(OHZ_HAZ_IMOHAZARDC,59,1)&lt;&gt;"",TRUE)</f>
        <v>1</v>
      </c>
      <c r="K1316" s="35" t="str">
        <f t="shared" si="41"/>
        <v>Row 59 - If ‘DG classification’ is ‘IBC’ or ‘IMSBC’  the ‘IMO Hazard Class’ is mandatory</v>
      </c>
    </row>
    <row r="1317" spans="7:11" s="35" customFormat="1" x14ac:dyDescent="0.2">
      <c r="G1317" s="35" t="b">
        <f>IF(OR(INDEX(IHZ_HAZ_DGCLASSIFI,60,1)="IBC",INDEX(IHZ_HAZ_DGCLASSIFI,60,1)="IMSBC"),INDEX(IHZ_HAZ_IMOHAZARDC,60,1)&lt;&gt;"",TRUE)</f>
        <v>1</v>
      </c>
      <c r="H1317" s="35" t="str">
        <f t="shared" si="40"/>
        <v>Row 60 - If ‘DG classification’ is ‘IBC’ or ‘IMSBC’  the ‘IMO Hazard Class’ is mandatory</v>
      </c>
      <c r="J1317" s="35" t="b">
        <f>IF(OR(INDEX(OHZ_HAZ_DGCLASSIFI,60,1)="IBC",INDEX(OHZ_HAZ_DGCLASSIFI,60,1)="IMSBC"),INDEX(OHZ_HAZ_IMOHAZARDC,60,1)&lt;&gt;"",TRUE)</f>
        <v>1</v>
      </c>
      <c r="K1317" s="35" t="str">
        <f t="shared" si="41"/>
        <v>Row 60 - If ‘DG classification’ is ‘IBC’ or ‘IMSBC’  the ‘IMO Hazard Class’ is mandatory</v>
      </c>
    </row>
    <row r="1318" spans="7:11" s="35" customFormat="1" x14ac:dyDescent="0.2">
      <c r="G1318" s="35" t="b">
        <f>IF(OR(INDEX(IHZ_HAZ_DGCLASSIFI,61,1)="IBC",INDEX(IHZ_HAZ_DGCLASSIFI,61,1)="IMSBC"),INDEX(IHZ_HAZ_IMOHAZARDC,61,1)&lt;&gt;"",TRUE)</f>
        <v>1</v>
      </c>
      <c r="H1318" s="35" t="str">
        <f t="shared" si="40"/>
        <v>Row 61 - If ‘DG classification’ is ‘IBC’ or ‘IMSBC’  the ‘IMO Hazard Class’ is mandatory</v>
      </c>
      <c r="J1318" s="35" t="b">
        <f>IF(OR(INDEX(OHZ_HAZ_DGCLASSIFI,61,1)="IBC",INDEX(OHZ_HAZ_DGCLASSIFI,61,1)="IMSBC"),INDEX(OHZ_HAZ_IMOHAZARDC,61,1)&lt;&gt;"",TRUE)</f>
        <v>1</v>
      </c>
      <c r="K1318" s="35" t="str">
        <f t="shared" si="41"/>
        <v>Row 61 - If ‘DG classification’ is ‘IBC’ or ‘IMSBC’  the ‘IMO Hazard Class’ is mandatory</v>
      </c>
    </row>
    <row r="1319" spans="7:11" s="35" customFormat="1" x14ac:dyDescent="0.2">
      <c r="G1319" s="35" t="b">
        <f>IF(OR(INDEX(IHZ_HAZ_DGCLASSIFI,62,1)="IBC",INDEX(IHZ_HAZ_DGCLASSIFI,62,1)="IMSBC"),INDEX(IHZ_HAZ_IMOHAZARDC,62,1)&lt;&gt;"",TRUE)</f>
        <v>1</v>
      </c>
      <c r="H1319" s="35" t="str">
        <f t="shared" si="40"/>
        <v>Row 62 - If ‘DG classification’ is ‘IBC’ or ‘IMSBC’  the ‘IMO Hazard Class’ is mandatory</v>
      </c>
      <c r="J1319" s="35" t="b">
        <f>IF(OR(INDEX(OHZ_HAZ_DGCLASSIFI,62,1)="IBC",INDEX(OHZ_HAZ_DGCLASSIFI,62,1)="IMSBC"),INDEX(OHZ_HAZ_IMOHAZARDC,62,1)&lt;&gt;"",TRUE)</f>
        <v>1</v>
      </c>
      <c r="K1319" s="35" t="str">
        <f t="shared" si="41"/>
        <v>Row 62 - If ‘DG classification’ is ‘IBC’ or ‘IMSBC’  the ‘IMO Hazard Class’ is mandatory</v>
      </c>
    </row>
    <row r="1320" spans="7:11" s="35" customFormat="1" x14ac:dyDescent="0.2">
      <c r="G1320" s="35" t="b">
        <f>IF(OR(INDEX(IHZ_HAZ_DGCLASSIFI,63,1)="IBC",INDEX(IHZ_HAZ_DGCLASSIFI,63,1)="IMSBC"),INDEX(IHZ_HAZ_IMOHAZARDC,63,1)&lt;&gt;"",TRUE)</f>
        <v>1</v>
      </c>
      <c r="H1320" s="35" t="str">
        <f t="shared" si="40"/>
        <v>Row 63 - If ‘DG classification’ is ‘IBC’ or ‘IMSBC’  the ‘IMO Hazard Class’ is mandatory</v>
      </c>
      <c r="J1320" s="35" t="b">
        <f>IF(OR(INDEX(OHZ_HAZ_DGCLASSIFI,63,1)="IBC",INDEX(OHZ_HAZ_DGCLASSIFI,63,1)="IMSBC"),INDEX(OHZ_HAZ_IMOHAZARDC,63,1)&lt;&gt;"",TRUE)</f>
        <v>1</v>
      </c>
      <c r="K1320" s="35" t="str">
        <f t="shared" si="41"/>
        <v>Row 63 - If ‘DG classification’ is ‘IBC’ or ‘IMSBC’  the ‘IMO Hazard Class’ is mandatory</v>
      </c>
    </row>
    <row r="1321" spans="7:11" s="35" customFormat="1" x14ac:dyDescent="0.2">
      <c r="G1321" s="35" t="b">
        <f>IF(OR(INDEX(IHZ_HAZ_DGCLASSIFI,64,1)="IBC",INDEX(IHZ_HAZ_DGCLASSIFI,64,1)="IMSBC"),INDEX(IHZ_HAZ_IMOHAZARDC,64,1)&lt;&gt;"",TRUE)</f>
        <v>1</v>
      </c>
      <c r="H1321" s="35" t="str">
        <f t="shared" si="40"/>
        <v>Row 64 - If ‘DG classification’ is ‘IBC’ or ‘IMSBC’  the ‘IMO Hazard Class’ is mandatory</v>
      </c>
      <c r="J1321" s="35" t="b">
        <f>IF(OR(INDEX(OHZ_HAZ_DGCLASSIFI,64,1)="IBC",INDEX(OHZ_HAZ_DGCLASSIFI,64,1)="IMSBC"),INDEX(OHZ_HAZ_IMOHAZARDC,64,1)&lt;&gt;"",TRUE)</f>
        <v>1</v>
      </c>
      <c r="K1321" s="35" t="str">
        <f t="shared" si="41"/>
        <v>Row 64 - If ‘DG classification’ is ‘IBC’ or ‘IMSBC’  the ‘IMO Hazard Class’ is mandatory</v>
      </c>
    </row>
    <row r="1322" spans="7:11" s="35" customFormat="1" x14ac:dyDescent="0.2">
      <c r="G1322" s="35" t="b">
        <f>IF(OR(INDEX(IHZ_HAZ_DGCLASSIFI,65,1)="IBC",INDEX(IHZ_HAZ_DGCLASSIFI,65,1)="IMSBC"),INDEX(IHZ_HAZ_IMOHAZARDC,65,1)&lt;&gt;"",TRUE)</f>
        <v>1</v>
      </c>
      <c r="H1322" s="35" t="str">
        <f t="shared" si="40"/>
        <v>Row 65 - If ‘DG classification’ is ‘IBC’ or ‘IMSBC’  the ‘IMO Hazard Class’ is mandatory</v>
      </c>
      <c r="J1322" s="35" t="b">
        <f>IF(OR(INDEX(OHZ_HAZ_DGCLASSIFI,65,1)="IBC",INDEX(OHZ_HAZ_DGCLASSIFI,65,1)="IMSBC"),INDEX(OHZ_HAZ_IMOHAZARDC,65,1)&lt;&gt;"",TRUE)</f>
        <v>1</v>
      </c>
      <c r="K1322" s="35" t="str">
        <f t="shared" si="41"/>
        <v>Row 65 - If ‘DG classification’ is ‘IBC’ or ‘IMSBC’  the ‘IMO Hazard Class’ is mandatory</v>
      </c>
    </row>
    <row r="1323" spans="7:11" s="35" customFormat="1" x14ac:dyDescent="0.2">
      <c r="G1323" s="35" t="b">
        <f>IF(OR(INDEX(IHZ_HAZ_DGCLASSIFI,66,1)="IBC",INDEX(IHZ_HAZ_DGCLASSIFI,66,1)="IMSBC"),INDEX(IHZ_HAZ_IMOHAZARDC,66,1)&lt;&gt;"",TRUE)</f>
        <v>1</v>
      </c>
      <c r="H1323" s="35" t="str">
        <f t="shared" ref="H1323:H1386" si="42">T66&amp;$V$7</f>
        <v>Row 66 - If ‘DG classification’ is ‘IBC’ or ‘IMSBC’  the ‘IMO Hazard Class’ is mandatory</v>
      </c>
      <c r="J1323" s="35" t="b">
        <f>IF(OR(INDEX(OHZ_HAZ_DGCLASSIFI,66,1)="IBC",INDEX(OHZ_HAZ_DGCLASSIFI,66,1)="IMSBC"),INDEX(OHZ_HAZ_IMOHAZARDC,66,1)&lt;&gt;"",TRUE)</f>
        <v>1</v>
      </c>
      <c r="K1323" s="35" t="str">
        <f t="shared" ref="K1323:K1386" si="43">T66&amp;$V$7</f>
        <v>Row 66 - If ‘DG classification’ is ‘IBC’ or ‘IMSBC’  the ‘IMO Hazard Class’ is mandatory</v>
      </c>
    </row>
    <row r="1324" spans="7:11" s="35" customFormat="1" x14ac:dyDescent="0.2">
      <c r="G1324" s="35" t="b">
        <f>IF(OR(INDEX(IHZ_HAZ_DGCLASSIFI,67,1)="IBC",INDEX(IHZ_HAZ_DGCLASSIFI,67,1)="IMSBC"),INDEX(IHZ_HAZ_IMOHAZARDC,67,1)&lt;&gt;"",TRUE)</f>
        <v>1</v>
      </c>
      <c r="H1324" s="35" t="str">
        <f t="shared" si="42"/>
        <v>Row 67 - If ‘DG classification’ is ‘IBC’ or ‘IMSBC’  the ‘IMO Hazard Class’ is mandatory</v>
      </c>
      <c r="J1324" s="35" t="b">
        <f>IF(OR(INDEX(OHZ_HAZ_DGCLASSIFI,67,1)="IBC",INDEX(OHZ_HAZ_DGCLASSIFI,67,1)="IMSBC"),INDEX(OHZ_HAZ_IMOHAZARDC,67,1)&lt;&gt;"",TRUE)</f>
        <v>1</v>
      </c>
      <c r="K1324" s="35" t="str">
        <f t="shared" si="43"/>
        <v>Row 67 - If ‘DG classification’ is ‘IBC’ or ‘IMSBC’  the ‘IMO Hazard Class’ is mandatory</v>
      </c>
    </row>
    <row r="1325" spans="7:11" s="35" customFormat="1" x14ac:dyDescent="0.2">
      <c r="G1325" s="35" t="b">
        <f>IF(OR(INDEX(IHZ_HAZ_DGCLASSIFI,68,1)="IBC",INDEX(IHZ_HAZ_DGCLASSIFI,68,1)="IMSBC"),INDEX(IHZ_HAZ_IMOHAZARDC,68,1)&lt;&gt;"",TRUE)</f>
        <v>1</v>
      </c>
      <c r="H1325" s="35" t="str">
        <f t="shared" si="42"/>
        <v>Row 68 - If ‘DG classification’ is ‘IBC’ or ‘IMSBC’  the ‘IMO Hazard Class’ is mandatory</v>
      </c>
      <c r="J1325" s="35" t="b">
        <f>IF(OR(INDEX(OHZ_HAZ_DGCLASSIFI,68,1)="IBC",INDEX(OHZ_HAZ_DGCLASSIFI,68,1)="IMSBC"),INDEX(OHZ_HAZ_IMOHAZARDC,68,1)&lt;&gt;"",TRUE)</f>
        <v>1</v>
      </c>
      <c r="K1325" s="35" t="str">
        <f t="shared" si="43"/>
        <v>Row 68 - If ‘DG classification’ is ‘IBC’ or ‘IMSBC’  the ‘IMO Hazard Class’ is mandatory</v>
      </c>
    </row>
    <row r="1326" spans="7:11" s="35" customFormat="1" x14ac:dyDescent="0.2">
      <c r="G1326" s="35" t="b">
        <f>IF(OR(INDEX(IHZ_HAZ_DGCLASSIFI,69,1)="IBC",INDEX(IHZ_HAZ_DGCLASSIFI,69,1)="IMSBC"),INDEX(IHZ_HAZ_IMOHAZARDC,69,1)&lt;&gt;"",TRUE)</f>
        <v>1</v>
      </c>
      <c r="H1326" s="35" t="str">
        <f t="shared" si="42"/>
        <v>Row 69 - If ‘DG classification’ is ‘IBC’ or ‘IMSBC’  the ‘IMO Hazard Class’ is mandatory</v>
      </c>
      <c r="J1326" s="35" t="b">
        <f>IF(OR(INDEX(OHZ_HAZ_DGCLASSIFI,69,1)="IBC",INDEX(OHZ_HAZ_DGCLASSIFI,69,1)="IMSBC"),INDEX(OHZ_HAZ_IMOHAZARDC,69,1)&lt;&gt;"",TRUE)</f>
        <v>1</v>
      </c>
      <c r="K1326" s="35" t="str">
        <f t="shared" si="43"/>
        <v>Row 69 - If ‘DG classification’ is ‘IBC’ or ‘IMSBC’  the ‘IMO Hazard Class’ is mandatory</v>
      </c>
    </row>
    <row r="1327" spans="7:11" s="35" customFormat="1" x14ac:dyDescent="0.2">
      <c r="G1327" s="35" t="b">
        <f>IF(OR(INDEX(IHZ_HAZ_DGCLASSIFI,70,1)="IBC",INDEX(IHZ_HAZ_DGCLASSIFI,70,1)="IMSBC"),INDEX(IHZ_HAZ_IMOHAZARDC,70,1)&lt;&gt;"",TRUE)</f>
        <v>1</v>
      </c>
      <c r="H1327" s="35" t="str">
        <f t="shared" si="42"/>
        <v>Row 70 - If ‘DG classification’ is ‘IBC’ or ‘IMSBC’  the ‘IMO Hazard Class’ is mandatory</v>
      </c>
      <c r="J1327" s="35" t="b">
        <f>IF(OR(INDEX(OHZ_HAZ_DGCLASSIFI,70,1)="IBC",INDEX(OHZ_HAZ_DGCLASSIFI,70,1)="IMSBC"),INDEX(OHZ_HAZ_IMOHAZARDC,70,1)&lt;&gt;"",TRUE)</f>
        <v>1</v>
      </c>
      <c r="K1327" s="35" t="str">
        <f t="shared" si="43"/>
        <v>Row 70 - If ‘DG classification’ is ‘IBC’ or ‘IMSBC’  the ‘IMO Hazard Class’ is mandatory</v>
      </c>
    </row>
    <row r="1328" spans="7:11" s="35" customFormat="1" x14ac:dyDescent="0.2">
      <c r="G1328" s="35" t="b">
        <f>IF(OR(INDEX(IHZ_HAZ_DGCLASSIFI,71,1)="IBC",INDEX(IHZ_HAZ_DGCLASSIFI,71,1)="IMSBC"),INDEX(IHZ_HAZ_IMOHAZARDC,71,1)&lt;&gt;"",TRUE)</f>
        <v>1</v>
      </c>
      <c r="H1328" s="35" t="str">
        <f t="shared" si="42"/>
        <v>Row 71 - If ‘DG classification’ is ‘IBC’ or ‘IMSBC’  the ‘IMO Hazard Class’ is mandatory</v>
      </c>
      <c r="J1328" s="35" t="b">
        <f>IF(OR(INDEX(OHZ_HAZ_DGCLASSIFI,71,1)="IBC",INDEX(OHZ_HAZ_DGCLASSIFI,71,1)="IMSBC"),INDEX(OHZ_HAZ_IMOHAZARDC,71,1)&lt;&gt;"",TRUE)</f>
        <v>1</v>
      </c>
      <c r="K1328" s="35" t="str">
        <f t="shared" si="43"/>
        <v>Row 71 - If ‘DG classification’ is ‘IBC’ or ‘IMSBC’  the ‘IMO Hazard Class’ is mandatory</v>
      </c>
    </row>
    <row r="1329" spans="7:11" s="35" customFormat="1" x14ac:dyDescent="0.2">
      <c r="G1329" s="35" t="b">
        <f>IF(OR(INDEX(IHZ_HAZ_DGCLASSIFI,72,1)="IBC",INDEX(IHZ_HAZ_DGCLASSIFI,72,1)="IMSBC"),INDEX(IHZ_HAZ_IMOHAZARDC,72,1)&lt;&gt;"",TRUE)</f>
        <v>1</v>
      </c>
      <c r="H1329" s="35" t="str">
        <f t="shared" si="42"/>
        <v>Row 72 - If ‘DG classification’ is ‘IBC’ or ‘IMSBC’  the ‘IMO Hazard Class’ is mandatory</v>
      </c>
      <c r="J1329" s="35" t="b">
        <f>IF(OR(INDEX(OHZ_HAZ_DGCLASSIFI,72,1)="IBC",INDEX(OHZ_HAZ_DGCLASSIFI,72,1)="IMSBC"),INDEX(OHZ_HAZ_IMOHAZARDC,72,1)&lt;&gt;"",TRUE)</f>
        <v>1</v>
      </c>
      <c r="K1329" s="35" t="str">
        <f t="shared" si="43"/>
        <v>Row 72 - If ‘DG classification’ is ‘IBC’ or ‘IMSBC’  the ‘IMO Hazard Class’ is mandatory</v>
      </c>
    </row>
    <row r="1330" spans="7:11" s="35" customFormat="1" x14ac:dyDescent="0.2">
      <c r="G1330" s="35" t="b">
        <f>IF(OR(INDEX(IHZ_HAZ_DGCLASSIFI,73,1)="IBC",INDEX(IHZ_HAZ_DGCLASSIFI,73,1)="IMSBC"),INDEX(IHZ_HAZ_IMOHAZARDC,73,1)&lt;&gt;"",TRUE)</f>
        <v>1</v>
      </c>
      <c r="H1330" s="35" t="str">
        <f t="shared" si="42"/>
        <v>Row 73 - If ‘DG classification’ is ‘IBC’ or ‘IMSBC’  the ‘IMO Hazard Class’ is mandatory</v>
      </c>
      <c r="J1330" s="35" t="b">
        <f>IF(OR(INDEX(OHZ_HAZ_DGCLASSIFI,73,1)="IBC",INDEX(OHZ_HAZ_DGCLASSIFI,73,1)="IMSBC"),INDEX(OHZ_HAZ_IMOHAZARDC,73,1)&lt;&gt;"",TRUE)</f>
        <v>1</v>
      </c>
      <c r="K1330" s="35" t="str">
        <f t="shared" si="43"/>
        <v>Row 73 - If ‘DG classification’ is ‘IBC’ or ‘IMSBC’  the ‘IMO Hazard Class’ is mandatory</v>
      </c>
    </row>
    <row r="1331" spans="7:11" s="35" customFormat="1" x14ac:dyDescent="0.2">
      <c r="G1331" s="35" t="b">
        <f>IF(OR(INDEX(IHZ_HAZ_DGCLASSIFI,74,1)="IBC",INDEX(IHZ_HAZ_DGCLASSIFI,74,1)="IMSBC"),INDEX(IHZ_HAZ_IMOHAZARDC,74,1)&lt;&gt;"",TRUE)</f>
        <v>1</v>
      </c>
      <c r="H1331" s="35" t="str">
        <f t="shared" si="42"/>
        <v>Row 74 - If ‘DG classification’ is ‘IBC’ or ‘IMSBC’  the ‘IMO Hazard Class’ is mandatory</v>
      </c>
      <c r="J1331" s="35" t="b">
        <f>IF(OR(INDEX(OHZ_HAZ_DGCLASSIFI,74,1)="IBC",INDEX(OHZ_HAZ_DGCLASSIFI,74,1)="IMSBC"),INDEX(OHZ_HAZ_IMOHAZARDC,74,1)&lt;&gt;"",TRUE)</f>
        <v>1</v>
      </c>
      <c r="K1331" s="35" t="str">
        <f t="shared" si="43"/>
        <v>Row 74 - If ‘DG classification’ is ‘IBC’ or ‘IMSBC’  the ‘IMO Hazard Class’ is mandatory</v>
      </c>
    </row>
    <row r="1332" spans="7:11" s="35" customFormat="1" x14ac:dyDescent="0.2">
      <c r="G1332" s="35" t="b">
        <f>IF(OR(INDEX(IHZ_HAZ_DGCLASSIFI,75,1)="IBC",INDEX(IHZ_HAZ_DGCLASSIFI,75,1)="IMSBC"),INDEX(IHZ_HAZ_IMOHAZARDC,75,1)&lt;&gt;"",TRUE)</f>
        <v>1</v>
      </c>
      <c r="H1332" s="35" t="str">
        <f t="shared" si="42"/>
        <v>Row 75 - If ‘DG classification’ is ‘IBC’ or ‘IMSBC’  the ‘IMO Hazard Class’ is mandatory</v>
      </c>
      <c r="J1332" s="35" t="b">
        <f>IF(OR(INDEX(OHZ_HAZ_DGCLASSIFI,75,1)="IBC",INDEX(OHZ_HAZ_DGCLASSIFI,75,1)="IMSBC"),INDEX(OHZ_HAZ_IMOHAZARDC,75,1)&lt;&gt;"",TRUE)</f>
        <v>1</v>
      </c>
      <c r="K1332" s="35" t="str">
        <f t="shared" si="43"/>
        <v>Row 75 - If ‘DG classification’ is ‘IBC’ or ‘IMSBC’  the ‘IMO Hazard Class’ is mandatory</v>
      </c>
    </row>
    <row r="1333" spans="7:11" s="35" customFormat="1" x14ac:dyDescent="0.2">
      <c r="G1333" s="35" t="b">
        <f>IF(OR(INDEX(IHZ_HAZ_DGCLASSIFI,76,1)="IBC",INDEX(IHZ_HAZ_DGCLASSIFI,76,1)="IMSBC"),INDEX(IHZ_HAZ_IMOHAZARDC,76,1)&lt;&gt;"",TRUE)</f>
        <v>1</v>
      </c>
      <c r="H1333" s="35" t="str">
        <f t="shared" si="42"/>
        <v>Row 76 - If ‘DG classification’ is ‘IBC’ or ‘IMSBC’  the ‘IMO Hazard Class’ is mandatory</v>
      </c>
      <c r="J1333" s="35" t="b">
        <f>IF(OR(INDEX(OHZ_HAZ_DGCLASSIFI,76,1)="IBC",INDEX(OHZ_HAZ_DGCLASSIFI,76,1)="IMSBC"),INDEX(OHZ_HAZ_IMOHAZARDC,76,1)&lt;&gt;"",TRUE)</f>
        <v>1</v>
      </c>
      <c r="K1333" s="35" t="str">
        <f t="shared" si="43"/>
        <v>Row 76 - If ‘DG classification’ is ‘IBC’ or ‘IMSBC’  the ‘IMO Hazard Class’ is mandatory</v>
      </c>
    </row>
    <row r="1334" spans="7:11" s="35" customFormat="1" x14ac:dyDescent="0.2">
      <c r="G1334" s="35" t="b">
        <f>IF(OR(INDEX(IHZ_HAZ_DGCLASSIFI,77,1)="IBC",INDEX(IHZ_HAZ_DGCLASSIFI,77,1)="IMSBC"),INDEX(IHZ_HAZ_IMOHAZARDC,77,1)&lt;&gt;"",TRUE)</f>
        <v>1</v>
      </c>
      <c r="H1334" s="35" t="str">
        <f t="shared" si="42"/>
        <v>Row 77 - If ‘DG classification’ is ‘IBC’ or ‘IMSBC’  the ‘IMO Hazard Class’ is mandatory</v>
      </c>
      <c r="J1334" s="35" t="b">
        <f>IF(OR(INDEX(OHZ_HAZ_DGCLASSIFI,77,1)="IBC",INDEX(OHZ_HAZ_DGCLASSIFI,77,1)="IMSBC"),INDEX(OHZ_HAZ_IMOHAZARDC,77,1)&lt;&gt;"",TRUE)</f>
        <v>1</v>
      </c>
      <c r="K1334" s="35" t="str">
        <f t="shared" si="43"/>
        <v>Row 77 - If ‘DG classification’ is ‘IBC’ or ‘IMSBC’  the ‘IMO Hazard Class’ is mandatory</v>
      </c>
    </row>
    <row r="1335" spans="7:11" s="35" customFormat="1" x14ac:dyDescent="0.2">
      <c r="G1335" s="35" t="b">
        <f>IF(OR(INDEX(IHZ_HAZ_DGCLASSIFI,78,1)="IBC",INDEX(IHZ_HAZ_DGCLASSIFI,78,1)="IMSBC"),INDEX(IHZ_HAZ_IMOHAZARDC,78,1)&lt;&gt;"",TRUE)</f>
        <v>1</v>
      </c>
      <c r="H1335" s="35" t="str">
        <f t="shared" si="42"/>
        <v>Row 78 - If ‘DG classification’ is ‘IBC’ or ‘IMSBC’  the ‘IMO Hazard Class’ is mandatory</v>
      </c>
      <c r="J1335" s="35" t="b">
        <f>IF(OR(INDEX(OHZ_HAZ_DGCLASSIFI,78,1)="IBC",INDEX(OHZ_HAZ_DGCLASSIFI,78,1)="IMSBC"),INDEX(OHZ_HAZ_IMOHAZARDC,78,1)&lt;&gt;"",TRUE)</f>
        <v>1</v>
      </c>
      <c r="K1335" s="35" t="str">
        <f t="shared" si="43"/>
        <v>Row 78 - If ‘DG classification’ is ‘IBC’ or ‘IMSBC’  the ‘IMO Hazard Class’ is mandatory</v>
      </c>
    </row>
    <row r="1336" spans="7:11" s="35" customFormat="1" x14ac:dyDescent="0.2">
      <c r="G1336" s="35" t="b">
        <f>IF(OR(INDEX(IHZ_HAZ_DGCLASSIFI,79,1)="IBC",INDEX(IHZ_HAZ_DGCLASSIFI,79,1)="IMSBC"),INDEX(IHZ_HAZ_IMOHAZARDC,79,1)&lt;&gt;"",TRUE)</f>
        <v>1</v>
      </c>
      <c r="H1336" s="35" t="str">
        <f t="shared" si="42"/>
        <v>Row 79 - If ‘DG classification’ is ‘IBC’ or ‘IMSBC’  the ‘IMO Hazard Class’ is mandatory</v>
      </c>
      <c r="J1336" s="35" t="b">
        <f>IF(OR(INDEX(OHZ_HAZ_DGCLASSIFI,79,1)="IBC",INDEX(OHZ_HAZ_DGCLASSIFI,79,1)="IMSBC"),INDEX(OHZ_HAZ_IMOHAZARDC,79,1)&lt;&gt;"",TRUE)</f>
        <v>1</v>
      </c>
      <c r="K1336" s="35" t="str">
        <f t="shared" si="43"/>
        <v>Row 79 - If ‘DG classification’ is ‘IBC’ or ‘IMSBC’  the ‘IMO Hazard Class’ is mandatory</v>
      </c>
    </row>
    <row r="1337" spans="7:11" s="35" customFormat="1" x14ac:dyDescent="0.2">
      <c r="G1337" s="35" t="b">
        <f>IF(OR(INDEX(IHZ_HAZ_DGCLASSIFI,80,1)="IBC",INDEX(IHZ_HAZ_DGCLASSIFI,80,1)="IMSBC"),INDEX(IHZ_HAZ_IMOHAZARDC,80,1)&lt;&gt;"",TRUE)</f>
        <v>1</v>
      </c>
      <c r="H1337" s="35" t="str">
        <f t="shared" si="42"/>
        <v>Row 80 - If ‘DG classification’ is ‘IBC’ or ‘IMSBC’  the ‘IMO Hazard Class’ is mandatory</v>
      </c>
      <c r="J1337" s="35" t="b">
        <f>IF(OR(INDEX(OHZ_HAZ_DGCLASSIFI,80,1)="IBC",INDEX(OHZ_HAZ_DGCLASSIFI,80,1)="IMSBC"),INDEX(OHZ_HAZ_IMOHAZARDC,80,1)&lt;&gt;"",TRUE)</f>
        <v>1</v>
      </c>
      <c r="K1337" s="35" t="str">
        <f t="shared" si="43"/>
        <v>Row 80 - If ‘DG classification’ is ‘IBC’ or ‘IMSBC’  the ‘IMO Hazard Class’ is mandatory</v>
      </c>
    </row>
    <row r="1338" spans="7:11" s="35" customFormat="1" x14ac:dyDescent="0.2">
      <c r="G1338" s="35" t="b">
        <f>IF(OR(INDEX(IHZ_HAZ_DGCLASSIFI,81,1)="IBC",INDEX(IHZ_HAZ_DGCLASSIFI,81,1)="IMSBC"),INDEX(IHZ_HAZ_IMOHAZARDC,81,1)&lt;&gt;"",TRUE)</f>
        <v>1</v>
      </c>
      <c r="H1338" s="35" t="str">
        <f t="shared" si="42"/>
        <v>Row 81 - If ‘DG classification’ is ‘IBC’ or ‘IMSBC’  the ‘IMO Hazard Class’ is mandatory</v>
      </c>
      <c r="J1338" s="35" t="b">
        <f>IF(OR(INDEX(OHZ_HAZ_DGCLASSIFI,81,1)="IBC",INDEX(OHZ_HAZ_DGCLASSIFI,81,1)="IMSBC"),INDEX(OHZ_HAZ_IMOHAZARDC,81,1)&lt;&gt;"",TRUE)</f>
        <v>1</v>
      </c>
      <c r="K1338" s="35" t="str">
        <f t="shared" si="43"/>
        <v>Row 81 - If ‘DG classification’ is ‘IBC’ or ‘IMSBC’  the ‘IMO Hazard Class’ is mandatory</v>
      </c>
    </row>
    <row r="1339" spans="7:11" s="35" customFormat="1" x14ac:dyDescent="0.2">
      <c r="G1339" s="35" t="b">
        <f>IF(OR(INDEX(IHZ_HAZ_DGCLASSIFI,82,1)="IBC",INDEX(IHZ_HAZ_DGCLASSIFI,82,1)="IMSBC"),INDEX(IHZ_HAZ_IMOHAZARDC,82,1)&lt;&gt;"",TRUE)</f>
        <v>1</v>
      </c>
      <c r="H1339" s="35" t="str">
        <f t="shared" si="42"/>
        <v>Row 82 - If ‘DG classification’ is ‘IBC’ or ‘IMSBC’  the ‘IMO Hazard Class’ is mandatory</v>
      </c>
      <c r="J1339" s="35" t="b">
        <f>IF(OR(INDEX(OHZ_HAZ_DGCLASSIFI,82,1)="IBC",INDEX(OHZ_HAZ_DGCLASSIFI,82,1)="IMSBC"),INDEX(OHZ_HAZ_IMOHAZARDC,82,1)&lt;&gt;"",TRUE)</f>
        <v>1</v>
      </c>
      <c r="K1339" s="35" t="str">
        <f t="shared" si="43"/>
        <v>Row 82 - If ‘DG classification’ is ‘IBC’ or ‘IMSBC’  the ‘IMO Hazard Class’ is mandatory</v>
      </c>
    </row>
    <row r="1340" spans="7:11" s="35" customFormat="1" x14ac:dyDescent="0.2">
      <c r="G1340" s="35" t="b">
        <f>IF(OR(INDEX(IHZ_HAZ_DGCLASSIFI,83,1)="IBC",INDEX(IHZ_HAZ_DGCLASSIFI,83,1)="IMSBC"),INDEX(IHZ_HAZ_IMOHAZARDC,83,1)&lt;&gt;"",TRUE)</f>
        <v>1</v>
      </c>
      <c r="H1340" s="35" t="str">
        <f t="shared" si="42"/>
        <v>Row 83 - If ‘DG classification’ is ‘IBC’ or ‘IMSBC’  the ‘IMO Hazard Class’ is mandatory</v>
      </c>
      <c r="J1340" s="35" t="b">
        <f>IF(OR(INDEX(OHZ_HAZ_DGCLASSIFI,83,1)="IBC",INDEX(OHZ_HAZ_DGCLASSIFI,83,1)="IMSBC"),INDEX(OHZ_HAZ_IMOHAZARDC,83,1)&lt;&gt;"",TRUE)</f>
        <v>1</v>
      </c>
      <c r="K1340" s="35" t="str">
        <f t="shared" si="43"/>
        <v>Row 83 - If ‘DG classification’ is ‘IBC’ or ‘IMSBC’  the ‘IMO Hazard Class’ is mandatory</v>
      </c>
    </row>
    <row r="1341" spans="7:11" s="35" customFormat="1" x14ac:dyDescent="0.2">
      <c r="G1341" s="35" t="b">
        <f>IF(OR(INDEX(IHZ_HAZ_DGCLASSIFI,84,1)="IBC",INDEX(IHZ_HAZ_DGCLASSIFI,84,1)="IMSBC"),INDEX(IHZ_HAZ_IMOHAZARDC,84,1)&lt;&gt;"",TRUE)</f>
        <v>1</v>
      </c>
      <c r="H1341" s="35" t="str">
        <f t="shared" si="42"/>
        <v>Row 84 - If ‘DG classification’ is ‘IBC’ or ‘IMSBC’  the ‘IMO Hazard Class’ is mandatory</v>
      </c>
      <c r="J1341" s="35" t="b">
        <f>IF(OR(INDEX(OHZ_HAZ_DGCLASSIFI,84,1)="IBC",INDEX(OHZ_HAZ_DGCLASSIFI,84,1)="IMSBC"),INDEX(OHZ_HAZ_IMOHAZARDC,84,1)&lt;&gt;"",TRUE)</f>
        <v>1</v>
      </c>
      <c r="K1341" s="35" t="str">
        <f t="shared" si="43"/>
        <v>Row 84 - If ‘DG classification’ is ‘IBC’ or ‘IMSBC’  the ‘IMO Hazard Class’ is mandatory</v>
      </c>
    </row>
    <row r="1342" spans="7:11" s="35" customFormat="1" x14ac:dyDescent="0.2">
      <c r="G1342" s="35" t="b">
        <f>IF(OR(INDEX(IHZ_HAZ_DGCLASSIFI,85,1)="IBC",INDEX(IHZ_HAZ_DGCLASSIFI,85,1)="IMSBC"),INDEX(IHZ_HAZ_IMOHAZARDC,85,1)&lt;&gt;"",TRUE)</f>
        <v>1</v>
      </c>
      <c r="H1342" s="35" t="str">
        <f t="shared" si="42"/>
        <v>Row 85 - If ‘DG classification’ is ‘IBC’ or ‘IMSBC’  the ‘IMO Hazard Class’ is mandatory</v>
      </c>
      <c r="J1342" s="35" t="b">
        <f>IF(OR(INDEX(OHZ_HAZ_DGCLASSIFI,85,1)="IBC",INDEX(OHZ_HAZ_DGCLASSIFI,85,1)="IMSBC"),INDEX(OHZ_HAZ_IMOHAZARDC,85,1)&lt;&gt;"",TRUE)</f>
        <v>1</v>
      </c>
      <c r="K1342" s="35" t="str">
        <f t="shared" si="43"/>
        <v>Row 85 - If ‘DG classification’ is ‘IBC’ or ‘IMSBC’  the ‘IMO Hazard Class’ is mandatory</v>
      </c>
    </row>
    <row r="1343" spans="7:11" s="35" customFormat="1" x14ac:dyDescent="0.2">
      <c r="G1343" s="35" t="b">
        <f>IF(OR(INDEX(IHZ_HAZ_DGCLASSIFI,86,1)="IBC",INDEX(IHZ_HAZ_DGCLASSIFI,86,1)="IMSBC"),INDEX(IHZ_HAZ_IMOHAZARDC,86,1)&lt;&gt;"",TRUE)</f>
        <v>1</v>
      </c>
      <c r="H1343" s="35" t="str">
        <f t="shared" si="42"/>
        <v>Row 86 - If ‘DG classification’ is ‘IBC’ or ‘IMSBC’  the ‘IMO Hazard Class’ is mandatory</v>
      </c>
      <c r="J1343" s="35" t="b">
        <f>IF(OR(INDEX(OHZ_HAZ_DGCLASSIFI,86,1)="IBC",INDEX(OHZ_HAZ_DGCLASSIFI,86,1)="IMSBC"),INDEX(OHZ_HAZ_IMOHAZARDC,86,1)&lt;&gt;"",TRUE)</f>
        <v>1</v>
      </c>
      <c r="K1343" s="35" t="str">
        <f t="shared" si="43"/>
        <v>Row 86 - If ‘DG classification’ is ‘IBC’ or ‘IMSBC’  the ‘IMO Hazard Class’ is mandatory</v>
      </c>
    </row>
    <row r="1344" spans="7:11" s="35" customFormat="1" x14ac:dyDescent="0.2">
      <c r="G1344" s="35" t="b">
        <f>IF(OR(INDEX(IHZ_HAZ_DGCLASSIFI,87,1)="IBC",INDEX(IHZ_HAZ_DGCLASSIFI,87,1)="IMSBC"),INDEX(IHZ_HAZ_IMOHAZARDC,87,1)&lt;&gt;"",TRUE)</f>
        <v>1</v>
      </c>
      <c r="H1344" s="35" t="str">
        <f t="shared" si="42"/>
        <v>Row 87 - If ‘DG classification’ is ‘IBC’ or ‘IMSBC’  the ‘IMO Hazard Class’ is mandatory</v>
      </c>
      <c r="J1344" s="35" t="b">
        <f>IF(OR(INDEX(OHZ_HAZ_DGCLASSIFI,87,1)="IBC",INDEX(OHZ_HAZ_DGCLASSIFI,87,1)="IMSBC"),INDEX(OHZ_HAZ_IMOHAZARDC,87,1)&lt;&gt;"",TRUE)</f>
        <v>1</v>
      </c>
      <c r="K1344" s="35" t="str">
        <f t="shared" si="43"/>
        <v>Row 87 - If ‘DG classification’ is ‘IBC’ or ‘IMSBC’  the ‘IMO Hazard Class’ is mandatory</v>
      </c>
    </row>
    <row r="1345" spans="7:11" s="35" customFormat="1" x14ac:dyDescent="0.2">
      <c r="G1345" s="35" t="b">
        <f>IF(OR(INDEX(IHZ_HAZ_DGCLASSIFI,88,1)="IBC",INDEX(IHZ_HAZ_DGCLASSIFI,88,1)="IMSBC"),INDEX(IHZ_HAZ_IMOHAZARDC,88,1)&lt;&gt;"",TRUE)</f>
        <v>1</v>
      </c>
      <c r="H1345" s="35" t="str">
        <f t="shared" si="42"/>
        <v>Row 88 - If ‘DG classification’ is ‘IBC’ or ‘IMSBC’  the ‘IMO Hazard Class’ is mandatory</v>
      </c>
      <c r="J1345" s="35" t="b">
        <f>IF(OR(INDEX(OHZ_HAZ_DGCLASSIFI,88,1)="IBC",INDEX(OHZ_HAZ_DGCLASSIFI,88,1)="IMSBC"),INDEX(OHZ_HAZ_IMOHAZARDC,88,1)&lt;&gt;"",TRUE)</f>
        <v>1</v>
      </c>
      <c r="K1345" s="35" t="str">
        <f t="shared" si="43"/>
        <v>Row 88 - If ‘DG classification’ is ‘IBC’ or ‘IMSBC’  the ‘IMO Hazard Class’ is mandatory</v>
      </c>
    </row>
    <row r="1346" spans="7:11" s="35" customFormat="1" x14ac:dyDescent="0.2">
      <c r="G1346" s="35" t="b">
        <f>IF(OR(INDEX(IHZ_HAZ_DGCLASSIFI,89,1)="IBC",INDEX(IHZ_HAZ_DGCLASSIFI,89,1)="IMSBC"),INDEX(IHZ_HAZ_IMOHAZARDC,89,1)&lt;&gt;"",TRUE)</f>
        <v>1</v>
      </c>
      <c r="H1346" s="35" t="str">
        <f t="shared" si="42"/>
        <v>Row 89 - If ‘DG classification’ is ‘IBC’ or ‘IMSBC’  the ‘IMO Hazard Class’ is mandatory</v>
      </c>
      <c r="J1346" s="35" t="b">
        <f>IF(OR(INDEX(OHZ_HAZ_DGCLASSIFI,89,1)="IBC",INDEX(OHZ_HAZ_DGCLASSIFI,89,1)="IMSBC"),INDEX(OHZ_HAZ_IMOHAZARDC,89,1)&lt;&gt;"",TRUE)</f>
        <v>1</v>
      </c>
      <c r="K1346" s="35" t="str">
        <f t="shared" si="43"/>
        <v>Row 89 - If ‘DG classification’ is ‘IBC’ or ‘IMSBC’  the ‘IMO Hazard Class’ is mandatory</v>
      </c>
    </row>
    <row r="1347" spans="7:11" s="35" customFormat="1" x14ac:dyDescent="0.2">
      <c r="G1347" s="35" t="b">
        <f>IF(OR(INDEX(IHZ_HAZ_DGCLASSIFI,90,1)="IBC",INDEX(IHZ_HAZ_DGCLASSIFI,90,1)="IMSBC"),INDEX(IHZ_HAZ_IMOHAZARDC,90,1)&lt;&gt;"",TRUE)</f>
        <v>1</v>
      </c>
      <c r="H1347" s="35" t="str">
        <f t="shared" si="42"/>
        <v>Row 90 - If ‘DG classification’ is ‘IBC’ or ‘IMSBC’  the ‘IMO Hazard Class’ is mandatory</v>
      </c>
      <c r="J1347" s="35" t="b">
        <f>IF(OR(INDEX(OHZ_HAZ_DGCLASSIFI,90,1)="IBC",INDEX(OHZ_HAZ_DGCLASSIFI,90,1)="IMSBC"),INDEX(OHZ_HAZ_IMOHAZARDC,90,1)&lt;&gt;"",TRUE)</f>
        <v>1</v>
      </c>
      <c r="K1347" s="35" t="str">
        <f t="shared" si="43"/>
        <v>Row 90 - If ‘DG classification’ is ‘IBC’ or ‘IMSBC’  the ‘IMO Hazard Class’ is mandatory</v>
      </c>
    </row>
    <row r="1348" spans="7:11" s="35" customFormat="1" x14ac:dyDescent="0.2">
      <c r="G1348" s="35" t="b">
        <f>IF(OR(INDEX(IHZ_HAZ_DGCLASSIFI,91,1)="IBC",INDEX(IHZ_HAZ_DGCLASSIFI,91,1)="IMSBC"),INDEX(IHZ_HAZ_IMOHAZARDC,91,1)&lt;&gt;"",TRUE)</f>
        <v>1</v>
      </c>
      <c r="H1348" s="35" t="str">
        <f t="shared" si="42"/>
        <v>Row 91 - If ‘DG classification’ is ‘IBC’ or ‘IMSBC’  the ‘IMO Hazard Class’ is mandatory</v>
      </c>
      <c r="J1348" s="35" t="b">
        <f>IF(OR(INDEX(OHZ_HAZ_DGCLASSIFI,91,1)="IBC",INDEX(OHZ_HAZ_DGCLASSIFI,91,1)="IMSBC"),INDEX(OHZ_HAZ_IMOHAZARDC,91,1)&lt;&gt;"",TRUE)</f>
        <v>1</v>
      </c>
      <c r="K1348" s="35" t="str">
        <f t="shared" si="43"/>
        <v>Row 91 - If ‘DG classification’ is ‘IBC’ or ‘IMSBC’  the ‘IMO Hazard Class’ is mandatory</v>
      </c>
    </row>
    <row r="1349" spans="7:11" s="35" customFormat="1" x14ac:dyDescent="0.2">
      <c r="G1349" s="35" t="b">
        <f>IF(OR(INDEX(IHZ_HAZ_DGCLASSIFI,92,1)="IBC",INDEX(IHZ_HAZ_DGCLASSIFI,92,1)="IMSBC"),INDEX(IHZ_HAZ_IMOHAZARDC,92,1)&lt;&gt;"",TRUE)</f>
        <v>1</v>
      </c>
      <c r="H1349" s="35" t="str">
        <f t="shared" si="42"/>
        <v>Row 92 - If ‘DG classification’ is ‘IBC’ or ‘IMSBC’  the ‘IMO Hazard Class’ is mandatory</v>
      </c>
      <c r="J1349" s="35" t="b">
        <f>IF(OR(INDEX(OHZ_HAZ_DGCLASSIFI,92,1)="IBC",INDEX(OHZ_HAZ_DGCLASSIFI,92,1)="IMSBC"),INDEX(OHZ_HAZ_IMOHAZARDC,92,1)&lt;&gt;"",TRUE)</f>
        <v>1</v>
      </c>
      <c r="K1349" s="35" t="str">
        <f t="shared" si="43"/>
        <v>Row 92 - If ‘DG classification’ is ‘IBC’ or ‘IMSBC’  the ‘IMO Hazard Class’ is mandatory</v>
      </c>
    </row>
    <row r="1350" spans="7:11" s="35" customFormat="1" x14ac:dyDescent="0.2">
      <c r="G1350" s="35" t="b">
        <f>IF(OR(INDEX(IHZ_HAZ_DGCLASSIFI,93,1)="IBC",INDEX(IHZ_HAZ_DGCLASSIFI,93,1)="IMSBC"),INDEX(IHZ_HAZ_IMOHAZARDC,93,1)&lt;&gt;"",TRUE)</f>
        <v>1</v>
      </c>
      <c r="H1350" s="35" t="str">
        <f t="shared" si="42"/>
        <v>Row 93 - If ‘DG classification’ is ‘IBC’ or ‘IMSBC’  the ‘IMO Hazard Class’ is mandatory</v>
      </c>
      <c r="J1350" s="35" t="b">
        <f>IF(OR(INDEX(OHZ_HAZ_DGCLASSIFI,93,1)="IBC",INDEX(OHZ_HAZ_DGCLASSIFI,93,1)="IMSBC"),INDEX(OHZ_HAZ_IMOHAZARDC,93,1)&lt;&gt;"",TRUE)</f>
        <v>1</v>
      </c>
      <c r="K1350" s="35" t="str">
        <f t="shared" si="43"/>
        <v>Row 93 - If ‘DG classification’ is ‘IBC’ or ‘IMSBC’  the ‘IMO Hazard Class’ is mandatory</v>
      </c>
    </row>
    <row r="1351" spans="7:11" s="35" customFormat="1" x14ac:dyDescent="0.2">
      <c r="G1351" s="35" t="b">
        <f>IF(OR(INDEX(IHZ_HAZ_DGCLASSIFI,94,1)="IBC",INDEX(IHZ_HAZ_DGCLASSIFI,94,1)="IMSBC"),INDEX(IHZ_HAZ_IMOHAZARDC,94,1)&lt;&gt;"",TRUE)</f>
        <v>1</v>
      </c>
      <c r="H1351" s="35" t="str">
        <f t="shared" si="42"/>
        <v>Row 94 - If ‘DG classification’ is ‘IBC’ or ‘IMSBC’  the ‘IMO Hazard Class’ is mandatory</v>
      </c>
      <c r="J1351" s="35" t="b">
        <f>IF(OR(INDEX(OHZ_HAZ_DGCLASSIFI,94,1)="IBC",INDEX(OHZ_HAZ_DGCLASSIFI,94,1)="IMSBC"),INDEX(OHZ_HAZ_IMOHAZARDC,94,1)&lt;&gt;"",TRUE)</f>
        <v>1</v>
      </c>
      <c r="K1351" s="35" t="str">
        <f t="shared" si="43"/>
        <v>Row 94 - If ‘DG classification’ is ‘IBC’ or ‘IMSBC’  the ‘IMO Hazard Class’ is mandatory</v>
      </c>
    </row>
    <row r="1352" spans="7:11" s="35" customFormat="1" x14ac:dyDescent="0.2">
      <c r="G1352" s="35" t="b">
        <f>IF(OR(INDEX(IHZ_HAZ_DGCLASSIFI,95,1)="IBC",INDEX(IHZ_HAZ_DGCLASSIFI,95,1)="IMSBC"),INDEX(IHZ_HAZ_IMOHAZARDC,95,1)&lt;&gt;"",TRUE)</f>
        <v>1</v>
      </c>
      <c r="H1352" s="35" t="str">
        <f t="shared" si="42"/>
        <v>Row 95 - If ‘DG classification’ is ‘IBC’ or ‘IMSBC’  the ‘IMO Hazard Class’ is mandatory</v>
      </c>
      <c r="J1352" s="35" t="b">
        <f>IF(OR(INDEX(OHZ_HAZ_DGCLASSIFI,95,1)="IBC",INDEX(OHZ_HAZ_DGCLASSIFI,95,1)="IMSBC"),INDEX(OHZ_HAZ_IMOHAZARDC,95,1)&lt;&gt;"",TRUE)</f>
        <v>1</v>
      </c>
      <c r="K1352" s="35" t="str">
        <f t="shared" si="43"/>
        <v>Row 95 - If ‘DG classification’ is ‘IBC’ or ‘IMSBC’  the ‘IMO Hazard Class’ is mandatory</v>
      </c>
    </row>
    <row r="1353" spans="7:11" s="35" customFormat="1" x14ac:dyDescent="0.2">
      <c r="G1353" s="35" t="b">
        <f>IF(OR(INDEX(IHZ_HAZ_DGCLASSIFI,96,1)="IBC",INDEX(IHZ_HAZ_DGCLASSIFI,96,1)="IMSBC"),INDEX(IHZ_HAZ_IMOHAZARDC,96,1)&lt;&gt;"",TRUE)</f>
        <v>1</v>
      </c>
      <c r="H1353" s="35" t="str">
        <f t="shared" si="42"/>
        <v>Row 96 - If ‘DG classification’ is ‘IBC’ or ‘IMSBC’  the ‘IMO Hazard Class’ is mandatory</v>
      </c>
      <c r="J1353" s="35" t="b">
        <f>IF(OR(INDEX(OHZ_HAZ_DGCLASSIFI,96,1)="IBC",INDEX(OHZ_HAZ_DGCLASSIFI,96,1)="IMSBC"),INDEX(OHZ_HAZ_IMOHAZARDC,96,1)&lt;&gt;"",TRUE)</f>
        <v>1</v>
      </c>
      <c r="K1353" s="35" t="str">
        <f t="shared" si="43"/>
        <v>Row 96 - If ‘DG classification’ is ‘IBC’ or ‘IMSBC’  the ‘IMO Hazard Class’ is mandatory</v>
      </c>
    </row>
    <row r="1354" spans="7:11" s="35" customFormat="1" x14ac:dyDescent="0.2">
      <c r="G1354" s="35" t="b">
        <f>IF(OR(INDEX(IHZ_HAZ_DGCLASSIFI,97,1)="IBC",INDEX(IHZ_HAZ_DGCLASSIFI,97,1)="IMSBC"),INDEX(IHZ_HAZ_IMOHAZARDC,97,1)&lt;&gt;"",TRUE)</f>
        <v>1</v>
      </c>
      <c r="H1354" s="35" t="str">
        <f t="shared" si="42"/>
        <v>Row 97 - If ‘DG classification’ is ‘IBC’ or ‘IMSBC’  the ‘IMO Hazard Class’ is mandatory</v>
      </c>
      <c r="J1354" s="35" t="b">
        <f>IF(OR(INDEX(OHZ_HAZ_DGCLASSIFI,97,1)="IBC",INDEX(OHZ_HAZ_DGCLASSIFI,97,1)="IMSBC"),INDEX(OHZ_HAZ_IMOHAZARDC,97,1)&lt;&gt;"",TRUE)</f>
        <v>1</v>
      </c>
      <c r="K1354" s="35" t="str">
        <f t="shared" si="43"/>
        <v>Row 97 - If ‘DG classification’ is ‘IBC’ or ‘IMSBC’  the ‘IMO Hazard Class’ is mandatory</v>
      </c>
    </row>
    <row r="1355" spans="7:11" s="35" customFormat="1" x14ac:dyDescent="0.2">
      <c r="G1355" s="35" t="b">
        <f>IF(OR(INDEX(IHZ_HAZ_DGCLASSIFI,98,1)="IBC",INDEX(IHZ_HAZ_DGCLASSIFI,98,1)="IMSBC"),INDEX(IHZ_HAZ_IMOHAZARDC,98,1)&lt;&gt;"",TRUE)</f>
        <v>1</v>
      </c>
      <c r="H1355" s="35" t="str">
        <f t="shared" si="42"/>
        <v>Row 98 - If ‘DG classification’ is ‘IBC’ or ‘IMSBC’  the ‘IMO Hazard Class’ is mandatory</v>
      </c>
      <c r="J1355" s="35" t="b">
        <f>IF(OR(INDEX(OHZ_HAZ_DGCLASSIFI,98,1)="IBC",INDEX(OHZ_HAZ_DGCLASSIFI,98,1)="IMSBC"),INDEX(OHZ_HAZ_IMOHAZARDC,98,1)&lt;&gt;"",TRUE)</f>
        <v>1</v>
      </c>
      <c r="K1355" s="35" t="str">
        <f t="shared" si="43"/>
        <v>Row 98 - If ‘DG classification’ is ‘IBC’ or ‘IMSBC’  the ‘IMO Hazard Class’ is mandatory</v>
      </c>
    </row>
    <row r="1356" spans="7:11" s="35" customFormat="1" x14ac:dyDescent="0.2">
      <c r="G1356" s="35" t="b">
        <f>IF(OR(INDEX(IHZ_HAZ_DGCLASSIFI,99,1)="IBC",INDEX(IHZ_HAZ_DGCLASSIFI,99,1)="IMSBC"),INDEX(IHZ_HAZ_IMOHAZARDC,99,1)&lt;&gt;"",TRUE)</f>
        <v>1</v>
      </c>
      <c r="H1356" s="35" t="str">
        <f t="shared" si="42"/>
        <v>Row 99 - If ‘DG classification’ is ‘IBC’ or ‘IMSBC’  the ‘IMO Hazard Class’ is mandatory</v>
      </c>
      <c r="J1356" s="35" t="b">
        <f>IF(OR(INDEX(OHZ_HAZ_DGCLASSIFI,99,1)="IBC",INDEX(OHZ_HAZ_DGCLASSIFI,99,1)="IMSBC"),INDEX(OHZ_HAZ_IMOHAZARDC,99,1)&lt;&gt;"",TRUE)</f>
        <v>1</v>
      </c>
      <c r="K1356" s="35" t="str">
        <f t="shared" si="43"/>
        <v>Row 99 - If ‘DG classification’ is ‘IBC’ or ‘IMSBC’  the ‘IMO Hazard Class’ is mandatory</v>
      </c>
    </row>
    <row r="1357" spans="7:11" s="35" customFormat="1" x14ac:dyDescent="0.2">
      <c r="G1357" s="35" t="b">
        <f>IF(OR(INDEX(IHZ_HAZ_DGCLASSIFI,100,1)="IBC",INDEX(IHZ_HAZ_DGCLASSIFI,100,1)="IMSBC"),INDEX(IHZ_HAZ_IMOHAZARDC,100,1)&lt;&gt;"",TRUE)</f>
        <v>1</v>
      </c>
      <c r="H1357" s="35" t="str">
        <f t="shared" si="42"/>
        <v>Row 100 - If ‘DG classification’ is ‘IBC’ or ‘IMSBC’  the ‘IMO Hazard Class’ is mandatory</v>
      </c>
      <c r="J1357" s="35" t="b">
        <f>IF(OR(INDEX(OHZ_HAZ_DGCLASSIFI,100,1)="IBC",INDEX(OHZ_HAZ_DGCLASSIFI,100,1)="IMSBC"),INDEX(OHZ_HAZ_IMOHAZARDC,100,1)&lt;&gt;"",TRUE)</f>
        <v>1</v>
      </c>
      <c r="K1357" s="35" t="str">
        <f t="shared" si="43"/>
        <v>Row 100 - If ‘DG classification’ is ‘IBC’ or ‘IMSBC’  the ‘IMO Hazard Class’ is mandatory</v>
      </c>
    </row>
    <row r="1358" spans="7:11" s="35" customFormat="1" x14ac:dyDescent="0.2">
      <c r="G1358" s="35" t="b">
        <f>IF(OR(INDEX(IHZ_HAZ_DGCLASSIFI,101,1)="IBC",INDEX(IHZ_HAZ_DGCLASSIFI,101,1)="IMSBC"),INDEX(IHZ_HAZ_IMOHAZARDC,101,1)&lt;&gt;"",TRUE)</f>
        <v>1</v>
      </c>
      <c r="H1358" s="35" t="str">
        <f t="shared" si="42"/>
        <v>Row 101 - If ‘DG classification’ is ‘IBC’ or ‘IMSBC’  the ‘IMO Hazard Class’ is mandatory</v>
      </c>
      <c r="J1358" s="35" t="b">
        <f>IF(OR(INDEX(OHZ_HAZ_DGCLASSIFI,101,1)="IBC",INDEX(OHZ_HAZ_DGCLASSIFI,101,1)="IMSBC"),INDEX(OHZ_HAZ_IMOHAZARDC,101,1)&lt;&gt;"",TRUE)</f>
        <v>1</v>
      </c>
      <c r="K1358" s="35" t="str">
        <f t="shared" si="43"/>
        <v>Row 101 - If ‘DG classification’ is ‘IBC’ or ‘IMSBC’  the ‘IMO Hazard Class’ is mandatory</v>
      </c>
    </row>
    <row r="1359" spans="7:11" s="35" customFormat="1" x14ac:dyDescent="0.2">
      <c r="G1359" s="35" t="b">
        <f>IF(OR(INDEX(IHZ_HAZ_DGCLASSIFI,102,1)="IBC",INDEX(IHZ_HAZ_DGCLASSIFI,102,1)="IMSBC"),INDEX(IHZ_HAZ_IMOHAZARDC,102,1)&lt;&gt;"",TRUE)</f>
        <v>1</v>
      </c>
      <c r="H1359" s="35" t="str">
        <f t="shared" si="42"/>
        <v>Row 102 - If ‘DG classification’ is ‘IBC’ or ‘IMSBC’  the ‘IMO Hazard Class’ is mandatory</v>
      </c>
      <c r="J1359" s="35" t="b">
        <f>IF(OR(INDEX(OHZ_HAZ_DGCLASSIFI,102,1)="IBC",INDEX(OHZ_HAZ_DGCLASSIFI,102,1)="IMSBC"),INDEX(OHZ_HAZ_IMOHAZARDC,102,1)&lt;&gt;"",TRUE)</f>
        <v>1</v>
      </c>
      <c r="K1359" s="35" t="str">
        <f t="shared" si="43"/>
        <v>Row 102 - If ‘DG classification’ is ‘IBC’ or ‘IMSBC’  the ‘IMO Hazard Class’ is mandatory</v>
      </c>
    </row>
    <row r="1360" spans="7:11" s="35" customFormat="1" x14ac:dyDescent="0.2">
      <c r="G1360" s="35" t="b">
        <f>IF(OR(INDEX(IHZ_HAZ_DGCLASSIFI,103,1)="IBC",INDEX(IHZ_HAZ_DGCLASSIFI,103,1)="IMSBC"),INDEX(IHZ_HAZ_IMOHAZARDC,103,1)&lt;&gt;"",TRUE)</f>
        <v>1</v>
      </c>
      <c r="H1360" s="35" t="str">
        <f t="shared" si="42"/>
        <v>Row 103 - If ‘DG classification’ is ‘IBC’ or ‘IMSBC’  the ‘IMO Hazard Class’ is mandatory</v>
      </c>
      <c r="J1360" s="35" t="b">
        <f>IF(OR(INDEX(OHZ_HAZ_DGCLASSIFI,103,1)="IBC",INDEX(OHZ_HAZ_DGCLASSIFI,103,1)="IMSBC"),INDEX(OHZ_HAZ_IMOHAZARDC,103,1)&lt;&gt;"",TRUE)</f>
        <v>1</v>
      </c>
      <c r="K1360" s="35" t="str">
        <f t="shared" si="43"/>
        <v>Row 103 - If ‘DG classification’ is ‘IBC’ or ‘IMSBC’  the ‘IMO Hazard Class’ is mandatory</v>
      </c>
    </row>
    <row r="1361" spans="7:11" s="35" customFormat="1" x14ac:dyDescent="0.2">
      <c r="G1361" s="35" t="b">
        <f>IF(OR(INDEX(IHZ_HAZ_DGCLASSIFI,104,1)="IBC",INDEX(IHZ_HAZ_DGCLASSIFI,104,1)="IMSBC"),INDEX(IHZ_HAZ_IMOHAZARDC,104,1)&lt;&gt;"",TRUE)</f>
        <v>1</v>
      </c>
      <c r="H1361" s="35" t="str">
        <f t="shared" si="42"/>
        <v>Row 104 - If ‘DG classification’ is ‘IBC’ or ‘IMSBC’  the ‘IMO Hazard Class’ is mandatory</v>
      </c>
      <c r="J1361" s="35" t="b">
        <f>IF(OR(INDEX(OHZ_HAZ_DGCLASSIFI,104,1)="IBC",INDEX(OHZ_HAZ_DGCLASSIFI,104,1)="IMSBC"),INDEX(OHZ_HAZ_IMOHAZARDC,104,1)&lt;&gt;"",TRUE)</f>
        <v>1</v>
      </c>
      <c r="K1361" s="35" t="str">
        <f t="shared" si="43"/>
        <v>Row 104 - If ‘DG classification’ is ‘IBC’ or ‘IMSBC’  the ‘IMO Hazard Class’ is mandatory</v>
      </c>
    </row>
    <row r="1362" spans="7:11" s="35" customFormat="1" x14ac:dyDescent="0.2">
      <c r="G1362" s="35" t="b">
        <f>IF(OR(INDEX(IHZ_HAZ_DGCLASSIFI,105,1)="IBC",INDEX(IHZ_HAZ_DGCLASSIFI,105,1)="IMSBC"),INDEX(IHZ_HAZ_IMOHAZARDC,105,1)&lt;&gt;"",TRUE)</f>
        <v>1</v>
      </c>
      <c r="H1362" s="35" t="str">
        <f t="shared" si="42"/>
        <v>Row 105 - If ‘DG classification’ is ‘IBC’ or ‘IMSBC’  the ‘IMO Hazard Class’ is mandatory</v>
      </c>
      <c r="J1362" s="35" t="b">
        <f>IF(OR(INDEX(OHZ_HAZ_DGCLASSIFI,105,1)="IBC",INDEX(OHZ_HAZ_DGCLASSIFI,105,1)="IMSBC"),INDEX(OHZ_HAZ_IMOHAZARDC,105,1)&lt;&gt;"",TRUE)</f>
        <v>1</v>
      </c>
      <c r="K1362" s="35" t="str">
        <f t="shared" si="43"/>
        <v>Row 105 - If ‘DG classification’ is ‘IBC’ or ‘IMSBC’  the ‘IMO Hazard Class’ is mandatory</v>
      </c>
    </row>
    <row r="1363" spans="7:11" s="35" customFormat="1" x14ac:dyDescent="0.2">
      <c r="G1363" s="35" t="b">
        <f>IF(OR(INDEX(IHZ_HAZ_DGCLASSIFI,106,1)="IBC",INDEX(IHZ_HAZ_DGCLASSIFI,106,1)="IMSBC"),INDEX(IHZ_HAZ_IMOHAZARDC,106,1)&lt;&gt;"",TRUE)</f>
        <v>1</v>
      </c>
      <c r="H1363" s="35" t="str">
        <f t="shared" si="42"/>
        <v>Row 106 - If ‘DG classification’ is ‘IBC’ or ‘IMSBC’  the ‘IMO Hazard Class’ is mandatory</v>
      </c>
      <c r="J1363" s="35" t="b">
        <f>IF(OR(INDEX(OHZ_HAZ_DGCLASSIFI,106,1)="IBC",INDEX(OHZ_HAZ_DGCLASSIFI,106,1)="IMSBC"),INDEX(OHZ_HAZ_IMOHAZARDC,106,1)&lt;&gt;"",TRUE)</f>
        <v>1</v>
      </c>
      <c r="K1363" s="35" t="str">
        <f t="shared" si="43"/>
        <v>Row 106 - If ‘DG classification’ is ‘IBC’ or ‘IMSBC’  the ‘IMO Hazard Class’ is mandatory</v>
      </c>
    </row>
    <row r="1364" spans="7:11" s="35" customFormat="1" x14ac:dyDescent="0.2">
      <c r="G1364" s="35" t="b">
        <f>IF(OR(INDEX(IHZ_HAZ_DGCLASSIFI,107,1)="IBC",INDEX(IHZ_HAZ_DGCLASSIFI,107,1)="IMSBC"),INDEX(IHZ_HAZ_IMOHAZARDC,107,1)&lt;&gt;"",TRUE)</f>
        <v>1</v>
      </c>
      <c r="H1364" s="35" t="str">
        <f t="shared" si="42"/>
        <v>Row 107 - If ‘DG classification’ is ‘IBC’ or ‘IMSBC’  the ‘IMO Hazard Class’ is mandatory</v>
      </c>
      <c r="J1364" s="35" t="b">
        <f>IF(OR(INDEX(OHZ_HAZ_DGCLASSIFI,107,1)="IBC",INDEX(OHZ_HAZ_DGCLASSIFI,107,1)="IMSBC"),INDEX(OHZ_HAZ_IMOHAZARDC,107,1)&lt;&gt;"",TRUE)</f>
        <v>1</v>
      </c>
      <c r="K1364" s="35" t="str">
        <f t="shared" si="43"/>
        <v>Row 107 - If ‘DG classification’ is ‘IBC’ or ‘IMSBC’  the ‘IMO Hazard Class’ is mandatory</v>
      </c>
    </row>
    <row r="1365" spans="7:11" s="35" customFormat="1" x14ac:dyDescent="0.2">
      <c r="G1365" s="35" t="b">
        <f>IF(OR(INDEX(IHZ_HAZ_DGCLASSIFI,108,1)="IBC",INDEX(IHZ_HAZ_DGCLASSIFI,108,1)="IMSBC"),INDEX(IHZ_HAZ_IMOHAZARDC,108,1)&lt;&gt;"",TRUE)</f>
        <v>1</v>
      </c>
      <c r="H1365" s="35" t="str">
        <f t="shared" si="42"/>
        <v>Row 108 - If ‘DG classification’ is ‘IBC’ or ‘IMSBC’  the ‘IMO Hazard Class’ is mandatory</v>
      </c>
      <c r="J1365" s="35" t="b">
        <f>IF(OR(INDEX(OHZ_HAZ_DGCLASSIFI,108,1)="IBC",INDEX(OHZ_HAZ_DGCLASSIFI,108,1)="IMSBC"),INDEX(OHZ_HAZ_IMOHAZARDC,108,1)&lt;&gt;"",TRUE)</f>
        <v>1</v>
      </c>
      <c r="K1365" s="35" t="str">
        <f t="shared" si="43"/>
        <v>Row 108 - If ‘DG classification’ is ‘IBC’ or ‘IMSBC’  the ‘IMO Hazard Class’ is mandatory</v>
      </c>
    </row>
    <row r="1366" spans="7:11" s="35" customFormat="1" x14ac:dyDescent="0.2">
      <c r="G1366" s="35" t="b">
        <f>IF(OR(INDEX(IHZ_HAZ_DGCLASSIFI,109,1)="IBC",INDEX(IHZ_HAZ_DGCLASSIFI,109,1)="IMSBC"),INDEX(IHZ_HAZ_IMOHAZARDC,109,1)&lt;&gt;"",TRUE)</f>
        <v>1</v>
      </c>
      <c r="H1366" s="35" t="str">
        <f t="shared" si="42"/>
        <v>Row 109 - If ‘DG classification’ is ‘IBC’ or ‘IMSBC’  the ‘IMO Hazard Class’ is mandatory</v>
      </c>
      <c r="J1366" s="35" t="b">
        <f>IF(OR(INDEX(OHZ_HAZ_DGCLASSIFI,109,1)="IBC",INDEX(OHZ_HAZ_DGCLASSIFI,109,1)="IMSBC"),INDEX(OHZ_HAZ_IMOHAZARDC,109,1)&lt;&gt;"",TRUE)</f>
        <v>1</v>
      </c>
      <c r="K1366" s="35" t="str">
        <f t="shared" si="43"/>
        <v>Row 109 - If ‘DG classification’ is ‘IBC’ or ‘IMSBC’  the ‘IMO Hazard Class’ is mandatory</v>
      </c>
    </row>
    <row r="1367" spans="7:11" s="35" customFormat="1" x14ac:dyDescent="0.2">
      <c r="G1367" s="35" t="b">
        <f>IF(OR(INDEX(IHZ_HAZ_DGCLASSIFI,110,1)="IBC",INDEX(IHZ_HAZ_DGCLASSIFI,110,1)="IMSBC"),INDEX(IHZ_HAZ_IMOHAZARDC,110,1)&lt;&gt;"",TRUE)</f>
        <v>1</v>
      </c>
      <c r="H1367" s="35" t="str">
        <f t="shared" si="42"/>
        <v>Row 110 - If ‘DG classification’ is ‘IBC’ or ‘IMSBC’  the ‘IMO Hazard Class’ is mandatory</v>
      </c>
      <c r="J1367" s="35" t="b">
        <f>IF(OR(INDEX(OHZ_HAZ_DGCLASSIFI,110,1)="IBC",INDEX(OHZ_HAZ_DGCLASSIFI,110,1)="IMSBC"),INDEX(OHZ_HAZ_IMOHAZARDC,110,1)&lt;&gt;"",TRUE)</f>
        <v>1</v>
      </c>
      <c r="K1367" s="35" t="str">
        <f t="shared" si="43"/>
        <v>Row 110 - If ‘DG classification’ is ‘IBC’ or ‘IMSBC’  the ‘IMO Hazard Class’ is mandatory</v>
      </c>
    </row>
    <row r="1368" spans="7:11" s="35" customFormat="1" x14ac:dyDescent="0.2">
      <c r="G1368" s="35" t="b">
        <f>IF(OR(INDEX(IHZ_HAZ_DGCLASSIFI,111,1)="IBC",INDEX(IHZ_HAZ_DGCLASSIFI,111,1)="IMSBC"),INDEX(IHZ_HAZ_IMOHAZARDC,111,1)&lt;&gt;"",TRUE)</f>
        <v>1</v>
      </c>
      <c r="H1368" s="35" t="str">
        <f t="shared" si="42"/>
        <v>Row 111 - If ‘DG classification’ is ‘IBC’ or ‘IMSBC’  the ‘IMO Hazard Class’ is mandatory</v>
      </c>
      <c r="J1368" s="35" t="b">
        <f>IF(OR(INDEX(OHZ_HAZ_DGCLASSIFI,111,1)="IBC",INDEX(OHZ_HAZ_DGCLASSIFI,111,1)="IMSBC"),INDEX(OHZ_HAZ_IMOHAZARDC,111,1)&lt;&gt;"",TRUE)</f>
        <v>1</v>
      </c>
      <c r="K1368" s="35" t="str">
        <f t="shared" si="43"/>
        <v>Row 111 - If ‘DG classification’ is ‘IBC’ or ‘IMSBC’  the ‘IMO Hazard Class’ is mandatory</v>
      </c>
    </row>
    <row r="1369" spans="7:11" s="35" customFormat="1" x14ac:dyDescent="0.2">
      <c r="G1369" s="35" t="b">
        <f>IF(OR(INDEX(IHZ_HAZ_DGCLASSIFI,112,1)="IBC",INDEX(IHZ_HAZ_DGCLASSIFI,112,1)="IMSBC"),INDEX(IHZ_HAZ_IMOHAZARDC,112,1)&lt;&gt;"",TRUE)</f>
        <v>1</v>
      </c>
      <c r="H1369" s="35" t="str">
        <f t="shared" si="42"/>
        <v>Row 112 - If ‘DG classification’ is ‘IBC’ or ‘IMSBC’  the ‘IMO Hazard Class’ is mandatory</v>
      </c>
      <c r="J1369" s="35" t="b">
        <f>IF(OR(INDEX(OHZ_HAZ_DGCLASSIFI,112,1)="IBC",INDEX(OHZ_HAZ_DGCLASSIFI,112,1)="IMSBC"),INDEX(OHZ_HAZ_IMOHAZARDC,112,1)&lt;&gt;"",TRUE)</f>
        <v>1</v>
      </c>
      <c r="K1369" s="35" t="str">
        <f t="shared" si="43"/>
        <v>Row 112 - If ‘DG classification’ is ‘IBC’ or ‘IMSBC’  the ‘IMO Hazard Class’ is mandatory</v>
      </c>
    </row>
    <row r="1370" spans="7:11" s="35" customFormat="1" x14ac:dyDescent="0.2">
      <c r="G1370" s="35" t="b">
        <f>IF(OR(INDEX(IHZ_HAZ_DGCLASSIFI,113,1)="IBC",INDEX(IHZ_HAZ_DGCLASSIFI,113,1)="IMSBC"),INDEX(IHZ_HAZ_IMOHAZARDC,113,1)&lt;&gt;"",TRUE)</f>
        <v>1</v>
      </c>
      <c r="H1370" s="35" t="str">
        <f t="shared" si="42"/>
        <v>Row 113 - If ‘DG classification’ is ‘IBC’ or ‘IMSBC’  the ‘IMO Hazard Class’ is mandatory</v>
      </c>
      <c r="J1370" s="35" t="b">
        <f>IF(OR(INDEX(OHZ_HAZ_DGCLASSIFI,113,1)="IBC",INDEX(OHZ_HAZ_DGCLASSIFI,113,1)="IMSBC"),INDEX(OHZ_HAZ_IMOHAZARDC,113,1)&lt;&gt;"",TRUE)</f>
        <v>1</v>
      </c>
      <c r="K1370" s="35" t="str">
        <f t="shared" si="43"/>
        <v>Row 113 - If ‘DG classification’ is ‘IBC’ or ‘IMSBC’  the ‘IMO Hazard Class’ is mandatory</v>
      </c>
    </row>
    <row r="1371" spans="7:11" s="35" customFormat="1" x14ac:dyDescent="0.2">
      <c r="G1371" s="35" t="b">
        <f>IF(OR(INDEX(IHZ_HAZ_DGCLASSIFI,114,1)="IBC",INDEX(IHZ_HAZ_DGCLASSIFI,114,1)="IMSBC"),INDEX(IHZ_HAZ_IMOHAZARDC,114,1)&lt;&gt;"",TRUE)</f>
        <v>1</v>
      </c>
      <c r="H1371" s="35" t="str">
        <f t="shared" si="42"/>
        <v>Row 114 - If ‘DG classification’ is ‘IBC’ or ‘IMSBC’  the ‘IMO Hazard Class’ is mandatory</v>
      </c>
      <c r="J1371" s="35" t="b">
        <f>IF(OR(INDEX(OHZ_HAZ_DGCLASSIFI,114,1)="IBC",INDEX(OHZ_HAZ_DGCLASSIFI,114,1)="IMSBC"),INDEX(OHZ_HAZ_IMOHAZARDC,114,1)&lt;&gt;"",TRUE)</f>
        <v>1</v>
      </c>
      <c r="K1371" s="35" t="str">
        <f t="shared" si="43"/>
        <v>Row 114 - If ‘DG classification’ is ‘IBC’ or ‘IMSBC’  the ‘IMO Hazard Class’ is mandatory</v>
      </c>
    </row>
    <row r="1372" spans="7:11" s="35" customFormat="1" x14ac:dyDescent="0.2">
      <c r="G1372" s="35" t="b">
        <f>IF(OR(INDEX(IHZ_HAZ_DGCLASSIFI,115,1)="IBC",INDEX(IHZ_HAZ_DGCLASSIFI,115,1)="IMSBC"),INDEX(IHZ_HAZ_IMOHAZARDC,115,1)&lt;&gt;"",TRUE)</f>
        <v>1</v>
      </c>
      <c r="H1372" s="35" t="str">
        <f t="shared" si="42"/>
        <v>Row 115 - If ‘DG classification’ is ‘IBC’ or ‘IMSBC’  the ‘IMO Hazard Class’ is mandatory</v>
      </c>
      <c r="J1372" s="35" t="b">
        <f>IF(OR(INDEX(OHZ_HAZ_DGCLASSIFI,115,1)="IBC",INDEX(OHZ_HAZ_DGCLASSIFI,115,1)="IMSBC"),INDEX(OHZ_HAZ_IMOHAZARDC,115,1)&lt;&gt;"",TRUE)</f>
        <v>1</v>
      </c>
      <c r="K1372" s="35" t="str">
        <f t="shared" si="43"/>
        <v>Row 115 - If ‘DG classification’ is ‘IBC’ or ‘IMSBC’  the ‘IMO Hazard Class’ is mandatory</v>
      </c>
    </row>
    <row r="1373" spans="7:11" s="35" customFormat="1" x14ac:dyDescent="0.2">
      <c r="G1373" s="35" t="b">
        <f>IF(OR(INDEX(IHZ_HAZ_DGCLASSIFI,116,1)="IBC",INDEX(IHZ_HAZ_DGCLASSIFI,116,1)="IMSBC"),INDEX(IHZ_HAZ_IMOHAZARDC,116,1)&lt;&gt;"",TRUE)</f>
        <v>1</v>
      </c>
      <c r="H1373" s="35" t="str">
        <f t="shared" si="42"/>
        <v>Row 116 - If ‘DG classification’ is ‘IBC’ or ‘IMSBC’  the ‘IMO Hazard Class’ is mandatory</v>
      </c>
      <c r="J1373" s="35" t="b">
        <f>IF(OR(INDEX(OHZ_HAZ_DGCLASSIFI,116,1)="IBC",INDEX(OHZ_HAZ_DGCLASSIFI,116,1)="IMSBC"),INDEX(OHZ_HAZ_IMOHAZARDC,116,1)&lt;&gt;"",TRUE)</f>
        <v>1</v>
      </c>
      <c r="K1373" s="35" t="str">
        <f t="shared" si="43"/>
        <v>Row 116 - If ‘DG classification’ is ‘IBC’ or ‘IMSBC’  the ‘IMO Hazard Class’ is mandatory</v>
      </c>
    </row>
    <row r="1374" spans="7:11" s="35" customFormat="1" x14ac:dyDescent="0.2">
      <c r="G1374" s="35" t="b">
        <f>IF(OR(INDEX(IHZ_HAZ_DGCLASSIFI,117,1)="IBC",INDEX(IHZ_HAZ_DGCLASSIFI,117,1)="IMSBC"),INDEX(IHZ_HAZ_IMOHAZARDC,117,1)&lt;&gt;"",TRUE)</f>
        <v>1</v>
      </c>
      <c r="H1374" s="35" t="str">
        <f t="shared" si="42"/>
        <v>Row 117 - If ‘DG classification’ is ‘IBC’ or ‘IMSBC’  the ‘IMO Hazard Class’ is mandatory</v>
      </c>
      <c r="J1374" s="35" t="b">
        <f>IF(OR(INDEX(OHZ_HAZ_DGCLASSIFI,117,1)="IBC",INDEX(OHZ_HAZ_DGCLASSIFI,117,1)="IMSBC"),INDEX(OHZ_HAZ_IMOHAZARDC,117,1)&lt;&gt;"",TRUE)</f>
        <v>1</v>
      </c>
      <c r="K1374" s="35" t="str">
        <f t="shared" si="43"/>
        <v>Row 117 - If ‘DG classification’ is ‘IBC’ or ‘IMSBC’  the ‘IMO Hazard Class’ is mandatory</v>
      </c>
    </row>
    <row r="1375" spans="7:11" s="35" customFormat="1" x14ac:dyDescent="0.2">
      <c r="G1375" s="35" t="b">
        <f>IF(OR(INDEX(IHZ_HAZ_DGCLASSIFI,118,1)="IBC",INDEX(IHZ_HAZ_DGCLASSIFI,118,1)="IMSBC"),INDEX(IHZ_HAZ_IMOHAZARDC,118,1)&lt;&gt;"",TRUE)</f>
        <v>1</v>
      </c>
      <c r="H1375" s="35" t="str">
        <f t="shared" si="42"/>
        <v>Row 118 - If ‘DG classification’ is ‘IBC’ or ‘IMSBC’  the ‘IMO Hazard Class’ is mandatory</v>
      </c>
      <c r="J1375" s="35" t="b">
        <f>IF(OR(INDEX(OHZ_HAZ_DGCLASSIFI,118,1)="IBC",INDEX(OHZ_HAZ_DGCLASSIFI,118,1)="IMSBC"),INDEX(OHZ_HAZ_IMOHAZARDC,118,1)&lt;&gt;"",TRUE)</f>
        <v>1</v>
      </c>
      <c r="K1375" s="35" t="str">
        <f t="shared" si="43"/>
        <v>Row 118 - If ‘DG classification’ is ‘IBC’ or ‘IMSBC’  the ‘IMO Hazard Class’ is mandatory</v>
      </c>
    </row>
    <row r="1376" spans="7:11" s="35" customFormat="1" x14ac:dyDescent="0.2">
      <c r="G1376" s="35" t="b">
        <f>IF(OR(INDEX(IHZ_HAZ_DGCLASSIFI,119,1)="IBC",INDEX(IHZ_HAZ_DGCLASSIFI,119,1)="IMSBC"),INDEX(IHZ_HAZ_IMOHAZARDC,119,1)&lt;&gt;"",TRUE)</f>
        <v>1</v>
      </c>
      <c r="H1376" s="35" t="str">
        <f t="shared" si="42"/>
        <v>Row 119 - If ‘DG classification’ is ‘IBC’ or ‘IMSBC’  the ‘IMO Hazard Class’ is mandatory</v>
      </c>
      <c r="J1376" s="35" t="b">
        <f>IF(OR(INDEX(OHZ_HAZ_DGCLASSIFI,119,1)="IBC",INDEX(OHZ_HAZ_DGCLASSIFI,119,1)="IMSBC"),INDEX(OHZ_HAZ_IMOHAZARDC,119,1)&lt;&gt;"",TRUE)</f>
        <v>1</v>
      </c>
      <c r="K1376" s="35" t="str">
        <f t="shared" si="43"/>
        <v>Row 119 - If ‘DG classification’ is ‘IBC’ or ‘IMSBC’  the ‘IMO Hazard Class’ is mandatory</v>
      </c>
    </row>
    <row r="1377" spans="7:11" s="35" customFormat="1" x14ac:dyDescent="0.2">
      <c r="G1377" s="35" t="b">
        <f>IF(OR(INDEX(IHZ_HAZ_DGCLASSIFI,120,1)="IBC",INDEX(IHZ_HAZ_DGCLASSIFI,120,1)="IMSBC"),INDEX(IHZ_HAZ_IMOHAZARDC,120,1)&lt;&gt;"",TRUE)</f>
        <v>1</v>
      </c>
      <c r="H1377" s="35" t="str">
        <f t="shared" si="42"/>
        <v>Row 120 - If ‘DG classification’ is ‘IBC’ or ‘IMSBC’  the ‘IMO Hazard Class’ is mandatory</v>
      </c>
      <c r="J1377" s="35" t="b">
        <f>IF(OR(INDEX(OHZ_HAZ_DGCLASSIFI,120,1)="IBC",INDEX(OHZ_HAZ_DGCLASSIFI,120,1)="IMSBC"),INDEX(OHZ_HAZ_IMOHAZARDC,120,1)&lt;&gt;"",TRUE)</f>
        <v>1</v>
      </c>
      <c r="K1377" s="35" t="str">
        <f t="shared" si="43"/>
        <v>Row 120 - If ‘DG classification’ is ‘IBC’ or ‘IMSBC’  the ‘IMO Hazard Class’ is mandatory</v>
      </c>
    </row>
    <row r="1378" spans="7:11" s="35" customFormat="1" x14ac:dyDescent="0.2">
      <c r="G1378" s="35" t="b">
        <f>IF(OR(INDEX(IHZ_HAZ_DGCLASSIFI,121,1)="IBC",INDEX(IHZ_HAZ_DGCLASSIFI,121,1)="IMSBC"),INDEX(IHZ_HAZ_IMOHAZARDC,121,1)&lt;&gt;"",TRUE)</f>
        <v>1</v>
      </c>
      <c r="H1378" s="35" t="str">
        <f t="shared" si="42"/>
        <v>Row 121 - If ‘DG classification’ is ‘IBC’ or ‘IMSBC’  the ‘IMO Hazard Class’ is mandatory</v>
      </c>
      <c r="J1378" s="35" t="b">
        <f>IF(OR(INDEX(OHZ_HAZ_DGCLASSIFI,121,1)="IBC",INDEX(OHZ_HAZ_DGCLASSIFI,121,1)="IMSBC"),INDEX(OHZ_HAZ_IMOHAZARDC,121,1)&lt;&gt;"",TRUE)</f>
        <v>1</v>
      </c>
      <c r="K1378" s="35" t="str">
        <f t="shared" si="43"/>
        <v>Row 121 - If ‘DG classification’ is ‘IBC’ or ‘IMSBC’  the ‘IMO Hazard Class’ is mandatory</v>
      </c>
    </row>
    <row r="1379" spans="7:11" s="35" customFormat="1" x14ac:dyDescent="0.2">
      <c r="G1379" s="35" t="b">
        <f>IF(OR(INDEX(IHZ_HAZ_DGCLASSIFI,122,1)="IBC",INDEX(IHZ_HAZ_DGCLASSIFI,122,1)="IMSBC"),INDEX(IHZ_HAZ_IMOHAZARDC,122,1)&lt;&gt;"",TRUE)</f>
        <v>1</v>
      </c>
      <c r="H1379" s="35" t="str">
        <f t="shared" si="42"/>
        <v>Row 122 - If ‘DG classification’ is ‘IBC’ or ‘IMSBC’  the ‘IMO Hazard Class’ is mandatory</v>
      </c>
      <c r="J1379" s="35" t="b">
        <f>IF(OR(INDEX(OHZ_HAZ_DGCLASSIFI,122,1)="IBC",INDEX(OHZ_HAZ_DGCLASSIFI,122,1)="IMSBC"),INDEX(OHZ_HAZ_IMOHAZARDC,122,1)&lt;&gt;"",TRUE)</f>
        <v>1</v>
      </c>
      <c r="K1379" s="35" t="str">
        <f t="shared" si="43"/>
        <v>Row 122 - If ‘DG classification’ is ‘IBC’ or ‘IMSBC’  the ‘IMO Hazard Class’ is mandatory</v>
      </c>
    </row>
    <row r="1380" spans="7:11" s="35" customFormat="1" x14ac:dyDescent="0.2">
      <c r="G1380" s="35" t="b">
        <f>IF(OR(INDEX(IHZ_HAZ_DGCLASSIFI,123,1)="IBC",INDEX(IHZ_HAZ_DGCLASSIFI,123,1)="IMSBC"),INDEX(IHZ_HAZ_IMOHAZARDC,123,1)&lt;&gt;"",TRUE)</f>
        <v>1</v>
      </c>
      <c r="H1380" s="35" t="str">
        <f t="shared" si="42"/>
        <v>Row 123 - If ‘DG classification’ is ‘IBC’ or ‘IMSBC’  the ‘IMO Hazard Class’ is mandatory</v>
      </c>
      <c r="J1380" s="35" t="b">
        <f>IF(OR(INDEX(OHZ_HAZ_DGCLASSIFI,123,1)="IBC",INDEX(OHZ_HAZ_DGCLASSIFI,123,1)="IMSBC"),INDEX(OHZ_HAZ_IMOHAZARDC,123,1)&lt;&gt;"",TRUE)</f>
        <v>1</v>
      </c>
      <c r="K1380" s="35" t="str">
        <f t="shared" si="43"/>
        <v>Row 123 - If ‘DG classification’ is ‘IBC’ or ‘IMSBC’  the ‘IMO Hazard Class’ is mandatory</v>
      </c>
    </row>
    <row r="1381" spans="7:11" s="35" customFormat="1" x14ac:dyDescent="0.2">
      <c r="G1381" s="35" t="b">
        <f>IF(OR(INDEX(IHZ_HAZ_DGCLASSIFI,124,1)="IBC",INDEX(IHZ_HAZ_DGCLASSIFI,124,1)="IMSBC"),INDEX(IHZ_HAZ_IMOHAZARDC,124,1)&lt;&gt;"",TRUE)</f>
        <v>1</v>
      </c>
      <c r="H1381" s="35" t="str">
        <f t="shared" si="42"/>
        <v>Row 124 - If ‘DG classification’ is ‘IBC’ or ‘IMSBC’  the ‘IMO Hazard Class’ is mandatory</v>
      </c>
      <c r="J1381" s="35" t="b">
        <f>IF(OR(INDEX(OHZ_HAZ_DGCLASSIFI,124,1)="IBC",INDEX(OHZ_HAZ_DGCLASSIFI,124,1)="IMSBC"),INDEX(OHZ_HAZ_IMOHAZARDC,124,1)&lt;&gt;"",TRUE)</f>
        <v>1</v>
      </c>
      <c r="K1381" s="35" t="str">
        <f t="shared" si="43"/>
        <v>Row 124 - If ‘DG classification’ is ‘IBC’ or ‘IMSBC’  the ‘IMO Hazard Class’ is mandatory</v>
      </c>
    </row>
    <row r="1382" spans="7:11" s="35" customFormat="1" x14ac:dyDescent="0.2">
      <c r="G1382" s="35" t="b">
        <f>IF(OR(INDEX(IHZ_HAZ_DGCLASSIFI,125,1)="IBC",INDEX(IHZ_HAZ_DGCLASSIFI,125,1)="IMSBC"),INDEX(IHZ_HAZ_IMOHAZARDC,125,1)&lt;&gt;"",TRUE)</f>
        <v>1</v>
      </c>
      <c r="H1382" s="35" t="str">
        <f t="shared" si="42"/>
        <v>Row 125 - If ‘DG classification’ is ‘IBC’ or ‘IMSBC’  the ‘IMO Hazard Class’ is mandatory</v>
      </c>
      <c r="J1382" s="35" t="b">
        <f>IF(OR(INDEX(OHZ_HAZ_DGCLASSIFI,125,1)="IBC",INDEX(OHZ_HAZ_DGCLASSIFI,125,1)="IMSBC"),INDEX(OHZ_HAZ_IMOHAZARDC,125,1)&lt;&gt;"",TRUE)</f>
        <v>1</v>
      </c>
      <c r="K1382" s="35" t="str">
        <f t="shared" si="43"/>
        <v>Row 125 - If ‘DG classification’ is ‘IBC’ or ‘IMSBC’  the ‘IMO Hazard Class’ is mandatory</v>
      </c>
    </row>
    <row r="1383" spans="7:11" s="35" customFormat="1" x14ac:dyDescent="0.2">
      <c r="G1383" s="35" t="b">
        <f>IF(OR(INDEX(IHZ_HAZ_DGCLASSIFI,126,1)="IBC",INDEX(IHZ_HAZ_DGCLASSIFI,126,1)="IMSBC"),INDEX(IHZ_HAZ_IMOHAZARDC,126,1)&lt;&gt;"",TRUE)</f>
        <v>1</v>
      </c>
      <c r="H1383" s="35" t="str">
        <f t="shared" si="42"/>
        <v>Row 126 - If ‘DG classification’ is ‘IBC’ or ‘IMSBC’  the ‘IMO Hazard Class’ is mandatory</v>
      </c>
      <c r="J1383" s="35" t="b">
        <f>IF(OR(INDEX(OHZ_HAZ_DGCLASSIFI,126,1)="IBC",INDEX(OHZ_HAZ_DGCLASSIFI,126,1)="IMSBC"),INDEX(OHZ_HAZ_IMOHAZARDC,126,1)&lt;&gt;"",TRUE)</f>
        <v>1</v>
      </c>
      <c r="K1383" s="35" t="str">
        <f t="shared" si="43"/>
        <v>Row 126 - If ‘DG classification’ is ‘IBC’ or ‘IMSBC’  the ‘IMO Hazard Class’ is mandatory</v>
      </c>
    </row>
    <row r="1384" spans="7:11" s="35" customFormat="1" x14ac:dyDescent="0.2">
      <c r="G1384" s="35" t="b">
        <f>IF(OR(INDEX(IHZ_HAZ_DGCLASSIFI,127,1)="IBC",INDEX(IHZ_HAZ_DGCLASSIFI,127,1)="IMSBC"),INDEX(IHZ_HAZ_IMOHAZARDC,127,1)&lt;&gt;"",TRUE)</f>
        <v>1</v>
      </c>
      <c r="H1384" s="35" t="str">
        <f t="shared" si="42"/>
        <v>Row 127 - If ‘DG classification’ is ‘IBC’ or ‘IMSBC’  the ‘IMO Hazard Class’ is mandatory</v>
      </c>
      <c r="J1384" s="35" t="b">
        <f>IF(OR(INDEX(OHZ_HAZ_DGCLASSIFI,127,1)="IBC",INDEX(OHZ_HAZ_DGCLASSIFI,127,1)="IMSBC"),INDEX(OHZ_HAZ_IMOHAZARDC,127,1)&lt;&gt;"",TRUE)</f>
        <v>1</v>
      </c>
      <c r="K1384" s="35" t="str">
        <f t="shared" si="43"/>
        <v>Row 127 - If ‘DG classification’ is ‘IBC’ or ‘IMSBC’  the ‘IMO Hazard Class’ is mandatory</v>
      </c>
    </row>
    <row r="1385" spans="7:11" s="35" customFormat="1" x14ac:dyDescent="0.2">
      <c r="G1385" s="35" t="b">
        <f>IF(OR(INDEX(IHZ_HAZ_DGCLASSIFI,128,1)="IBC",INDEX(IHZ_HAZ_DGCLASSIFI,128,1)="IMSBC"),INDEX(IHZ_HAZ_IMOHAZARDC,128,1)&lt;&gt;"",TRUE)</f>
        <v>1</v>
      </c>
      <c r="H1385" s="35" t="str">
        <f t="shared" si="42"/>
        <v>Row 128 - If ‘DG classification’ is ‘IBC’ or ‘IMSBC’  the ‘IMO Hazard Class’ is mandatory</v>
      </c>
      <c r="J1385" s="35" t="b">
        <f>IF(OR(INDEX(OHZ_HAZ_DGCLASSIFI,128,1)="IBC",INDEX(OHZ_HAZ_DGCLASSIFI,128,1)="IMSBC"),INDEX(OHZ_HAZ_IMOHAZARDC,128,1)&lt;&gt;"",TRUE)</f>
        <v>1</v>
      </c>
      <c r="K1385" s="35" t="str">
        <f t="shared" si="43"/>
        <v>Row 128 - If ‘DG classification’ is ‘IBC’ or ‘IMSBC’  the ‘IMO Hazard Class’ is mandatory</v>
      </c>
    </row>
    <row r="1386" spans="7:11" s="35" customFormat="1" x14ac:dyDescent="0.2">
      <c r="G1386" s="35" t="b">
        <f>IF(OR(INDEX(IHZ_HAZ_DGCLASSIFI,129,1)="IBC",INDEX(IHZ_HAZ_DGCLASSIFI,129,1)="IMSBC"),INDEX(IHZ_HAZ_IMOHAZARDC,129,1)&lt;&gt;"",TRUE)</f>
        <v>1</v>
      </c>
      <c r="H1386" s="35" t="str">
        <f t="shared" si="42"/>
        <v>Row 129 - If ‘DG classification’ is ‘IBC’ or ‘IMSBC’  the ‘IMO Hazard Class’ is mandatory</v>
      </c>
      <c r="J1386" s="35" t="b">
        <f>IF(OR(INDEX(OHZ_HAZ_DGCLASSIFI,129,1)="IBC",INDEX(OHZ_HAZ_DGCLASSIFI,129,1)="IMSBC"),INDEX(OHZ_HAZ_IMOHAZARDC,129,1)&lt;&gt;"",TRUE)</f>
        <v>1</v>
      </c>
      <c r="K1386" s="35" t="str">
        <f t="shared" si="43"/>
        <v>Row 129 - If ‘DG classification’ is ‘IBC’ or ‘IMSBC’  the ‘IMO Hazard Class’ is mandatory</v>
      </c>
    </row>
    <row r="1387" spans="7:11" s="35" customFormat="1" x14ac:dyDescent="0.2">
      <c r="G1387" s="35" t="b">
        <f>IF(OR(INDEX(IHZ_HAZ_DGCLASSIFI,130,1)="IBC",INDEX(IHZ_HAZ_DGCLASSIFI,130,1)="IMSBC"),INDEX(IHZ_HAZ_IMOHAZARDC,130,1)&lt;&gt;"",TRUE)</f>
        <v>1</v>
      </c>
      <c r="H1387" s="35" t="str">
        <f t="shared" ref="H1387:H1450" si="44">T130&amp;$V$7</f>
        <v>Row 130 - If ‘DG classification’ is ‘IBC’ or ‘IMSBC’  the ‘IMO Hazard Class’ is mandatory</v>
      </c>
      <c r="J1387" s="35" t="b">
        <f>IF(OR(INDEX(OHZ_HAZ_DGCLASSIFI,130,1)="IBC",INDEX(OHZ_HAZ_DGCLASSIFI,130,1)="IMSBC"),INDEX(OHZ_HAZ_IMOHAZARDC,130,1)&lt;&gt;"",TRUE)</f>
        <v>1</v>
      </c>
      <c r="K1387" s="35" t="str">
        <f t="shared" ref="K1387:K1450" si="45">T130&amp;$V$7</f>
        <v>Row 130 - If ‘DG classification’ is ‘IBC’ or ‘IMSBC’  the ‘IMO Hazard Class’ is mandatory</v>
      </c>
    </row>
    <row r="1388" spans="7:11" s="35" customFormat="1" x14ac:dyDescent="0.2">
      <c r="G1388" s="35" t="b">
        <f>IF(OR(INDEX(IHZ_HAZ_DGCLASSIFI,131,1)="IBC",INDEX(IHZ_HAZ_DGCLASSIFI,131,1)="IMSBC"),INDEX(IHZ_HAZ_IMOHAZARDC,131,1)&lt;&gt;"",TRUE)</f>
        <v>1</v>
      </c>
      <c r="H1388" s="35" t="str">
        <f t="shared" si="44"/>
        <v>Row 131 - If ‘DG classification’ is ‘IBC’ or ‘IMSBC’  the ‘IMO Hazard Class’ is mandatory</v>
      </c>
      <c r="J1388" s="35" t="b">
        <f>IF(OR(INDEX(OHZ_HAZ_DGCLASSIFI,131,1)="IBC",INDEX(OHZ_HAZ_DGCLASSIFI,131,1)="IMSBC"),INDEX(OHZ_HAZ_IMOHAZARDC,131,1)&lt;&gt;"",TRUE)</f>
        <v>1</v>
      </c>
      <c r="K1388" s="35" t="str">
        <f t="shared" si="45"/>
        <v>Row 131 - If ‘DG classification’ is ‘IBC’ or ‘IMSBC’  the ‘IMO Hazard Class’ is mandatory</v>
      </c>
    </row>
    <row r="1389" spans="7:11" s="35" customFormat="1" x14ac:dyDescent="0.2">
      <c r="G1389" s="35" t="b">
        <f>IF(OR(INDEX(IHZ_HAZ_DGCLASSIFI,132,1)="IBC",INDEX(IHZ_HAZ_DGCLASSIFI,132,1)="IMSBC"),INDEX(IHZ_HAZ_IMOHAZARDC,132,1)&lt;&gt;"",TRUE)</f>
        <v>1</v>
      </c>
      <c r="H1389" s="35" t="str">
        <f t="shared" si="44"/>
        <v>Row 132 - If ‘DG classification’ is ‘IBC’ or ‘IMSBC’  the ‘IMO Hazard Class’ is mandatory</v>
      </c>
      <c r="J1389" s="35" t="b">
        <f>IF(OR(INDEX(OHZ_HAZ_DGCLASSIFI,132,1)="IBC",INDEX(OHZ_HAZ_DGCLASSIFI,132,1)="IMSBC"),INDEX(OHZ_HAZ_IMOHAZARDC,132,1)&lt;&gt;"",TRUE)</f>
        <v>1</v>
      </c>
      <c r="K1389" s="35" t="str">
        <f t="shared" si="45"/>
        <v>Row 132 - If ‘DG classification’ is ‘IBC’ or ‘IMSBC’  the ‘IMO Hazard Class’ is mandatory</v>
      </c>
    </row>
    <row r="1390" spans="7:11" s="35" customFormat="1" x14ac:dyDescent="0.2">
      <c r="G1390" s="35" t="b">
        <f>IF(OR(INDEX(IHZ_HAZ_DGCLASSIFI,133,1)="IBC",INDEX(IHZ_HAZ_DGCLASSIFI,133,1)="IMSBC"),INDEX(IHZ_HAZ_IMOHAZARDC,133,1)&lt;&gt;"",TRUE)</f>
        <v>1</v>
      </c>
      <c r="H1390" s="35" t="str">
        <f t="shared" si="44"/>
        <v>Row 133 - If ‘DG classification’ is ‘IBC’ or ‘IMSBC’  the ‘IMO Hazard Class’ is mandatory</v>
      </c>
      <c r="J1390" s="35" t="b">
        <f>IF(OR(INDEX(OHZ_HAZ_DGCLASSIFI,133,1)="IBC",INDEX(OHZ_HAZ_DGCLASSIFI,133,1)="IMSBC"),INDEX(OHZ_HAZ_IMOHAZARDC,133,1)&lt;&gt;"",TRUE)</f>
        <v>1</v>
      </c>
      <c r="K1390" s="35" t="str">
        <f t="shared" si="45"/>
        <v>Row 133 - If ‘DG classification’ is ‘IBC’ or ‘IMSBC’  the ‘IMO Hazard Class’ is mandatory</v>
      </c>
    </row>
    <row r="1391" spans="7:11" s="35" customFormat="1" x14ac:dyDescent="0.2">
      <c r="G1391" s="35" t="b">
        <f>IF(OR(INDEX(IHZ_HAZ_DGCLASSIFI,134,1)="IBC",INDEX(IHZ_HAZ_DGCLASSIFI,134,1)="IMSBC"),INDEX(IHZ_HAZ_IMOHAZARDC,134,1)&lt;&gt;"",TRUE)</f>
        <v>1</v>
      </c>
      <c r="H1391" s="35" t="str">
        <f t="shared" si="44"/>
        <v>Row 134 - If ‘DG classification’ is ‘IBC’ or ‘IMSBC’  the ‘IMO Hazard Class’ is mandatory</v>
      </c>
      <c r="J1391" s="35" t="b">
        <f>IF(OR(INDEX(OHZ_HAZ_DGCLASSIFI,134,1)="IBC",INDEX(OHZ_HAZ_DGCLASSIFI,134,1)="IMSBC"),INDEX(OHZ_HAZ_IMOHAZARDC,134,1)&lt;&gt;"",TRUE)</f>
        <v>1</v>
      </c>
      <c r="K1391" s="35" t="str">
        <f t="shared" si="45"/>
        <v>Row 134 - If ‘DG classification’ is ‘IBC’ or ‘IMSBC’  the ‘IMO Hazard Class’ is mandatory</v>
      </c>
    </row>
    <row r="1392" spans="7:11" s="35" customFormat="1" x14ac:dyDescent="0.2">
      <c r="G1392" s="35" t="b">
        <f>IF(OR(INDEX(IHZ_HAZ_DGCLASSIFI,135,1)="IBC",INDEX(IHZ_HAZ_DGCLASSIFI,135,1)="IMSBC"),INDEX(IHZ_HAZ_IMOHAZARDC,135,1)&lt;&gt;"",TRUE)</f>
        <v>1</v>
      </c>
      <c r="H1392" s="35" t="str">
        <f t="shared" si="44"/>
        <v>Row 135 - If ‘DG classification’ is ‘IBC’ or ‘IMSBC’  the ‘IMO Hazard Class’ is mandatory</v>
      </c>
      <c r="J1392" s="35" t="b">
        <f>IF(OR(INDEX(OHZ_HAZ_DGCLASSIFI,135,1)="IBC",INDEX(OHZ_HAZ_DGCLASSIFI,135,1)="IMSBC"),INDEX(OHZ_HAZ_IMOHAZARDC,135,1)&lt;&gt;"",TRUE)</f>
        <v>1</v>
      </c>
      <c r="K1392" s="35" t="str">
        <f t="shared" si="45"/>
        <v>Row 135 - If ‘DG classification’ is ‘IBC’ or ‘IMSBC’  the ‘IMO Hazard Class’ is mandatory</v>
      </c>
    </row>
    <row r="1393" spans="7:11" s="35" customFormat="1" x14ac:dyDescent="0.2">
      <c r="G1393" s="35" t="b">
        <f>IF(OR(INDEX(IHZ_HAZ_DGCLASSIFI,136,1)="IBC",INDEX(IHZ_HAZ_DGCLASSIFI,136,1)="IMSBC"),INDEX(IHZ_HAZ_IMOHAZARDC,136,1)&lt;&gt;"",TRUE)</f>
        <v>1</v>
      </c>
      <c r="H1393" s="35" t="str">
        <f t="shared" si="44"/>
        <v>Row 136 - If ‘DG classification’ is ‘IBC’ or ‘IMSBC’  the ‘IMO Hazard Class’ is mandatory</v>
      </c>
      <c r="J1393" s="35" t="b">
        <f>IF(OR(INDEX(OHZ_HAZ_DGCLASSIFI,136,1)="IBC",INDEX(OHZ_HAZ_DGCLASSIFI,136,1)="IMSBC"),INDEX(OHZ_HAZ_IMOHAZARDC,136,1)&lt;&gt;"",TRUE)</f>
        <v>1</v>
      </c>
      <c r="K1393" s="35" t="str">
        <f t="shared" si="45"/>
        <v>Row 136 - If ‘DG classification’ is ‘IBC’ or ‘IMSBC’  the ‘IMO Hazard Class’ is mandatory</v>
      </c>
    </row>
    <row r="1394" spans="7:11" s="35" customFormat="1" x14ac:dyDescent="0.2">
      <c r="G1394" s="35" t="b">
        <f>IF(OR(INDEX(IHZ_HAZ_DGCLASSIFI,137,1)="IBC",INDEX(IHZ_HAZ_DGCLASSIFI,137,1)="IMSBC"),INDEX(IHZ_HAZ_IMOHAZARDC,137,1)&lt;&gt;"",TRUE)</f>
        <v>1</v>
      </c>
      <c r="H1394" s="35" t="str">
        <f t="shared" si="44"/>
        <v>Row 137 - If ‘DG classification’ is ‘IBC’ or ‘IMSBC’  the ‘IMO Hazard Class’ is mandatory</v>
      </c>
      <c r="J1394" s="35" t="b">
        <f>IF(OR(INDEX(OHZ_HAZ_DGCLASSIFI,137,1)="IBC",INDEX(OHZ_HAZ_DGCLASSIFI,137,1)="IMSBC"),INDEX(OHZ_HAZ_IMOHAZARDC,137,1)&lt;&gt;"",TRUE)</f>
        <v>1</v>
      </c>
      <c r="K1394" s="35" t="str">
        <f t="shared" si="45"/>
        <v>Row 137 - If ‘DG classification’ is ‘IBC’ or ‘IMSBC’  the ‘IMO Hazard Class’ is mandatory</v>
      </c>
    </row>
    <row r="1395" spans="7:11" s="35" customFormat="1" x14ac:dyDescent="0.2">
      <c r="G1395" s="35" t="b">
        <f>IF(OR(INDEX(IHZ_HAZ_DGCLASSIFI,138,1)="IBC",INDEX(IHZ_HAZ_DGCLASSIFI,138,1)="IMSBC"),INDEX(IHZ_HAZ_IMOHAZARDC,138,1)&lt;&gt;"",TRUE)</f>
        <v>1</v>
      </c>
      <c r="H1395" s="35" t="str">
        <f t="shared" si="44"/>
        <v>Row 138 - If ‘DG classification’ is ‘IBC’ or ‘IMSBC’  the ‘IMO Hazard Class’ is mandatory</v>
      </c>
      <c r="J1395" s="35" t="b">
        <f>IF(OR(INDEX(OHZ_HAZ_DGCLASSIFI,138,1)="IBC",INDEX(OHZ_HAZ_DGCLASSIFI,138,1)="IMSBC"),INDEX(OHZ_HAZ_IMOHAZARDC,138,1)&lt;&gt;"",TRUE)</f>
        <v>1</v>
      </c>
      <c r="K1395" s="35" t="str">
        <f t="shared" si="45"/>
        <v>Row 138 - If ‘DG classification’ is ‘IBC’ or ‘IMSBC’  the ‘IMO Hazard Class’ is mandatory</v>
      </c>
    </row>
    <row r="1396" spans="7:11" s="35" customFormat="1" x14ac:dyDescent="0.2">
      <c r="G1396" s="35" t="b">
        <f>IF(OR(INDEX(IHZ_HAZ_DGCLASSIFI,139,1)="IBC",INDEX(IHZ_HAZ_DGCLASSIFI,139,1)="IMSBC"),INDEX(IHZ_HAZ_IMOHAZARDC,139,1)&lt;&gt;"",TRUE)</f>
        <v>1</v>
      </c>
      <c r="H1396" s="35" t="str">
        <f t="shared" si="44"/>
        <v>Row 139 - If ‘DG classification’ is ‘IBC’ or ‘IMSBC’  the ‘IMO Hazard Class’ is mandatory</v>
      </c>
      <c r="J1396" s="35" t="b">
        <f>IF(OR(INDEX(OHZ_HAZ_DGCLASSIFI,139,1)="IBC",INDEX(OHZ_HAZ_DGCLASSIFI,139,1)="IMSBC"),INDEX(OHZ_HAZ_IMOHAZARDC,139,1)&lt;&gt;"",TRUE)</f>
        <v>1</v>
      </c>
      <c r="K1396" s="35" t="str">
        <f t="shared" si="45"/>
        <v>Row 139 - If ‘DG classification’ is ‘IBC’ or ‘IMSBC’  the ‘IMO Hazard Class’ is mandatory</v>
      </c>
    </row>
    <row r="1397" spans="7:11" s="35" customFormat="1" x14ac:dyDescent="0.2">
      <c r="G1397" s="35" t="b">
        <f>IF(OR(INDEX(IHZ_HAZ_DGCLASSIFI,140,1)="IBC",INDEX(IHZ_HAZ_DGCLASSIFI,140,1)="IMSBC"),INDEX(IHZ_HAZ_IMOHAZARDC,140,1)&lt;&gt;"",TRUE)</f>
        <v>1</v>
      </c>
      <c r="H1397" s="35" t="str">
        <f t="shared" si="44"/>
        <v>Row 140 - If ‘DG classification’ is ‘IBC’ or ‘IMSBC’  the ‘IMO Hazard Class’ is mandatory</v>
      </c>
      <c r="J1397" s="35" t="b">
        <f>IF(OR(INDEX(OHZ_HAZ_DGCLASSIFI,140,1)="IBC",INDEX(OHZ_HAZ_DGCLASSIFI,140,1)="IMSBC"),INDEX(OHZ_HAZ_IMOHAZARDC,140,1)&lt;&gt;"",TRUE)</f>
        <v>1</v>
      </c>
      <c r="K1397" s="35" t="str">
        <f t="shared" si="45"/>
        <v>Row 140 - If ‘DG classification’ is ‘IBC’ or ‘IMSBC’  the ‘IMO Hazard Class’ is mandatory</v>
      </c>
    </row>
    <row r="1398" spans="7:11" s="35" customFormat="1" x14ac:dyDescent="0.2">
      <c r="G1398" s="35" t="b">
        <f>IF(OR(INDEX(IHZ_HAZ_DGCLASSIFI,141,1)="IBC",INDEX(IHZ_HAZ_DGCLASSIFI,141,1)="IMSBC"),INDEX(IHZ_HAZ_IMOHAZARDC,141,1)&lt;&gt;"",TRUE)</f>
        <v>1</v>
      </c>
      <c r="H1398" s="35" t="str">
        <f t="shared" si="44"/>
        <v>Row 141 - If ‘DG classification’ is ‘IBC’ or ‘IMSBC’  the ‘IMO Hazard Class’ is mandatory</v>
      </c>
      <c r="J1398" s="35" t="b">
        <f>IF(OR(INDEX(OHZ_HAZ_DGCLASSIFI,141,1)="IBC",INDEX(OHZ_HAZ_DGCLASSIFI,141,1)="IMSBC"),INDEX(OHZ_HAZ_IMOHAZARDC,141,1)&lt;&gt;"",TRUE)</f>
        <v>1</v>
      </c>
      <c r="K1398" s="35" t="str">
        <f t="shared" si="45"/>
        <v>Row 141 - If ‘DG classification’ is ‘IBC’ or ‘IMSBC’  the ‘IMO Hazard Class’ is mandatory</v>
      </c>
    </row>
    <row r="1399" spans="7:11" s="35" customFormat="1" x14ac:dyDescent="0.2">
      <c r="G1399" s="35" t="b">
        <f>IF(OR(INDEX(IHZ_HAZ_DGCLASSIFI,142,1)="IBC",INDEX(IHZ_HAZ_DGCLASSIFI,142,1)="IMSBC"),INDEX(IHZ_HAZ_IMOHAZARDC,142,1)&lt;&gt;"",TRUE)</f>
        <v>1</v>
      </c>
      <c r="H1399" s="35" t="str">
        <f t="shared" si="44"/>
        <v>Row 142 - If ‘DG classification’ is ‘IBC’ or ‘IMSBC’  the ‘IMO Hazard Class’ is mandatory</v>
      </c>
      <c r="J1399" s="35" t="b">
        <f>IF(OR(INDEX(OHZ_HAZ_DGCLASSIFI,142,1)="IBC",INDEX(OHZ_HAZ_DGCLASSIFI,142,1)="IMSBC"),INDEX(OHZ_HAZ_IMOHAZARDC,142,1)&lt;&gt;"",TRUE)</f>
        <v>1</v>
      </c>
      <c r="K1399" s="35" t="str">
        <f t="shared" si="45"/>
        <v>Row 142 - If ‘DG classification’ is ‘IBC’ or ‘IMSBC’  the ‘IMO Hazard Class’ is mandatory</v>
      </c>
    </row>
    <row r="1400" spans="7:11" s="35" customFormat="1" x14ac:dyDescent="0.2">
      <c r="G1400" s="35" t="b">
        <f>IF(OR(INDEX(IHZ_HAZ_DGCLASSIFI,143,1)="IBC",INDEX(IHZ_HAZ_DGCLASSIFI,143,1)="IMSBC"),INDEX(IHZ_HAZ_IMOHAZARDC,143,1)&lt;&gt;"",TRUE)</f>
        <v>1</v>
      </c>
      <c r="H1400" s="35" t="str">
        <f t="shared" si="44"/>
        <v>Row 143 - If ‘DG classification’ is ‘IBC’ or ‘IMSBC’  the ‘IMO Hazard Class’ is mandatory</v>
      </c>
      <c r="J1400" s="35" t="b">
        <f>IF(OR(INDEX(OHZ_HAZ_DGCLASSIFI,143,1)="IBC",INDEX(OHZ_HAZ_DGCLASSIFI,143,1)="IMSBC"),INDEX(OHZ_HAZ_IMOHAZARDC,143,1)&lt;&gt;"",TRUE)</f>
        <v>1</v>
      </c>
      <c r="K1400" s="35" t="str">
        <f t="shared" si="45"/>
        <v>Row 143 - If ‘DG classification’ is ‘IBC’ or ‘IMSBC’  the ‘IMO Hazard Class’ is mandatory</v>
      </c>
    </row>
    <row r="1401" spans="7:11" s="35" customFormat="1" x14ac:dyDescent="0.2">
      <c r="G1401" s="35" t="b">
        <f>IF(OR(INDEX(IHZ_HAZ_DGCLASSIFI,144,1)="IBC",INDEX(IHZ_HAZ_DGCLASSIFI,144,1)="IMSBC"),INDEX(IHZ_HAZ_IMOHAZARDC,144,1)&lt;&gt;"",TRUE)</f>
        <v>1</v>
      </c>
      <c r="H1401" s="35" t="str">
        <f t="shared" si="44"/>
        <v>Row 144 - If ‘DG classification’ is ‘IBC’ or ‘IMSBC’  the ‘IMO Hazard Class’ is mandatory</v>
      </c>
      <c r="J1401" s="35" t="b">
        <f>IF(OR(INDEX(OHZ_HAZ_DGCLASSIFI,144,1)="IBC",INDEX(OHZ_HAZ_DGCLASSIFI,144,1)="IMSBC"),INDEX(OHZ_HAZ_IMOHAZARDC,144,1)&lt;&gt;"",TRUE)</f>
        <v>1</v>
      </c>
      <c r="K1401" s="35" t="str">
        <f t="shared" si="45"/>
        <v>Row 144 - If ‘DG classification’ is ‘IBC’ or ‘IMSBC’  the ‘IMO Hazard Class’ is mandatory</v>
      </c>
    </row>
    <row r="1402" spans="7:11" s="35" customFormat="1" x14ac:dyDescent="0.2">
      <c r="G1402" s="35" t="b">
        <f>IF(OR(INDEX(IHZ_HAZ_DGCLASSIFI,145,1)="IBC",INDEX(IHZ_HAZ_DGCLASSIFI,145,1)="IMSBC"),INDEX(IHZ_HAZ_IMOHAZARDC,145,1)&lt;&gt;"",TRUE)</f>
        <v>1</v>
      </c>
      <c r="H1402" s="35" t="str">
        <f t="shared" si="44"/>
        <v>Row 145 - If ‘DG classification’ is ‘IBC’ or ‘IMSBC’  the ‘IMO Hazard Class’ is mandatory</v>
      </c>
      <c r="J1402" s="35" t="b">
        <f>IF(OR(INDEX(OHZ_HAZ_DGCLASSIFI,145,1)="IBC",INDEX(OHZ_HAZ_DGCLASSIFI,145,1)="IMSBC"),INDEX(OHZ_HAZ_IMOHAZARDC,145,1)&lt;&gt;"",TRUE)</f>
        <v>1</v>
      </c>
      <c r="K1402" s="35" t="str">
        <f t="shared" si="45"/>
        <v>Row 145 - If ‘DG classification’ is ‘IBC’ or ‘IMSBC’  the ‘IMO Hazard Class’ is mandatory</v>
      </c>
    </row>
    <row r="1403" spans="7:11" s="35" customFormat="1" x14ac:dyDescent="0.2">
      <c r="G1403" s="35" t="b">
        <f>IF(OR(INDEX(IHZ_HAZ_DGCLASSIFI,146,1)="IBC",INDEX(IHZ_HAZ_DGCLASSIFI,146,1)="IMSBC"),INDEX(IHZ_HAZ_IMOHAZARDC,146,1)&lt;&gt;"",TRUE)</f>
        <v>1</v>
      </c>
      <c r="H1403" s="35" t="str">
        <f t="shared" si="44"/>
        <v>Row 146 - If ‘DG classification’ is ‘IBC’ or ‘IMSBC’  the ‘IMO Hazard Class’ is mandatory</v>
      </c>
      <c r="J1403" s="35" t="b">
        <f>IF(OR(INDEX(OHZ_HAZ_DGCLASSIFI,146,1)="IBC",INDEX(OHZ_HAZ_DGCLASSIFI,146,1)="IMSBC"),INDEX(OHZ_HAZ_IMOHAZARDC,146,1)&lt;&gt;"",TRUE)</f>
        <v>1</v>
      </c>
      <c r="K1403" s="35" t="str">
        <f t="shared" si="45"/>
        <v>Row 146 - If ‘DG classification’ is ‘IBC’ or ‘IMSBC’  the ‘IMO Hazard Class’ is mandatory</v>
      </c>
    </row>
    <row r="1404" spans="7:11" s="35" customFormat="1" x14ac:dyDescent="0.2">
      <c r="G1404" s="35" t="b">
        <f>IF(OR(INDEX(IHZ_HAZ_DGCLASSIFI,147,1)="IBC",INDEX(IHZ_HAZ_DGCLASSIFI,147,1)="IMSBC"),INDEX(IHZ_HAZ_IMOHAZARDC,147,1)&lt;&gt;"",TRUE)</f>
        <v>1</v>
      </c>
      <c r="H1404" s="35" t="str">
        <f t="shared" si="44"/>
        <v>Row 147 - If ‘DG classification’ is ‘IBC’ or ‘IMSBC’  the ‘IMO Hazard Class’ is mandatory</v>
      </c>
      <c r="J1404" s="35" t="b">
        <f>IF(OR(INDEX(OHZ_HAZ_DGCLASSIFI,147,1)="IBC",INDEX(OHZ_HAZ_DGCLASSIFI,147,1)="IMSBC"),INDEX(OHZ_HAZ_IMOHAZARDC,147,1)&lt;&gt;"",TRUE)</f>
        <v>1</v>
      </c>
      <c r="K1404" s="35" t="str">
        <f t="shared" si="45"/>
        <v>Row 147 - If ‘DG classification’ is ‘IBC’ or ‘IMSBC’  the ‘IMO Hazard Class’ is mandatory</v>
      </c>
    </row>
    <row r="1405" spans="7:11" s="35" customFormat="1" x14ac:dyDescent="0.2">
      <c r="G1405" s="35" t="b">
        <f>IF(OR(INDEX(IHZ_HAZ_DGCLASSIFI,148,1)="IBC",INDEX(IHZ_HAZ_DGCLASSIFI,148,1)="IMSBC"),INDEX(IHZ_HAZ_IMOHAZARDC,148,1)&lt;&gt;"",TRUE)</f>
        <v>1</v>
      </c>
      <c r="H1405" s="35" t="str">
        <f t="shared" si="44"/>
        <v>Row 148 - If ‘DG classification’ is ‘IBC’ or ‘IMSBC’  the ‘IMO Hazard Class’ is mandatory</v>
      </c>
      <c r="J1405" s="35" t="b">
        <f>IF(OR(INDEX(OHZ_HAZ_DGCLASSIFI,148,1)="IBC",INDEX(OHZ_HAZ_DGCLASSIFI,148,1)="IMSBC"),INDEX(OHZ_HAZ_IMOHAZARDC,148,1)&lt;&gt;"",TRUE)</f>
        <v>1</v>
      </c>
      <c r="K1405" s="35" t="str">
        <f t="shared" si="45"/>
        <v>Row 148 - If ‘DG classification’ is ‘IBC’ or ‘IMSBC’  the ‘IMO Hazard Class’ is mandatory</v>
      </c>
    </row>
    <row r="1406" spans="7:11" s="35" customFormat="1" x14ac:dyDescent="0.2">
      <c r="G1406" s="35" t="b">
        <f>IF(OR(INDEX(IHZ_HAZ_DGCLASSIFI,149,1)="IBC",INDEX(IHZ_HAZ_DGCLASSIFI,149,1)="IMSBC"),INDEX(IHZ_HAZ_IMOHAZARDC,149,1)&lt;&gt;"",TRUE)</f>
        <v>1</v>
      </c>
      <c r="H1406" s="35" t="str">
        <f t="shared" si="44"/>
        <v>Row 149 - If ‘DG classification’ is ‘IBC’ or ‘IMSBC’  the ‘IMO Hazard Class’ is mandatory</v>
      </c>
      <c r="J1406" s="35" t="b">
        <f>IF(OR(INDEX(OHZ_HAZ_DGCLASSIFI,149,1)="IBC",INDEX(OHZ_HAZ_DGCLASSIFI,149,1)="IMSBC"),INDEX(OHZ_HAZ_IMOHAZARDC,149,1)&lt;&gt;"",TRUE)</f>
        <v>1</v>
      </c>
      <c r="K1406" s="35" t="str">
        <f t="shared" si="45"/>
        <v>Row 149 - If ‘DG classification’ is ‘IBC’ or ‘IMSBC’  the ‘IMO Hazard Class’ is mandatory</v>
      </c>
    </row>
    <row r="1407" spans="7:11" s="35" customFormat="1" x14ac:dyDescent="0.2">
      <c r="G1407" s="35" t="b">
        <f>IF(OR(INDEX(IHZ_HAZ_DGCLASSIFI,150,1)="IBC",INDEX(IHZ_HAZ_DGCLASSIFI,150,1)="IMSBC"),INDEX(IHZ_HAZ_IMOHAZARDC,150,1)&lt;&gt;"",TRUE)</f>
        <v>1</v>
      </c>
      <c r="H1407" s="35" t="str">
        <f t="shared" si="44"/>
        <v>Row 150 - If ‘DG classification’ is ‘IBC’ or ‘IMSBC’  the ‘IMO Hazard Class’ is mandatory</v>
      </c>
      <c r="J1407" s="35" t="b">
        <f>IF(OR(INDEX(OHZ_HAZ_DGCLASSIFI,150,1)="IBC",INDEX(OHZ_HAZ_DGCLASSIFI,150,1)="IMSBC"),INDEX(OHZ_HAZ_IMOHAZARDC,150,1)&lt;&gt;"",TRUE)</f>
        <v>1</v>
      </c>
      <c r="K1407" s="35" t="str">
        <f t="shared" si="45"/>
        <v>Row 150 - If ‘DG classification’ is ‘IBC’ or ‘IMSBC’  the ‘IMO Hazard Class’ is mandatory</v>
      </c>
    </row>
    <row r="1408" spans="7:11" s="35" customFormat="1" x14ac:dyDescent="0.2">
      <c r="G1408" s="35" t="b">
        <f>IF(OR(INDEX(IHZ_HAZ_DGCLASSIFI,151,1)="IBC",INDEX(IHZ_HAZ_DGCLASSIFI,151,1)="IMSBC"),INDEX(IHZ_HAZ_IMOHAZARDC,151,1)&lt;&gt;"",TRUE)</f>
        <v>1</v>
      </c>
      <c r="H1408" s="35" t="str">
        <f t="shared" si="44"/>
        <v>Row 151 - If ‘DG classification’ is ‘IBC’ or ‘IMSBC’  the ‘IMO Hazard Class’ is mandatory</v>
      </c>
      <c r="J1408" s="35" t="b">
        <f>IF(OR(INDEX(OHZ_HAZ_DGCLASSIFI,151,1)="IBC",INDEX(OHZ_HAZ_DGCLASSIFI,151,1)="IMSBC"),INDEX(OHZ_HAZ_IMOHAZARDC,151,1)&lt;&gt;"",TRUE)</f>
        <v>1</v>
      </c>
      <c r="K1408" s="35" t="str">
        <f t="shared" si="45"/>
        <v>Row 151 - If ‘DG classification’ is ‘IBC’ or ‘IMSBC’  the ‘IMO Hazard Class’ is mandatory</v>
      </c>
    </row>
    <row r="1409" spans="7:11" s="35" customFormat="1" x14ac:dyDescent="0.2">
      <c r="G1409" s="35" t="b">
        <f>IF(OR(INDEX(IHZ_HAZ_DGCLASSIFI,152,1)="IBC",INDEX(IHZ_HAZ_DGCLASSIFI,152,1)="IMSBC"),INDEX(IHZ_HAZ_IMOHAZARDC,152,1)&lt;&gt;"",TRUE)</f>
        <v>1</v>
      </c>
      <c r="H1409" s="35" t="str">
        <f t="shared" si="44"/>
        <v>Row 152 - If ‘DG classification’ is ‘IBC’ or ‘IMSBC’  the ‘IMO Hazard Class’ is mandatory</v>
      </c>
      <c r="J1409" s="35" t="b">
        <f>IF(OR(INDEX(OHZ_HAZ_DGCLASSIFI,152,1)="IBC",INDEX(OHZ_HAZ_DGCLASSIFI,152,1)="IMSBC"),INDEX(OHZ_HAZ_IMOHAZARDC,152,1)&lt;&gt;"",TRUE)</f>
        <v>1</v>
      </c>
      <c r="K1409" s="35" t="str">
        <f t="shared" si="45"/>
        <v>Row 152 - If ‘DG classification’ is ‘IBC’ or ‘IMSBC’  the ‘IMO Hazard Class’ is mandatory</v>
      </c>
    </row>
    <row r="1410" spans="7:11" s="35" customFormat="1" x14ac:dyDescent="0.2">
      <c r="G1410" s="35" t="b">
        <f>IF(OR(INDEX(IHZ_HAZ_DGCLASSIFI,153,1)="IBC",INDEX(IHZ_HAZ_DGCLASSIFI,153,1)="IMSBC"),INDEX(IHZ_HAZ_IMOHAZARDC,153,1)&lt;&gt;"",TRUE)</f>
        <v>1</v>
      </c>
      <c r="H1410" s="35" t="str">
        <f t="shared" si="44"/>
        <v>Row 153 - If ‘DG classification’ is ‘IBC’ or ‘IMSBC’  the ‘IMO Hazard Class’ is mandatory</v>
      </c>
      <c r="J1410" s="35" t="b">
        <f>IF(OR(INDEX(OHZ_HAZ_DGCLASSIFI,153,1)="IBC",INDEX(OHZ_HAZ_DGCLASSIFI,153,1)="IMSBC"),INDEX(OHZ_HAZ_IMOHAZARDC,153,1)&lt;&gt;"",TRUE)</f>
        <v>1</v>
      </c>
      <c r="K1410" s="35" t="str">
        <f t="shared" si="45"/>
        <v>Row 153 - If ‘DG classification’ is ‘IBC’ or ‘IMSBC’  the ‘IMO Hazard Class’ is mandatory</v>
      </c>
    </row>
    <row r="1411" spans="7:11" s="35" customFormat="1" x14ac:dyDescent="0.2">
      <c r="G1411" s="35" t="b">
        <f>IF(OR(INDEX(IHZ_HAZ_DGCLASSIFI,154,1)="IBC",INDEX(IHZ_HAZ_DGCLASSIFI,154,1)="IMSBC"),INDEX(IHZ_HAZ_IMOHAZARDC,154,1)&lt;&gt;"",TRUE)</f>
        <v>1</v>
      </c>
      <c r="H1411" s="35" t="str">
        <f t="shared" si="44"/>
        <v>Row 154 - If ‘DG classification’ is ‘IBC’ or ‘IMSBC’  the ‘IMO Hazard Class’ is mandatory</v>
      </c>
      <c r="J1411" s="35" t="b">
        <f>IF(OR(INDEX(OHZ_HAZ_DGCLASSIFI,154,1)="IBC",INDEX(OHZ_HAZ_DGCLASSIFI,154,1)="IMSBC"),INDEX(OHZ_HAZ_IMOHAZARDC,154,1)&lt;&gt;"",TRUE)</f>
        <v>1</v>
      </c>
      <c r="K1411" s="35" t="str">
        <f t="shared" si="45"/>
        <v>Row 154 - If ‘DG classification’ is ‘IBC’ or ‘IMSBC’  the ‘IMO Hazard Class’ is mandatory</v>
      </c>
    </row>
    <row r="1412" spans="7:11" s="35" customFormat="1" x14ac:dyDescent="0.2">
      <c r="G1412" s="35" t="b">
        <f>IF(OR(INDEX(IHZ_HAZ_DGCLASSIFI,155,1)="IBC",INDEX(IHZ_HAZ_DGCLASSIFI,155,1)="IMSBC"),INDEX(IHZ_HAZ_IMOHAZARDC,155,1)&lt;&gt;"",TRUE)</f>
        <v>1</v>
      </c>
      <c r="H1412" s="35" t="str">
        <f t="shared" si="44"/>
        <v>Row 155 - If ‘DG classification’ is ‘IBC’ or ‘IMSBC’  the ‘IMO Hazard Class’ is mandatory</v>
      </c>
      <c r="J1412" s="35" t="b">
        <f>IF(OR(INDEX(OHZ_HAZ_DGCLASSIFI,155,1)="IBC",INDEX(OHZ_HAZ_DGCLASSIFI,155,1)="IMSBC"),INDEX(OHZ_HAZ_IMOHAZARDC,155,1)&lt;&gt;"",TRUE)</f>
        <v>1</v>
      </c>
      <c r="K1412" s="35" t="str">
        <f t="shared" si="45"/>
        <v>Row 155 - If ‘DG classification’ is ‘IBC’ or ‘IMSBC’  the ‘IMO Hazard Class’ is mandatory</v>
      </c>
    </row>
    <row r="1413" spans="7:11" s="35" customFormat="1" x14ac:dyDescent="0.2">
      <c r="G1413" s="35" t="b">
        <f>IF(OR(INDEX(IHZ_HAZ_DGCLASSIFI,156,1)="IBC",INDEX(IHZ_HAZ_DGCLASSIFI,156,1)="IMSBC"),INDEX(IHZ_HAZ_IMOHAZARDC,156,1)&lt;&gt;"",TRUE)</f>
        <v>1</v>
      </c>
      <c r="H1413" s="35" t="str">
        <f t="shared" si="44"/>
        <v>Row 156 - If ‘DG classification’ is ‘IBC’ or ‘IMSBC’  the ‘IMO Hazard Class’ is mandatory</v>
      </c>
      <c r="J1413" s="35" t="b">
        <f>IF(OR(INDEX(OHZ_HAZ_DGCLASSIFI,156,1)="IBC",INDEX(OHZ_HAZ_DGCLASSIFI,156,1)="IMSBC"),INDEX(OHZ_HAZ_IMOHAZARDC,156,1)&lt;&gt;"",TRUE)</f>
        <v>1</v>
      </c>
      <c r="K1413" s="35" t="str">
        <f t="shared" si="45"/>
        <v>Row 156 - If ‘DG classification’ is ‘IBC’ or ‘IMSBC’  the ‘IMO Hazard Class’ is mandatory</v>
      </c>
    </row>
    <row r="1414" spans="7:11" s="35" customFormat="1" x14ac:dyDescent="0.2">
      <c r="G1414" s="35" t="b">
        <f>IF(OR(INDEX(IHZ_HAZ_DGCLASSIFI,157,1)="IBC",INDEX(IHZ_HAZ_DGCLASSIFI,157,1)="IMSBC"),INDEX(IHZ_HAZ_IMOHAZARDC,157,1)&lt;&gt;"",TRUE)</f>
        <v>1</v>
      </c>
      <c r="H1414" s="35" t="str">
        <f t="shared" si="44"/>
        <v>Row 157 - If ‘DG classification’ is ‘IBC’ or ‘IMSBC’  the ‘IMO Hazard Class’ is mandatory</v>
      </c>
      <c r="J1414" s="35" t="b">
        <f>IF(OR(INDEX(OHZ_HAZ_DGCLASSIFI,157,1)="IBC",INDEX(OHZ_HAZ_DGCLASSIFI,157,1)="IMSBC"),INDEX(OHZ_HAZ_IMOHAZARDC,157,1)&lt;&gt;"",TRUE)</f>
        <v>1</v>
      </c>
      <c r="K1414" s="35" t="str">
        <f t="shared" si="45"/>
        <v>Row 157 - If ‘DG classification’ is ‘IBC’ or ‘IMSBC’  the ‘IMO Hazard Class’ is mandatory</v>
      </c>
    </row>
    <row r="1415" spans="7:11" s="35" customFormat="1" x14ac:dyDescent="0.2">
      <c r="G1415" s="35" t="b">
        <f>IF(OR(INDEX(IHZ_HAZ_DGCLASSIFI,158,1)="IBC",INDEX(IHZ_HAZ_DGCLASSIFI,158,1)="IMSBC"),INDEX(IHZ_HAZ_IMOHAZARDC,158,1)&lt;&gt;"",TRUE)</f>
        <v>1</v>
      </c>
      <c r="H1415" s="35" t="str">
        <f t="shared" si="44"/>
        <v>Row 158 - If ‘DG classification’ is ‘IBC’ or ‘IMSBC’  the ‘IMO Hazard Class’ is mandatory</v>
      </c>
      <c r="J1415" s="35" t="b">
        <f>IF(OR(INDEX(OHZ_HAZ_DGCLASSIFI,158,1)="IBC",INDEX(OHZ_HAZ_DGCLASSIFI,158,1)="IMSBC"),INDEX(OHZ_HAZ_IMOHAZARDC,158,1)&lt;&gt;"",TRUE)</f>
        <v>1</v>
      </c>
      <c r="K1415" s="35" t="str">
        <f t="shared" si="45"/>
        <v>Row 158 - If ‘DG classification’ is ‘IBC’ or ‘IMSBC’  the ‘IMO Hazard Class’ is mandatory</v>
      </c>
    </row>
    <row r="1416" spans="7:11" s="35" customFormat="1" x14ac:dyDescent="0.2">
      <c r="G1416" s="35" t="b">
        <f>IF(OR(INDEX(IHZ_HAZ_DGCLASSIFI,159,1)="IBC",INDEX(IHZ_HAZ_DGCLASSIFI,159,1)="IMSBC"),INDEX(IHZ_HAZ_IMOHAZARDC,159,1)&lt;&gt;"",TRUE)</f>
        <v>1</v>
      </c>
      <c r="H1416" s="35" t="str">
        <f t="shared" si="44"/>
        <v>Row 159 - If ‘DG classification’ is ‘IBC’ or ‘IMSBC’  the ‘IMO Hazard Class’ is mandatory</v>
      </c>
      <c r="J1416" s="35" t="b">
        <f>IF(OR(INDEX(OHZ_HAZ_DGCLASSIFI,159,1)="IBC",INDEX(OHZ_HAZ_DGCLASSIFI,159,1)="IMSBC"),INDEX(OHZ_HAZ_IMOHAZARDC,159,1)&lt;&gt;"",TRUE)</f>
        <v>1</v>
      </c>
      <c r="K1416" s="35" t="str">
        <f t="shared" si="45"/>
        <v>Row 159 - If ‘DG classification’ is ‘IBC’ or ‘IMSBC’  the ‘IMO Hazard Class’ is mandatory</v>
      </c>
    </row>
    <row r="1417" spans="7:11" s="35" customFormat="1" x14ac:dyDescent="0.2">
      <c r="G1417" s="35" t="b">
        <f>IF(OR(INDEX(IHZ_HAZ_DGCLASSIFI,160,1)="IBC",INDEX(IHZ_HAZ_DGCLASSIFI,160,1)="IMSBC"),INDEX(IHZ_HAZ_IMOHAZARDC,160,1)&lt;&gt;"",TRUE)</f>
        <v>1</v>
      </c>
      <c r="H1417" s="35" t="str">
        <f t="shared" si="44"/>
        <v>Row 160 - If ‘DG classification’ is ‘IBC’ or ‘IMSBC’  the ‘IMO Hazard Class’ is mandatory</v>
      </c>
      <c r="J1417" s="35" t="b">
        <f>IF(OR(INDEX(OHZ_HAZ_DGCLASSIFI,160,1)="IBC",INDEX(OHZ_HAZ_DGCLASSIFI,160,1)="IMSBC"),INDEX(OHZ_HAZ_IMOHAZARDC,160,1)&lt;&gt;"",TRUE)</f>
        <v>1</v>
      </c>
      <c r="K1417" s="35" t="str">
        <f t="shared" si="45"/>
        <v>Row 160 - If ‘DG classification’ is ‘IBC’ or ‘IMSBC’  the ‘IMO Hazard Class’ is mandatory</v>
      </c>
    </row>
    <row r="1418" spans="7:11" s="35" customFormat="1" x14ac:dyDescent="0.2">
      <c r="G1418" s="35" t="b">
        <f>IF(OR(INDEX(IHZ_HAZ_DGCLASSIFI,161,1)="IBC",INDEX(IHZ_HAZ_DGCLASSIFI,161,1)="IMSBC"),INDEX(IHZ_HAZ_IMOHAZARDC,161,1)&lt;&gt;"",TRUE)</f>
        <v>1</v>
      </c>
      <c r="H1418" s="35" t="str">
        <f t="shared" si="44"/>
        <v>Row 161 - If ‘DG classification’ is ‘IBC’ or ‘IMSBC’  the ‘IMO Hazard Class’ is mandatory</v>
      </c>
      <c r="J1418" s="35" t="b">
        <f>IF(OR(INDEX(OHZ_HAZ_DGCLASSIFI,161,1)="IBC",INDEX(OHZ_HAZ_DGCLASSIFI,161,1)="IMSBC"),INDEX(OHZ_HAZ_IMOHAZARDC,161,1)&lt;&gt;"",TRUE)</f>
        <v>1</v>
      </c>
      <c r="K1418" s="35" t="str">
        <f t="shared" si="45"/>
        <v>Row 161 - If ‘DG classification’ is ‘IBC’ or ‘IMSBC’  the ‘IMO Hazard Class’ is mandatory</v>
      </c>
    </row>
    <row r="1419" spans="7:11" s="35" customFormat="1" x14ac:dyDescent="0.2">
      <c r="G1419" s="35" t="b">
        <f>IF(OR(INDEX(IHZ_HAZ_DGCLASSIFI,162,1)="IBC",INDEX(IHZ_HAZ_DGCLASSIFI,162,1)="IMSBC"),INDEX(IHZ_HAZ_IMOHAZARDC,162,1)&lt;&gt;"",TRUE)</f>
        <v>1</v>
      </c>
      <c r="H1419" s="35" t="str">
        <f t="shared" si="44"/>
        <v>Row 162 - If ‘DG classification’ is ‘IBC’ or ‘IMSBC’  the ‘IMO Hazard Class’ is mandatory</v>
      </c>
      <c r="J1419" s="35" t="b">
        <f>IF(OR(INDEX(OHZ_HAZ_DGCLASSIFI,162,1)="IBC",INDEX(OHZ_HAZ_DGCLASSIFI,162,1)="IMSBC"),INDEX(OHZ_HAZ_IMOHAZARDC,162,1)&lt;&gt;"",TRUE)</f>
        <v>1</v>
      </c>
      <c r="K1419" s="35" t="str">
        <f t="shared" si="45"/>
        <v>Row 162 - If ‘DG classification’ is ‘IBC’ or ‘IMSBC’  the ‘IMO Hazard Class’ is mandatory</v>
      </c>
    </row>
    <row r="1420" spans="7:11" s="35" customFormat="1" x14ac:dyDescent="0.2">
      <c r="G1420" s="35" t="b">
        <f>IF(OR(INDEX(IHZ_HAZ_DGCLASSIFI,163,1)="IBC",INDEX(IHZ_HAZ_DGCLASSIFI,163,1)="IMSBC"),INDEX(IHZ_HAZ_IMOHAZARDC,163,1)&lt;&gt;"",TRUE)</f>
        <v>1</v>
      </c>
      <c r="H1420" s="35" t="str">
        <f t="shared" si="44"/>
        <v>Row 163 - If ‘DG classification’ is ‘IBC’ or ‘IMSBC’  the ‘IMO Hazard Class’ is mandatory</v>
      </c>
      <c r="J1420" s="35" t="b">
        <f>IF(OR(INDEX(OHZ_HAZ_DGCLASSIFI,163,1)="IBC",INDEX(OHZ_HAZ_DGCLASSIFI,163,1)="IMSBC"),INDEX(OHZ_HAZ_IMOHAZARDC,163,1)&lt;&gt;"",TRUE)</f>
        <v>1</v>
      </c>
      <c r="K1420" s="35" t="str">
        <f t="shared" si="45"/>
        <v>Row 163 - If ‘DG classification’ is ‘IBC’ or ‘IMSBC’  the ‘IMO Hazard Class’ is mandatory</v>
      </c>
    </row>
    <row r="1421" spans="7:11" s="35" customFormat="1" x14ac:dyDescent="0.2">
      <c r="G1421" s="35" t="b">
        <f>IF(OR(INDEX(IHZ_HAZ_DGCLASSIFI,164,1)="IBC",INDEX(IHZ_HAZ_DGCLASSIFI,164,1)="IMSBC"),INDEX(IHZ_HAZ_IMOHAZARDC,164,1)&lt;&gt;"",TRUE)</f>
        <v>1</v>
      </c>
      <c r="H1421" s="35" t="str">
        <f t="shared" si="44"/>
        <v>Row 164 - If ‘DG classification’ is ‘IBC’ or ‘IMSBC’  the ‘IMO Hazard Class’ is mandatory</v>
      </c>
      <c r="J1421" s="35" t="b">
        <f>IF(OR(INDEX(OHZ_HAZ_DGCLASSIFI,164,1)="IBC",INDEX(OHZ_HAZ_DGCLASSIFI,164,1)="IMSBC"),INDEX(OHZ_HAZ_IMOHAZARDC,164,1)&lt;&gt;"",TRUE)</f>
        <v>1</v>
      </c>
      <c r="K1421" s="35" t="str">
        <f t="shared" si="45"/>
        <v>Row 164 - If ‘DG classification’ is ‘IBC’ or ‘IMSBC’  the ‘IMO Hazard Class’ is mandatory</v>
      </c>
    </row>
    <row r="1422" spans="7:11" s="35" customFormat="1" x14ac:dyDescent="0.2">
      <c r="G1422" s="35" t="b">
        <f>IF(OR(INDEX(IHZ_HAZ_DGCLASSIFI,165,1)="IBC",INDEX(IHZ_HAZ_DGCLASSIFI,165,1)="IMSBC"),INDEX(IHZ_HAZ_IMOHAZARDC,165,1)&lt;&gt;"",TRUE)</f>
        <v>1</v>
      </c>
      <c r="H1422" s="35" t="str">
        <f t="shared" si="44"/>
        <v>Row 165 - If ‘DG classification’ is ‘IBC’ or ‘IMSBC’  the ‘IMO Hazard Class’ is mandatory</v>
      </c>
      <c r="J1422" s="35" t="b">
        <f>IF(OR(INDEX(OHZ_HAZ_DGCLASSIFI,165,1)="IBC",INDEX(OHZ_HAZ_DGCLASSIFI,165,1)="IMSBC"),INDEX(OHZ_HAZ_IMOHAZARDC,165,1)&lt;&gt;"",TRUE)</f>
        <v>1</v>
      </c>
      <c r="K1422" s="35" t="str">
        <f t="shared" si="45"/>
        <v>Row 165 - If ‘DG classification’ is ‘IBC’ or ‘IMSBC’  the ‘IMO Hazard Class’ is mandatory</v>
      </c>
    </row>
    <row r="1423" spans="7:11" s="35" customFormat="1" x14ac:dyDescent="0.2">
      <c r="G1423" s="35" t="b">
        <f>IF(OR(INDEX(IHZ_HAZ_DGCLASSIFI,166,1)="IBC",INDEX(IHZ_HAZ_DGCLASSIFI,166,1)="IMSBC"),INDEX(IHZ_HAZ_IMOHAZARDC,166,1)&lt;&gt;"",TRUE)</f>
        <v>1</v>
      </c>
      <c r="H1423" s="35" t="str">
        <f t="shared" si="44"/>
        <v>Row 166 - If ‘DG classification’ is ‘IBC’ or ‘IMSBC’  the ‘IMO Hazard Class’ is mandatory</v>
      </c>
      <c r="J1423" s="35" t="b">
        <f>IF(OR(INDEX(OHZ_HAZ_DGCLASSIFI,166,1)="IBC",INDEX(OHZ_HAZ_DGCLASSIFI,166,1)="IMSBC"),INDEX(OHZ_HAZ_IMOHAZARDC,166,1)&lt;&gt;"",TRUE)</f>
        <v>1</v>
      </c>
      <c r="K1423" s="35" t="str">
        <f t="shared" si="45"/>
        <v>Row 166 - If ‘DG classification’ is ‘IBC’ or ‘IMSBC’  the ‘IMO Hazard Class’ is mandatory</v>
      </c>
    </row>
    <row r="1424" spans="7:11" s="35" customFormat="1" x14ac:dyDescent="0.2">
      <c r="G1424" s="35" t="b">
        <f>IF(OR(INDEX(IHZ_HAZ_DGCLASSIFI,167,1)="IBC",INDEX(IHZ_HAZ_DGCLASSIFI,167,1)="IMSBC"),INDEX(IHZ_HAZ_IMOHAZARDC,167,1)&lt;&gt;"",TRUE)</f>
        <v>1</v>
      </c>
      <c r="H1424" s="35" t="str">
        <f t="shared" si="44"/>
        <v>Row 167 - If ‘DG classification’ is ‘IBC’ or ‘IMSBC’  the ‘IMO Hazard Class’ is mandatory</v>
      </c>
      <c r="J1424" s="35" t="b">
        <f>IF(OR(INDEX(OHZ_HAZ_DGCLASSIFI,167,1)="IBC",INDEX(OHZ_HAZ_DGCLASSIFI,167,1)="IMSBC"),INDEX(OHZ_HAZ_IMOHAZARDC,167,1)&lt;&gt;"",TRUE)</f>
        <v>1</v>
      </c>
      <c r="K1424" s="35" t="str">
        <f t="shared" si="45"/>
        <v>Row 167 - If ‘DG classification’ is ‘IBC’ or ‘IMSBC’  the ‘IMO Hazard Class’ is mandatory</v>
      </c>
    </row>
    <row r="1425" spans="7:11" s="35" customFormat="1" x14ac:dyDescent="0.2">
      <c r="G1425" s="35" t="b">
        <f>IF(OR(INDEX(IHZ_HAZ_DGCLASSIFI,168,1)="IBC",INDEX(IHZ_HAZ_DGCLASSIFI,168,1)="IMSBC"),INDEX(IHZ_HAZ_IMOHAZARDC,168,1)&lt;&gt;"",TRUE)</f>
        <v>1</v>
      </c>
      <c r="H1425" s="35" t="str">
        <f t="shared" si="44"/>
        <v>Row 168 - If ‘DG classification’ is ‘IBC’ or ‘IMSBC’  the ‘IMO Hazard Class’ is mandatory</v>
      </c>
      <c r="J1425" s="35" t="b">
        <f>IF(OR(INDEX(OHZ_HAZ_DGCLASSIFI,168,1)="IBC",INDEX(OHZ_HAZ_DGCLASSIFI,168,1)="IMSBC"),INDEX(OHZ_HAZ_IMOHAZARDC,168,1)&lt;&gt;"",TRUE)</f>
        <v>1</v>
      </c>
      <c r="K1425" s="35" t="str">
        <f t="shared" si="45"/>
        <v>Row 168 - If ‘DG classification’ is ‘IBC’ or ‘IMSBC’  the ‘IMO Hazard Class’ is mandatory</v>
      </c>
    </row>
    <row r="1426" spans="7:11" s="35" customFormat="1" x14ac:dyDescent="0.2">
      <c r="G1426" s="35" t="b">
        <f>IF(OR(INDEX(IHZ_HAZ_DGCLASSIFI,169,1)="IBC",INDEX(IHZ_HAZ_DGCLASSIFI,169,1)="IMSBC"),INDEX(IHZ_HAZ_IMOHAZARDC,169,1)&lt;&gt;"",TRUE)</f>
        <v>1</v>
      </c>
      <c r="H1426" s="35" t="str">
        <f t="shared" si="44"/>
        <v>Row 169 - If ‘DG classification’ is ‘IBC’ or ‘IMSBC’  the ‘IMO Hazard Class’ is mandatory</v>
      </c>
      <c r="J1426" s="35" t="b">
        <f>IF(OR(INDEX(OHZ_HAZ_DGCLASSIFI,169,1)="IBC",INDEX(OHZ_HAZ_DGCLASSIFI,169,1)="IMSBC"),INDEX(OHZ_HAZ_IMOHAZARDC,169,1)&lt;&gt;"",TRUE)</f>
        <v>1</v>
      </c>
      <c r="K1426" s="35" t="str">
        <f t="shared" si="45"/>
        <v>Row 169 - If ‘DG classification’ is ‘IBC’ or ‘IMSBC’  the ‘IMO Hazard Class’ is mandatory</v>
      </c>
    </row>
    <row r="1427" spans="7:11" s="35" customFormat="1" x14ac:dyDescent="0.2">
      <c r="G1427" s="35" t="b">
        <f>IF(OR(INDEX(IHZ_HAZ_DGCLASSIFI,170,1)="IBC",INDEX(IHZ_HAZ_DGCLASSIFI,170,1)="IMSBC"),INDEX(IHZ_HAZ_IMOHAZARDC,170,1)&lt;&gt;"",TRUE)</f>
        <v>1</v>
      </c>
      <c r="H1427" s="35" t="str">
        <f t="shared" si="44"/>
        <v>Row 170 - If ‘DG classification’ is ‘IBC’ or ‘IMSBC’  the ‘IMO Hazard Class’ is mandatory</v>
      </c>
      <c r="J1427" s="35" t="b">
        <f>IF(OR(INDEX(OHZ_HAZ_DGCLASSIFI,170,1)="IBC",INDEX(OHZ_HAZ_DGCLASSIFI,170,1)="IMSBC"),INDEX(OHZ_HAZ_IMOHAZARDC,170,1)&lt;&gt;"",TRUE)</f>
        <v>1</v>
      </c>
      <c r="K1427" s="35" t="str">
        <f t="shared" si="45"/>
        <v>Row 170 - If ‘DG classification’ is ‘IBC’ or ‘IMSBC’  the ‘IMO Hazard Class’ is mandatory</v>
      </c>
    </row>
    <row r="1428" spans="7:11" s="35" customFormat="1" x14ac:dyDescent="0.2">
      <c r="G1428" s="35" t="b">
        <f>IF(OR(INDEX(IHZ_HAZ_DGCLASSIFI,171,1)="IBC",INDEX(IHZ_HAZ_DGCLASSIFI,171,1)="IMSBC"),INDEX(IHZ_HAZ_IMOHAZARDC,171,1)&lt;&gt;"",TRUE)</f>
        <v>1</v>
      </c>
      <c r="H1428" s="35" t="str">
        <f t="shared" si="44"/>
        <v>Row 171 - If ‘DG classification’ is ‘IBC’ or ‘IMSBC’  the ‘IMO Hazard Class’ is mandatory</v>
      </c>
      <c r="J1428" s="35" t="b">
        <f>IF(OR(INDEX(OHZ_HAZ_DGCLASSIFI,171,1)="IBC",INDEX(OHZ_HAZ_DGCLASSIFI,171,1)="IMSBC"),INDEX(OHZ_HAZ_IMOHAZARDC,171,1)&lt;&gt;"",TRUE)</f>
        <v>1</v>
      </c>
      <c r="K1428" s="35" t="str">
        <f t="shared" si="45"/>
        <v>Row 171 - If ‘DG classification’ is ‘IBC’ or ‘IMSBC’  the ‘IMO Hazard Class’ is mandatory</v>
      </c>
    </row>
    <row r="1429" spans="7:11" s="35" customFormat="1" x14ac:dyDescent="0.2">
      <c r="G1429" s="35" t="b">
        <f>IF(OR(INDEX(IHZ_HAZ_DGCLASSIFI,172,1)="IBC",INDEX(IHZ_HAZ_DGCLASSIFI,172,1)="IMSBC"),INDEX(IHZ_HAZ_IMOHAZARDC,172,1)&lt;&gt;"",TRUE)</f>
        <v>1</v>
      </c>
      <c r="H1429" s="35" t="str">
        <f t="shared" si="44"/>
        <v>Row 172 - If ‘DG classification’ is ‘IBC’ or ‘IMSBC’  the ‘IMO Hazard Class’ is mandatory</v>
      </c>
      <c r="J1429" s="35" t="b">
        <f>IF(OR(INDEX(OHZ_HAZ_DGCLASSIFI,172,1)="IBC",INDEX(OHZ_HAZ_DGCLASSIFI,172,1)="IMSBC"),INDEX(OHZ_HAZ_IMOHAZARDC,172,1)&lt;&gt;"",TRUE)</f>
        <v>1</v>
      </c>
      <c r="K1429" s="35" t="str">
        <f t="shared" si="45"/>
        <v>Row 172 - If ‘DG classification’ is ‘IBC’ or ‘IMSBC’  the ‘IMO Hazard Class’ is mandatory</v>
      </c>
    </row>
    <row r="1430" spans="7:11" s="35" customFormat="1" x14ac:dyDescent="0.2">
      <c r="G1430" s="35" t="b">
        <f>IF(OR(INDEX(IHZ_HAZ_DGCLASSIFI,173,1)="IBC",INDEX(IHZ_HAZ_DGCLASSIFI,173,1)="IMSBC"),INDEX(IHZ_HAZ_IMOHAZARDC,173,1)&lt;&gt;"",TRUE)</f>
        <v>1</v>
      </c>
      <c r="H1430" s="35" t="str">
        <f t="shared" si="44"/>
        <v>Row 173 - If ‘DG classification’ is ‘IBC’ or ‘IMSBC’  the ‘IMO Hazard Class’ is mandatory</v>
      </c>
      <c r="J1430" s="35" t="b">
        <f>IF(OR(INDEX(OHZ_HAZ_DGCLASSIFI,173,1)="IBC",INDEX(OHZ_HAZ_DGCLASSIFI,173,1)="IMSBC"),INDEX(OHZ_HAZ_IMOHAZARDC,173,1)&lt;&gt;"",TRUE)</f>
        <v>1</v>
      </c>
      <c r="K1430" s="35" t="str">
        <f t="shared" si="45"/>
        <v>Row 173 - If ‘DG classification’ is ‘IBC’ or ‘IMSBC’  the ‘IMO Hazard Class’ is mandatory</v>
      </c>
    </row>
    <row r="1431" spans="7:11" s="35" customFormat="1" x14ac:dyDescent="0.2">
      <c r="G1431" s="35" t="b">
        <f>IF(OR(INDEX(IHZ_HAZ_DGCLASSIFI,174,1)="IBC",INDEX(IHZ_HAZ_DGCLASSIFI,174,1)="IMSBC"),INDEX(IHZ_HAZ_IMOHAZARDC,174,1)&lt;&gt;"",TRUE)</f>
        <v>1</v>
      </c>
      <c r="H1431" s="35" t="str">
        <f t="shared" si="44"/>
        <v>Row 174 - If ‘DG classification’ is ‘IBC’ or ‘IMSBC’  the ‘IMO Hazard Class’ is mandatory</v>
      </c>
      <c r="J1431" s="35" t="b">
        <f>IF(OR(INDEX(OHZ_HAZ_DGCLASSIFI,174,1)="IBC",INDEX(OHZ_HAZ_DGCLASSIFI,174,1)="IMSBC"),INDEX(OHZ_HAZ_IMOHAZARDC,174,1)&lt;&gt;"",TRUE)</f>
        <v>1</v>
      </c>
      <c r="K1431" s="35" t="str">
        <f t="shared" si="45"/>
        <v>Row 174 - If ‘DG classification’ is ‘IBC’ or ‘IMSBC’  the ‘IMO Hazard Class’ is mandatory</v>
      </c>
    </row>
    <row r="1432" spans="7:11" s="35" customFormat="1" x14ac:dyDescent="0.2">
      <c r="G1432" s="35" t="b">
        <f>IF(OR(INDEX(IHZ_HAZ_DGCLASSIFI,175,1)="IBC",INDEX(IHZ_HAZ_DGCLASSIFI,175,1)="IMSBC"),INDEX(IHZ_HAZ_IMOHAZARDC,175,1)&lt;&gt;"",TRUE)</f>
        <v>1</v>
      </c>
      <c r="H1432" s="35" t="str">
        <f t="shared" si="44"/>
        <v>Row 175 - If ‘DG classification’ is ‘IBC’ or ‘IMSBC’  the ‘IMO Hazard Class’ is mandatory</v>
      </c>
      <c r="J1432" s="35" t="b">
        <f>IF(OR(INDEX(OHZ_HAZ_DGCLASSIFI,175,1)="IBC",INDEX(OHZ_HAZ_DGCLASSIFI,175,1)="IMSBC"),INDEX(OHZ_HAZ_IMOHAZARDC,175,1)&lt;&gt;"",TRUE)</f>
        <v>1</v>
      </c>
      <c r="K1432" s="35" t="str">
        <f t="shared" si="45"/>
        <v>Row 175 - If ‘DG classification’ is ‘IBC’ or ‘IMSBC’  the ‘IMO Hazard Class’ is mandatory</v>
      </c>
    </row>
    <row r="1433" spans="7:11" s="35" customFormat="1" x14ac:dyDescent="0.2">
      <c r="G1433" s="35" t="b">
        <f>IF(OR(INDEX(IHZ_HAZ_DGCLASSIFI,176,1)="IBC",INDEX(IHZ_HAZ_DGCLASSIFI,176,1)="IMSBC"),INDEX(IHZ_HAZ_IMOHAZARDC,176,1)&lt;&gt;"",TRUE)</f>
        <v>1</v>
      </c>
      <c r="H1433" s="35" t="str">
        <f t="shared" si="44"/>
        <v>Row 176 - If ‘DG classification’ is ‘IBC’ or ‘IMSBC’  the ‘IMO Hazard Class’ is mandatory</v>
      </c>
      <c r="J1433" s="35" t="b">
        <f>IF(OR(INDEX(OHZ_HAZ_DGCLASSIFI,176,1)="IBC",INDEX(OHZ_HAZ_DGCLASSIFI,176,1)="IMSBC"),INDEX(OHZ_HAZ_IMOHAZARDC,176,1)&lt;&gt;"",TRUE)</f>
        <v>1</v>
      </c>
      <c r="K1433" s="35" t="str">
        <f t="shared" si="45"/>
        <v>Row 176 - If ‘DG classification’ is ‘IBC’ or ‘IMSBC’  the ‘IMO Hazard Class’ is mandatory</v>
      </c>
    </row>
    <row r="1434" spans="7:11" s="35" customFormat="1" x14ac:dyDescent="0.2">
      <c r="G1434" s="35" t="b">
        <f>IF(OR(INDEX(IHZ_HAZ_DGCLASSIFI,177,1)="IBC",INDEX(IHZ_HAZ_DGCLASSIFI,177,1)="IMSBC"),INDEX(IHZ_HAZ_IMOHAZARDC,177,1)&lt;&gt;"",TRUE)</f>
        <v>1</v>
      </c>
      <c r="H1434" s="35" t="str">
        <f t="shared" si="44"/>
        <v>Row 177 - If ‘DG classification’ is ‘IBC’ or ‘IMSBC’  the ‘IMO Hazard Class’ is mandatory</v>
      </c>
      <c r="J1434" s="35" t="b">
        <f>IF(OR(INDEX(OHZ_HAZ_DGCLASSIFI,177,1)="IBC",INDEX(OHZ_HAZ_DGCLASSIFI,177,1)="IMSBC"),INDEX(OHZ_HAZ_IMOHAZARDC,177,1)&lt;&gt;"",TRUE)</f>
        <v>1</v>
      </c>
      <c r="K1434" s="35" t="str">
        <f t="shared" si="45"/>
        <v>Row 177 - If ‘DG classification’ is ‘IBC’ or ‘IMSBC’  the ‘IMO Hazard Class’ is mandatory</v>
      </c>
    </row>
    <row r="1435" spans="7:11" s="35" customFormat="1" x14ac:dyDescent="0.2">
      <c r="G1435" s="35" t="b">
        <f>IF(OR(INDEX(IHZ_HAZ_DGCLASSIFI,178,1)="IBC",INDEX(IHZ_HAZ_DGCLASSIFI,178,1)="IMSBC"),INDEX(IHZ_HAZ_IMOHAZARDC,178,1)&lt;&gt;"",TRUE)</f>
        <v>1</v>
      </c>
      <c r="H1435" s="35" t="str">
        <f t="shared" si="44"/>
        <v>Row 178 - If ‘DG classification’ is ‘IBC’ or ‘IMSBC’  the ‘IMO Hazard Class’ is mandatory</v>
      </c>
      <c r="J1435" s="35" t="b">
        <f>IF(OR(INDEX(OHZ_HAZ_DGCLASSIFI,178,1)="IBC",INDEX(OHZ_HAZ_DGCLASSIFI,178,1)="IMSBC"),INDEX(OHZ_HAZ_IMOHAZARDC,178,1)&lt;&gt;"",TRUE)</f>
        <v>1</v>
      </c>
      <c r="K1435" s="35" t="str">
        <f t="shared" si="45"/>
        <v>Row 178 - If ‘DG classification’ is ‘IBC’ or ‘IMSBC’  the ‘IMO Hazard Class’ is mandatory</v>
      </c>
    </row>
    <row r="1436" spans="7:11" s="35" customFormat="1" x14ac:dyDescent="0.2">
      <c r="G1436" s="35" t="b">
        <f>IF(OR(INDEX(IHZ_HAZ_DGCLASSIFI,179,1)="IBC",INDEX(IHZ_HAZ_DGCLASSIFI,179,1)="IMSBC"),INDEX(IHZ_HAZ_IMOHAZARDC,179,1)&lt;&gt;"",TRUE)</f>
        <v>1</v>
      </c>
      <c r="H1436" s="35" t="str">
        <f t="shared" si="44"/>
        <v>Row 179 - If ‘DG classification’ is ‘IBC’ or ‘IMSBC’  the ‘IMO Hazard Class’ is mandatory</v>
      </c>
      <c r="J1436" s="35" t="b">
        <f>IF(OR(INDEX(OHZ_HAZ_DGCLASSIFI,179,1)="IBC",INDEX(OHZ_HAZ_DGCLASSIFI,179,1)="IMSBC"),INDEX(OHZ_HAZ_IMOHAZARDC,179,1)&lt;&gt;"",TRUE)</f>
        <v>1</v>
      </c>
      <c r="K1436" s="35" t="str">
        <f t="shared" si="45"/>
        <v>Row 179 - If ‘DG classification’ is ‘IBC’ or ‘IMSBC’  the ‘IMO Hazard Class’ is mandatory</v>
      </c>
    </row>
    <row r="1437" spans="7:11" s="35" customFormat="1" x14ac:dyDescent="0.2">
      <c r="G1437" s="35" t="b">
        <f>IF(OR(INDEX(IHZ_HAZ_DGCLASSIFI,180,1)="IBC",INDEX(IHZ_HAZ_DGCLASSIFI,180,1)="IMSBC"),INDEX(IHZ_HAZ_IMOHAZARDC,180,1)&lt;&gt;"",TRUE)</f>
        <v>1</v>
      </c>
      <c r="H1437" s="35" t="str">
        <f t="shared" si="44"/>
        <v>Row 180 - If ‘DG classification’ is ‘IBC’ or ‘IMSBC’  the ‘IMO Hazard Class’ is mandatory</v>
      </c>
      <c r="J1437" s="35" t="b">
        <f>IF(OR(INDEX(OHZ_HAZ_DGCLASSIFI,180,1)="IBC",INDEX(OHZ_HAZ_DGCLASSIFI,180,1)="IMSBC"),INDEX(OHZ_HAZ_IMOHAZARDC,180,1)&lt;&gt;"",TRUE)</f>
        <v>1</v>
      </c>
      <c r="K1437" s="35" t="str">
        <f t="shared" si="45"/>
        <v>Row 180 - If ‘DG classification’ is ‘IBC’ or ‘IMSBC’  the ‘IMO Hazard Class’ is mandatory</v>
      </c>
    </row>
    <row r="1438" spans="7:11" s="35" customFormat="1" x14ac:dyDescent="0.2">
      <c r="G1438" s="35" t="b">
        <f>IF(OR(INDEX(IHZ_HAZ_DGCLASSIFI,181,1)="IBC",INDEX(IHZ_HAZ_DGCLASSIFI,181,1)="IMSBC"),INDEX(IHZ_HAZ_IMOHAZARDC,181,1)&lt;&gt;"",TRUE)</f>
        <v>1</v>
      </c>
      <c r="H1438" s="35" t="str">
        <f t="shared" si="44"/>
        <v>Row 181 - If ‘DG classification’ is ‘IBC’ or ‘IMSBC’  the ‘IMO Hazard Class’ is mandatory</v>
      </c>
      <c r="J1438" s="35" t="b">
        <f>IF(OR(INDEX(OHZ_HAZ_DGCLASSIFI,181,1)="IBC",INDEX(OHZ_HAZ_DGCLASSIFI,181,1)="IMSBC"),INDEX(OHZ_HAZ_IMOHAZARDC,181,1)&lt;&gt;"",TRUE)</f>
        <v>1</v>
      </c>
      <c r="K1438" s="35" t="str">
        <f t="shared" si="45"/>
        <v>Row 181 - If ‘DG classification’ is ‘IBC’ or ‘IMSBC’  the ‘IMO Hazard Class’ is mandatory</v>
      </c>
    </row>
    <row r="1439" spans="7:11" s="35" customFormat="1" x14ac:dyDescent="0.2">
      <c r="G1439" s="35" t="b">
        <f>IF(OR(INDEX(IHZ_HAZ_DGCLASSIFI,182,1)="IBC",INDEX(IHZ_HAZ_DGCLASSIFI,182,1)="IMSBC"),INDEX(IHZ_HAZ_IMOHAZARDC,182,1)&lt;&gt;"",TRUE)</f>
        <v>1</v>
      </c>
      <c r="H1439" s="35" t="str">
        <f t="shared" si="44"/>
        <v>Row 182 - If ‘DG classification’ is ‘IBC’ or ‘IMSBC’  the ‘IMO Hazard Class’ is mandatory</v>
      </c>
      <c r="J1439" s="35" t="b">
        <f>IF(OR(INDEX(OHZ_HAZ_DGCLASSIFI,182,1)="IBC",INDEX(OHZ_HAZ_DGCLASSIFI,182,1)="IMSBC"),INDEX(OHZ_HAZ_IMOHAZARDC,182,1)&lt;&gt;"",TRUE)</f>
        <v>1</v>
      </c>
      <c r="K1439" s="35" t="str">
        <f t="shared" si="45"/>
        <v>Row 182 - If ‘DG classification’ is ‘IBC’ or ‘IMSBC’  the ‘IMO Hazard Class’ is mandatory</v>
      </c>
    </row>
    <row r="1440" spans="7:11" s="35" customFormat="1" x14ac:dyDescent="0.2">
      <c r="G1440" s="35" t="b">
        <f>IF(OR(INDEX(IHZ_HAZ_DGCLASSIFI,183,1)="IBC",INDEX(IHZ_HAZ_DGCLASSIFI,183,1)="IMSBC"),INDEX(IHZ_HAZ_IMOHAZARDC,183,1)&lt;&gt;"",TRUE)</f>
        <v>1</v>
      </c>
      <c r="H1440" s="35" t="str">
        <f t="shared" si="44"/>
        <v>Row 183 - If ‘DG classification’ is ‘IBC’ or ‘IMSBC’  the ‘IMO Hazard Class’ is mandatory</v>
      </c>
      <c r="J1440" s="35" t="b">
        <f>IF(OR(INDEX(OHZ_HAZ_DGCLASSIFI,183,1)="IBC",INDEX(OHZ_HAZ_DGCLASSIFI,183,1)="IMSBC"),INDEX(OHZ_HAZ_IMOHAZARDC,183,1)&lt;&gt;"",TRUE)</f>
        <v>1</v>
      </c>
      <c r="K1440" s="35" t="str">
        <f t="shared" si="45"/>
        <v>Row 183 - If ‘DG classification’ is ‘IBC’ or ‘IMSBC’  the ‘IMO Hazard Class’ is mandatory</v>
      </c>
    </row>
    <row r="1441" spans="7:11" s="35" customFormat="1" x14ac:dyDescent="0.2">
      <c r="G1441" s="35" t="b">
        <f>IF(OR(INDEX(IHZ_HAZ_DGCLASSIFI,184,1)="IBC",INDEX(IHZ_HAZ_DGCLASSIFI,184,1)="IMSBC"),INDEX(IHZ_HAZ_IMOHAZARDC,184,1)&lt;&gt;"",TRUE)</f>
        <v>1</v>
      </c>
      <c r="H1441" s="35" t="str">
        <f t="shared" si="44"/>
        <v>Row 184 - If ‘DG classification’ is ‘IBC’ or ‘IMSBC’  the ‘IMO Hazard Class’ is mandatory</v>
      </c>
      <c r="J1441" s="35" t="b">
        <f>IF(OR(INDEX(OHZ_HAZ_DGCLASSIFI,184,1)="IBC",INDEX(OHZ_HAZ_DGCLASSIFI,184,1)="IMSBC"),INDEX(OHZ_HAZ_IMOHAZARDC,184,1)&lt;&gt;"",TRUE)</f>
        <v>1</v>
      </c>
      <c r="K1441" s="35" t="str">
        <f t="shared" si="45"/>
        <v>Row 184 - If ‘DG classification’ is ‘IBC’ or ‘IMSBC’  the ‘IMO Hazard Class’ is mandatory</v>
      </c>
    </row>
    <row r="1442" spans="7:11" s="35" customFormat="1" x14ac:dyDescent="0.2">
      <c r="G1442" s="35" t="b">
        <f>IF(OR(INDEX(IHZ_HAZ_DGCLASSIFI,185,1)="IBC",INDEX(IHZ_HAZ_DGCLASSIFI,185,1)="IMSBC"),INDEX(IHZ_HAZ_IMOHAZARDC,185,1)&lt;&gt;"",TRUE)</f>
        <v>1</v>
      </c>
      <c r="H1442" s="35" t="str">
        <f t="shared" si="44"/>
        <v>Row 185 - If ‘DG classification’ is ‘IBC’ or ‘IMSBC’  the ‘IMO Hazard Class’ is mandatory</v>
      </c>
      <c r="J1442" s="35" t="b">
        <f>IF(OR(INDEX(OHZ_HAZ_DGCLASSIFI,185,1)="IBC",INDEX(OHZ_HAZ_DGCLASSIFI,185,1)="IMSBC"),INDEX(OHZ_HAZ_IMOHAZARDC,185,1)&lt;&gt;"",TRUE)</f>
        <v>1</v>
      </c>
      <c r="K1442" s="35" t="str">
        <f t="shared" si="45"/>
        <v>Row 185 - If ‘DG classification’ is ‘IBC’ or ‘IMSBC’  the ‘IMO Hazard Class’ is mandatory</v>
      </c>
    </row>
    <row r="1443" spans="7:11" s="35" customFormat="1" x14ac:dyDescent="0.2">
      <c r="G1443" s="35" t="b">
        <f>IF(OR(INDEX(IHZ_HAZ_DGCLASSIFI,186,1)="IBC",INDEX(IHZ_HAZ_DGCLASSIFI,186,1)="IMSBC"),INDEX(IHZ_HAZ_IMOHAZARDC,186,1)&lt;&gt;"",TRUE)</f>
        <v>1</v>
      </c>
      <c r="H1443" s="35" t="str">
        <f t="shared" si="44"/>
        <v>Row 186 - If ‘DG classification’ is ‘IBC’ or ‘IMSBC’  the ‘IMO Hazard Class’ is mandatory</v>
      </c>
      <c r="J1443" s="35" t="b">
        <f>IF(OR(INDEX(OHZ_HAZ_DGCLASSIFI,186,1)="IBC",INDEX(OHZ_HAZ_DGCLASSIFI,186,1)="IMSBC"),INDEX(OHZ_HAZ_IMOHAZARDC,186,1)&lt;&gt;"",TRUE)</f>
        <v>1</v>
      </c>
      <c r="K1443" s="35" t="str">
        <f t="shared" si="45"/>
        <v>Row 186 - If ‘DG classification’ is ‘IBC’ or ‘IMSBC’  the ‘IMO Hazard Class’ is mandatory</v>
      </c>
    </row>
    <row r="1444" spans="7:11" s="35" customFormat="1" x14ac:dyDescent="0.2">
      <c r="G1444" s="35" t="b">
        <f>IF(OR(INDEX(IHZ_HAZ_DGCLASSIFI,187,1)="IBC",INDEX(IHZ_HAZ_DGCLASSIFI,187,1)="IMSBC"),INDEX(IHZ_HAZ_IMOHAZARDC,187,1)&lt;&gt;"",TRUE)</f>
        <v>1</v>
      </c>
      <c r="H1444" s="35" t="str">
        <f t="shared" si="44"/>
        <v>Row 187 - If ‘DG classification’ is ‘IBC’ or ‘IMSBC’  the ‘IMO Hazard Class’ is mandatory</v>
      </c>
      <c r="J1444" s="35" t="b">
        <f>IF(OR(INDEX(OHZ_HAZ_DGCLASSIFI,187,1)="IBC",INDEX(OHZ_HAZ_DGCLASSIFI,187,1)="IMSBC"),INDEX(OHZ_HAZ_IMOHAZARDC,187,1)&lt;&gt;"",TRUE)</f>
        <v>1</v>
      </c>
      <c r="K1444" s="35" t="str">
        <f t="shared" si="45"/>
        <v>Row 187 - If ‘DG classification’ is ‘IBC’ or ‘IMSBC’  the ‘IMO Hazard Class’ is mandatory</v>
      </c>
    </row>
    <row r="1445" spans="7:11" s="35" customFormat="1" x14ac:dyDescent="0.2">
      <c r="G1445" s="35" t="b">
        <f>IF(OR(INDEX(IHZ_HAZ_DGCLASSIFI,188,1)="IBC",INDEX(IHZ_HAZ_DGCLASSIFI,188,1)="IMSBC"),INDEX(IHZ_HAZ_IMOHAZARDC,188,1)&lt;&gt;"",TRUE)</f>
        <v>1</v>
      </c>
      <c r="H1445" s="35" t="str">
        <f t="shared" si="44"/>
        <v>Row 188 - If ‘DG classification’ is ‘IBC’ or ‘IMSBC’  the ‘IMO Hazard Class’ is mandatory</v>
      </c>
      <c r="J1445" s="35" t="b">
        <f>IF(OR(INDEX(OHZ_HAZ_DGCLASSIFI,188,1)="IBC",INDEX(OHZ_HAZ_DGCLASSIFI,188,1)="IMSBC"),INDEX(OHZ_HAZ_IMOHAZARDC,188,1)&lt;&gt;"",TRUE)</f>
        <v>1</v>
      </c>
      <c r="K1445" s="35" t="str">
        <f t="shared" si="45"/>
        <v>Row 188 - If ‘DG classification’ is ‘IBC’ or ‘IMSBC’  the ‘IMO Hazard Class’ is mandatory</v>
      </c>
    </row>
    <row r="1446" spans="7:11" s="35" customFormat="1" x14ac:dyDescent="0.2">
      <c r="G1446" s="35" t="b">
        <f>IF(OR(INDEX(IHZ_HAZ_DGCLASSIFI,189,1)="IBC",INDEX(IHZ_HAZ_DGCLASSIFI,189,1)="IMSBC"),INDEX(IHZ_HAZ_IMOHAZARDC,189,1)&lt;&gt;"",TRUE)</f>
        <v>1</v>
      </c>
      <c r="H1446" s="35" t="str">
        <f t="shared" si="44"/>
        <v>Row 189 - If ‘DG classification’ is ‘IBC’ or ‘IMSBC’  the ‘IMO Hazard Class’ is mandatory</v>
      </c>
      <c r="J1446" s="35" t="b">
        <f>IF(OR(INDEX(OHZ_HAZ_DGCLASSIFI,189,1)="IBC",INDEX(OHZ_HAZ_DGCLASSIFI,189,1)="IMSBC"),INDEX(OHZ_HAZ_IMOHAZARDC,189,1)&lt;&gt;"",TRUE)</f>
        <v>1</v>
      </c>
      <c r="K1446" s="35" t="str">
        <f t="shared" si="45"/>
        <v>Row 189 - If ‘DG classification’ is ‘IBC’ or ‘IMSBC’  the ‘IMO Hazard Class’ is mandatory</v>
      </c>
    </row>
    <row r="1447" spans="7:11" s="35" customFormat="1" x14ac:dyDescent="0.2">
      <c r="G1447" s="35" t="b">
        <f>IF(OR(INDEX(IHZ_HAZ_DGCLASSIFI,190,1)="IBC",INDEX(IHZ_HAZ_DGCLASSIFI,190,1)="IMSBC"),INDEX(IHZ_HAZ_IMOHAZARDC,190,1)&lt;&gt;"",TRUE)</f>
        <v>1</v>
      </c>
      <c r="H1447" s="35" t="str">
        <f t="shared" si="44"/>
        <v>Row 190 - If ‘DG classification’ is ‘IBC’ or ‘IMSBC’  the ‘IMO Hazard Class’ is mandatory</v>
      </c>
      <c r="J1447" s="35" t="b">
        <f>IF(OR(INDEX(OHZ_HAZ_DGCLASSIFI,190,1)="IBC",INDEX(OHZ_HAZ_DGCLASSIFI,190,1)="IMSBC"),INDEX(OHZ_HAZ_IMOHAZARDC,190,1)&lt;&gt;"",TRUE)</f>
        <v>1</v>
      </c>
      <c r="K1447" s="35" t="str">
        <f t="shared" si="45"/>
        <v>Row 190 - If ‘DG classification’ is ‘IBC’ or ‘IMSBC’  the ‘IMO Hazard Class’ is mandatory</v>
      </c>
    </row>
    <row r="1448" spans="7:11" s="35" customFormat="1" x14ac:dyDescent="0.2">
      <c r="G1448" s="35" t="b">
        <f>IF(OR(INDEX(IHZ_HAZ_DGCLASSIFI,191,1)="IBC",INDEX(IHZ_HAZ_DGCLASSIFI,191,1)="IMSBC"),INDEX(IHZ_HAZ_IMOHAZARDC,191,1)&lt;&gt;"",TRUE)</f>
        <v>1</v>
      </c>
      <c r="H1448" s="35" t="str">
        <f t="shared" si="44"/>
        <v>Row 191 - If ‘DG classification’ is ‘IBC’ or ‘IMSBC’  the ‘IMO Hazard Class’ is mandatory</v>
      </c>
      <c r="J1448" s="35" t="b">
        <f>IF(OR(INDEX(OHZ_HAZ_DGCLASSIFI,191,1)="IBC",INDEX(OHZ_HAZ_DGCLASSIFI,191,1)="IMSBC"),INDEX(OHZ_HAZ_IMOHAZARDC,191,1)&lt;&gt;"",TRUE)</f>
        <v>1</v>
      </c>
      <c r="K1448" s="35" t="str">
        <f t="shared" si="45"/>
        <v>Row 191 - If ‘DG classification’ is ‘IBC’ or ‘IMSBC’  the ‘IMO Hazard Class’ is mandatory</v>
      </c>
    </row>
    <row r="1449" spans="7:11" s="35" customFormat="1" x14ac:dyDescent="0.2">
      <c r="G1449" s="35" t="b">
        <f>IF(OR(INDEX(IHZ_HAZ_DGCLASSIFI,192,1)="IBC",INDEX(IHZ_HAZ_DGCLASSIFI,192,1)="IMSBC"),INDEX(IHZ_HAZ_IMOHAZARDC,192,1)&lt;&gt;"",TRUE)</f>
        <v>1</v>
      </c>
      <c r="H1449" s="35" t="str">
        <f t="shared" si="44"/>
        <v>Row 192 - If ‘DG classification’ is ‘IBC’ or ‘IMSBC’  the ‘IMO Hazard Class’ is mandatory</v>
      </c>
      <c r="J1449" s="35" t="b">
        <f>IF(OR(INDEX(OHZ_HAZ_DGCLASSIFI,192,1)="IBC",INDEX(OHZ_HAZ_DGCLASSIFI,192,1)="IMSBC"),INDEX(OHZ_HAZ_IMOHAZARDC,192,1)&lt;&gt;"",TRUE)</f>
        <v>1</v>
      </c>
      <c r="K1449" s="35" t="str">
        <f t="shared" si="45"/>
        <v>Row 192 - If ‘DG classification’ is ‘IBC’ or ‘IMSBC’  the ‘IMO Hazard Class’ is mandatory</v>
      </c>
    </row>
    <row r="1450" spans="7:11" s="35" customFormat="1" x14ac:dyDescent="0.2">
      <c r="G1450" s="35" t="b">
        <f>IF(OR(INDEX(IHZ_HAZ_DGCLASSIFI,193,1)="IBC",INDEX(IHZ_HAZ_DGCLASSIFI,193,1)="IMSBC"),INDEX(IHZ_HAZ_IMOHAZARDC,193,1)&lt;&gt;"",TRUE)</f>
        <v>1</v>
      </c>
      <c r="H1450" s="35" t="str">
        <f t="shared" si="44"/>
        <v>Row 193 - If ‘DG classification’ is ‘IBC’ or ‘IMSBC’  the ‘IMO Hazard Class’ is mandatory</v>
      </c>
      <c r="J1450" s="35" t="b">
        <f>IF(OR(INDEX(OHZ_HAZ_DGCLASSIFI,193,1)="IBC",INDEX(OHZ_HAZ_DGCLASSIFI,193,1)="IMSBC"),INDEX(OHZ_HAZ_IMOHAZARDC,193,1)&lt;&gt;"",TRUE)</f>
        <v>1</v>
      </c>
      <c r="K1450" s="35" t="str">
        <f t="shared" si="45"/>
        <v>Row 193 - If ‘DG classification’ is ‘IBC’ or ‘IMSBC’  the ‘IMO Hazard Class’ is mandatory</v>
      </c>
    </row>
    <row r="1451" spans="7:11" s="35" customFormat="1" x14ac:dyDescent="0.2">
      <c r="G1451" s="35" t="b">
        <f>IF(OR(INDEX(IHZ_HAZ_DGCLASSIFI,194,1)="IBC",INDEX(IHZ_HAZ_DGCLASSIFI,194,1)="IMSBC"),INDEX(IHZ_HAZ_IMOHAZARDC,194,1)&lt;&gt;"",TRUE)</f>
        <v>1</v>
      </c>
      <c r="H1451" s="35" t="str">
        <f t="shared" ref="H1451:H1494" si="46">T194&amp;$V$7</f>
        <v>Row 194 - If ‘DG classification’ is ‘IBC’ or ‘IMSBC’  the ‘IMO Hazard Class’ is mandatory</v>
      </c>
      <c r="J1451" s="35" t="b">
        <f>IF(OR(INDEX(OHZ_HAZ_DGCLASSIFI,194,1)="IBC",INDEX(OHZ_HAZ_DGCLASSIFI,194,1)="IMSBC"),INDEX(OHZ_HAZ_IMOHAZARDC,194,1)&lt;&gt;"",TRUE)</f>
        <v>1</v>
      </c>
      <c r="K1451" s="35" t="str">
        <f t="shared" ref="K1451:K1507" si="47">T194&amp;$V$7</f>
        <v>Row 194 - If ‘DG classification’ is ‘IBC’ or ‘IMSBC’  the ‘IMO Hazard Class’ is mandatory</v>
      </c>
    </row>
    <row r="1452" spans="7:11" s="35" customFormat="1" x14ac:dyDescent="0.2">
      <c r="G1452" s="35" t="b">
        <f>IF(OR(INDEX(IHZ_HAZ_DGCLASSIFI,195,1)="IBC",INDEX(IHZ_HAZ_DGCLASSIFI,195,1)="IMSBC"),INDEX(IHZ_HAZ_IMOHAZARDC,195,1)&lt;&gt;"",TRUE)</f>
        <v>1</v>
      </c>
      <c r="H1452" s="35" t="str">
        <f t="shared" si="46"/>
        <v>Row 195 - If ‘DG classification’ is ‘IBC’ or ‘IMSBC’  the ‘IMO Hazard Class’ is mandatory</v>
      </c>
      <c r="J1452" s="35" t="b">
        <f>IF(OR(INDEX(OHZ_HAZ_DGCLASSIFI,195,1)="IBC",INDEX(OHZ_HAZ_DGCLASSIFI,195,1)="IMSBC"),INDEX(OHZ_HAZ_IMOHAZARDC,195,1)&lt;&gt;"",TRUE)</f>
        <v>1</v>
      </c>
      <c r="K1452" s="35" t="str">
        <f t="shared" si="47"/>
        <v>Row 195 - If ‘DG classification’ is ‘IBC’ or ‘IMSBC’  the ‘IMO Hazard Class’ is mandatory</v>
      </c>
    </row>
    <row r="1453" spans="7:11" s="35" customFormat="1" x14ac:dyDescent="0.2">
      <c r="G1453" s="35" t="b">
        <f>IF(OR(INDEX(IHZ_HAZ_DGCLASSIFI,196,1)="IBC",INDEX(IHZ_HAZ_DGCLASSIFI,196,1)="IMSBC"),INDEX(IHZ_HAZ_IMOHAZARDC,196,1)&lt;&gt;"",TRUE)</f>
        <v>1</v>
      </c>
      <c r="H1453" s="35" t="str">
        <f t="shared" si="46"/>
        <v>Row 196 - If ‘DG classification’ is ‘IBC’ or ‘IMSBC’  the ‘IMO Hazard Class’ is mandatory</v>
      </c>
      <c r="J1453" s="35" t="b">
        <f>IF(OR(INDEX(OHZ_HAZ_DGCLASSIFI,196,1)="IBC",INDEX(OHZ_HAZ_DGCLASSIFI,196,1)="IMSBC"),INDEX(OHZ_HAZ_IMOHAZARDC,196,1)&lt;&gt;"",TRUE)</f>
        <v>1</v>
      </c>
      <c r="K1453" s="35" t="str">
        <f t="shared" si="47"/>
        <v>Row 196 - If ‘DG classification’ is ‘IBC’ or ‘IMSBC’  the ‘IMO Hazard Class’ is mandatory</v>
      </c>
    </row>
    <row r="1454" spans="7:11" s="35" customFormat="1" x14ac:dyDescent="0.2">
      <c r="G1454" s="35" t="b">
        <f>IF(OR(INDEX(IHZ_HAZ_DGCLASSIFI,197,1)="IBC",INDEX(IHZ_HAZ_DGCLASSIFI,197,1)="IMSBC"),INDEX(IHZ_HAZ_IMOHAZARDC,197,1)&lt;&gt;"",TRUE)</f>
        <v>1</v>
      </c>
      <c r="H1454" s="35" t="str">
        <f t="shared" si="46"/>
        <v>Row 197 - If ‘DG classification’ is ‘IBC’ or ‘IMSBC’  the ‘IMO Hazard Class’ is mandatory</v>
      </c>
      <c r="J1454" s="35" t="b">
        <f>IF(OR(INDEX(OHZ_HAZ_DGCLASSIFI,197,1)="IBC",INDEX(OHZ_HAZ_DGCLASSIFI,197,1)="IMSBC"),INDEX(OHZ_HAZ_IMOHAZARDC,197,1)&lt;&gt;"",TRUE)</f>
        <v>1</v>
      </c>
      <c r="K1454" s="35" t="str">
        <f t="shared" si="47"/>
        <v>Row 197 - If ‘DG classification’ is ‘IBC’ or ‘IMSBC’  the ‘IMO Hazard Class’ is mandatory</v>
      </c>
    </row>
    <row r="1455" spans="7:11" s="35" customFormat="1" x14ac:dyDescent="0.2">
      <c r="G1455" s="35" t="b">
        <f>IF(OR(INDEX(IHZ_HAZ_DGCLASSIFI,198,1)="IBC",INDEX(IHZ_HAZ_DGCLASSIFI,198,1)="IMSBC"),INDEX(IHZ_HAZ_IMOHAZARDC,198,1)&lt;&gt;"",TRUE)</f>
        <v>1</v>
      </c>
      <c r="H1455" s="35" t="str">
        <f t="shared" si="46"/>
        <v>Row 198 - If ‘DG classification’ is ‘IBC’ or ‘IMSBC’  the ‘IMO Hazard Class’ is mandatory</v>
      </c>
      <c r="J1455" s="35" t="b">
        <f>IF(OR(INDEX(OHZ_HAZ_DGCLASSIFI,198,1)="IBC",INDEX(OHZ_HAZ_DGCLASSIFI,198,1)="IMSBC"),INDEX(OHZ_HAZ_IMOHAZARDC,198,1)&lt;&gt;"",TRUE)</f>
        <v>1</v>
      </c>
      <c r="K1455" s="35" t="str">
        <f t="shared" si="47"/>
        <v>Row 198 - If ‘DG classification’ is ‘IBC’ or ‘IMSBC’  the ‘IMO Hazard Class’ is mandatory</v>
      </c>
    </row>
    <row r="1456" spans="7:11" s="35" customFormat="1" x14ac:dyDescent="0.2">
      <c r="G1456" s="35" t="b">
        <f>IF(OR(INDEX(IHZ_HAZ_DGCLASSIFI,199,1)="IBC",INDEX(IHZ_HAZ_DGCLASSIFI,199,1)="IMSBC"),INDEX(IHZ_HAZ_IMOHAZARDC,199,1)&lt;&gt;"",TRUE)</f>
        <v>1</v>
      </c>
      <c r="H1456" s="35" t="str">
        <f t="shared" si="46"/>
        <v>Row 199 - If ‘DG classification’ is ‘IBC’ or ‘IMSBC’  the ‘IMO Hazard Class’ is mandatory</v>
      </c>
      <c r="J1456" s="35" t="b">
        <f>IF(OR(INDEX(OHZ_HAZ_DGCLASSIFI,199,1)="IBC",INDEX(OHZ_HAZ_DGCLASSIFI,199,1)="IMSBC"),INDEX(OHZ_HAZ_IMOHAZARDC,199,1)&lt;&gt;"",TRUE)</f>
        <v>1</v>
      </c>
      <c r="K1456" s="35" t="str">
        <f t="shared" si="47"/>
        <v>Row 199 - If ‘DG classification’ is ‘IBC’ or ‘IMSBC’  the ‘IMO Hazard Class’ is mandatory</v>
      </c>
    </row>
    <row r="1457" spans="7:11" s="35" customFormat="1" x14ac:dyDescent="0.2">
      <c r="G1457" s="35" t="b">
        <f>IF(OR(INDEX(IHZ_HAZ_DGCLASSIFI,200,1)="IBC",INDEX(IHZ_HAZ_DGCLASSIFI,200,1)="IMSBC"),INDEX(IHZ_HAZ_IMOHAZARDC,200,1)&lt;&gt;"",TRUE)</f>
        <v>1</v>
      </c>
      <c r="H1457" s="35" t="str">
        <f t="shared" si="46"/>
        <v>Row 200 - If ‘DG classification’ is ‘IBC’ or ‘IMSBC’  the ‘IMO Hazard Class’ is mandatory</v>
      </c>
      <c r="J1457" s="35" t="b">
        <f>IF(OR(INDEX(OHZ_HAZ_DGCLASSIFI,200,1)="IBC",INDEX(OHZ_HAZ_DGCLASSIFI,200,1)="IMSBC"),INDEX(OHZ_HAZ_IMOHAZARDC,200,1)&lt;&gt;"",TRUE)</f>
        <v>1</v>
      </c>
      <c r="K1457" s="35" t="str">
        <f t="shared" si="47"/>
        <v>Row 200 - If ‘DG classification’ is ‘IBC’ or ‘IMSBC’  the ‘IMO Hazard Class’ is mandatory</v>
      </c>
    </row>
    <row r="1458" spans="7:11" s="35" customFormat="1" x14ac:dyDescent="0.2">
      <c r="G1458" s="35" t="b">
        <f>IF(OR(INDEX(IHZ_HAZ_DGCLASSIFI,201,1)="IBC",INDEX(IHZ_HAZ_DGCLASSIFI,201,1)="IMSBC"),INDEX(IHZ_HAZ_IMOHAZARDC,201,1)&lt;&gt;"",TRUE)</f>
        <v>1</v>
      </c>
      <c r="H1458" s="35" t="str">
        <f t="shared" si="46"/>
        <v>Row 201 - If ‘DG classification’ is ‘IBC’ or ‘IMSBC’  the ‘IMO Hazard Class’ is mandatory</v>
      </c>
      <c r="J1458" s="35" t="b">
        <f>IF(OR(INDEX(OHZ_HAZ_DGCLASSIFI,201,1)="IBC",INDEX(OHZ_HAZ_DGCLASSIFI,201,1)="IMSBC"),INDEX(OHZ_HAZ_IMOHAZARDC,201,1)&lt;&gt;"",TRUE)</f>
        <v>1</v>
      </c>
      <c r="K1458" s="35" t="str">
        <f t="shared" si="47"/>
        <v>Row 201 - If ‘DG classification’ is ‘IBC’ or ‘IMSBC’  the ‘IMO Hazard Class’ is mandatory</v>
      </c>
    </row>
    <row r="1459" spans="7:11" s="35" customFormat="1" x14ac:dyDescent="0.2">
      <c r="G1459" s="35" t="b">
        <f>IF(OR(INDEX(IHZ_HAZ_DGCLASSIFI,202,1)="IBC",INDEX(IHZ_HAZ_DGCLASSIFI,202,1)="IMSBC"),INDEX(IHZ_HAZ_IMOHAZARDC,202,1)&lt;&gt;"",TRUE)</f>
        <v>1</v>
      </c>
      <c r="H1459" s="35" t="str">
        <f t="shared" si="46"/>
        <v>Row 202 - If ‘DG classification’ is ‘IBC’ or ‘IMSBC’  the ‘IMO Hazard Class’ is mandatory</v>
      </c>
      <c r="J1459" s="35" t="b">
        <f>IF(OR(INDEX(OHZ_HAZ_DGCLASSIFI,202,1)="IBC",INDEX(OHZ_HAZ_DGCLASSIFI,202,1)="IMSBC"),INDEX(OHZ_HAZ_IMOHAZARDC,202,1)&lt;&gt;"",TRUE)</f>
        <v>1</v>
      </c>
      <c r="K1459" s="35" t="str">
        <f t="shared" si="47"/>
        <v>Row 202 - If ‘DG classification’ is ‘IBC’ or ‘IMSBC’  the ‘IMO Hazard Class’ is mandatory</v>
      </c>
    </row>
    <row r="1460" spans="7:11" s="35" customFormat="1" x14ac:dyDescent="0.2">
      <c r="G1460" s="35" t="b">
        <f>IF(OR(INDEX(IHZ_HAZ_DGCLASSIFI,203,1)="IBC",INDEX(IHZ_HAZ_DGCLASSIFI,203,1)="IMSBC"),INDEX(IHZ_HAZ_IMOHAZARDC,203,1)&lt;&gt;"",TRUE)</f>
        <v>1</v>
      </c>
      <c r="H1460" s="35" t="str">
        <f t="shared" si="46"/>
        <v>Row 203 - If ‘DG classification’ is ‘IBC’ or ‘IMSBC’  the ‘IMO Hazard Class’ is mandatory</v>
      </c>
      <c r="J1460" s="35" t="b">
        <f>IF(OR(INDEX(OHZ_HAZ_DGCLASSIFI,203,1)="IBC",INDEX(OHZ_HAZ_DGCLASSIFI,203,1)="IMSBC"),INDEX(OHZ_HAZ_IMOHAZARDC,203,1)&lt;&gt;"",TRUE)</f>
        <v>1</v>
      </c>
      <c r="K1460" s="35" t="str">
        <f t="shared" si="47"/>
        <v>Row 203 - If ‘DG classification’ is ‘IBC’ or ‘IMSBC’  the ‘IMO Hazard Class’ is mandatory</v>
      </c>
    </row>
    <row r="1461" spans="7:11" s="35" customFormat="1" x14ac:dyDescent="0.2">
      <c r="G1461" s="35" t="b">
        <f>IF(OR(INDEX(IHZ_HAZ_DGCLASSIFI,204,1)="IBC",INDEX(IHZ_HAZ_DGCLASSIFI,204,1)="IMSBC"),INDEX(IHZ_HAZ_IMOHAZARDC,204,1)&lt;&gt;"",TRUE)</f>
        <v>1</v>
      </c>
      <c r="H1461" s="35" t="str">
        <f t="shared" si="46"/>
        <v>Row 204 - If ‘DG classification’ is ‘IBC’ or ‘IMSBC’  the ‘IMO Hazard Class’ is mandatory</v>
      </c>
      <c r="J1461" s="35" t="b">
        <f>IF(OR(INDEX(OHZ_HAZ_DGCLASSIFI,204,1)="IBC",INDEX(OHZ_HAZ_DGCLASSIFI,204,1)="IMSBC"),INDEX(OHZ_HAZ_IMOHAZARDC,204,1)&lt;&gt;"",TRUE)</f>
        <v>1</v>
      </c>
      <c r="K1461" s="35" t="str">
        <f t="shared" si="47"/>
        <v>Row 204 - If ‘DG classification’ is ‘IBC’ or ‘IMSBC’  the ‘IMO Hazard Class’ is mandatory</v>
      </c>
    </row>
    <row r="1462" spans="7:11" s="35" customFormat="1" x14ac:dyDescent="0.2">
      <c r="G1462" s="35" t="b">
        <f>IF(OR(INDEX(IHZ_HAZ_DGCLASSIFI,205,1)="IBC",INDEX(IHZ_HAZ_DGCLASSIFI,205,1)="IMSBC"),INDEX(IHZ_HAZ_IMOHAZARDC,205,1)&lt;&gt;"",TRUE)</f>
        <v>1</v>
      </c>
      <c r="H1462" s="35" t="str">
        <f t="shared" si="46"/>
        <v>Row 205 - If ‘DG classification’ is ‘IBC’ or ‘IMSBC’  the ‘IMO Hazard Class’ is mandatory</v>
      </c>
      <c r="J1462" s="35" t="b">
        <f>IF(OR(INDEX(OHZ_HAZ_DGCLASSIFI,205,1)="IBC",INDEX(OHZ_HAZ_DGCLASSIFI,205,1)="IMSBC"),INDEX(OHZ_HAZ_IMOHAZARDC,205,1)&lt;&gt;"",TRUE)</f>
        <v>1</v>
      </c>
      <c r="K1462" s="35" t="str">
        <f t="shared" si="47"/>
        <v>Row 205 - If ‘DG classification’ is ‘IBC’ or ‘IMSBC’  the ‘IMO Hazard Class’ is mandatory</v>
      </c>
    </row>
    <row r="1463" spans="7:11" s="35" customFormat="1" x14ac:dyDescent="0.2">
      <c r="G1463" s="35" t="b">
        <f>IF(OR(INDEX(IHZ_HAZ_DGCLASSIFI,206,1)="IBC",INDEX(IHZ_HAZ_DGCLASSIFI,206,1)="IMSBC"),INDEX(IHZ_HAZ_IMOHAZARDC,206,1)&lt;&gt;"",TRUE)</f>
        <v>1</v>
      </c>
      <c r="H1463" s="35" t="str">
        <f t="shared" si="46"/>
        <v>Row 206 - If ‘DG classification’ is ‘IBC’ or ‘IMSBC’  the ‘IMO Hazard Class’ is mandatory</v>
      </c>
      <c r="J1463" s="35" t="b">
        <f>IF(OR(INDEX(OHZ_HAZ_DGCLASSIFI,206,1)="IBC",INDEX(OHZ_HAZ_DGCLASSIFI,206,1)="IMSBC"),INDEX(OHZ_HAZ_IMOHAZARDC,206,1)&lt;&gt;"",TRUE)</f>
        <v>1</v>
      </c>
      <c r="K1463" s="35" t="str">
        <f t="shared" si="47"/>
        <v>Row 206 - If ‘DG classification’ is ‘IBC’ or ‘IMSBC’  the ‘IMO Hazard Class’ is mandatory</v>
      </c>
    </row>
    <row r="1464" spans="7:11" s="35" customFormat="1" x14ac:dyDescent="0.2">
      <c r="G1464" s="35" t="b">
        <f>IF(OR(INDEX(IHZ_HAZ_DGCLASSIFI,207,1)="IBC",INDEX(IHZ_HAZ_DGCLASSIFI,207,1)="IMSBC"),INDEX(IHZ_HAZ_IMOHAZARDC,207,1)&lt;&gt;"",TRUE)</f>
        <v>1</v>
      </c>
      <c r="H1464" s="35" t="str">
        <f t="shared" si="46"/>
        <v>Row 207 - If ‘DG classification’ is ‘IBC’ or ‘IMSBC’  the ‘IMO Hazard Class’ is mandatory</v>
      </c>
      <c r="J1464" s="35" t="b">
        <f>IF(OR(INDEX(OHZ_HAZ_DGCLASSIFI,207,1)="IBC",INDEX(OHZ_HAZ_DGCLASSIFI,207,1)="IMSBC"),INDEX(OHZ_HAZ_IMOHAZARDC,207,1)&lt;&gt;"",TRUE)</f>
        <v>1</v>
      </c>
      <c r="K1464" s="35" t="str">
        <f t="shared" si="47"/>
        <v>Row 207 - If ‘DG classification’ is ‘IBC’ or ‘IMSBC’  the ‘IMO Hazard Class’ is mandatory</v>
      </c>
    </row>
    <row r="1465" spans="7:11" s="35" customFormat="1" x14ac:dyDescent="0.2">
      <c r="G1465" s="35" t="b">
        <f>IF(OR(INDEX(IHZ_HAZ_DGCLASSIFI,208,1)="IBC",INDEX(IHZ_HAZ_DGCLASSIFI,208,1)="IMSBC"),INDEX(IHZ_HAZ_IMOHAZARDC,208,1)&lt;&gt;"",TRUE)</f>
        <v>1</v>
      </c>
      <c r="H1465" s="35" t="str">
        <f t="shared" si="46"/>
        <v>Row 208 - If ‘DG classification’ is ‘IBC’ or ‘IMSBC’  the ‘IMO Hazard Class’ is mandatory</v>
      </c>
      <c r="J1465" s="35" t="b">
        <f>IF(OR(INDEX(OHZ_HAZ_DGCLASSIFI,208,1)="IBC",INDEX(OHZ_HAZ_DGCLASSIFI,208,1)="IMSBC"),INDEX(OHZ_HAZ_IMOHAZARDC,208,1)&lt;&gt;"",TRUE)</f>
        <v>1</v>
      </c>
      <c r="K1465" s="35" t="str">
        <f t="shared" si="47"/>
        <v>Row 208 - If ‘DG classification’ is ‘IBC’ or ‘IMSBC’  the ‘IMO Hazard Class’ is mandatory</v>
      </c>
    </row>
    <row r="1466" spans="7:11" s="35" customFormat="1" x14ac:dyDescent="0.2">
      <c r="G1466" s="35" t="b">
        <f>IF(OR(INDEX(IHZ_HAZ_DGCLASSIFI,209,1)="IBC",INDEX(IHZ_HAZ_DGCLASSIFI,209,1)="IMSBC"),INDEX(IHZ_HAZ_IMOHAZARDC,209,1)&lt;&gt;"",TRUE)</f>
        <v>1</v>
      </c>
      <c r="H1466" s="35" t="str">
        <f t="shared" si="46"/>
        <v>Row 209 - If ‘DG classification’ is ‘IBC’ or ‘IMSBC’  the ‘IMO Hazard Class’ is mandatory</v>
      </c>
      <c r="J1466" s="35" t="b">
        <f>IF(OR(INDEX(OHZ_HAZ_DGCLASSIFI,209,1)="IBC",INDEX(OHZ_HAZ_DGCLASSIFI,209,1)="IMSBC"),INDEX(OHZ_HAZ_IMOHAZARDC,209,1)&lt;&gt;"",TRUE)</f>
        <v>1</v>
      </c>
      <c r="K1466" s="35" t="str">
        <f t="shared" si="47"/>
        <v>Row 209 - If ‘DG classification’ is ‘IBC’ or ‘IMSBC’  the ‘IMO Hazard Class’ is mandatory</v>
      </c>
    </row>
    <row r="1467" spans="7:11" s="35" customFormat="1" x14ac:dyDescent="0.2">
      <c r="G1467" s="35" t="b">
        <f>IF(OR(INDEX(IHZ_HAZ_DGCLASSIFI,210,1)="IBC",INDEX(IHZ_HAZ_DGCLASSIFI,210,1)="IMSBC"),INDEX(IHZ_HAZ_IMOHAZARDC,210,1)&lt;&gt;"",TRUE)</f>
        <v>1</v>
      </c>
      <c r="H1467" s="35" t="str">
        <f t="shared" si="46"/>
        <v>Row 210 - If ‘DG classification’ is ‘IBC’ or ‘IMSBC’  the ‘IMO Hazard Class’ is mandatory</v>
      </c>
      <c r="J1467" s="35" t="b">
        <f>IF(OR(INDEX(OHZ_HAZ_DGCLASSIFI,210,1)="IBC",INDEX(OHZ_HAZ_DGCLASSIFI,210,1)="IMSBC"),INDEX(OHZ_HAZ_IMOHAZARDC,210,1)&lt;&gt;"",TRUE)</f>
        <v>1</v>
      </c>
      <c r="K1467" s="35" t="str">
        <f t="shared" si="47"/>
        <v>Row 210 - If ‘DG classification’ is ‘IBC’ or ‘IMSBC’  the ‘IMO Hazard Class’ is mandatory</v>
      </c>
    </row>
    <row r="1468" spans="7:11" s="35" customFormat="1" x14ac:dyDescent="0.2">
      <c r="G1468" s="35" t="b">
        <f>IF(OR(INDEX(IHZ_HAZ_DGCLASSIFI,211,1)="IBC",INDEX(IHZ_HAZ_DGCLASSIFI,211,1)="IMSBC"),INDEX(IHZ_HAZ_IMOHAZARDC,211,1)&lt;&gt;"",TRUE)</f>
        <v>1</v>
      </c>
      <c r="H1468" s="35" t="str">
        <f t="shared" si="46"/>
        <v>Row 211 - If ‘DG classification’ is ‘IBC’ or ‘IMSBC’  the ‘IMO Hazard Class’ is mandatory</v>
      </c>
      <c r="J1468" s="35" t="b">
        <f>IF(OR(INDEX(OHZ_HAZ_DGCLASSIFI,211,1)="IBC",INDEX(OHZ_HAZ_DGCLASSIFI,211,1)="IMSBC"),INDEX(OHZ_HAZ_IMOHAZARDC,211,1)&lt;&gt;"",TRUE)</f>
        <v>1</v>
      </c>
      <c r="K1468" s="35" t="str">
        <f t="shared" si="47"/>
        <v>Row 211 - If ‘DG classification’ is ‘IBC’ or ‘IMSBC’  the ‘IMO Hazard Class’ is mandatory</v>
      </c>
    </row>
    <row r="1469" spans="7:11" s="35" customFormat="1" x14ac:dyDescent="0.2">
      <c r="G1469" s="35" t="b">
        <f>IF(OR(INDEX(IHZ_HAZ_DGCLASSIFI,212,1)="IBC",INDEX(IHZ_HAZ_DGCLASSIFI,212,1)="IMSBC"),INDEX(IHZ_HAZ_IMOHAZARDC,212,1)&lt;&gt;"",TRUE)</f>
        <v>1</v>
      </c>
      <c r="H1469" s="35" t="str">
        <f t="shared" si="46"/>
        <v>Row 212 - If ‘DG classification’ is ‘IBC’ or ‘IMSBC’  the ‘IMO Hazard Class’ is mandatory</v>
      </c>
      <c r="J1469" s="35" t="b">
        <f>IF(OR(INDEX(OHZ_HAZ_DGCLASSIFI,212,1)="IBC",INDEX(OHZ_HAZ_DGCLASSIFI,212,1)="IMSBC"),INDEX(OHZ_HAZ_IMOHAZARDC,212,1)&lt;&gt;"",TRUE)</f>
        <v>1</v>
      </c>
      <c r="K1469" s="35" t="str">
        <f t="shared" si="47"/>
        <v>Row 212 - If ‘DG classification’ is ‘IBC’ or ‘IMSBC’  the ‘IMO Hazard Class’ is mandatory</v>
      </c>
    </row>
    <row r="1470" spans="7:11" s="35" customFormat="1" x14ac:dyDescent="0.2">
      <c r="G1470" s="35" t="b">
        <f>IF(OR(INDEX(IHZ_HAZ_DGCLASSIFI,213,1)="IBC",INDEX(IHZ_HAZ_DGCLASSIFI,213,1)="IMSBC"),INDEX(IHZ_HAZ_IMOHAZARDC,213,1)&lt;&gt;"",TRUE)</f>
        <v>1</v>
      </c>
      <c r="H1470" s="35" t="str">
        <f t="shared" si="46"/>
        <v>Row 213 - If ‘DG classification’ is ‘IBC’ or ‘IMSBC’  the ‘IMO Hazard Class’ is mandatory</v>
      </c>
      <c r="J1470" s="35" t="b">
        <f>IF(OR(INDEX(OHZ_HAZ_DGCLASSIFI,213,1)="IBC",INDEX(OHZ_HAZ_DGCLASSIFI,213,1)="IMSBC"),INDEX(OHZ_HAZ_IMOHAZARDC,213,1)&lt;&gt;"",TRUE)</f>
        <v>1</v>
      </c>
      <c r="K1470" s="35" t="str">
        <f t="shared" si="47"/>
        <v>Row 213 - If ‘DG classification’ is ‘IBC’ or ‘IMSBC’  the ‘IMO Hazard Class’ is mandatory</v>
      </c>
    </row>
    <row r="1471" spans="7:11" s="35" customFormat="1" x14ac:dyDescent="0.2">
      <c r="G1471" s="35" t="b">
        <f>IF(OR(INDEX(IHZ_HAZ_DGCLASSIFI,214,1)="IBC",INDEX(IHZ_HAZ_DGCLASSIFI,214,1)="IMSBC"),INDEX(IHZ_HAZ_IMOHAZARDC,214,1)&lt;&gt;"",TRUE)</f>
        <v>1</v>
      </c>
      <c r="H1471" s="35" t="str">
        <f t="shared" si="46"/>
        <v>Row 214 - If ‘DG classification’ is ‘IBC’ or ‘IMSBC’  the ‘IMO Hazard Class’ is mandatory</v>
      </c>
      <c r="J1471" s="35" t="b">
        <f>IF(OR(INDEX(OHZ_HAZ_DGCLASSIFI,214,1)="IBC",INDEX(OHZ_HAZ_DGCLASSIFI,214,1)="IMSBC"),INDEX(OHZ_HAZ_IMOHAZARDC,214,1)&lt;&gt;"",TRUE)</f>
        <v>1</v>
      </c>
      <c r="K1471" s="35" t="str">
        <f t="shared" si="47"/>
        <v>Row 214 - If ‘DG classification’ is ‘IBC’ or ‘IMSBC’  the ‘IMO Hazard Class’ is mandatory</v>
      </c>
    </row>
    <row r="1472" spans="7:11" s="35" customFormat="1" x14ac:dyDescent="0.2">
      <c r="G1472" s="35" t="b">
        <f>IF(OR(INDEX(IHZ_HAZ_DGCLASSIFI,215,1)="IBC",INDEX(IHZ_HAZ_DGCLASSIFI,215,1)="IMSBC"),INDEX(IHZ_HAZ_IMOHAZARDC,215,1)&lt;&gt;"",TRUE)</f>
        <v>1</v>
      </c>
      <c r="H1472" s="35" t="str">
        <f t="shared" si="46"/>
        <v>Row 215 - If ‘DG classification’ is ‘IBC’ or ‘IMSBC’  the ‘IMO Hazard Class’ is mandatory</v>
      </c>
      <c r="J1472" s="35" t="b">
        <f>IF(OR(INDEX(OHZ_HAZ_DGCLASSIFI,215,1)="IBC",INDEX(OHZ_HAZ_DGCLASSIFI,215,1)="IMSBC"),INDEX(OHZ_HAZ_IMOHAZARDC,215,1)&lt;&gt;"",TRUE)</f>
        <v>1</v>
      </c>
      <c r="K1472" s="35" t="str">
        <f t="shared" si="47"/>
        <v>Row 215 - If ‘DG classification’ is ‘IBC’ or ‘IMSBC’  the ‘IMO Hazard Class’ is mandatory</v>
      </c>
    </row>
    <row r="1473" spans="7:11" s="35" customFormat="1" x14ac:dyDescent="0.2">
      <c r="G1473" s="35" t="b">
        <f>IF(OR(INDEX(IHZ_HAZ_DGCLASSIFI,216,1)="IBC",INDEX(IHZ_HAZ_DGCLASSIFI,216,1)="IMSBC"),INDEX(IHZ_HAZ_IMOHAZARDC,216,1)&lt;&gt;"",TRUE)</f>
        <v>1</v>
      </c>
      <c r="H1473" s="35" t="str">
        <f t="shared" si="46"/>
        <v>Row 216 - If ‘DG classification’ is ‘IBC’ or ‘IMSBC’  the ‘IMO Hazard Class’ is mandatory</v>
      </c>
      <c r="J1473" s="35" t="b">
        <f>IF(OR(INDEX(OHZ_HAZ_DGCLASSIFI,216,1)="IBC",INDEX(OHZ_HAZ_DGCLASSIFI,216,1)="IMSBC"),INDEX(OHZ_HAZ_IMOHAZARDC,216,1)&lt;&gt;"",TRUE)</f>
        <v>1</v>
      </c>
      <c r="K1473" s="35" t="str">
        <f t="shared" si="47"/>
        <v>Row 216 - If ‘DG classification’ is ‘IBC’ or ‘IMSBC’  the ‘IMO Hazard Class’ is mandatory</v>
      </c>
    </row>
    <row r="1474" spans="7:11" s="35" customFormat="1" x14ac:dyDescent="0.2">
      <c r="G1474" s="35" t="b">
        <f>IF(OR(INDEX(IHZ_HAZ_DGCLASSIFI,217,1)="IBC",INDEX(IHZ_HAZ_DGCLASSIFI,217,1)="IMSBC"),INDEX(IHZ_HAZ_IMOHAZARDC,217,1)&lt;&gt;"",TRUE)</f>
        <v>1</v>
      </c>
      <c r="H1474" s="35" t="str">
        <f t="shared" si="46"/>
        <v>Row 217 - If ‘DG classification’ is ‘IBC’ or ‘IMSBC’  the ‘IMO Hazard Class’ is mandatory</v>
      </c>
      <c r="J1474" s="35" t="b">
        <f>IF(OR(INDEX(OHZ_HAZ_DGCLASSIFI,217,1)="IBC",INDEX(OHZ_HAZ_DGCLASSIFI,217,1)="IMSBC"),INDEX(OHZ_HAZ_IMOHAZARDC,217,1)&lt;&gt;"",TRUE)</f>
        <v>1</v>
      </c>
      <c r="K1474" s="35" t="str">
        <f t="shared" si="47"/>
        <v>Row 217 - If ‘DG classification’ is ‘IBC’ or ‘IMSBC’  the ‘IMO Hazard Class’ is mandatory</v>
      </c>
    </row>
    <row r="1475" spans="7:11" s="35" customFormat="1" x14ac:dyDescent="0.2">
      <c r="G1475" s="35" t="b">
        <f>IF(OR(INDEX(IHZ_HAZ_DGCLASSIFI,218,1)="IBC",INDEX(IHZ_HAZ_DGCLASSIFI,218,1)="IMSBC"),INDEX(IHZ_HAZ_IMOHAZARDC,218,1)&lt;&gt;"",TRUE)</f>
        <v>1</v>
      </c>
      <c r="H1475" s="35" t="str">
        <f t="shared" si="46"/>
        <v>Row 218 - If ‘DG classification’ is ‘IBC’ or ‘IMSBC’  the ‘IMO Hazard Class’ is mandatory</v>
      </c>
      <c r="J1475" s="35" t="b">
        <f>IF(OR(INDEX(OHZ_HAZ_DGCLASSIFI,218,1)="IBC",INDEX(OHZ_HAZ_DGCLASSIFI,218,1)="IMSBC"),INDEX(OHZ_HAZ_IMOHAZARDC,218,1)&lt;&gt;"",TRUE)</f>
        <v>1</v>
      </c>
      <c r="K1475" s="35" t="str">
        <f t="shared" si="47"/>
        <v>Row 218 - If ‘DG classification’ is ‘IBC’ or ‘IMSBC’  the ‘IMO Hazard Class’ is mandatory</v>
      </c>
    </row>
    <row r="1476" spans="7:11" s="35" customFormat="1" x14ac:dyDescent="0.2">
      <c r="G1476" s="35" t="b">
        <f>IF(OR(INDEX(IHZ_HAZ_DGCLASSIFI,219,1)="IBC",INDEX(IHZ_HAZ_DGCLASSIFI,219,1)="IMSBC"),INDEX(IHZ_HAZ_IMOHAZARDC,219,1)&lt;&gt;"",TRUE)</f>
        <v>1</v>
      </c>
      <c r="H1476" s="35" t="str">
        <f t="shared" si="46"/>
        <v>Row 219 - If ‘DG classification’ is ‘IBC’ or ‘IMSBC’  the ‘IMO Hazard Class’ is mandatory</v>
      </c>
      <c r="J1476" s="35" t="b">
        <f>IF(OR(INDEX(OHZ_HAZ_DGCLASSIFI,219,1)="IBC",INDEX(OHZ_HAZ_DGCLASSIFI,219,1)="IMSBC"),INDEX(OHZ_HAZ_IMOHAZARDC,219,1)&lt;&gt;"",TRUE)</f>
        <v>1</v>
      </c>
      <c r="K1476" s="35" t="str">
        <f t="shared" si="47"/>
        <v>Row 219 - If ‘DG classification’ is ‘IBC’ or ‘IMSBC’  the ‘IMO Hazard Class’ is mandatory</v>
      </c>
    </row>
    <row r="1477" spans="7:11" s="35" customFormat="1" x14ac:dyDescent="0.2">
      <c r="G1477" s="35" t="b">
        <f>IF(OR(INDEX(IHZ_HAZ_DGCLASSIFI,220,1)="IBC",INDEX(IHZ_HAZ_DGCLASSIFI,220,1)="IMSBC"),INDEX(IHZ_HAZ_IMOHAZARDC,220,1)&lt;&gt;"",TRUE)</f>
        <v>1</v>
      </c>
      <c r="H1477" s="35" t="str">
        <f t="shared" si="46"/>
        <v>Row 220 - If ‘DG classification’ is ‘IBC’ or ‘IMSBC’  the ‘IMO Hazard Class’ is mandatory</v>
      </c>
      <c r="J1477" s="35" t="b">
        <f>IF(OR(INDEX(OHZ_HAZ_DGCLASSIFI,220,1)="IBC",INDEX(OHZ_HAZ_DGCLASSIFI,220,1)="IMSBC"),INDEX(OHZ_HAZ_IMOHAZARDC,220,1)&lt;&gt;"",TRUE)</f>
        <v>1</v>
      </c>
      <c r="K1477" s="35" t="str">
        <f t="shared" si="47"/>
        <v>Row 220 - If ‘DG classification’ is ‘IBC’ or ‘IMSBC’  the ‘IMO Hazard Class’ is mandatory</v>
      </c>
    </row>
    <row r="1478" spans="7:11" s="35" customFormat="1" x14ac:dyDescent="0.2">
      <c r="G1478" s="35" t="b">
        <f>IF(OR(INDEX(IHZ_HAZ_DGCLASSIFI,221,1)="IBC",INDEX(IHZ_HAZ_DGCLASSIFI,221,1)="IMSBC"),INDEX(IHZ_HAZ_IMOHAZARDC,221,1)&lt;&gt;"",TRUE)</f>
        <v>1</v>
      </c>
      <c r="H1478" s="35" t="str">
        <f t="shared" si="46"/>
        <v>Row 221 - If ‘DG classification’ is ‘IBC’ or ‘IMSBC’  the ‘IMO Hazard Class’ is mandatory</v>
      </c>
      <c r="J1478" s="35" t="b">
        <f>IF(OR(INDEX(OHZ_HAZ_DGCLASSIFI,221,1)="IBC",INDEX(OHZ_HAZ_DGCLASSIFI,221,1)="IMSBC"),INDEX(OHZ_HAZ_IMOHAZARDC,221,1)&lt;&gt;"",TRUE)</f>
        <v>1</v>
      </c>
      <c r="K1478" s="35" t="str">
        <f t="shared" si="47"/>
        <v>Row 221 - If ‘DG classification’ is ‘IBC’ or ‘IMSBC’  the ‘IMO Hazard Class’ is mandatory</v>
      </c>
    </row>
    <row r="1479" spans="7:11" s="35" customFormat="1" x14ac:dyDescent="0.2">
      <c r="G1479" s="35" t="b">
        <f>IF(OR(INDEX(IHZ_HAZ_DGCLASSIFI,222,1)="IBC",INDEX(IHZ_HAZ_DGCLASSIFI,222,1)="IMSBC"),INDEX(IHZ_HAZ_IMOHAZARDC,222,1)&lt;&gt;"",TRUE)</f>
        <v>1</v>
      </c>
      <c r="H1479" s="35" t="str">
        <f t="shared" si="46"/>
        <v>Row 222 - If ‘DG classification’ is ‘IBC’ or ‘IMSBC’  the ‘IMO Hazard Class’ is mandatory</v>
      </c>
      <c r="J1479" s="35" t="b">
        <f>IF(OR(INDEX(OHZ_HAZ_DGCLASSIFI,222,1)="IBC",INDEX(OHZ_HAZ_DGCLASSIFI,222,1)="IMSBC"),INDEX(OHZ_HAZ_IMOHAZARDC,222,1)&lt;&gt;"",TRUE)</f>
        <v>1</v>
      </c>
      <c r="K1479" s="35" t="str">
        <f t="shared" si="47"/>
        <v>Row 222 - If ‘DG classification’ is ‘IBC’ or ‘IMSBC’  the ‘IMO Hazard Class’ is mandatory</v>
      </c>
    </row>
    <row r="1480" spans="7:11" s="35" customFormat="1" x14ac:dyDescent="0.2">
      <c r="G1480" s="35" t="b">
        <f>IF(OR(INDEX(IHZ_HAZ_DGCLASSIFI,223,1)="IBC",INDEX(IHZ_HAZ_DGCLASSIFI,223,1)="IMSBC"),INDEX(IHZ_HAZ_IMOHAZARDC,223,1)&lt;&gt;"",TRUE)</f>
        <v>1</v>
      </c>
      <c r="H1480" s="35" t="str">
        <f t="shared" si="46"/>
        <v>Row 223 - If ‘DG classification’ is ‘IBC’ or ‘IMSBC’  the ‘IMO Hazard Class’ is mandatory</v>
      </c>
      <c r="J1480" s="35" t="b">
        <f>IF(OR(INDEX(OHZ_HAZ_DGCLASSIFI,223,1)="IBC",INDEX(OHZ_HAZ_DGCLASSIFI,223,1)="IMSBC"),INDEX(OHZ_HAZ_IMOHAZARDC,223,1)&lt;&gt;"",TRUE)</f>
        <v>1</v>
      </c>
      <c r="K1480" s="35" t="str">
        <f t="shared" si="47"/>
        <v>Row 223 - If ‘DG classification’ is ‘IBC’ or ‘IMSBC’  the ‘IMO Hazard Class’ is mandatory</v>
      </c>
    </row>
    <row r="1481" spans="7:11" s="35" customFormat="1" x14ac:dyDescent="0.2">
      <c r="G1481" s="35" t="b">
        <f>IF(OR(INDEX(IHZ_HAZ_DGCLASSIFI,224,1)="IBC",INDEX(IHZ_HAZ_DGCLASSIFI,224,1)="IMSBC"),INDEX(IHZ_HAZ_IMOHAZARDC,224,1)&lt;&gt;"",TRUE)</f>
        <v>1</v>
      </c>
      <c r="H1481" s="35" t="str">
        <f t="shared" si="46"/>
        <v>Row 224 - If ‘DG classification’ is ‘IBC’ or ‘IMSBC’  the ‘IMO Hazard Class’ is mandatory</v>
      </c>
      <c r="J1481" s="35" t="b">
        <f>IF(OR(INDEX(OHZ_HAZ_DGCLASSIFI,224,1)="IBC",INDEX(OHZ_HAZ_DGCLASSIFI,224,1)="IMSBC"),INDEX(OHZ_HAZ_IMOHAZARDC,224,1)&lt;&gt;"",TRUE)</f>
        <v>1</v>
      </c>
      <c r="K1481" s="35" t="str">
        <f t="shared" si="47"/>
        <v>Row 224 - If ‘DG classification’ is ‘IBC’ or ‘IMSBC’  the ‘IMO Hazard Class’ is mandatory</v>
      </c>
    </row>
    <row r="1482" spans="7:11" s="35" customFormat="1" x14ac:dyDescent="0.2">
      <c r="G1482" s="35" t="b">
        <f>IF(OR(INDEX(IHZ_HAZ_DGCLASSIFI,225,1)="IBC",INDEX(IHZ_HAZ_DGCLASSIFI,225,1)="IMSBC"),INDEX(IHZ_HAZ_IMOHAZARDC,225,1)&lt;&gt;"",TRUE)</f>
        <v>1</v>
      </c>
      <c r="H1482" s="35" t="str">
        <f t="shared" si="46"/>
        <v>Row 225 - If ‘DG classification’ is ‘IBC’ or ‘IMSBC’  the ‘IMO Hazard Class’ is mandatory</v>
      </c>
      <c r="J1482" s="35" t="b">
        <f>IF(OR(INDEX(OHZ_HAZ_DGCLASSIFI,225,1)="IBC",INDEX(OHZ_HAZ_DGCLASSIFI,225,1)="IMSBC"),INDEX(OHZ_HAZ_IMOHAZARDC,225,1)&lt;&gt;"",TRUE)</f>
        <v>1</v>
      </c>
      <c r="K1482" s="35" t="str">
        <f t="shared" si="47"/>
        <v>Row 225 - If ‘DG classification’ is ‘IBC’ or ‘IMSBC’  the ‘IMO Hazard Class’ is mandatory</v>
      </c>
    </row>
    <row r="1483" spans="7:11" s="35" customFormat="1" x14ac:dyDescent="0.2">
      <c r="G1483" s="35" t="b">
        <f>IF(OR(INDEX(IHZ_HAZ_DGCLASSIFI,226,1)="IBC",INDEX(IHZ_HAZ_DGCLASSIFI,226,1)="IMSBC"),INDEX(IHZ_HAZ_IMOHAZARDC,226,1)&lt;&gt;"",TRUE)</f>
        <v>1</v>
      </c>
      <c r="H1483" s="35" t="str">
        <f t="shared" si="46"/>
        <v>Row 226 - If ‘DG classification’ is ‘IBC’ or ‘IMSBC’  the ‘IMO Hazard Class’ is mandatory</v>
      </c>
      <c r="J1483" s="35" t="b">
        <f>IF(OR(INDEX(OHZ_HAZ_DGCLASSIFI,226,1)="IBC",INDEX(OHZ_HAZ_DGCLASSIFI,226,1)="IMSBC"),INDEX(OHZ_HAZ_IMOHAZARDC,226,1)&lt;&gt;"",TRUE)</f>
        <v>1</v>
      </c>
      <c r="K1483" s="35" t="str">
        <f t="shared" si="47"/>
        <v>Row 226 - If ‘DG classification’ is ‘IBC’ or ‘IMSBC’  the ‘IMO Hazard Class’ is mandatory</v>
      </c>
    </row>
    <row r="1484" spans="7:11" s="35" customFormat="1" x14ac:dyDescent="0.2">
      <c r="G1484" s="35" t="b">
        <f>IF(OR(INDEX(IHZ_HAZ_DGCLASSIFI,227,1)="IBC",INDEX(IHZ_HAZ_DGCLASSIFI,227,1)="IMSBC"),INDEX(IHZ_HAZ_IMOHAZARDC,227,1)&lt;&gt;"",TRUE)</f>
        <v>1</v>
      </c>
      <c r="H1484" s="35" t="str">
        <f t="shared" si="46"/>
        <v>Row 227 - If ‘DG classification’ is ‘IBC’ or ‘IMSBC’  the ‘IMO Hazard Class’ is mandatory</v>
      </c>
      <c r="J1484" s="35" t="b">
        <f>IF(OR(INDEX(OHZ_HAZ_DGCLASSIFI,227,1)="IBC",INDEX(OHZ_HAZ_DGCLASSIFI,227,1)="IMSBC"),INDEX(OHZ_HAZ_IMOHAZARDC,227,1)&lt;&gt;"",TRUE)</f>
        <v>1</v>
      </c>
      <c r="K1484" s="35" t="str">
        <f t="shared" si="47"/>
        <v>Row 227 - If ‘DG classification’ is ‘IBC’ or ‘IMSBC’  the ‘IMO Hazard Class’ is mandatory</v>
      </c>
    </row>
    <row r="1485" spans="7:11" s="35" customFormat="1" x14ac:dyDescent="0.2">
      <c r="G1485" s="35" t="b">
        <f>IF(OR(INDEX(IHZ_HAZ_DGCLASSIFI,228,1)="IBC",INDEX(IHZ_HAZ_DGCLASSIFI,228,1)="IMSBC"),INDEX(IHZ_HAZ_IMOHAZARDC,228,1)&lt;&gt;"",TRUE)</f>
        <v>1</v>
      </c>
      <c r="H1485" s="35" t="str">
        <f t="shared" si="46"/>
        <v>Row 228 - If ‘DG classification’ is ‘IBC’ or ‘IMSBC’  the ‘IMO Hazard Class’ is mandatory</v>
      </c>
      <c r="J1485" s="35" t="b">
        <f>IF(OR(INDEX(OHZ_HAZ_DGCLASSIFI,228,1)="IBC",INDEX(OHZ_HAZ_DGCLASSIFI,228,1)="IMSBC"),INDEX(OHZ_HAZ_IMOHAZARDC,228,1)&lt;&gt;"",TRUE)</f>
        <v>1</v>
      </c>
      <c r="K1485" s="35" t="str">
        <f t="shared" si="47"/>
        <v>Row 228 - If ‘DG classification’ is ‘IBC’ or ‘IMSBC’  the ‘IMO Hazard Class’ is mandatory</v>
      </c>
    </row>
    <row r="1486" spans="7:11" s="35" customFormat="1" x14ac:dyDescent="0.2">
      <c r="G1486" s="35" t="b">
        <f>IF(OR(INDEX(IHZ_HAZ_DGCLASSIFI,229,1)="IBC",INDEX(IHZ_HAZ_DGCLASSIFI,229,1)="IMSBC"),INDEX(IHZ_HAZ_IMOHAZARDC,229,1)&lt;&gt;"",TRUE)</f>
        <v>1</v>
      </c>
      <c r="H1486" s="35" t="str">
        <f t="shared" si="46"/>
        <v>Row 229 - If ‘DG classification’ is ‘IBC’ or ‘IMSBC’  the ‘IMO Hazard Class’ is mandatory</v>
      </c>
      <c r="J1486" s="35" t="b">
        <f>IF(OR(INDEX(OHZ_HAZ_DGCLASSIFI,229,1)="IBC",INDEX(OHZ_HAZ_DGCLASSIFI,229,1)="IMSBC"),INDEX(OHZ_HAZ_IMOHAZARDC,229,1)&lt;&gt;"",TRUE)</f>
        <v>1</v>
      </c>
      <c r="K1486" s="35" t="str">
        <f t="shared" si="47"/>
        <v>Row 229 - If ‘DG classification’ is ‘IBC’ or ‘IMSBC’  the ‘IMO Hazard Class’ is mandatory</v>
      </c>
    </row>
    <row r="1487" spans="7:11" s="35" customFormat="1" x14ac:dyDescent="0.2">
      <c r="G1487" s="35" t="b">
        <f>IF(OR(INDEX(IHZ_HAZ_DGCLASSIFI,230,1)="IBC",INDEX(IHZ_HAZ_DGCLASSIFI,230,1)="IMSBC"),INDEX(IHZ_HAZ_IMOHAZARDC,230,1)&lt;&gt;"",TRUE)</f>
        <v>1</v>
      </c>
      <c r="H1487" s="35" t="str">
        <f t="shared" si="46"/>
        <v>Row 230 - If ‘DG classification’ is ‘IBC’ or ‘IMSBC’  the ‘IMO Hazard Class’ is mandatory</v>
      </c>
      <c r="J1487" s="35" t="b">
        <f>IF(OR(INDEX(OHZ_HAZ_DGCLASSIFI,230,1)="IBC",INDEX(OHZ_HAZ_DGCLASSIFI,230,1)="IMSBC"),INDEX(OHZ_HAZ_IMOHAZARDC,230,1)&lt;&gt;"",TRUE)</f>
        <v>1</v>
      </c>
      <c r="K1487" s="35" t="str">
        <f t="shared" si="47"/>
        <v>Row 230 - If ‘DG classification’ is ‘IBC’ or ‘IMSBC’  the ‘IMO Hazard Class’ is mandatory</v>
      </c>
    </row>
    <row r="1488" spans="7:11" s="35" customFormat="1" x14ac:dyDescent="0.2">
      <c r="G1488" s="35" t="b">
        <f>IF(OR(INDEX(IHZ_HAZ_DGCLASSIFI,231,1)="IBC",INDEX(IHZ_HAZ_DGCLASSIFI,231,1)="IMSBC"),INDEX(IHZ_HAZ_IMOHAZARDC,231,1)&lt;&gt;"",TRUE)</f>
        <v>1</v>
      </c>
      <c r="H1488" s="35" t="str">
        <f t="shared" si="46"/>
        <v>Row 231 - If ‘DG classification’ is ‘IBC’ or ‘IMSBC’  the ‘IMO Hazard Class’ is mandatory</v>
      </c>
      <c r="J1488" s="35" t="b">
        <f>IF(OR(INDEX(OHZ_HAZ_DGCLASSIFI,231,1)="IBC",INDEX(OHZ_HAZ_DGCLASSIFI,231,1)="IMSBC"),INDEX(OHZ_HAZ_IMOHAZARDC,231,1)&lt;&gt;"",TRUE)</f>
        <v>1</v>
      </c>
      <c r="K1488" s="35" t="str">
        <f t="shared" si="47"/>
        <v>Row 231 - If ‘DG classification’ is ‘IBC’ or ‘IMSBC’  the ‘IMO Hazard Class’ is mandatory</v>
      </c>
    </row>
    <row r="1489" spans="7:11" s="35" customFormat="1" x14ac:dyDescent="0.2">
      <c r="G1489" s="35" t="b">
        <f>IF(OR(INDEX(IHZ_HAZ_DGCLASSIFI,232,1)="IBC",INDEX(IHZ_HAZ_DGCLASSIFI,232,1)="IMSBC"),INDEX(IHZ_HAZ_IMOHAZARDC,232,1)&lt;&gt;"",TRUE)</f>
        <v>1</v>
      </c>
      <c r="H1489" s="35" t="str">
        <f t="shared" si="46"/>
        <v>Row 232 - If ‘DG classification’ is ‘IBC’ or ‘IMSBC’  the ‘IMO Hazard Class’ is mandatory</v>
      </c>
      <c r="J1489" s="35" t="b">
        <f>IF(OR(INDEX(OHZ_HAZ_DGCLASSIFI,232,1)="IBC",INDEX(OHZ_HAZ_DGCLASSIFI,232,1)="IMSBC"),INDEX(OHZ_HAZ_IMOHAZARDC,232,1)&lt;&gt;"",TRUE)</f>
        <v>1</v>
      </c>
      <c r="K1489" s="35" t="str">
        <f t="shared" si="47"/>
        <v>Row 232 - If ‘DG classification’ is ‘IBC’ or ‘IMSBC’  the ‘IMO Hazard Class’ is mandatory</v>
      </c>
    </row>
    <row r="1490" spans="7:11" s="35" customFormat="1" x14ac:dyDescent="0.2">
      <c r="G1490" s="35" t="b">
        <f>IF(OR(INDEX(IHZ_HAZ_DGCLASSIFI,233,1)="IBC",INDEX(IHZ_HAZ_DGCLASSIFI,233,1)="IMSBC"),INDEX(IHZ_HAZ_IMOHAZARDC,233,1)&lt;&gt;"",TRUE)</f>
        <v>1</v>
      </c>
      <c r="H1490" s="35" t="str">
        <f t="shared" si="46"/>
        <v>Row 233 - If ‘DG classification’ is ‘IBC’ or ‘IMSBC’  the ‘IMO Hazard Class’ is mandatory</v>
      </c>
      <c r="J1490" s="35" t="b">
        <f>IF(OR(INDEX(OHZ_HAZ_DGCLASSIFI,233,1)="IBC",INDEX(OHZ_HAZ_DGCLASSIFI,233,1)="IMSBC"),INDEX(OHZ_HAZ_IMOHAZARDC,233,1)&lt;&gt;"",TRUE)</f>
        <v>1</v>
      </c>
      <c r="K1490" s="35" t="str">
        <f t="shared" si="47"/>
        <v>Row 233 - If ‘DG classification’ is ‘IBC’ or ‘IMSBC’  the ‘IMO Hazard Class’ is mandatory</v>
      </c>
    </row>
    <row r="1491" spans="7:11" s="35" customFormat="1" x14ac:dyDescent="0.2">
      <c r="G1491" s="35" t="b">
        <f>IF(OR(INDEX(IHZ_HAZ_DGCLASSIFI,234,1)="IBC",INDEX(IHZ_HAZ_DGCLASSIFI,234,1)="IMSBC"),INDEX(IHZ_HAZ_IMOHAZARDC,234,1)&lt;&gt;"",TRUE)</f>
        <v>1</v>
      </c>
      <c r="H1491" s="35" t="str">
        <f t="shared" si="46"/>
        <v>Row 234 - If ‘DG classification’ is ‘IBC’ or ‘IMSBC’  the ‘IMO Hazard Class’ is mandatory</v>
      </c>
      <c r="J1491" s="35" t="b">
        <f>IF(OR(INDEX(OHZ_HAZ_DGCLASSIFI,234,1)="IBC",INDEX(OHZ_HAZ_DGCLASSIFI,234,1)="IMSBC"),INDEX(OHZ_HAZ_IMOHAZARDC,234,1)&lt;&gt;"",TRUE)</f>
        <v>1</v>
      </c>
      <c r="K1491" s="35" t="str">
        <f t="shared" si="47"/>
        <v>Row 234 - If ‘DG classification’ is ‘IBC’ or ‘IMSBC’  the ‘IMO Hazard Class’ is mandatory</v>
      </c>
    </row>
    <row r="1492" spans="7:11" s="35" customFormat="1" x14ac:dyDescent="0.2">
      <c r="G1492" s="35" t="b">
        <f>IF(OR(INDEX(IHZ_HAZ_DGCLASSIFI,235,1)="IBC",INDEX(IHZ_HAZ_DGCLASSIFI,235,1)="IMSBC"),INDEX(IHZ_HAZ_IMOHAZARDC,235,1)&lt;&gt;"",TRUE)</f>
        <v>1</v>
      </c>
      <c r="H1492" s="35" t="str">
        <f t="shared" si="46"/>
        <v>Row 235 - If ‘DG classification’ is ‘IBC’ or ‘IMSBC’  the ‘IMO Hazard Class’ is mandatory</v>
      </c>
      <c r="J1492" s="35" t="b">
        <f>IF(OR(INDEX(OHZ_HAZ_DGCLASSIFI,235,1)="IBC",INDEX(OHZ_HAZ_DGCLASSIFI,235,1)="IMSBC"),INDEX(OHZ_HAZ_IMOHAZARDC,235,1)&lt;&gt;"",TRUE)</f>
        <v>1</v>
      </c>
      <c r="K1492" s="35" t="str">
        <f t="shared" si="47"/>
        <v>Row 235 - If ‘DG classification’ is ‘IBC’ or ‘IMSBC’  the ‘IMO Hazard Class’ is mandatory</v>
      </c>
    </row>
    <row r="1493" spans="7:11" s="35" customFormat="1" x14ac:dyDescent="0.2">
      <c r="G1493" s="35" t="b">
        <f>IF(OR(INDEX(IHZ_HAZ_DGCLASSIFI,236,1)="IBC",INDEX(IHZ_HAZ_DGCLASSIFI,236,1)="IMSBC"),INDEX(IHZ_HAZ_IMOHAZARDC,236,1)&lt;&gt;"",TRUE)</f>
        <v>1</v>
      </c>
      <c r="H1493" s="35" t="str">
        <f t="shared" si="46"/>
        <v>Row 236 - If ‘DG classification’ is ‘IBC’ or ‘IMSBC’  the ‘IMO Hazard Class’ is mandatory</v>
      </c>
      <c r="J1493" s="35" t="b">
        <f>IF(OR(INDEX(OHZ_HAZ_DGCLASSIFI,236,1)="IBC",INDEX(OHZ_HAZ_DGCLASSIFI,236,1)="IMSBC"),INDEX(OHZ_HAZ_IMOHAZARDC,236,1)&lt;&gt;"",TRUE)</f>
        <v>1</v>
      </c>
      <c r="K1493" s="35" t="str">
        <f t="shared" si="47"/>
        <v>Row 236 - If ‘DG classification’ is ‘IBC’ or ‘IMSBC’  the ‘IMO Hazard Class’ is mandatory</v>
      </c>
    </row>
    <row r="1494" spans="7:11" s="35" customFormat="1" x14ac:dyDescent="0.2">
      <c r="G1494" s="35" t="b">
        <f>IF(OR(INDEX(IHZ_HAZ_DGCLASSIFI,237,1)="IBC",INDEX(IHZ_HAZ_DGCLASSIFI,237,1)="IMSBC"),INDEX(IHZ_HAZ_IMOHAZARDC,237,1)&lt;&gt;"",TRUE)</f>
        <v>1</v>
      </c>
      <c r="H1494" s="35" t="str">
        <f t="shared" si="46"/>
        <v>Row 237 - If ‘DG classification’ is ‘IBC’ or ‘IMSBC’  the ‘IMO Hazard Class’ is mandatory</v>
      </c>
      <c r="J1494" s="35" t="b">
        <f>IF(OR(INDEX(OHZ_HAZ_DGCLASSIFI,237,1)="IBC",INDEX(OHZ_HAZ_DGCLASSIFI,237,1)="IMSBC"),INDEX(OHZ_HAZ_IMOHAZARDC,237,1)&lt;&gt;"",TRUE)</f>
        <v>1</v>
      </c>
      <c r="K1494" s="35" t="str">
        <f t="shared" si="47"/>
        <v>Row 237 - If ‘DG classification’ is ‘IBC’ or ‘IMSBC’  the ‘IMO Hazard Class’ is mandatory</v>
      </c>
    </row>
    <row r="1495" spans="7:11" s="35" customFormat="1" x14ac:dyDescent="0.2">
      <c r="G1495" s="35" t="b">
        <f>IF(OR(INDEX(IHZ_HAZ_DGCLASSIFI,238,1)="IBC",INDEX(IHZ_HAZ_DGCLASSIFI,238,1)="IMSBC"),INDEX(IHZ_HAZ_IMOHAZARDC,238,1)&lt;&gt;"",TRUE)</f>
        <v>1</v>
      </c>
      <c r="H1495" s="35" t="str">
        <f>T238&amp;$V$7</f>
        <v>Row 238 - If ‘DG classification’ is ‘IBC’ or ‘IMSBC’  the ‘IMO Hazard Class’ is mandatory</v>
      </c>
      <c r="J1495" s="35" t="b">
        <f>IF(OR(INDEX(OHZ_HAZ_DGCLASSIFI,238,1)="IBC",INDEX(OHZ_HAZ_DGCLASSIFI,238,1)="IMSBC"),INDEX(OHZ_HAZ_IMOHAZARDC,238,1)&lt;&gt;"",TRUE)</f>
        <v>1</v>
      </c>
      <c r="K1495" s="35" t="str">
        <f t="shared" si="47"/>
        <v>Row 238 - If ‘DG classification’ is ‘IBC’ or ‘IMSBC’  the ‘IMO Hazard Class’ is mandatory</v>
      </c>
    </row>
    <row r="1496" spans="7:11" s="35" customFormat="1" x14ac:dyDescent="0.2">
      <c r="G1496" s="35" t="b">
        <f>IF(OR(INDEX(IHZ_HAZ_DGCLASSIFI,239,1)="IBC",INDEX(IHZ_HAZ_DGCLASSIFI,239,1)="IMSBC"),INDEX(IHZ_HAZ_IMOHAZARDC,239,1)&lt;&gt;"",TRUE)</f>
        <v>1</v>
      </c>
      <c r="H1496" s="35" t="str">
        <f t="shared" ref="H1496:H1507" si="48">T239&amp;$V$7</f>
        <v>Row 239 - If ‘DG classification’ is ‘IBC’ or ‘IMSBC’  the ‘IMO Hazard Class’ is mandatory</v>
      </c>
      <c r="J1496" s="35" t="b">
        <f>IF(OR(INDEX(OHZ_HAZ_DGCLASSIFI,239,1)="IBC",INDEX(OHZ_HAZ_DGCLASSIFI,239,1)="IMSBC"),INDEX(OHZ_HAZ_IMOHAZARDC,239,1)&lt;&gt;"",TRUE)</f>
        <v>1</v>
      </c>
      <c r="K1496" s="35" t="str">
        <f t="shared" si="47"/>
        <v>Row 239 - If ‘DG classification’ is ‘IBC’ or ‘IMSBC’  the ‘IMO Hazard Class’ is mandatory</v>
      </c>
    </row>
    <row r="1497" spans="7:11" s="35" customFormat="1" x14ac:dyDescent="0.2">
      <c r="G1497" s="35" t="b">
        <f>IF(OR(INDEX(IHZ_HAZ_DGCLASSIFI,240,1)="IBC",INDEX(IHZ_HAZ_DGCLASSIFI,240,1)="IMSBC"),INDEX(IHZ_HAZ_IMOHAZARDC,240,1)&lt;&gt;"",TRUE)</f>
        <v>1</v>
      </c>
      <c r="H1497" s="35" t="str">
        <f t="shared" si="48"/>
        <v>Row 240 - If ‘DG classification’ is ‘IBC’ or ‘IMSBC’  the ‘IMO Hazard Class’ is mandatory</v>
      </c>
      <c r="J1497" s="35" t="b">
        <f>IF(OR(INDEX(OHZ_HAZ_DGCLASSIFI,240,1)="IBC",INDEX(OHZ_HAZ_DGCLASSIFI,240,1)="IMSBC"),INDEX(OHZ_HAZ_IMOHAZARDC,240,1)&lt;&gt;"",TRUE)</f>
        <v>1</v>
      </c>
      <c r="K1497" s="35" t="str">
        <f t="shared" si="47"/>
        <v>Row 240 - If ‘DG classification’ is ‘IBC’ or ‘IMSBC’  the ‘IMO Hazard Class’ is mandatory</v>
      </c>
    </row>
    <row r="1498" spans="7:11" s="35" customFormat="1" x14ac:dyDescent="0.2">
      <c r="G1498" s="35" t="b">
        <f>IF(OR(INDEX(IHZ_HAZ_DGCLASSIFI,241,1)="IBC",INDEX(IHZ_HAZ_DGCLASSIFI,241,1)="IMSBC"),INDEX(IHZ_HAZ_IMOHAZARDC,241,1)&lt;&gt;"",TRUE)</f>
        <v>1</v>
      </c>
      <c r="H1498" s="35" t="str">
        <f t="shared" si="48"/>
        <v>Row 241 - If ‘DG classification’ is ‘IBC’ or ‘IMSBC’  the ‘IMO Hazard Class’ is mandatory</v>
      </c>
      <c r="J1498" s="35" t="b">
        <f>IF(OR(INDEX(OHZ_HAZ_DGCLASSIFI,241,1)="IBC",INDEX(OHZ_HAZ_DGCLASSIFI,241,1)="IMSBC"),INDEX(OHZ_HAZ_IMOHAZARDC,241,1)&lt;&gt;"",TRUE)</f>
        <v>1</v>
      </c>
      <c r="K1498" s="35" t="str">
        <f t="shared" si="47"/>
        <v>Row 241 - If ‘DG classification’ is ‘IBC’ or ‘IMSBC’  the ‘IMO Hazard Class’ is mandatory</v>
      </c>
    </row>
    <row r="1499" spans="7:11" s="35" customFormat="1" x14ac:dyDescent="0.2">
      <c r="G1499" s="35" t="b">
        <f>IF(OR(INDEX(IHZ_HAZ_DGCLASSIFI,242,1)="IBC",INDEX(IHZ_HAZ_DGCLASSIFI,242,1)="IMSBC"),INDEX(IHZ_HAZ_IMOHAZARDC,242,1)&lt;&gt;"",TRUE)</f>
        <v>1</v>
      </c>
      <c r="H1499" s="35" t="str">
        <f t="shared" si="48"/>
        <v>Row 242 - If ‘DG classification’ is ‘IBC’ or ‘IMSBC’  the ‘IMO Hazard Class’ is mandatory</v>
      </c>
      <c r="J1499" s="35" t="b">
        <f>IF(OR(INDEX(OHZ_HAZ_DGCLASSIFI,242,1)="IBC",INDEX(OHZ_HAZ_DGCLASSIFI,242,1)="IMSBC"),INDEX(OHZ_HAZ_IMOHAZARDC,242,1)&lt;&gt;"",TRUE)</f>
        <v>1</v>
      </c>
      <c r="K1499" s="35" t="str">
        <f t="shared" si="47"/>
        <v>Row 242 - If ‘DG classification’ is ‘IBC’ or ‘IMSBC’  the ‘IMO Hazard Class’ is mandatory</v>
      </c>
    </row>
    <row r="1500" spans="7:11" s="35" customFormat="1" x14ac:dyDescent="0.2">
      <c r="G1500" s="35" t="b">
        <f>IF(OR(INDEX(IHZ_HAZ_DGCLASSIFI,243,1)="IBC",INDEX(IHZ_HAZ_DGCLASSIFI,243,1)="IMSBC"),INDEX(IHZ_HAZ_IMOHAZARDC,243,1)&lt;&gt;"",TRUE)</f>
        <v>1</v>
      </c>
      <c r="H1500" s="35" t="str">
        <f t="shared" si="48"/>
        <v>Row 243 - If ‘DG classification’ is ‘IBC’ or ‘IMSBC’  the ‘IMO Hazard Class’ is mandatory</v>
      </c>
      <c r="J1500" s="35" t="b">
        <f>IF(OR(INDEX(OHZ_HAZ_DGCLASSIFI,243,1)="IBC",INDEX(OHZ_HAZ_DGCLASSIFI,243,1)="IMSBC"),INDEX(OHZ_HAZ_IMOHAZARDC,243,1)&lt;&gt;"",TRUE)</f>
        <v>1</v>
      </c>
      <c r="K1500" s="35" t="str">
        <f t="shared" si="47"/>
        <v>Row 243 - If ‘DG classification’ is ‘IBC’ or ‘IMSBC’  the ‘IMO Hazard Class’ is mandatory</v>
      </c>
    </row>
    <row r="1501" spans="7:11" s="35" customFormat="1" x14ac:dyDescent="0.2">
      <c r="G1501" s="35" t="b">
        <f>IF(OR(INDEX(IHZ_HAZ_DGCLASSIFI,244,1)="IBC",INDEX(IHZ_HAZ_DGCLASSIFI,244,1)="IMSBC"),INDEX(IHZ_HAZ_IMOHAZARDC,244,1)&lt;&gt;"",TRUE)</f>
        <v>1</v>
      </c>
      <c r="H1501" s="35" t="str">
        <f t="shared" si="48"/>
        <v>Row 244 - If ‘DG classification’ is ‘IBC’ or ‘IMSBC’  the ‘IMO Hazard Class’ is mandatory</v>
      </c>
      <c r="J1501" s="35" t="b">
        <f>IF(OR(INDEX(OHZ_HAZ_DGCLASSIFI,244,1)="IBC",INDEX(OHZ_HAZ_DGCLASSIFI,244,1)="IMSBC"),INDEX(OHZ_HAZ_IMOHAZARDC,244,1)&lt;&gt;"",TRUE)</f>
        <v>1</v>
      </c>
      <c r="K1501" s="35" t="str">
        <f t="shared" si="47"/>
        <v>Row 244 - If ‘DG classification’ is ‘IBC’ or ‘IMSBC’  the ‘IMO Hazard Class’ is mandatory</v>
      </c>
    </row>
    <row r="1502" spans="7:11" s="35" customFormat="1" x14ac:dyDescent="0.2">
      <c r="G1502" s="35" t="b">
        <f>IF(OR(INDEX(IHZ_HAZ_DGCLASSIFI,245,1)="IBC",INDEX(IHZ_HAZ_DGCLASSIFI,245,1)="IMSBC"),INDEX(IHZ_HAZ_IMOHAZARDC,245,1)&lt;&gt;"",TRUE)</f>
        <v>1</v>
      </c>
      <c r="H1502" s="35" t="str">
        <f t="shared" si="48"/>
        <v>Row 245 - If ‘DG classification’ is ‘IBC’ or ‘IMSBC’  the ‘IMO Hazard Class’ is mandatory</v>
      </c>
      <c r="J1502" s="35" t="b">
        <f>IF(OR(INDEX(OHZ_HAZ_DGCLASSIFI,245,1)="IBC",INDEX(OHZ_HAZ_DGCLASSIFI,245,1)="IMSBC"),INDEX(OHZ_HAZ_IMOHAZARDC,245,1)&lt;&gt;"",TRUE)</f>
        <v>1</v>
      </c>
      <c r="K1502" s="35" t="str">
        <f t="shared" si="47"/>
        <v>Row 245 - If ‘DG classification’ is ‘IBC’ or ‘IMSBC’  the ‘IMO Hazard Class’ is mandatory</v>
      </c>
    </row>
    <row r="1503" spans="7:11" s="35" customFormat="1" x14ac:dyDescent="0.2">
      <c r="G1503" s="35" t="b">
        <f>IF(OR(INDEX(IHZ_HAZ_DGCLASSIFI,246,1)="IBC",INDEX(IHZ_HAZ_DGCLASSIFI,246,1)="IMSBC"),INDEX(IHZ_HAZ_IMOHAZARDC,246,1)&lt;&gt;"",TRUE)</f>
        <v>1</v>
      </c>
      <c r="H1503" s="35" t="str">
        <f t="shared" si="48"/>
        <v>Row 246 - If ‘DG classification’ is ‘IBC’ or ‘IMSBC’  the ‘IMO Hazard Class’ is mandatory</v>
      </c>
      <c r="J1503" s="35" t="b">
        <f>IF(OR(INDEX(OHZ_HAZ_DGCLASSIFI,246,1)="IBC",INDEX(OHZ_HAZ_DGCLASSIFI,246,1)="IMSBC"),INDEX(OHZ_HAZ_IMOHAZARDC,246,1)&lt;&gt;"",TRUE)</f>
        <v>1</v>
      </c>
      <c r="K1503" s="35" t="str">
        <f t="shared" si="47"/>
        <v>Row 246 - If ‘DG classification’ is ‘IBC’ or ‘IMSBC’  the ‘IMO Hazard Class’ is mandatory</v>
      </c>
    </row>
    <row r="1504" spans="7:11" s="35" customFormat="1" x14ac:dyDescent="0.2">
      <c r="G1504" s="35" t="b">
        <f>IF(OR(INDEX(IHZ_HAZ_DGCLASSIFI,247,1)="IBC",INDEX(IHZ_HAZ_DGCLASSIFI,247,1)="IMSBC"),INDEX(IHZ_HAZ_IMOHAZARDC,247,1)&lt;&gt;"",TRUE)</f>
        <v>1</v>
      </c>
      <c r="H1504" s="35" t="str">
        <f t="shared" si="48"/>
        <v>Row 247 - If ‘DG classification’ is ‘IBC’ or ‘IMSBC’  the ‘IMO Hazard Class’ is mandatory</v>
      </c>
      <c r="J1504" s="35" t="b">
        <f>IF(OR(INDEX(OHZ_HAZ_DGCLASSIFI,247,1)="IBC",INDEX(OHZ_HAZ_DGCLASSIFI,247,1)="IMSBC"),INDEX(OHZ_HAZ_IMOHAZARDC,247,1)&lt;&gt;"",TRUE)</f>
        <v>1</v>
      </c>
      <c r="K1504" s="35" t="str">
        <f t="shared" si="47"/>
        <v>Row 247 - If ‘DG classification’ is ‘IBC’ or ‘IMSBC’  the ‘IMO Hazard Class’ is mandatory</v>
      </c>
    </row>
    <row r="1505" spans="7:12" s="35" customFormat="1" x14ac:dyDescent="0.2">
      <c r="G1505" s="35" t="b">
        <f>IF(OR(INDEX(IHZ_HAZ_DGCLASSIFI,248,1)="IBC",INDEX(IHZ_HAZ_DGCLASSIFI,248,1)="IMSBC"),INDEX(IHZ_HAZ_IMOHAZARDC,248,1)&lt;&gt;"",TRUE)</f>
        <v>1</v>
      </c>
      <c r="H1505" s="35" t="str">
        <f t="shared" si="48"/>
        <v>Row 248 - If ‘DG classification’ is ‘IBC’ or ‘IMSBC’  the ‘IMO Hazard Class’ is mandatory</v>
      </c>
      <c r="J1505" s="35" t="b">
        <f>IF(OR(INDEX(OHZ_HAZ_DGCLASSIFI,248,1)="IBC",INDEX(OHZ_HAZ_DGCLASSIFI,248,1)="IMSBC"),INDEX(OHZ_HAZ_IMOHAZARDC,248,1)&lt;&gt;"",TRUE)</f>
        <v>1</v>
      </c>
      <c r="K1505" s="35" t="str">
        <f t="shared" si="47"/>
        <v>Row 248 - If ‘DG classification’ is ‘IBC’ or ‘IMSBC’  the ‘IMO Hazard Class’ is mandatory</v>
      </c>
    </row>
    <row r="1506" spans="7:12" s="35" customFormat="1" x14ac:dyDescent="0.2">
      <c r="G1506" s="35" t="b">
        <f>IF(OR(INDEX(IHZ_HAZ_DGCLASSIFI,249,1)="IBC",INDEX(IHZ_HAZ_DGCLASSIFI,249,1)="IMSBC"),INDEX(IHZ_HAZ_IMOHAZARDC,249,1)&lt;&gt;"",TRUE)</f>
        <v>1</v>
      </c>
      <c r="H1506" s="35" t="str">
        <f t="shared" si="48"/>
        <v>Row 249 - If ‘DG classification’ is ‘IBC’ or ‘IMSBC’  the ‘IMO Hazard Class’ is mandatory</v>
      </c>
      <c r="J1506" s="35" t="b">
        <f>IF(OR(INDEX(OHZ_HAZ_DGCLASSIFI,249,1)="IBC",INDEX(OHZ_HAZ_DGCLASSIFI,249,1)="IMSBC"),INDEX(OHZ_HAZ_IMOHAZARDC,249,1)&lt;&gt;"",TRUE)</f>
        <v>1</v>
      </c>
      <c r="K1506" s="35" t="str">
        <f t="shared" si="47"/>
        <v>Row 249 - If ‘DG classification’ is ‘IBC’ or ‘IMSBC’  the ‘IMO Hazard Class’ is mandatory</v>
      </c>
    </row>
    <row r="1507" spans="7:12" s="35" customFormat="1" x14ac:dyDescent="0.2">
      <c r="G1507" s="35" t="b">
        <f>IF(OR(INDEX(IHZ_HAZ_DGCLASSIFI,250,1)="IBC",INDEX(IHZ_HAZ_DGCLASSIFI,250,1)="IMSBC"),INDEX(IHZ_HAZ_IMOHAZARDC,250,1)&lt;&gt;"",TRUE)</f>
        <v>1</v>
      </c>
      <c r="H1507" s="35" t="str">
        <f t="shared" si="48"/>
        <v>Row 250 - If ‘DG classification’ is ‘IBC’ or ‘IMSBC’  the ‘IMO Hazard Class’ is mandatory</v>
      </c>
      <c r="J1507" s="35" t="b">
        <f>IF(OR(INDEX(OHZ_HAZ_DGCLASSIFI,250,1)="IBC",INDEX(OHZ_HAZ_DGCLASSIFI,250,1)="IMSBC"),INDEX(OHZ_HAZ_IMOHAZARDC,250,1)&lt;&gt;"",TRUE)</f>
        <v>1</v>
      </c>
      <c r="K1507" s="35" t="str">
        <f t="shared" si="47"/>
        <v>Row 250 - If ‘DG classification’ is ‘IBC’ or ‘IMSBC’  the ‘IMO Hazard Class’ is mandatory</v>
      </c>
    </row>
    <row r="1508" spans="7:12" x14ac:dyDescent="0.2">
      <c r="G1508" t="b">
        <f>IF(OR(INDEX(IHZ_HAZ_DGCLASSIFI,1,1)="IMDG",),AND(INDEX(IHZ_HAZ_IMOHAZARDC,1,1)&lt;&gt;"",INDEX(IHZ_HAZ_UNNUMBER,1,1)&lt;&gt;""),TRUE)</f>
        <v>1</v>
      </c>
      <c r="H1508" t="str">
        <f>T1&amp;$V$6</f>
        <v>Row 1 - If ‘DG classification’ is ‘IMDG’ the ‘IMO Hazard Class’ and ‘UN Number’ is mandatory</v>
      </c>
      <c r="I1508" t="s">
        <v>33308</v>
      </c>
      <c r="J1508" t="b">
        <f>IF(OR(INDEX(OHZ_HAZ_DGCLASSIFI,1,1)="IMDG",),AND(INDEX(OHZ_HAZ_IMOHAZARDC,1,1)&lt;&gt;"",INDEX(OHZ_HAZ_UNNUMBER,1,1)&lt;&gt;""),TRUE)</f>
        <v>1</v>
      </c>
      <c r="K1508" t="str">
        <f>T1&amp;$V$6</f>
        <v>Row 1 - If ‘DG classification’ is ‘IMDG’ the ‘IMO Hazard Class’ and ‘UN Number’ is mandatory</v>
      </c>
      <c r="L1508" t="s">
        <v>33308</v>
      </c>
    </row>
    <row r="1509" spans="7:12" x14ac:dyDescent="0.2">
      <c r="G1509" t="b">
        <f>IF(OR(INDEX(IHZ_HAZ_DGCLASSIFI,2,1)="IMDG",),AND(INDEX(IHZ_HAZ_IMOHAZARDC,2,1)&lt;&gt;"",INDEX(IHZ_HAZ_UNNUMBER,2,1)&lt;&gt;""),TRUE)</f>
        <v>1</v>
      </c>
      <c r="H1509" t="str">
        <f t="shared" ref="H1509:H1572" si="49">T2&amp;$V$6</f>
        <v>Row 2 - If ‘DG classification’ is ‘IMDG’ the ‘IMO Hazard Class’ and ‘UN Number’ is mandatory</v>
      </c>
      <c r="I1509" t="s">
        <v>33308</v>
      </c>
      <c r="J1509" t="b">
        <f>IF(OR(INDEX(OHZ_HAZ_DGCLASSIFI,2,1)="IMDG",),AND(INDEX(OHZ_HAZ_IMOHAZARDC,2,1)&lt;&gt;"",INDEX(OHZ_HAZ_UNNUMBER,2,1)&lt;&gt;""),TRUE)</f>
        <v>1</v>
      </c>
      <c r="K1509" t="str">
        <f t="shared" ref="K1509:K1572" si="50">T2&amp;$V$6</f>
        <v>Row 2 - If ‘DG classification’ is ‘IMDG’ the ‘IMO Hazard Class’ and ‘UN Number’ is mandatory</v>
      </c>
      <c r="L1509" t="s">
        <v>33308</v>
      </c>
    </row>
    <row r="1510" spans="7:12" x14ac:dyDescent="0.2">
      <c r="G1510" t="b">
        <f>IF(OR(INDEX(IHZ_HAZ_DGCLASSIFI,3,1)="IMDG",),AND(INDEX(IHZ_HAZ_IMOHAZARDC,3,1)&lt;&gt;"",INDEX(IHZ_HAZ_UNNUMBER,3,1)&lt;&gt;""),TRUE)</f>
        <v>1</v>
      </c>
      <c r="H1510" t="str">
        <f t="shared" si="49"/>
        <v>Row 3 - If ‘DG classification’ is ‘IMDG’ the ‘IMO Hazard Class’ and ‘UN Number’ is mandatory</v>
      </c>
      <c r="I1510" t="s">
        <v>33308</v>
      </c>
      <c r="J1510" t="b">
        <f>IF(OR(INDEX(OHZ_HAZ_DGCLASSIFI,3,1)="IMDG",),AND(INDEX(OHZ_HAZ_IMOHAZARDC,3,1)&lt;&gt;"",INDEX(OHZ_HAZ_UNNUMBER,3,1)&lt;&gt;""),TRUE)</f>
        <v>1</v>
      </c>
      <c r="K1510" t="str">
        <f t="shared" si="50"/>
        <v>Row 3 - If ‘DG classification’ is ‘IMDG’ the ‘IMO Hazard Class’ and ‘UN Number’ is mandatory</v>
      </c>
      <c r="L1510" t="s">
        <v>33308</v>
      </c>
    </row>
    <row r="1511" spans="7:12" x14ac:dyDescent="0.2">
      <c r="G1511" t="b">
        <f>IF(OR(INDEX(IHZ_HAZ_DGCLASSIFI,4,1)="IMDG",),AND(INDEX(IHZ_HAZ_IMOHAZARDC,4,1)&lt;&gt;"",INDEX(IHZ_HAZ_UNNUMBER,4,1)&lt;&gt;""),TRUE)</f>
        <v>1</v>
      </c>
      <c r="H1511" t="str">
        <f t="shared" si="49"/>
        <v>Row 4 - If ‘DG classification’ is ‘IMDG’ the ‘IMO Hazard Class’ and ‘UN Number’ is mandatory</v>
      </c>
      <c r="I1511" t="s">
        <v>33308</v>
      </c>
      <c r="J1511" t="b">
        <f>IF(OR(INDEX(OHZ_HAZ_DGCLASSIFI,4,1)="IMDG",),AND(INDEX(OHZ_HAZ_IMOHAZARDC,4,1)&lt;&gt;"",INDEX(OHZ_HAZ_UNNUMBER,4,1)&lt;&gt;""),TRUE)</f>
        <v>1</v>
      </c>
      <c r="K1511" t="str">
        <f t="shared" si="50"/>
        <v>Row 4 - If ‘DG classification’ is ‘IMDG’ the ‘IMO Hazard Class’ and ‘UN Number’ is mandatory</v>
      </c>
      <c r="L1511" t="s">
        <v>33308</v>
      </c>
    </row>
    <row r="1512" spans="7:12" x14ac:dyDescent="0.2">
      <c r="G1512" t="b">
        <f>IF(OR(INDEX(IHZ_HAZ_DGCLASSIFI,5,1)="IMDG",),AND(INDEX(IHZ_HAZ_IMOHAZARDC,5,1)&lt;&gt;"",INDEX(IHZ_HAZ_UNNUMBER,5,1)&lt;&gt;""),TRUE)</f>
        <v>1</v>
      </c>
      <c r="H1512" t="str">
        <f t="shared" si="49"/>
        <v>Row 5 - If ‘DG classification’ is ‘IMDG’ the ‘IMO Hazard Class’ and ‘UN Number’ is mandatory</v>
      </c>
      <c r="I1512" t="s">
        <v>33308</v>
      </c>
      <c r="J1512" t="b">
        <f>IF(OR(INDEX(OHZ_HAZ_DGCLASSIFI,5,1)="IMDG",),AND(INDEX(OHZ_HAZ_IMOHAZARDC,5,1)&lt;&gt;"",INDEX(OHZ_HAZ_UNNUMBER,5,1)&lt;&gt;""),TRUE)</f>
        <v>1</v>
      </c>
      <c r="K1512" t="str">
        <f t="shared" si="50"/>
        <v>Row 5 - If ‘DG classification’ is ‘IMDG’ the ‘IMO Hazard Class’ and ‘UN Number’ is mandatory</v>
      </c>
      <c r="L1512" t="s">
        <v>33308</v>
      </c>
    </row>
    <row r="1513" spans="7:12" x14ac:dyDescent="0.2">
      <c r="G1513" t="b">
        <f>IF(OR(INDEX(IHZ_HAZ_DGCLASSIFI,6,1)="IMDG",),AND(INDEX(IHZ_HAZ_IMOHAZARDC,6,1)&lt;&gt;"",INDEX(IHZ_HAZ_UNNUMBER,6,1)&lt;&gt;""),TRUE)</f>
        <v>1</v>
      </c>
      <c r="H1513" t="str">
        <f t="shared" si="49"/>
        <v>Row 6 - If ‘DG classification’ is ‘IMDG’ the ‘IMO Hazard Class’ and ‘UN Number’ is mandatory</v>
      </c>
      <c r="I1513" t="s">
        <v>33308</v>
      </c>
      <c r="J1513" t="b">
        <f>IF(OR(INDEX(OHZ_HAZ_DGCLASSIFI,6,1)="IMDG",),AND(INDEX(OHZ_HAZ_IMOHAZARDC,6,1)&lt;&gt;"",INDEX(OHZ_HAZ_UNNUMBER,6,1)&lt;&gt;""),TRUE)</f>
        <v>1</v>
      </c>
      <c r="K1513" t="str">
        <f t="shared" si="50"/>
        <v>Row 6 - If ‘DG classification’ is ‘IMDG’ the ‘IMO Hazard Class’ and ‘UN Number’ is mandatory</v>
      </c>
      <c r="L1513" t="s">
        <v>33308</v>
      </c>
    </row>
    <row r="1514" spans="7:12" x14ac:dyDescent="0.2">
      <c r="G1514" t="b">
        <f>IF(OR(INDEX(IHZ_HAZ_DGCLASSIFI,7,1)="IMDG",),AND(INDEX(IHZ_HAZ_IMOHAZARDC,7,1)&lt;&gt;"",INDEX(IHZ_HAZ_UNNUMBER,7,1)&lt;&gt;""),TRUE)</f>
        <v>1</v>
      </c>
      <c r="H1514" t="str">
        <f t="shared" si="49"/>
        <v>Row 7 - If ‘DG classification’ is ‘IMDG’ the ‘IMO Hazard Class’ and ‘UN Number’ is mandatory</v>
      </c>
      <c r="I1514" t="s">
        <v>33308</v>
      </c>
      <c r="J1514" t="b">
        <f>IF(OR(INDEX(OHZ_HAZ_DGCLASSIFI,7,1)="IMDG",),AND(INDEX(OHZ_HAZ_IMOHAZARDC,7,1)&lt;&gt;"",INDEX(OHZ_HAZ_UNNUMBER,7,1)&lt;&gt;""),TRUE)</f>
        <v>1</v>
      </c>
      <c r="K1514" t="str">
        <f t="shared" si="50"/>
        <v>Row 7 - If ‘DG classification’ is ‘IMDG’ the ‘IMO Hazard Class’ and ‘UN Number’ is mandatory</v>
      </c>
      <c r="L1514" t="s">
        <v>33308</v>
      </c>
    </row>
    <row r="1515" spans="7:12" x14ac:dyDescent="0.2">
      <c r="G1515" t="b">
        <f>IF(OR(INDEX(IHZ_HAZ_DGCLASSIFI,8,1)="IMDG",),AND(INDEX(IHZ_HAZ_IMOHAZARDC,8,1)&lt;&gt;"",INDEX(IHZ_HAZ_UNNUMBER,8,1)&lt;&gt;""),TRUE)</f>
        <v>1</v>
      </c>
      <c r="H1515" t="str">
        <f t="shared" si="49"/>
        <v>Row 8 - If ‘DG classification’ is ‘IMDG’ the ‘IMO Hazard Class’ and ‘UN Number’ is mandatory</v>
      </c>
      <c r="I1515" t="s">
        <v>33308</v>
      </c>
      <c r="J1515" t="b">
        <f>IF(OR(INDEX(OHZ_HAZ_DGCLASSIFI,8,1)="IMDG",),AND(INDEX(OHZ_HAZ_IMOHAZARDC,8,1)&lt;&gt;"",INDEX(OHZ_HAZ_UNNUMBER,8,1)&lt;&gt;""),TRUE)</f>
        <v>1</v>
      </c>
      <c r="K1515" t="str">
        <f t="shared" si="50"/>
        <v>Row 8 - If ‘DG classification’ is ‘IMDG’ the ‘IMO Hazard Class’ and ‘UN Number’ is mandatory</v>
      </c>
      <c r="L1515" t="s">
        <v>33308</v>
      </c>
    </row>
    <row r="1516" spans="7:12" x14ac:dyDescent="0.2">
      <c r="G1516" t="b">
        <f>IF(OR(INDEX(IHZ_HAZ_DGCLASSIFI,9,1)="IMDG",),AND(INDEX(IHZ_HAZ_IMOHAZARDC,9,1)&lt;&gt;"",INDEX(IHZ_HAZ_UNNUMBER,9,1)&lt;&gt;""),TRUE)</f>
        <v>1</v>
      </c>
      <c r="H1516" t="str">
        <f t="shared" si="49"/>
        <v>Row 9 - If ‘DG classification’ is ‘IMDG’ the ‘IMO Hazard Class’ and ‘UN Number’ is mandatory</v>
      </c>
      <c r="I1516" t="s">
        <v>33308</v>
      </c>
      <c r="J1516" t="b">
        <f>IF(OR(INDEX(OHZ_HAZ_DGCLASSIFI,9,1)="IMDG",),AND(INDEX(OHZ_HAZ_IMOHAZARDC,9,1)&lt;&gt;"",INDEX(OHZ_HAZ_UNNUMBER,9,1)&lt;&gt;""),TRUE)</f>
        <v>1</v>
      </c>
      <c r="K1516" t="str">
        <f t="shared" si="50"/>
        <v>Row 9 - If ‘DG classification’ is ‘IMDG’ the ‘IMO Hazard Class’ and ‘UN Number’ is mandatory</v>
      </c>
      <c r="L1516" t="s">
        <v>33308</v>
      </c>
    </row>
    <row r="1517" spans="7:12" x14ac:dyDescent="0.2">
      <c r="G1517" t="b">
        <f>IF(OR(INDEX(IHZ_HAZ_DGCLASSIFI,10,1)="IMDG",),AND(INDEX(IHZ_HAZ_IMOHAZARDC,10,1)&lt;&gt;"",INDEX(IHZ_HAZ_UNNUMBER,10,1)&lt;&gt;""),TRUE)</f>
        <v>1</v>
      </c>
      <c r="H1517" t="str">
        <f t="shared" si="49"/>
        <v>Row 10 - If ‘DG classification’ is ‘IMDG’ the ‘IMO Hazard Class’ and ‘UN Number’ is mandatory</v>
      </c>
      <c r="I1517" t="s">
        <v>33308</v>
      </c>
      <c r="J1517" t="b">
        <f>IF(OR(INDEX(OHZ_HAZ_DGCLASSIFI,10,1)="IMDG",),AND(INDEX(OHZ_HAZ_IMOHAZARDC,10,1)&lt;&gt;"",INDEX(OHZ_HAZ_UNNUMBER,10,1)&lt;&gt;""),TRUE)</f>
        <v>1</v>
      </c>
      <c r="K1517" t="str">
        <f t="shared" si="50"/>
        <v>Row 10 - If ‘DG classification’ is ‘IMDG’ the ‘IMO Hazard Class’ and ‘UN Number’ is mandatory</v>
      </c>
      <c r="L1517" t="s">
        <v>33308</v>
      </c>
    </row>
    <row r="1518" spans="7:12" x14ac:dyDescent="0.2">
      <c r="G1518" t="b">
        <f>IF(OR(INDEX(IHZ_HAZ_DGCLASSIFI,11,1)="IMDG",),AND(INDEX(IHZ_HAZ_IMOHAZARDC,11,1)&lt;&gt;"",INDEX(IHZ_HAZ_UNNUMBER,11,1)&lt;&gt;""),TRUE)</f>
        <v>1</v>
      </c>
      <c r="H1518" t="str">
        <f t="shared" si="49"/>
        <v>Row 11 - If ‘DG classification’ is ‘IMDG’ the ‘IMO Hazard Class’ and ‘UN Number’ is mandatory</v>
      </c>
      <c r="I1518" t="s">
        <v>33308</v>
      </c>
      <c r="J1518" t="b">
        <f>IF(OR(INDEX(OHZ_HAZ_DGCLASSIFI,11,1)="IMDG",),AND(INDEX(OHZ_HAZ_IMOHAZARDC,11,1)&lt;&gt;"",INDEX(OHZ_HAZ_UNNUMBER,11,1)&lt;&gt;""),TRUE)</f>
        <v>1</v>
      </c>
      <c r="K1518" t="str">
        <f t="shared" si="50"/>
        <v>Row 11 - If ‘DG classification’ is ‘IMDG’ the ‘IMO Hazard Class’ and ‘UN Number’ is mandatory</v>
      </c>
      <c r="L1518" t="s">
        <v>33308</v>
      </c>
    </row>
    <row r="1519" spans="7:12" x14ac:dyDescent="0.2">
      <c r="G1519" t="b">
        <f>IF(OR(INDEX(IHZ_HAZ_DGCLASSIFI,12,1)="IMDG",),AND(INDEX(IHZ_HAZ_IMOHAZARDC,12,1)&lt;&gt;"",INDEX(IHZ_HAZ_UNNUMBER,12,1)&lt;&gt;""),TRUE)</f>
        <v>1</v>
      </c>
      <c r="H1519" t="str">
        <f t="shared" si="49"/>
        <v>Row 12 - If ‘DG classification’ is ‘IMDG’ the ‘IMO Hazard Class’ and ‘UN Number’ is mandatory</v>
      </c>
      <c r="I1519" t="s">
        <v>33308</v>
      </c>
      <c r="J1519" t="b">
        <f>IF(OR(INDEX(OHZ_HAZ_DGCLASSIFI,12,1)="IMDG",),AND(INDEX(OHZ_HAZ_IMOHAZARDC,12,1)&lt;&gt;"",INDEX(OHZ_HAZ_UNNUMBER,12,1)&lt;&gt;""),TRUE)</f>
        <v>1</v>
      </c>
      <c r="K1519" t="str">
        <f t="shared" si="50"/>
        <v>Row 12 - If ‘DG classification’ is ‘IMDG’ the ‘IMO Hazard Class’ and ‘UN Number’ is mandatory</v>
      </c>
      <c r="L1519" t="s">
        <v>33308</v>
      </c>
    </row>
    <row r="1520" spans="7:12" x14ac:dyDescent="0.2">
      <c r="G1520" t="b">
        <f>IF(OR(INDEX(IHZ_HAZ_DGCLASSIFI,13,1)="IMDG",),AND(INDEX(IHZ_HAZ_IMOHAZARDC,13,1)&lt;&gt;"",INDEX(IHZ_HAZ_UNNUMBER,13,1)&lt;&gt;""),TRUE)</f>
        <v>1</v>
      </c>
      <c r="H1520" t="str">
        <f t="shared" si="49"/>
        <v>Row 13 - If ‘DG classification’ is ‘IMDG’ the ‘IMO Hazard Class’ and ‘UN Number’ is mandatory</v>
      </c>
      <c r="I1520" t="s">
        <v>33308</v>
      </c>
      <c r="J1520" t="b">
        <f>IF(OR(INDEX(OHZ_HAZ_DGCLASSIFI,13,1)="IMDG",),AND(INDEX(OHZ_HAZ_IMOHAZARDC,13,1)&lt;&gt;"",INDEX(OHZ_HAZ_UNNUMBER,13,1)&lt;&gt;""),TRUE)</f>
        <v>1</v>
      </c>
      <c r="K1520" t="str">
        <f t="shared" si="50"/>
        <v>Row 13 - If ‘DG classification’ is ‘IMDG’ the ‘IMO Hazard Class’ and ‘UN Number’ is mandatory</v>
      </c>
      <c r="L1520" t="s">
        <v>33308</v>
      </c>
    </row>
    <row r="1521" spans="7:12" x14ac:dyDescent="0.2">
      <c r="G1521" t="b">
        <f>IF(OR(INDEX(IHZ_HAZ_DGCLASSIFI,14,1)="IMDG",),AND(INDEX(IHZ_HAZ_IMOHAZARDC,14,1)&lt;&gt;"",INDEX(IHZ_HAZ_UNNUMBER,14,1)&lt;&gt;""),TRUE)</f>
        <v>1</v>
      </c>
      <c r="H1521" t="str">
        <f t="shared" si="49"/>
        <v>Row 14 - If ‘DG classification’ is ‘IMDG’ the ‘IMO Hazard Class’ and ‘UN Number’ is mandatory</v>
      </c>
      <c r="I1521" t="s">
        <v>33308</v>
      </c>
      <c r="J1521" t="b">
        <f>IF(OR(INDEX(OHZ_HAZ_DGCLASSIFI,14,1)="IMDG",),AND(INDEX(OHZ_HAZ_IMOHAZARDC,14,1)&lt;&gt;"",INDEX(OHZ_HAZ_UNNUMBER,14,1)&lt;&gt;""),TRUE)</f>
        <v>1</v>
      </c>
      <c r="K1521" t="str">
        <f t="shared" si="50"/>
        <v>Row 14 - If ‘DG classification’ is ‘IMDG’ the ‘IMO Hazard Class’ and ‘UN Number’ is mandatory</v>
      </c>
      <c r="L1521" t="s">
        <v>33308</v>
      </c>
    </row>
    <row r="1522" spans="7:12" x14ac:dyDescent="0.2">
      <c r="G1522" t="b">
        <f>IF(OR(INDEX(IHZ_HAZ_DGCLASSIFI,15,1)="IMDG",),AND(INDEX(IHZ_HAZ_IMOHAZARDC,15,1)&lt;&gt;"",INDEX(IHZ_HAZ_UNNUMBER,15,1)&lt;&gt;""),TRUE)</f>
        <v>1</v>
      </c>
      <c r="H1522" t="str">
        <f t="shared" si="49"/>
        <v>Row 15 - If ‘DG classification’ is ‘IMDG’ the ‘IMO Hazard Class’ and ‘UN Number’ is mandatory</v>
      </c>
      <c r="I1522" t="s">
        <v>33308</v>
      </c>
      <c r="J1522" t="b">
        <f>IF(OR(INDEX(OHZ_HAZ_DGCLASSIFI,15,1)="IMDG",),AND(INDEX(OHZ_HAZ_IMOHAZARDC,15,1)&lt;&gt;"",INDEX(OHZ_HAZ_UNNUMBER,15,1)&lt;&gt;""),TRUE)</f>
        <v>1</v>
      </c>
      <c r="K1522" t="str">
        <f t="shared" si="50"/>
        <v>Row 15 - If ‘DG classification’ is ‘IMDG’ the ‘IMO Hazard Class’ and ‘UN Number’ is mandatory</v>
      </c>
      <c r="L1522" t="s">
        <v>33308</v>
      </c>
    </row>
    <row r="1523" spans="7:12" x14ac:dyDescent="0.2">
      <c r="G1523" t="b">
        <f>IF(OR(INDEX(IHZ_HAZ_DGCLASSIFI,16,1)="IMDG",),AND(INDEX(IHZ_HAZ_IMOHAZARDC,16,1)&lt;&gt;"",INDEX(IHZ_HAZ_UNNUMBER,16,1)&lt;&gt;""),TRUE)</f>
        <v>1</v>
      </c>
      <c r="H1523" t="str">
        <f t="shared" si="49"/>
        <v>Row 16 - If ‘DG classification’ is ‘IMDG’ the ‘IMO Hazard Class’ and ‘UN Number’ is mandatory</v>
      </c>
      <c r="I1523" t="s">
        <v>33308</v>
      </c>
      <c r="J1523" t="b">
        <f>IF(OR(INDEX(OHZ_HAZ_DGCLASSIFI,16,1)="IMDG",),AND(INDEX(OHZ_HAZ_IMOHAZARDC,16,1)&lt;&gt;"",INDEX(OHZ_HAZ_UNNUMBER,16,1)&lt;&gt;""),TRUE)</f>
        <v>1</v>
      </c>
      <c r="K1523" t="str">
        <f t="shared" si="50"/>
        <v>Row 16 - If ‘DG classification’ is ‘IMDG’ the ‘IMO Hazard Class’ and ‘UN Number’ is mandatory</v>
      </c>
      <c r="L1523" t="s">
        <v>33308</v>
      </c>
    </row>
    <row r="1524" spans="7:12" x14ac:dyDescent="0.2">
      <c r="G1524" t="b">
        <f>IF(OR(INDEX(IHZ_HAZ_DGCLASSIFI,17,1)="IMDG",),AND(INDEX(IHZ_HAZ_IMOHAZARDC,17,1)&lt;&gt;"",INDEX(IHZ_HAZ_UNNUMBER,17,1)&lt;&gt;""),TRUE)</f>
        <v>1</v>
      </c>
      <c r="H1524" t="str">
        <f t="shared" si="49"/>
        <v>Row 17 - If ‘DG classification’ is ‘IMDG’ the ‘IMO Hazard Class’ and ‘UN Number’ is mandatory</v>
      </c>
      <c r="I1524" t="s">
        <v>33308</v>
      </c>
      <c r="J1524" t="b">
        <f>IF(OR(INDEX(OHZ_HAZ_DGCLASSIFI,17,1)="IMDG",),AND(INDEX(OHZ_HAZ_IMOHAZARDC,17,1)&lt;&gt;"",INDEX(OHZ_HAZ_UNNUMBER,17,1)&lt;&gt;""),TRUE)</f>
        <v>1</v>
      </c>
      <c r="K1524" t="str">
        <f t="shared" si="50"/>
        <v>Row 17 - If ‘DG classification’ is ‘IMDG’ the ‘IMO Hazard Class’ and ‘UN Number’ is mandatory</v>
      </c>
      <c r="L1524" t="s">
        <v>33308</v>
      </c>
    </row>
    <row r="1525" spans="7:12" x14ac:dyDescent="0.2">
      <c r="G1525" t="b">
        <f>IF(OR(INDEX(IHZ_HAZ_DGCLASSIFI,18,1)="IMDG",),AND(INDEX(IHZ_HAZ_IMOHAZARDC,18,1)&lt;&gt;"",INDEX(IHZ_HAZ_UNNUMBER,18,1)&lt;&gt;""),TRUE)</f>
        <v>1</v>
      </c>
      <c r="H1525" t="str">
        <f t="shared" si="49"/>
        <v>Row 18 - If ‘DG classification’ is ‘IMDG’ the ‘IMO Hazard Class’ and ‘UN Number’ is mandatory</v>
      </c>
      <c r="I1525" t="s">
        <v>33308</v>
      </c>
      <c r="J1525" t="b">
        <f>IF(OR(INDEX(OHZ_HAZ_DGCLASSIFI,18,1)="IMDG",),AND(INDEX(OHZ_HAZ_IMOHAZARDC,18,1)&lt;&gt;"",INDEX(OHZ_HAZ_UNNUMBER,18,1)&lt;&gt;""),TRUE)</f>
        <v>1</v>
      </c>
      <c r="K1525" t="str">
        <f t="shared" si="50"/>
        <v>Row 18 - If ‘DG classification’ is ‘IMDG’ the ‘IMO Hazard Class’ and ‘UN Number’ is mandatory</v>
      </c>
      <c r="L1525" t="s">
        <v>33308</v>
      </c>
    </row>
    <row r="1526" spans="7:12" x14ac:dyDescent="0.2">
      <c r="G1526" t="b">
        <f>IF(OR(INDEX(IHZ_HAZ_DGCLASSIFI,19,1)="IMDG",),AND(INDEX(IHZ_HAZ_IMOHAZARDC,19,1)&lt;&gt;"",INDEX(IHZ_HAZ_UNNUMBER,19,1)&lt;&gt;""),TRUE)</f>
        <v>1</v>
      </c>
      <c r="H1526" t="str">
        <f t="shared" si="49"/>
        <v>Row 19 - If ‘DG classification’ is ‘IMDG’ the ‘IMO Hazard Class’ and ‘UN Number’ is mandatory</v>
      </c>
      <c r="I1526" t="s">
        <v>33308</v>
      </c>
      <c r="J1526" t="b">
        <f>IF(OR(INDEX(OHZ_HAZ_DGCLASSIFI,19,1)="IMDG",),AND(INDEX(OHZ_HAZ_IMOHAZARDC,19,1)&lt;&gt;"",INDEX(OHZ_HAZ_UNNUMBER,19,1)&lt;&gt;""),TRUE)</f>
        <v>1</v>
      </c>
      <c r="K1526" t="str">
        <f t="shared" si="50"/>
        <v>Row 19 - If ‘DG classification’ is ‘IMDG’ the ‘IMO Hazard Class’ and ‘UN Number’ is mandatory</v>
      </c>
      <c r="L1526" t="s">
        <v>33308</v>
      </c>
    </row>
    <row r="1527" spans="7:12" x14ac:dyDescent="0.2">
      <c r="G1527" t="b">
        <f>IF(OR(INDEX(IHZ_HAZ_DGCLASSIFI,20,1)="IMDG",),AND(INDEX(IHZ_HAZ_IMOHAZARDC,20,1)&lt;&gt;"",INDEX(IHZ_HAZ_UNNUMBER,20,1)&lt;&gt;""),TRUE)</f>
        <v>1</v>
      </c>
      <c r="H1527" t="str">
        <f t="shared" si="49"/>
        <v>Row 20 - If ‘DG classification’ is ‘IMDG’ the ‘IMO Hazard Class’ and ‘UN Number’ is mandatory</v>
      </c>
      <c r="I1527" t="s">
        <v>33308</v>
      </c>
      <c r="J1527" t="b">
        <f>IF(OR(INDEX(OHZ_HAZ_DGCLASSIFI,20,1)="IMDG",),AND(INDEX(OHZ_HAZ_IMOHAZARDC,20,1)&lt;&gt;"",INDEX(OHZ_HAZ_UNNUMBER,20,1)&lt;&gt;""),TRUE)</f>
        <v>1</v>
      </c>
      <c r="K1527" t="str">
        <f t="shared" si="50"/>
        <v>Row 20 - If ‘DG classification’ is ‘IMDG’ the ‘IMO Hazard Class’ and ‘UN Number’ is mandatory</v>
      </c>
      <c r="L1527" t="s">
        <v>33308</v>
      </c>
    </row>
    <row r="1528" spans="7:12" x14ac:dyDescent="0.2">
      <c r="G1528" t="b">
        <f>IF(OR(INDEX(IHZ_HAZ_DGCLASSIFI,21,1)="IMDG",),AND(INDEX(IHZ_HAZ_IMOHAZARDC,21,1)&lt;&gt;"",INDEX(IHZ_HAZ_UNNUMBER,21,1)&lt;&gt;""),TRUE)</f>
        <v>1</v>
      </c>
      <c r="H1528" t="str">
        <f t="shared" si="49"/>
        <v>Row 21 - If ‘DG classification’ is ‘IMDG’ the ‘IMO Hazard Class’ and ‘UN Number’ is mandatory</v>
      </c>
      <c r="I1528" t="s">
        <v>33308</v>
      </c>
      <c r="J1528" t="b">
        <f>IF(OR(INDEX(OHZ_HAZ_DGCLASSIFI,21,1)="IMDG",),AND(INDEX(OHZ_HAZ_IMOHAZARDC,21,1)&lt;&gt;"",INDEX(OHZ_HAZ_UNNUMBER,21,1)&lt;&gt;""),TRUE)</f>
        <v>1</v>
      </c>
      <c r="K1528" t="str">
        <f t="shared" si="50"/>
        <v>Row 21 - If ‘DG classification’ is ‘IMDG’ the ‘IMO Hazard Class’ and ‘UN Number’ is mandatory</v>
      </c>
      <c r="L1528" t="s">
        <v>33308</v>
      </c>
    </row>
    <row r="1529" spans="7:12" x14ac:dyDescent="0.2">
      <c r="G1529" t="b">
        <f>IF(OR(INDEX(IHZ_HAZ_DGCLASSIFI,22,1)="IMDG",),AND(INDEX(IHZ_HAZ_IMOHAZARDC,22,1)&lt;&gt;"",INDEX(IHZ_HAZ_UNNUMBER,22,1)&lt;&gt;""),TRUE)</f>
        <v>1</v>
      </c>
      <c r="H1529" t="str">
        <f t="shared" si="49"/>
        <v>Row 22 - If ‘DG classification’ is ‘IMDG’ the ‘IMO Hazard Class’ and ‘UN Number’ is mandatory</v>
      </c>
      <c r="I1529" t="s">
        <v>33308</v>
      </c>
      <c r="J1529" t="b">
        <f>IF(OR(INDEX(OHZ_HAZ_DGCLASSIFI,22,1)="IMDG",),AND(INDEX(OHZ_HAZ_IMOHAZARDC,22,1)&lt;&gt;"",INDEX(OHZ_HAZ_UNNUMBER,22,1)&lt;&gt;""),TRUE)</f>
        <v>1</v>
      </c>
      <c r="K1529" t="str">
        <f t="shared" si="50"/>
        <v>Row 22 - If ‘DG classification’ is ‘IMDG’ the ‘IMO Hazard Class’ and ‘UN Number’ is mandatory</v>
      </c>
      <c r="L1529" t="s">
        <v>33308</v>
      </c>
    </row>
    <row r="1530" spans="7:12" x14ac:dyDescent="0.2">
      <c r="G1530" t="b">
        <f>IF(OR(INDEX(IHZ_HAZ_DGCLASSIFI,23,1)="IMDG",),AND(INDEX(IHZ_HAZ_IMOHAZARDC,23,1)&lt;&gt;"",INDEX(IHZ_HAZ_UNNUMBER,23,1)&lt;&gt;""),TRUE)</f>
        <v>1</v>
      </c>
      <c r="H1530" t="str">
        <f t="shared" si="49"/>
        <v>Row 23 - If ‘DG classification’ is ‘IMDG’ the ‘IMO Hazard Class’ and ‘UN Number’ is mandatory</v>
      </c>
      <c r="I1530" t="s">
        <v>33308</v>
      </c>
      <c r="J1530" t="b">
        <f>IF(OR(INDEX(OHZ_HAZ_DGCLASSIFI,23,1)="IMDG",),AND(INDEX(OHZ_HAZ_IMOHAZARDC,23,1)&lt;&gt;"",INDEX(OHZ_HAZ_UNNUMBER,23,1)&lt;&gt;""),TRUE)</f>
        <v>1</v>
      </c>
      <c r="K1530" t="str">
        <f t="shared" si="50"/>
        <v>Row 23 - If ‘DG classification’ is ‘IMDG’ the ‘IMO Hazard Class’ and ‘UN Number’ is mandatory</v>
      </c>
      <c r="L1530" t="s">
        <v>33308</v>
      </c>
    </row>
    <row r="1531" spans="7:12" x14ac:dyDescent="0.2">
      <c r="G1531" t="b">
        <f>IF(OR(INDEX(IHZ_HAZ_DGCLASSIFI,24,1)="IMDG",),AND(INDEX(IHZ_HAZ_IMOHAZARDC,24,1)&lt;&gt;"",INDEX(IHZ_HAZ_UNNUMBER,24,1)&lt;&gt;""),TRUE)</f>
        <v>1</v>
      </c>
      <c r="H1531" t="str">
        <f t="shared" si="49"/>
        <v>Row 24 - If ‘DG classification’ is ‘IMDG’ the ‘IMO Hazard Class’ and ‘UN Number’ is mandatory</v>
      </c>
      <c r="I1531" t="s">
        <v>33308</v>
      </c>
      <c r="J1531" t="b">
        <f>IF(OR(INDEX(OHZ_HAZ_DGCLASSIFI,24,1)="IMDG",),AND(INDEX(OHZ_HAZ_IMOHAZARDC,24,1)&lt;&gt;"",INDEX(OHZ_HAZ_UNNUMBER,24,1)&lt;&gt;""),TRUE)</f>
        <v>1</v>
      </c>
      <c r="K1531" t="str">
        <f t="shared" si="50"/>
        <v>Row 24 - If ‘DG classification’ is ‘IMDG’ the ‘IMO Hazard Class’ and ‘UN Number’ is mandatory</v>
      </c>
      <c r="L1531" t="s">
        <v>33308</v>
      </c>
    </row>
    <row r="1532" spans="7:12" x14ac:dyDescent="0.2">
      <c r="G1532" t="b">
        <f>IF(OR(INDEX(IHZ_HAZ_DGCLASSIFI,25,1)="IMDG",),AND(INDEX(IHZ_HAZ_IMOHAZARDC,25,1)&lt;&gt;"",INDEX(IHZ_HAZ_UNNUMBER,25,1)&lt;&gt;""),TRUE)</f>
        <v>1</v>
      </c>
      <c r="H1532" t="str">
        <f t="shared" si="49"/>
        <v>Row 25 - If ‘DG classification’ is ‘IMDG’ the ‘IMO Hazard Class’ and ‘UN Number’ is mandatory</v>
      </c>
      <c r="I1532" t="s">
        <v>33308</v>
      </c>
      <c r="J1532" t="b">
        <f>IF(OR(INDEX(OHZ_HAZ_DGCLASSIFI,25,1)="IMDG",),AND(INDEX(OHZ_HAZ_IMOHAZARDC,25,1)&lt;&gt;"",INDEX(OHZ_HAZ_UNNUMBER,25,1)&lt;&gt;""),TRUE)</f>
        <v>1</v>
      </c>
      <c r="K1532" t="str">
        <f t="shared" si="50"/>
        <v>Row 25 - If ‘DG classification’ is ‘IMDG’ the ‘IMO Hazard Class’ and ‘UN Number’ is mandatory</v>
      </c>
      <c r="L1532" t="s">
        <v>33308</v>
      </c>
    </row>
    <row r="1533" spans="7:12" x14ac:dyDescent="0.2">
      <c r="G1533" t="b">
        <f>IF(OR(INDEX(IHZ_HAZ_DGCLASSIFI,26,1)="IMDG",),AND(INDEX(IHZ_HAZ_IMOHAZARDC,26,1)&lt;&gt;"",INDEX(IHZ_HAZ_UNNUMBER,26,1)&lt;&gt;""),TRUE)</f>
        <v>1</v>
      </c>
      <c r="H1533" t="str">
        <f t="shared" si="49"/>
        <v>Row 26 - If ‘DG classification’ is ‘IMDG’ the ‘IMO Hazard Class’ and ‘UN Number’ is mandatory</v>
      </c>
      <c r="I1533" t="s">
        <v>33308</v>
      </c>
      <c r="J1533" t="b">
        <f>IF(OR(INDEX(OHZ_HAZ_DGCLASSIFI,26,1)="IMDG",),AND(INDEX(OHZ_HAZ_IMOHAZARDC,26,1)&lt;&gt;"",INDEX(OHZ_HAZ_UNNUMBER,26,1)&lt;&gt;""),TRUE)</f>
        <v>1</v>
      </c>
      <c r="K1533" t="str">
        <f t="shared" si="50"/>
        <v>Row 26 - If ‘DG classification’ is ‘IMDG’ the ‘IMO Hazard Class’ and ‘UN Number’ is mandatory</v>
      </c>
      <c r="L1533" t="s">
        <v>33308</v>
      </c>
    </row>
    <row r="1534" spans="7:12" x14ac:dyDescent="0.2">
      <c r="G1534" t="b">
        <f>IF(OR(INDEX(IHZ_HAZ_DGCLASSIFI,27,1)="IMDG",),AND(INDEX(IHZ_HAZ_IMOHAZARDC,27,1)&lt;&gt;"",INDEX(IHZ_HAZ_UNNUMBER,27,1)&lt;&gt;""),TRUE)</f>
        <v>1</v>
      </c>
      <c r="H1534" t="str">
        <f t="shared" si="49"/>
        <v>Row 27 - If ‘DG classification’ is ‘IMDG’ the ‘IMO Hazard Class’ and ‘UN Number’ is mandatory</v>
      </c>
      <c r="I1534" t="s">
        <v>33308</v>
      </c>
      <c r="J1534" t="b">
        <f>IF(OR(INDEX(OHZ_HAZ_DGCLASSIFI,27,1)="IMDG",),AND(INDEX(OHZ_HAZ_IMOHAZARDC,27,1)&lt;&gt;"",INDEX(OHZ_HAZ_UNNUMBER,27,1)&lt;&gt;""),TRUE)</f>
        <v>1</v>
      </c>
      <c r="K1534" t="str">
        <f t="shared" si="50"/>
        <v>Row 27 - If ‘DG classification’ is ‘IMDG’ the ‘IMO Hazard Class’ and ‘UN Number’ is mandatory</v>
      </c>
      <c r="L1534" t="s">
        <v>33308</v>
      </c>
    </row>
    <row r="1535" spans="7:12" x14ac:dyDescent="0.2">
      <c r="G1535" t="b">
        <f>IF(OR(INDEX(IHZ_HAZ_DGCLASSIFI,28,1)="IMDG",),AND(INDEX(IHZ_HAZ_IMOHAZARDC,28,1)&lt;&gt;"",INDEX(IHZ_HAZ_UNNUMBER,28,1)&lt;&gt;""),TRUE)</f>
        <v>1</v>
      </c>
      <c r="H1535" t="str">
        <f t="shared" si="49"/>
        <v>Row 28 - If ‘DG classification’ is ‘IMDG’ the ‘IMO Hazard Class’ and ‘UN Number’ is mandatory</v>
      </c>
      <c r="I1535" t="s">
        <v>33308</v>
      </c>
      <c r="J1535" t="b">
        <f>IF(OR(INDEX(OHZ_HAZ_DGCLASSIFI,28,1)="IMDG",),AND(INDEX(OHZ_HAZ_IMOHAZARDC,28,1)&lt;&gt;"",INDEX(OHZ_HAZ_UNNUMBER,28,1)&lt;&gt;""),TRUE)</f>
        <v>1</v>
      </c>
      <c r="K1535" t="str">
        <f t="shared" si="50"/>
        <v>Row 28 - If ‘DG classification’ is ‘IMDG’ the ‘IMO Hazard Class’ and ‘UN Number’ is mandatory</v>
      </c>
      <c r="L1535" t="s">
        <v>33308</v>
      </c>
    </row>
    <row r="1536" spans="7:12" x14ac:dyDescent="0.2">
      <c r="G1536" t="b">
        <f>IF(OR(INDEX(IHZ_HAZ_DGCLASSIFI,29,1)="IMDG",),AND(INDEX(IHZ_HAZ_IMOHAZARDC,29,1)&lt;&gt;"",INDEX(IHZ_HAZ_UNNUMBER,29,1)&lt;&gt;""),TRUE)</f>
        <v>1</v>
      </c>
      <c r="H1536" t="str">
        <f t="shared" si="49"/>
        <v>Row 29 - If ‘DG classification’ is ‘IMDG’ the ‘IMO Hazard Class’ and ‘UN Number’ is mandatory</v>
      </c>
      <c r="I1536" t="s">
        <v>33308</v>
      </c>
      <c r="J1536" t="b">
        <f>IF(OR(INDEX(OHZ_HAZ_DGCLASSIFI,29,1)="IMDG",),AND(INDEX(OHZ_HAZ_IMOHAZARDC,29,1)&lt;&gt;"",INDEX(OHZ_HAZ_UNNUMBER,29,1)&lt;&gt;""),TRUE)</f>
        <v>1</v>
      </c>
      <c r="K1536" t="str">
        <f t="shared" si="50"/>
        <v>Row 29 - If ‘DG classification’ is ‘IMDG’ the ‘IMO Hazard Class’ and ‘UN Number’ is mandatory</v>
      </c>
      <c r="L1536" t="s">
        <v>33308</v>
      </c>
    </row>
    <row r="1537" spans="7:12" x14ac:dyDescent="0.2">
      <c r="G1537" t="b">
        <f>IF(OR(INDEX(IHZ_HAZ_DGCLASSIFI,30,1)="IMDG",),AND(INDEX(IHZ_HAZ_IMOHAZARDC,30,1)&lt;&gt;"",INDEX(IHZ_HAZ_UNNUMBER,30,1)&lt;&gt;""),TRUE)</f>
        <v>1</v>
      </c>
      <c r="H1537" t="str">
        <f t="shared" si="49"/>
        <v>Row 30 - If ‘DG classification’ is ‘IMDG’ the ‘IMO Hazard Class’ and ‘UN Number’ is mandatory</v>
      </c>
      <c r="I1537" t="s">
        <v>33308</v>
      </c>
      <c r="J1537" t="b">
        <f>IF(OR(INDEX(OHZ_HAZ_DGCLASSIFI,30,1)="IMDG",),AND(INDEX(OHZ_HAZ_IMOHAZARDC,30,1)&lt;&gt;"",INDEX(OHZ_HAZ_UNNUMBER,30,1)&lt;&gt;""),TRUE)</f>
        <v>1</v>
      </c>
      <c r="K1537" t="str">
        <f t="shared" si="50"/>
        <v>Row 30 - If ‘DG classification’ is ‘IMDG’ the ‘IMO Hazard Class’ and ‘UN Number’ is mandatory</v>
      </c>
      <c r="L1537" t="s">
        <v>33308</v>
      </c>
    </row>
    <row r="1538" spans="7:12" x14ac:dyDescent="0.2">
      <c r="G1538" t="b">
        <f>IF(OR(INDEX(IHZ_HAZ_DGCLASSIFI,31,1)="IMDG",),AND(INDEX(IHZ_HAZ_IMOHAZARDC,31,1)&lt;&gt;"",INDEX(IHZ_HAZ_UNNUMBER,31,1)&lt;&gt;""),TRUE)</f>
        <v>1</v>
      </c>
      <c r="H1538" t="str">
        <f t="shared" si="49"/>
        <v>Row 31 - If ‘DG classification’ is ‘IMDG’ the ‘IMO Hazard Class’ and ‘UN Number’ is mandatory</v>
      </c>
      <c r="I1538" t="s">
        <v>33308</v>
      </c>
      <c r="J1538" t="b">
        <f>IF(OR(INDEX(OHZ_HAZ_DGCLASSIFI,31,1)="IMDG",),AND(INDEX(OHZ_HAZ_IMOHAZARDC,31,1)&lt;&gt;"",INDEX(OHZ_HAZ_UNNUMBER,31,1)&lt;&gt;""),TRUE)</f>
        <v>1</v>
      </c>
      <c r="K1538" t="str">
        <f t="shared" si="50"/>
        <v>Row 31 - If ‘DG classification’ is ‘IMDG’ the ‘IMO Hazard Class’ and ‘UN Number’ is mandatory</v>
      </c>
      <c r="L1538" t="s">
        <v>33308</v>
      </c>
    </row>
    <row r="1539" spans="7:12" x14ac:dyDescent="0.2">
      <c r="G1539" t="b">
        <f>IF(OR(INDEX(IHZ_HAZ_DGCLASSIFI,32,1)="IMDG",),AND(INDEX(IHZ_HAZ_IMOHAZARDC,32,1)&lt;&gt;"",INDEX(IHZ_HAZ_UNNUMBER,32,1)&lt;&gt;""),TRUE)</f>
        <v>1</v>
      </c>
      <c r="H1539" t="str">
        <f t="shared" si="49"/>
        <v>Row 32 - If ‘DG classification’ is ‘IMDG’ the ‘IMO Hazard Class’ and ‘UN Number’ is mandatory</v>
      </c>
      <c r="I1539" t="s">
        <v>33308</v>
      </c>
      <c r="J1539" t="b">
        <f>IF(OR(INDEX(OHZ_HAZ_DGCLASSIFI,32,1)="IMDG",),AND(INDEX(OHZ_HAZ_IMOHAZARDC,32,1)&lt;&gt;"",INDEX(OHZ_HAZ_UNNUMBER,32,1)&lt;&gt;""),TRUE)</f>
        <v>1</v>
      </c>
      <c r="K1539" t="str">
        <f t="shared" si="50"/>
        <v>Row 32 - If ‘DG classification’ is ‘IMDG’ the ‘IMO Hazard Class’ and ‘UN Number’ is mandatory</v>
      </c>
      <c r="L1539" t="s">
        <v>33308</v>
      </c>
    </row>
    <row r="1540" spans="7:12" x14ac:dyDescent="0.2">
      <c r="G1540" t="b">
        <f>IF(OR(INDEX(IHZ_HAZ_DGCLASSIFI,33,1)="IMDG",),AND(INDEX(IHZ_HAZ_IMOHAZARDC,33,1)&lt;&gt;"",INDEX(IHZ_HAZ_UNNUMBER,33,1)&lt;&gt;""),TRUE)</f>
        <v>1</v>
      </c>
      <c r="H1540" t="str">
        <f t="shared" si="49"/>
        <v>Row 33 - If ‘DG classification’ is ‘IMDG’ the ‘IMO Hazard Class’ and ‘UN Number’ is mandatory</v>
      </c>
      <c r="I1540" t="s">
        <v>33308</v>
      </c>
      <c r="J1540" t="b">
        <f>IF(OR(INDEX(OHZ_HAZ_DGCLASSIFI,33,1)="IMDG",),AND(INDEX(OHZ_HAZ_IMOHAZARDC,33,1)&lt;&gt;"",INDEX(OHZ_HAZ_UNNUMBER,33,1)&lt;&gt;""),TRUE)</f>
        <v>1</v>
      </c>
      <c r="K1540" t="str">
        <f t="shared" si="50"/>
        <v>Row 33 - If ‘DG classification’ is ‘IMDG’ the ‘IMO Hazard Class’ and ‘UN Number’ is mandatory</v>
      </c>
      <c r="L1540" t="s">
        <v>33308</v>
      </c>
    </row>
    <row r="1541" spans="7:12" x14ac:dyDescent="0.2">
      <c r="G1541" t="b">
        <f>IF(OR(INDEX(IHZ_HAZ_DGCLASSIFI,34,1)="IMDG",),AND(INDEX(IHZ_HAZ_IMOHAZARDC,34,1)&lt;&gt;"",INDEX(IHZ_HAZ_UNNUMBER,34,1)&lt;&gt;""),TRUE)</f>
        <v>1</v>
      </c>
      <c r="H1541" t="str">
        <f t="shared" si="49"/>
        <v>Row 34 - If ‘DG classification’ is ‘IMDG’ the ‘IMO Hazard Class’ and ‘UN Number’ is mandatory</v>
      </c>
      <c r="I1541" t="s">
        <v>33308</v>
      </c>
      <c r="J1541" t="b">
        <f>IF(OR(INDEX(OHZ_HAZ_DGCLASSIFI,34,1)="IMDG",),AND(INDEX(OHZ_HAZ_IMOHAZARDC,34,1)&lt;&gt;"",INDEX(OHZ_HAZ_UNNUMBER,34,1)&lt;&gt;""),TRUE)</f>
        <v>1</v>
      </c>
      <c r="K1541" t="str">
        <f t="shared" si="50"/>
        <v>Row 34 - If ‘DG classification’ is ‘IMDG’ the ‘IMO Hazard Class’ and ‘UN Number’ is mandatory</v>
      </c>
      <c r="L1541" t="s">
        <v>33308</v>
      </c>
    </row>
    <row r="1542" spans="7:12" x14ac:dyDescent="0.2">
      <c r="G1542" t="b">
        <f>IF(OR(INDEX(IHZ_HAZ_DGCLASSIFI,35,1)="IMDG",),AND(INDEX(IHZ_HAZ_IMOHAZARDC,35,1)&lt;&gt;"",INDEX(IHZ_HAZ_UNNUMBER,35,1)&lt;&gt;""),TRUE)</f>
        <v>1</v>
      </c>
      <c r="H1542" t="str">
        <f t="shared" si="49"/>
        <v>Row 35 - If ‘DG classification’ is ‘IMDG’ the ‘IMO Hazard Class’ and ‘UN Number’ is mandatory</v>
      </c>
      <c r="I1542" t="s">
        <v>33308</v>
      </c>
      <c r="J1542" t="b">
        <f>IF(OR(INDEX(OHZ_HAZ_DGCLASSIFI,35,1)="IMDG",),AND(INDEX(OHZ_HAZ_IMOHAZARDC,35,1)&lt;&gt;"",INDEX(OHZ_HAZ_UNNUMBER,35,1)&lt;&gt;""),TRUE)</f>
        <v>1</v>
      </c>
      <c r="K1542" t="str">
        <f t="shared" si="50"/>
        <v>Row 35 - If ‘DG classification’ is ‘IMDG’ the ‘IMO Hazard Class’ and ‘UN Number’ is mandatory</v>
      </c>
      <c r="L1542" t="s">
        <v>33308</v>
      </c>
    </row>
    <row r="1543" spans="7:12" x14ac:dyDescent="0.2">
      <c r="G1543" t="b">
        <f>IF(OR(INDEX(IHZ_HAZ_DGCLASSIFI,36,1)="IMDG",),AND(INDEX(IHZ_HAZ_IMOHAZARDC,36,1)&lt;&gt;"",INDEX(IHZ_HAZ_UNNUMBER,36,1)&lt;&gt;""),TRUE)</f>
        <v>1</v>
      </c>
      <c r="H1543" t="str">
        <f t="shared" si="49"/>
        <v>Row 36 - If ‘DG classification’ is ‘IMDG’ the ‘IMO Hazard Class’ and ‘UN Number’ is mandatory</v>
      </c>
      <c r="I1543" t="s">
        <v>33308</v>
      </c>
      <c r="J1543" t="b">
        <f>IF(OR(INDEX(OHZ_HAZ_DGCLASSIFI,36,1)="IMDG",),AND(INDEX(OHZ_HAZ_IMOHAZARDC,36,1)&lt;&gt;"",INDEX(OHZ_HAZ_UNNUMBER,36,1)&lt;&gt;""),TRUE)</f>
        <v>1</v>
      </c>
      <c r="K1543" t="str">
        <f t="shared" si="50"/>
        <v>Row 36 - If ‘DG classification’ is ‘IMDG’ the ‘IMO Hazard Class’ and ‘UN Number’ is mandatory</v>
      </c>
      <c r="L1543" t="s">
        <v>33308</v>
      </c>
    </row>
    <row r="1544" spans="7:12" x14ac:dyDescent="0.2">
      <c r="G1544" t="b">
        <f>IF(OR(INDEX(IHZ_HAZ_DGCLASSIFI,37,1)="IMDG",),AND(INDEX(IHZ_HAZ_IMOHAZARDC,37,1)&lt;&gt;"",INDEX(IHZ_HAZ_UNNUMBER,37,1)&lt;&gt;""),TRUE)</f>
        <v>1</v>
      </c>
      <c r="H1544" t="str">
        <f t="shared" si="49"/>
        <v>Row 37 - If ‘DG classification’ is ‘IMDG’ the ‘IMO Hazard Class’ and ‘UN Number’ is mandatory</v>
      </c>
      <c r="I1544" t="s">
        <v>33308</v>
      </c>
      <c r="J1544" t="b">
        <f>IF(OR(INDEX(OHZ_HAZ_DGCLASSIFI,37,1)="IMDG",),AND(INDEX(OHZ_HAZ_IMOHAZARDC,37,1)&lt;&gt;"",INDEX(OHZ_HAZ_UNNUMBER,37,1)&lt;&gt;""),TRUE)</f>
        <v>1</v>
      </c>
      <c r="K1544" t="str">
        <f t="shared" si="50"/>
        <v>Row 37 - If ‘DG classification’ is ‘IMDG’ the ‘IMO Hazard Class’ and ‘UN Number’ is mandatory</v>
      </c>
    </row>
    <row r="1545" spans="7:12" x14ac:dyDescent="0.2">
      <c r="G1545" t="b">
        <f>IF(OR(INDEX(IHZ_HAZ_DGCLASSIFI,38,1)="IMDG",),AND(INDEX(IHZ_HAZ_IMOHAZARDC,38,1)&lt;&gt;"",INDEX(IHZ_HAZ_UNNUMBER,38,1)&lt;&gt;""),TRUE)</f>
        <v>1</v>
      </c>
      <c r="H1545" t="str">
        <f t="shared" si="49"/>
        <v>Row 38 - If ‘DG classification’ is ‘IMDG’ the ‘IMO Hazard Class’ and ‘UN Number’ is mandatory</v>
      </c>
      <c r="I1545" t="s">
        <v>33308</v>
      </c>
      <c r="J1545" t="b">
        <f>IF(OR(INDEX(OHZ_HAZ_DGCLASSIFI,38,1)="IMDG",),AND(INDEX(OHZ_HAZ_IMOHAZARDC,38,1)&lt;&gt;"",INDEX(OHZ_HAZ_UNNUMBER,38,1)&lt;&gt;""),TRUE)</f>
        <v>1</v>
      </c>
      <c r="K1545" t="str">
        <f t="shared" si="50"/>
        <v>Row 38 - If ‘DG classification’ is ‘IMDG’ the ‘IMO Hazard Class’ and ‘UN Number’ is mandatory</v>
      </c>
    </row>
    <row r="1546" spans="7:12" x14ac:dyDescent="0.2">
      <c r="G1546" t="b">
        <f>IF(OR(INDEX(IHZ_HAZ_DGCLASSIFI,39,1)="IMDG",),AND(INDEX(IHZ_HAZ_IMOHAZARDC,39,1)&lt;&gt;"",INDEX(IHZ_HAZ_UNNUMBER,39,1)&lt;&gt;""),TRUE)</f>
        <v>1</v>
      </c>
      <c r="H1546" t="str">
        <f t="shared" si="49"/>
        <v>Row 39 - If ‘DG classification’ is ‘IMDG’ the ‘IMO Hazard Class’ and ‘UN Number’ is mandatory</v>
      </c>
      <c r="I1546" t="s">
        <v>33308</v>
      </c>
      <c r="J1546" t="b">
        <f>IF(OR(INDEX(OHZ_HAZ_DGCLASSIFI,39,1)="IMDG",),AND(INDEX(OHZ_HAZ_IMOHAZARDC,39,1)&lt;&gt;"",INDEX(OHZ_HAZ_UNNUMBER,39,1)&lt;&gt;""),TRUE)</f>
        <v>1</v>
      </c>
      <c r="K1546" t="str">
        <f t="shared" si="50"/>
        <v>Row 39 - If ‘DG classification’ is ‘IMDG’ the ‘IMO Hazard Class’ and ‘UN Number’ is mandatory</v>
      </c>
    </row>
    <row r="1547" spans="7:12" x14ac:dyDescent="0.2">
      <c r="G1547" t="b">
        <f>IF(OR(INDEX(IHZ_HAZ_DGCLASSIFI,40,1)="IMDG",),AND(INDEX(IHZ_HAZ_IMOHAZARDC,40,1)&lt;&gt;"",INDEX(IHZ_HAZ_UNNUMBER,40,1)&lt;&gt;""),TRUE)</f>
        <v>1</v>
      </c>
      <c r="H1547" t="str">
        <f t="shared" si="49"/>
        <v>Row 40 - If ‘DG classification’ is ‘IMDG’ the ‘IMO Hazard Class’ and ‘UN Number’ is mandatory</v>
      </c>
      <c r="I1547" t="s">
        <v>33308</v>
      </c>
      <c r="J1547" t="b">
        <f>IF(OR(INDEX(OHZ_HAZ_DGCLASSIFI,40,1)="IMDG",),AND(INDEX(OHZ_HAZ_IMOHAZARDC,40,1)&lt;&gt;"",INDEX(OHZ_HAZ_UNNUMBER,40,1)&lt;&gt;""),TRUE)</f>
        <v>1</v>
      </c>
      <c r="K1547" t="str">
        <f t="shared" si="50"/>
        <v>Row 40 - If ‘DG classification’ is ‘IMDG’ the ‘IMO Hazard Class’ and ‘UN Number’ is mandatory</v>
      </c>
    </row>
    <row r="1548" spans="7:12" x14ac:dyDescent="0.2">
      <c r="G1548" t="b">
        <f>IF(OR(INDEX(IHZ_HAZ_DGCLASSIFI,41,1)="IMDG",),AND(INDEX(IHZ_HAZ_IMOHAZARDC,41,1)&lt;&gt;"",INDEX(IHZ_HAZ_UNNUMBER,41,1)&lt;&gt;""),TRUE)</f>
        <v>1</v>
      </c>
      <c r="H1548" t="str">
        <f t="shared" si="49"/>
        <v>Row 41 - If ‘DG classification’ is ‘IMDG’ the ‘IMO Hazard Class’ and ‘UN Number’ is mandatory</v>
      </c>
      <c r="I1548" t="s">
        <v>33308</v>
      </c>
      <c r="J1548" t="b">
        <f>IF(OR(INDEX(OHZ_HAZ_DGCLASSIFI,41,1)="IMDG",),AND(INDEX(OHZ_HAZ_IMOHAZARDC,41,1)&lt;&gt;"",INDEX(OHZ_HAZ_UNNUMBER,41,1)&lt;&gt;""),TRUE)</f>
        <v>1</v>
      </c>
      <c r="K1548" t="str">
        <f t="shared" si="50"/>
        <v>Row 41 - If ‘DG classification’ is ‘IMDG’ the ‘IMO Hazard Class’ and ‘UN Number’ is mandatory</v>
      </c>
    </row>
    <row r="1549" spans="7:12" x14ac:dyDescent="0.2">
      <c r="G1549" t="b">
        <f>IF(OR(INDEX(IHZ_HAZ_DGCLASSIFI,42,1)="IMDG",),AND(INDEX(IHZ_HAZ_IMOHAZARDC,42,1)&lt;&gt;"",INDEX(IHZ_HAZ_UNNUMBER,42,1)&lt;&gt;""),TRUE)</f>
        <v>1</v>
      </c>
      <c r="H1549" t="str">
        <f t="shared" si="49"/>
        <v>Row 42 - If ‘DG classification’ is ‘IMDG’ the ‘IMO Hazard Class’ and ‘UN Number’ is mandatory</v>
      </c>
      <c r="I1549" t="s">
        <v>33308</v>
      </c>
      <c r="J1549" t="b">
        <f>IF(OR(INDEX(OHZ_HAZ_DGCLASSIFI,42,1)="IMDG",),AND(INDEX(OHZ_HAZ_IMOHAZARDC,42,1)&lt;&gt;"",INDEX(OHZ_HAZ_UNNUMBER,42,1)&lt;&gt;""),TRUE)</f>
        <v>1</v>
      </c>
      <c r="K1549" t="str">
        <f t="shared" si="50"/>
        <v>Row 42 - If ‘DG classification’ is ‘IMDG’ the ‘IMO Hazard Class’ and ‘UN Number’ is mandatory</v>
      </c>
    </row>
    <row r="1550" spans="7:12" x14ac:dyDescent="0.2">
      <c r="G1550" t="b">
        <f>IF(OR(INDEX(IHZ_HAZ_DGCLASSIFI,43,1)="IMDG",),AND(INDEX(IHZ_HAZ_IMOHAZARDC,43,1)&lt;&gt;"",INDEX(IHZ_HAZ_UNNUMBER,43,1)&lt;&gt;""),TRUE)</f>
        <v>1</v>
      </c>
      <c r="H1550" t="str">
        <f t="shared" si="49"/>
        <v>Row 43 - If ‘DG classification’ is ‘IMDG’ the ‘IMO Hazard Class’ and ‘UN Number’ is mandatory</v>
      </c>
      <c r="I1550" t="s">
        <v>33308</v>
      </c>
      <c r="J1550" t="b">
        <f>IF(OR(INDEX(OHZ_HAZ_DGCLASSIFI,43,1)="IMDG",),AND(INDEX(OHZ_HAZ_IMOHAZARDC,43,1)&lt;&gt;"",INDEX(OHZ_HAZ_UNNUMBER,43,1)&lt;&gt;""),TRUE)</f>
        <v>1</v>
      </c>
      <c r="K1550" t="str">
        <f t="shared" si="50"/>
        <v>Row 43 - If ‘DG classification’ is ‘IMDG’ the ‘IMO Hazard Class’ and ‘UN Number’ is mandatory</v>
      </c>
    </row>
    <row r="1551" spans="7:12" x14ac:dyDescent="0.2">
      <c r="G1551" t="b">
        <f>IF(OR(INDEX(IHZ_HAZ_DGCLASSIFI,44,1)="IMDG",),AND(INDEX(IHZ_HAZ_IMOHAZARDC,44,1)&lt;&gt;"",INDEX(IHZ_HAZ_UNNUMBER,44,1)&lt;&gt;""),TRUE)</f>
        <v>1</v>
      </c>
      <c r="H1551" t="str">
        <f t="shared" si="49"/>
        <v>Row 44 - If ‘DG classification’ is ‘IMDG’ the ‘IMO Hazard Class’ and ‘UN Number’ is mandatory</v>
      </c>
      <c r="I1551" t="s">
        <v>33308</v>
      </c>
      <c r="J1551" t="b">
        <f>IF(OR(INDEX(OHZ_HAZ_DGCLASSIFI,44,1)="IMDG",),AND(INDEX(OHZ_HAZ_IMOHAZARDC,44,1)&lt;&gt;"",INDEX(OHZ_HAZ_UNNUMBER,44,1)&lt;&gt;""),TRUE)</f>
        <v>1</v>
      </c>
      <c r="K1551" t="str">
        <f t="shared" si="50"/>
        <v>Row 44 - If ‘DG classification’ is ‘IMDG’ the ‘IMO Hazard Class’ and ‘UN Number’ is mandatory</v>
      </c>
    </row>
    <row r="1552" spans="7:12" x14ac:dyDescent="0.2">
      <c r="G1552" t="b">
        <f>IF(OR(INDEX(IHZ_HAZ_DGCLASSIFI,45,1)="IMDG",),AND(INDEX(IHZ_HAZ_IMOHAZARDC,45,1)&lt;&gt;"",INDEX(IHZ_HAZ_UNNUMBER,45,1)&lt;&gt;""),TRUE)</f>
        <v>1</v>
      </c>
      <c r="H1552" t="str">
        <f t="shared" si="49"/>
        <v>Row 45 - If ‘DG classification’ is ‘IMDG’ the ‘IMO Hazard Class’ and ‘UN Number’ is mandatory</v>
      </c>
      <c r="I1552" t="s">
        <v>33308</v>
      </c>
      <c r="J1552" t="b">
        <f>IF(OR(INDEX(OHZ_HAZ_DGCLASSIFI,45,1)="IMDG",),AND(INDEX(OHZ_HAZ_IMOHAZARDC,45,1)&lt;&gt;"",INDEX(OHZ_HAZ_UNNUMBER,45,1)&lt;&gt;""),TRUE)</f>
        <v>1</v>
      </c>
      <c r="K1552" t="str">
        <f t="shared" si="50"/>
        <v>Row 45 - If ‘DG classification’ is ‘IMDG’ the ‘IMO Hazard Class’ and ‘UN Number’ is mandatory</v>
      </c>
    </row>
    <row r="1553" spans="7:11" x14ac:dyDescent="0.2">
      <c r="G1553" t="b">
        <f>IF(OR(INDEX(IHZ_HAZ_DGCLASSIFI,46,1)="IMDG",),AND(INDEX(IHZ_HAZ_IMOHAZARDC,46,1)&lt;&gt;"",INDEX(IHZ_HAZ_UNNUMBER,46,1)&lt;&gt;""),TRUE)</f>
        <v>1</v>
      </c>
      <c r="H1553" t="str">
        <f t="shared" si="49"/>
        <v>Row 46 - If ‘DG classification’ is ‘IMDG’ the ‘IMO Hazard Class’ and ‘UN Number’ is mandatory</v>
      </c>
      <c r="I1553" t="s">
        <v>33308</v>
      </c>
      <c r="J1553" t="b">
        <f>IF(OR(INDEX(OHZ_HAZ_DGCLASSIFI,46,1)="IMDG",),AND(INDEX(OHZ_HAZ_IMOHAZARDC,46,1)&lt;&gt;"",INDEX(OHZ_HAZ_UNNUMBER,46,1)&lt;&gt;""),TRUE)</f>
        <v>1</v>
      </c>
      <c r="K1553" t="str">
        <f t="shared" si="50"/>
        <v>Row 46 - If ‘DG classification’ is ‘IMDG’ the ‘IMO Hazard Class’ and ‘UN Number’ is mandatory</v>
      </c>
    </row>
    <row r="1554" spans="7:11" x14ac:dyDescent="0.2">
      <c r="G1554" t="b">
        <f>IF(OR(INDEX(IHZ_HAZ_DGCLASSIFI,47,1)="IMDG",),AND(INDEX(IHZ_HAZ_IMOHAZARDC,47,1)&lt;&gt;"",INDEX(IHZ_HAZ_UNNUMBER,47,1)&lt;&gt;""),TRUE)</f>
        <v>1</v>
      </c>
      <c r="H1554" t="str">
        <f t="shared" si="49"/>
        <v>Row 47 - If ‘DG classification’ is ‘IMDG’ the ‘IMO Hazard Class’ and ‘UN Number’ is mandatory</v>
      </c>
      <c r="I1554" t="s">
        <v>33308</v>
      </c>
      <c r="J1554" t="b">
        <f>IF(OR(INDEX(OHZ_HAZ_DGCLASSIFI,47,1)="IMDG",),AND(INDEX(OHZ_HAZ_IMOHAZARDC,47,1)&lt;&gt;"",INDEX(OHZ_HAZ_UNNUMBER,47,1)&lt;&gt;""),TRUE)</f>
        <v>1</v>
      </c>
      <c r="K1554" t="str">
        <f t="shared" si="50"/>
        <v>Row 47 - If ‘DG classification’ is ‘IMDG’ the ‘IMO Hazard Class’ and ‘UN Number’ is mandatory</v>
      </c>
    </row>
    <row r="1555" spans="7:11" x14ac:dyDescent="0.2">
      <c r="G1555" t="b">
        <f>IF(OR(INDEX(IHZ_HAZ_DGCLASSIFI,48,1)="IMDG",),AND(INDEX(IHZ_HAZ_IMOHAZARDC,48,1)&lt;&gt;"",INDEX(IHZ_HAZ_UNNUMBER,48,1)&lt;&gt;""),TRUE)</f>
        <v>1</v>
      </c>
      <c r="H1555" t="str">
        <f t="shared" si="49"/>
        <v>Row 48 - If ‘DG classification’ is ‘IMDG’ the ‘IMO Hazard Class’ and ‘UN Number’ is mandatory</v>
      </c>
      <c r="I1555" t="s">
        <v>33308</v>
      </c>
      <c r="J1555" t="b">
        <f>IF(OR(INDEX(OHZ_HAZ_DGCLASSIFI,48,1)="IMDG",),AND(INDEX(OHZ_HAZ_IMOHAZARDC,48,1)&lt;&gt;"",INDEX(OHZ_HAZ_UNNUMBER,48,1)&lt;&gt;""),TRUE)</f>
        <v>1</v>
      </c>
      <c r="K1555" t="str">
        <f t="shared" si="50"/>
        <v>Row 48 - If ‘DG classification’ is ‘IMDG’ the ‘IMO Hazard Class’ and ‘UN Number’ is mandatory</v>
      </c>
    </row>
    <row r="1556" spans="7:11" x14ac:dyDescent="0.2">
      <c r="G1556" t="b">
        <f>IF(OR(INDEX(IHZ_HAZ_DGCLASSIFI,49,1)="IMDG",),AND(INDEX(IHZ_HAZ_IMOHAZARDC,49,1)&lt;&gt;"",INDEX(IHZ_HAZ_UNNUMBER,49,1)&lt;&gt;""),TRUE)</f>
        <v>1</v>
      </c>
      <c r="H1556" t="str">
        <f t="shared" si="49"/>
        <v>Row 49 - If ‘DG classification’ is ‘IMDG’ the ‘IMO Hazard Class’ and ‘UN Number’ is mandatory</v>
      </c>
      <c r="I1556" t="s">
        <v>33308</v>
      </c>
      <c r="J1556" t="b">
        <f>IF(OR(INDEX(OHZ_HAZ_DGCLASSIFI,49,1)="IMDG",),AND(INDEX(OHZ_HAZ_IMOHAZARDC,49,1)&lt;&gt;"",INDEX(OHZ_HAZ_UNNUMBER,49,1)&lt;&gt;""),TRUE)</f>
        <v>1</v>
      </c>
      <c r="K1556" t="str">
        <f t="shared" si="50"/>
        <v>Row 49 - If ‘DG classification’ is ‘IMDG’ the ‘IMO Hazard Class’ and ‘UN Number’ is mandatory</v>
      </c>
    </row>
    <row r="1557" spans="7:11" x14ac:dyDescent="0.2">
      <c r="G1557" t="b">
        <f>IF(OR(INDEX(IHZ_HAZ_DGCLASSIFI,50,1)="IMDG",),AND(INDEX(IHZ_HAZ_IMOHAZARDC,50,1)&lt;&gt;"",INDEX(IHZ_HAZ_UNNUMBER,50,1)&lt;&gt;""),TRUE)</f>
        <v>1</v>
      </c>
      <c r="H1557" t="str">
        <f t="shared" si="49"/>
        <v>Row 50 - If ‘DG classification’ is ‘IMDG’ the ‘IMO Hazard Class’ and ‘UN Number’ is mandatory</v>
      </c>
      <c r="I1557" t="s">
        <v>33308</v>
      </c>
      <c r="J1557" t="b">
        <f>IF(OR(INDEX(OHZ_HAZ_DGCLASSIFI,50,1)="IMDG",),AND(INDEX(OHZ_HAZ_IMOHAZARDC,50,1)&lt;&gt;"",INDEX(OHZ_HAZ_UNNUMBER,50,1)&lt;&gt;""),TRUE)</f>
        <v>1</v>
      </c>
      <c r="K1557" t="str">
        <f t="shared" si="50"/>
        <v>Row 50 - If ‘DG classification’ is ‘IMDG’ the ‘IMO Hazard Class’ and ‘UN Number’ is mandatory</v>
      </c>
    </row>
    <row r="1558" spans="7:11" x14ac:dyDescent="0.2">
      <c r="G1558" t="b">
        <f>IF(OR(INDEX(IHZ_HAZ_DGCLASSIFI,51,1)="IMDG",),AND(INDEX(IHZ_HAZ_IMOHAZARDC,51,1)&lt;&gt;"",INDEX(IHZ_HAZ_UNNUMBER,51,1)&lt;&gt;""),TRUE)</f>
        <v>1</v>
      </c>
      <c r="H1558" t="str">
        <f t="shared" si="49"/>
        <v>Row 51 - If ‘DG classification’ is ‘IMDG’ the ‘IMO Hazard Class’ and ‘UN Number’ is mandatory</v>
      </c>
      <c r="I1558" t="s">
        <v>33308</v>
      </c>
      <c r="J1558" t="b">
        <f>IF(OR(INDEX(OHZ_HAZ_DGCLASSIFI,51,1)="IMDG",),AND(INDEX(OHZ_HAZ_IMOHAZARDC,51,1)&lt;&gt;"",INDEX(OHZ_HAZ_UNNUMBER,51,1)&lt;&gt;""),TRUE)</f>
        <v>1</v>
      </c>
      <c r="K1558" t="str">
        <f t="shared" si="50"/>
        <v>Row 51 - If ‘DG classification’ is ‘IMDG’ the ‘IMO Hazard Class’ and ‘UN Number’ is mandatory</v>
      </c>
    </row>
    <row r="1559" spans="7:11" x14ac:dyDescent="0.2">
      <c r="G1559" t="b">
        <f>IF(OR(INDEX(IHZ_HAZ_DGCLASSIFI,52,1)="IMDG",),AND(INDEX(IHZ_HAZ_IMOHAZARDC,52,1)&lt;&gt;"",INDEX(IHZ_HAZ_UNNUMBER,52,1)&lt;&gt;""),TRUE)</f>
        <v>1</v>
      </c>
      <c r="H1559" t="str">
        <f t="shared" si="49"/>
        <v>Row 52 - If ‘DG classification’ is ‘IMDG’ the ‘IMO Hazard Class’ and ‘UN Number’ is mandatory</v>
      </c>
      <c r="I1559" t="s">
        <v>33308</v>
      </c>
      <c r="J1559" t="b">
        <f>IF(OR(INDEX(OHZ_HAZ_DGCLASSIFI,52,1)="IMDG",),AND(INDEX(OHZ_HAZ_IMOHAZARDC,52,1)&lt;&gt;"",INDEX(OHZ_HAZ_UNNUMBER,52,1)&lt;&gt;""),TRUE)</f>
        <v>1</v>
      </c>
      <c r="K1559" t="str">
        <f t="shared" si="50"/>
        <v>Row 52 - If ‘DG classification’ is ‘IMDG’ the ‘IMO Hazard Class’ and ‘UN Number’ is mandatory</v>
      </c>
    </row>
    <row r="1560" spans="7:11" x14ac:dyDescent="0.2">
      <c r="G1560" t="b">
        <f>IF(OR(INDEX(IHZ_HAZ_DGCLASSIFI,53,1)="IMDG",),AND(INDEX(IHZ_HAZ_IMOHAZARDC,53,1)&lt;&gt;"",INDEX(IHZ_HAZ_UNNUMBER,53,1)&lt;&gt;""),TRUE)</f>
        <v>1</v>
      </c>
      <c r="H1560" t="str">
        <f t="shared" si="49"/>
        <v>Row 53 - If ‘DG classification’ is ‘IMDG’ the ‘IMO Hazard Class’ and ‘UN Number’ is mandatory</v>
      </c>
      <c r="I1560" t="s">
        <v>33308</v>
      </c>
      <c r="J1560" t="b">
        <f>IF(OR(INDEX(OHZ_HAZ_DGCLASSIFI,53,1)="IMDG",),AND(INDEX(OHZ_HAZ_IMOHAZARDC,53,1)&lt;&gt;"",INDEX(OHZ_HAZ_UNNUMBER,53,1)&lt;&gt;""),TRUE)</f>
        <v>1</v>
      </c>
      <c r="K1560" t="str">
        <f t="shared" si="50"/>
        <v>Row 53 - If ‘DG classification’ is ‘IMDG’ the ‘IMO Hazard Class’ and ‘UN Number’ is mandatory</v>
      </c>
    </row>
    <row r="1561" spans="7:11" x14ac:dyDescent="0.2">
      <c r="G1561" t="b">
        <f>IF(OR(INDEX(IHZ_HAZ_DGCLASSIFI,54,1)="IMDG",),AND(INDEX(IHZ_HAZ_IMOHAZARDC,54,1)&lt;&gt;"",INDEX(IHZ_HAZ_UNNUMBER,54,1)&lt;&gt;""),TRUE)</f>
        <v>1</v>
      </c>
      <c r="H1561" t="str">
        <f t="shared" si="49"/>
        <v>Row 54 - If ‘DG classification’ is ‘IMDG’ the ‘IMO Hazard Class’ and ‘UN Number’ is mandatory</v>
      </c>
      <c r="I1561" t="s">
        <v>33308</v>
      </c>
      <c r="J1561" t="b">
        <f>IF(OR(INDEX(OHZ_HAZ_DGCLASSIFI,54,1)="IMDG",),AND(INDEX(OHZ_HAZ_IMOHAZARDC,54,1)&lt;&gt;"",INDEX(OHZ_HAZ_UNNUMBER,54,1)&lt;&gt;""),TRUE)</f>
        <v>1</v>
      </c>
      <c r="K1561" t="str">
        <f t="shared" si="50"/>
        <v>Row 54 - If ‘DG classification’ is ‘IMDG’ the ‘IMO Hazard Class’ and ‘UN Number’ is mandatory</v>
      </c>
    </row>
    <row r="1562" spans="7:11" x14ac:dyDescent="0.2">
      <c r="G1562" t="b">
        <f>IF(OR(INDEX(IHZ_HAZ_DGCLASSIFI,55,1)="IMDG",),AND(INDEX(IHZ_HAZ_IMOHAZARDC,55,1)&lt;&gt;"",INDEX(IHZ_HAZ_UNNUMBER,55,1)&lt;&gt;""),TRUE)</f>
        <v>1</v>
      </c>
      <c r="H1562" t="str">
        <f t="shared" si="49"/>
        <v>Row 55 - If ‘DG classification’ is ‘IMDG’ the ‘IMO Hazard Class’ and ‘UN Number’ is mandatory</v>
      </c>
      <c r="I1562" t="s">
        <v>33308</v>
      </c>
      <c r="J1562" t="b">
        <f>IF(OR(INDEX(OHZ_HAZ_DGCLASSIFI,55,1)="IMDG",),AND(INDEX(OHZ_HAZ_IMOHAZARDC,55,1)&lt;&gt;"",INDEX(OHZ_HAZ_UNNUMBER,55,1)&lt;&gt;""),TRUE)</f>
        <v>1</v>
      </c>
      <c r="K1562" t="str">
        <f t="shared" si="50"/>
        <v>Row 55 - If ‘DG classification’ is ‘IMDG’ the ‘IMO Hazard Class’ and ‘UN Number’ is mandatory</v>
      </c>
    </row>
    <row r="1563" spans="7:11" x14ac:dyDescent="0.2">
      <c r="G1563" t="b">
        <f>IF(OR(INDEX(IHZ_HAZ_DGCLASSIFI,56,1)="IMDG",),AND(INDEX(IHZ_HAZ_IMOHAZARDC,56,1)&lt;&gt;"",INDEX(IHZ_HAZ_UNNUMBER,56,1)&lt;&gt;""),TRUE)</f>
        <v>1</v>
      </c>
      <c r="H1563" t="str">
        <f t="shared" si="49"/>
        <v>Row 56 - If ‘DG classification’ is ‘IMDG’ the ‘IMO Hazard Class’ and ‘UN Number’ is mandatory</v>
      </c>
      <c r="I1563" t="s">
        <v>33308</v>
      </c>
      <c r="J1563" t="b">
        <f>IF(OR(INDEX(OHZ_HAZ_DGCLASSIFI,56,1)="IMDG",),AND(INDEX(OHZ_HAZ_IMOHAZARDC,56,1)&lt;&gt;"",INDEX(OHZ_HAZ_UNNUMBER,56,1)&lt;&gt;""),TRUE)</f>
        <v>1</v>
      </c>
      <c r="K1563" t="str">
        <f t="shared" si="50"/>
        <v>Row 56 - If ‘DG classification’ is ‘IMDG’ the ‘IMO Hazard Class’ and ‘UN Number’ is mandatory</v>
      </c>
    </row>
    <row r="1564" spans="7:11" x14ac:dyDescent="0.2">
      <c r="G1564" t="b">
        <f>IF(OR(INDEX(IHZ_HAZ_DGCLASSIFI,57,1)="IMDG",),AND(INDEX(IHZ_HAZ_IMOHAZARDC,57,1)&lt;&gt;"",INDEX(IHZ_HAZ_UNNUMBER,57,1)&lt;&gt;""),TRUE)</f>
        <v>1</v>
      </c>
      <c r="H1564" t="str">
        <f t="shared" si="49"/>
        <v>Row 57 - If ‘DG classification’ is ‘IMDG’ the ‘IMO Hazard Class’ and ‘UN Number’ is mandatory</v>
      </c>
      <c r="I1564" t="s">
        <v>33308</v>
      </c>
      <c r="J1564" t="b">
        <f>IF(OR(INDEX(OHZ_HAZ_DGCLASSIFI,57,1)="IMDG",),AND(INDEX(OHZ_HAZ_IMOHAZARDC,57,1)&lt;&gt;"",INDEX(OHZ_HAZ_UNNUMBER,57,1)&lt;&gt;""),TRUE)</f>
        <v>1</v>
      </c>
      <c r="K1564" t="str">
        <f t="shared" si="50"/>
        <v>Row 57 - If ‘DG classification’ is ‘IMDG’ the ‘IMO Hazard Class’ and ‘UN Number’ is mandatory</v>
      </c>
    </row>
    <row r="1565" spans="7:11" x14ac:dyDescent="0.2">
      <c r="G1565" t="b">
        <f>IF(OR(INDEX(IHZ_HAZ_DGCLASSIFI,58,1)="IMDG",),AND(INDEX(IHZ_HAZ_IMOHAZARDC,58,1)&lt;&gt;"",INDEX(IHZ_HAZ_UNNUMBER,58,1)&lt;&gt;""),TRUE)</f>
        <v>1</v>
      </c>
      <c r="H1565" t="str">
        <f t="shared" si="49"/>
        <v>Row 58 - If ‘DG classification’ is ‘IMDG’ the ‘IMO Hazard Class’ and ‘UN Number’ is mandatory</v>
      </c>
      <c r="I1565" t="s">
        <v>33308</v>
      </c>
      <c r="J1565" t="b">
        <f>IF(OR(INDEX(OHZ_HAZ_DGCLASSIFI,58,1)="IMDG",),AND(INDEX(OHZ_HAZ_IMOHAZARDC,58,1)&lt;&gt;"",INDEX(OHZ_HAZ_UNNUMBER,58,1)&lt;&gt;""),TRUE)</f>
        <v>1</v>
      </c>
      <c r="K1565" t="str">
        <f t="shared" si="50"/>
        <v>Row 58 - If ‘DG classification’ is ‘IMDG’ the ‘IMO Hazard Class’ and ‘UN Number’ is mandatory</v>
      </c>
    </row>
    <row r="1566" spans="7:11" x14ac:dyDescent="0.2">
      <c r="G1566" t="b">
        <f>IF(OR(INDEX(IHZ_HAZ_DGCLASSIFI,59,1)="IMDG",),AND(INDEX(IHZ_HAZ_IMOHAZARDC,59,1)&lt;&gt;"",INDEX(IHZ_HAZ_UNNUMBER,59,1)&lt;&gt;""),TRUE)</f>
        <v>1</v>
      </c>
      <c r="H1566" t="str">
        <f t="shared" si="49"/>
        <v>Row 59 - If ‘DG classification’ is ‘IMDG’ the ‘IMO Hazard Class’ and ‘UN Number’ is mandatory</v>
      </c>
      <c r="I1566" t="s">
        <v>33308</v>
      </c>
      <c r="J1566" t="b">
        <f>IF(OR(INDEX(OHZ_HAZ_DGCLASSIFI,59,1)="IMDG",),AND(INDEX(OHZ_HAZ_IMOHAZARDC,59,1)&lt;&gt;"",INDEX(OHZ_HAZ_UNNUMBER,59,1)&lt;&gt;""),TRUE)</f>
        <v>1</v>
      </c>
      <c r="K1566" t="str">
        <f t="shared" si="50"/>
        <v>Row 59 - If ‘DG classification’ is ‘IMDG’ the ‘IMO Hazard Class’ and ‘UN Number’ is mandatory</v>
      </c>
    </row>
    <row r="1567" spans="7:11" x14ac:dyDescent="0.2">
      <c r="G1567" t="b">
        <f>IF(OR(INDEX(IHZ_HAZ_DGCLASSIFI,60,1)="IMDG",),AND(INDEX(IHZ_HAZ_IMOHAZARDC,60,1)&lt;&gt;"",INDEX(IHZ_HAZ_UNNUMBER,60,1)&lt;&gt;""),TRUE)</f>
        <v>1</v>
      </c>
      <c r="H1567" t="str">
        <f t="shared" si="49"/>
        <v>Row 60 - If ‘DG classification’ is ‘IMDG’ the ‘IMO Hazard Class’ and ‘UN Number’ is mandatory</v>
      </c>
      <c r="I1567" t="s">
        <v>33308</v>
      </c>
      <c r="J1567" t="b">
        <f>IF(OR(INDEX(OHZ_HAZ_DGCLASSIFI,60,1)="IMDG",),AND(INDEX(OHZ_HAZ_IMOHAZARDC,60,1)&lt;&gt;"",INDEX(OHZ_HAZ_UNNUMBER,60,1)&lt;&gt;""),TRUE)</f>
        <v>1</v>
      </c>
      <c r="K1567" t="str">
        <f t="shared" si="50"/>
        <v>Row 60 - If ‘DG classification’ is ‘IMDG’ the ‘IMO Hazard Class’ and ‘UN Number’ is mandatory</v>
      </c>
    </row>
    <row r="1568" spans="7:11" x14ac:dyDescent="0.2">
      <c r="G1568" t="b">
        <f>IF(OR(INDEX(IHZ_HAZ_DGCLASSIFI,61,1)="IMDG",),AND(INDEX(IHZ_HAZ_IMOHAZARDC,61,1)&lt;&gt;"",INDEX(IHZ_HAZ_UNNUMBER,61,1)&lt;&gt;""),TRUE)</f>
        <v>1</v>
      </c>
      <c r="H1568" t="str">
        <f t="shared" si="49"/>
        <v>Row 61 - If ‘DG classification’ is ‘IMDG’ the ‘IMO Hazard Class’ and ‘UN Number’ is mandatory</v>
      </c>
      <c r="I1568" t="s">
        <v>33308</v>
      </c>
      <c r="J1568" t="b">
        <f>IF(OR(INDEX(OHZ_HAZ_DGCLASSIFI,61,1)="IMDG",),AND(INDEX(OHZ_HAZ_IMOHAZARDC,61,1)&lt;&gt;"",INDEX(OHZ_HAZ_UNNUMBER,61,1)&lt;&gt;""),TRUE)</f>
        <v>1</v>
      </c>
      <c r="K1568" t="str">
        <f t="shared" si="50"/>
        <v>Row 61 - If ‘DG classification’ is ‘IMDG’ the ‘IMO Hazard Class’ and ‘UN Number’ is mandatory</v>
      </c>
    </row>
    <row r="1569" spans="7:11" x14ac:dyDescent="0.2">
      <c r="G1569" t="b">
        <f>IF(OR(INDEX(IHZ_HAZ_DGCLASSIFI,62,1)="IMDG",),AND(INDEX(IHZ_HAZ_IMOHAZARDC,62,1)&lt;&gt;"",INDEX(IHZ_HAZ_UNNUMBER,62,1)&lt;&gt;""),TRUE)</f>
        <v>1</v>
      </c>
      <c r="H1569" t="str">
        <f t="shared" si="49"/>
        <v>Row 62 - If ‘DG classification’ is ‘IMDG’ the ‘IMO Hazard Class’ and ‘UN Number’ is mandatory</v>
      </c>
      <c r="I1569" t="s">
        <v>33308</v>
      </c>
      <c r="J1569" t="b">
        <f>IF(OR(INDEX(OHZ_HAZ_DGCLASSIFI,62,1)="IMDG",),AND(INDEX(OHZ_HAZ_IMOHAZARDC,62,1)&lt;&gt;"",INDEX(OHZ_HAZ_UNNUMBER,62,1)&lt;&gt;""),TRUE)</f>
        <v>1</v>
      </c>
      <c r="K1569" t="str">
        <f t="shared" si="50"/>
        <v>Row 62 - If ‘DG classification’ is ‘IMDG’ the ‘IMO Hazard Class’ and ‘UN Number’ is mandatory</v>
      </c>
    </row>
    <row r="1570" spans="7:11" x14ac:dyDescent="0.2">
      <c r="G1570" t="b">
        <f>IF(OR(INDEX(IHZ_HAZ_DGCLASSIFI,63,1)="IMDG",),AND(INDEX(IHZ_HAZ_IMOHAZARDC,63,1)&lt;&gt;"",INDEX(IHZ_HAZ_UNNUMBER,63,1)&lt;&gt;""),TRUE)</f>
        <v>1</v>
      </c>
      <c r="H1570" t="str">
        <f t="shared" si="49"/>
        <v>Row 63 - If ‘DG classification’ is ‘IMDG’ the ‘IMO Hazard Class’ and ‘UN Number’ is mandatory</v>
      </c>
      <c r="I1570" t="s">
        <v>33308</v>
      </c>
      <c r="J1570" t="b">
        <f>IF(OR(INDEX(OHZ_HAZ_DGCLASSIFI,63,1)="IMDG",),AND(INDEX(OHZ_HAZ_IMOHAZARDC,63,1)&lt;&gt;"",INDEX(OHZ_HAZ_UNNUMBER,63,1)&lt;&gt;""),TRUE)</f>
        <v>1</v>
      </c>
      <c r="K1570" t="str">
        <f t="shared" si="50"/>
        <v>Row 63 - If ‘DG classification’ is ‘IMDG’ the ‘IMO Hazard Class’ and ‘UN Number’ is mandatory</v>
      </c>
    </row>
    <row r="1571" spans="7:11" x14ac:dyDescent="0.2">
      <c r="G1571" t="b">
        <f>IF(OR(INDEX(IHZ_HAZ_DGCLASSIFI,64,1)="IMDG",),AND(INDEX(IHZ_HAZ_IMOHAZARDC,64,1)&lt;&gt;"",INDEX(IHZ_HAZ_UNNUMBER,64,1)&lt;&gt;""),TRUE)</f>
        <v>1</v>
      </c>
      <c r="H1571" t="str">
        <f t="shared" si="49"/>
        <v>Row 64 - If ‘DG classification’ is ‘IMDG’ the ‘IMO Hazard Class’ and ‘UN Number’ is mandatory</v>
      </c>
      <c r="I1571" t="s">
        <v>33308</v>
      </c>
      <c r="J1571" t="b">
        <f>IF(OR(INDEX(OHZ_HAZ_DGCLASSIFI,64,1)="IMDG",),AND(INDEX(OHZ_HAZ_IMOHAZARDC,64,1)&lt;&gt;"",INDEX(OHZ_HAZ_UNNUMBER,64,1)&lt;&gt;""),TRUE)</f>
        <v>1</v>
      </c>
      <c r="K1571" t="str">
        <f t="shared" si="50"/>
        <v>Row 64 - If ‘DG classification’ is ‘IMDG’ the ‘IMO Hazard Class’ and ‘UN Number’ is mandatory</v>
      </c>
    </row>
    <row r="1572" spans="7:11" x14ac:dyDescent="0.2">
      <c r="G1572" t="b">
        <f>IF(OR(INDEX(IHZ_HAZ_DGCLASSIFI,65,1)="IMDG",),AND(INDEX(IHZ_HAZ_IMOHAZARDC,65,1)&lt;&gt;"",INDEX(IHZ_HAZ_UNNUMBER,65,1)&lt;&gt;""),TRUE)</f>
        <v>1</v>
      </c>
      <c r="H1572" t="str">
        <f t="shared" si="49"/>
        <v>Row 65 - If ‘DG classification’ is ‘IMDG’ the ‘IMO Hazard Class’ and ‘UN Number’ is mandatory</v>
      </c>
      <c r="I1572" t="s">
        <v>33308</v>
      </c>
      <c r="J1572" t="b">
        <f>IF(OR(INDEX(OHZ_HAZ_DGCLASSIFI,65,1)="IMDG",),AND(INDEX(OHZ_HAZ_IMOHAZARDC,65,1)&lt;&gt;"",INDEX(OHZ_HAZ_UNNUMBER,65,1)&lt;&gt;""),TRUE)</f>
        <v>1</v>
      </c>
      <c r="K1572" t="str">
        <f t="shared" si="50"/>
        <v>Row 65 - If ‘DG classification’ is ‘IMDG’ the ‘IMO Hazard Class’ and ‘UN Number’ is mandatory</v>
      </c>
    </row>
    <row r="1573" spans="7:11" x14ac:dyDescent="0.2">
      <c r="G1573" t="b">
        <f>IF(OR(INDEX(IHZ_HAZ_DGCLASSIFI,66,1)="IMDG",),AND(INDEX(IHZ_HAZ_IMOHAZARDC,66,1)&lt;&gt;"",INDEX(IHZ_HAZ_UNNUMBER,66,1)&lt;&gt;""),TRUE)</f>
        <v>1</v>
      </c>
      <c r="H1573" t="str">
        <f t="shared" ref="H1573:H1636" si="51">T66&amp;$V$6</f>
        <v>Row 66 - If ‘DG classification’ is ‘IMDG’ the ‘IMO Hazard Class’ and ‘UN Number’ is mandatory</v>
      </c>
      <c r="I1573" t="s">
        <v>33308</v>
      </c>
      <c r="J1573" t="b">
        <f>IF(OR(INDEX(OHZ_HAZ_DGCLASSIFI,66,1)="IMDG",),AND(INDEX(OHZ_HAZ_IMOHAZARDC,66,1)&lt;&gt;"",INDEX(OHZ_HAZ_UNNUMBER,66,1)&lt;&gt;""),TRUE)</f>
        <v>1</v>
      </c>
      <c r="K1573" t="str">
        <f t="shared" ref="K1573:K1636" si="52">T66&amp;$V$6</f>
        <v>Row 66 - If ‘DG classification’ is ‘IMDG’ the ‘IMO Hazard Class’ and ‘UN Number’ is mandatory</v>
      </c>
    </row>
    <row r="1574" spans="7:11" x14ac:dyDescent="0.2">
      <c r="G1574" t="b">
        <f>IF(OR(INDEX(IHZ_HAZ_DGCLASSIFI,67,1)="IMDG",),AND(INDEX(IHZ_HAZ_IMOHAZARDC,67,1)&lt;&gt;"",INDEX(IHZ_HAZ_UNNUMBER,67,1)&lt;&gt;""),TRUE)</f>
        <v>1</v>
      </c>
      <c r="H1574" t="str">
        <f t="shared" si="51"/>
        <v>Row 67 - If ‘DG classification’ is ‘IMDG’ the ‘IMO Hazard Class’ and ‘UN Number’ is mandatory</v>
      </c>
      <c r="I1574" t="s">
        <v>33308</v>
      </c>
      <c r="J1574" t="b">
        <f>IF(OR(INDEX(OHZ_HAZ_DGCLASSIFI,67,1)="IMDG",),AND(INDEX(OHZ_HAZ_IMOHAZARDC,67,1)&lt;&gt;"",INDEX(OHZ_HAZ_UNNUMBER,67,1)&lt;&gt;""),TRUE)</f>
        <v>1</v>
      </c>
      <c r="K1574" t="str">
        <f t="shared" si="52"/>
        <v>Row 67 - If ‘DG classification’ is ‘IMDG’ the ‘IMO Hazard Class’ and ‘UN Number’ is mandatory</v>
      </c>
    </row>
    <row r="1575" spans="7:11" x14ac:dyDescent="0.2">
      <c r="G1575" t="b">
        <f>IF(OR(INDEX(IHZ_HAZ_DGCLASSIFI,68,1)="IMDG",),AND(INDEX(IHZ_HAZ_IMOHAZARDC,68,1)&lt;&gt;"",INDEX(IHZ_HAZ_UNNUMBER,68,1)&lt;&gt;""),TRUE)</f>
        <v>1</v>
      </c>
      <c r="H1575" t="str">
        <f t="shared" si="51"/>
        <v>Row 68 - If ‘DG classification’ is ‘IMDG’ the ‘IMO Hazard Class’ and ‘UN Number’ is mandatory</v>
      </c>
      <c r="I1575" t="s">
        <v>33308</v>
      </c>
      <c r="J1575" t="b">
        <f>IF(OR(INDEX(OHZ_HAZ_DGCLASSIFI,68,1)="IMDG",),AND(INDEX(OHZ_HAZ_IMOHAZARDC,68,1)&lt;&gt;"",INDEX(OHZ_HAZ_UNNUMBER,68,1)&lt;&gt;""),TRUE)</f>
        <v>1</v>
      </c>
      <c r="K1575" t="str">
        <f t="shared" si="52"/>
        <v>Row 68 - If ‘DG classification’ is ‘IMDG’ the ‘IMO Hazard Class’ and ‘UN Number’ is mandatory</v>
      </c>
    </row>
    <row r="1576" spans="7:11" x14ac:dyDescent="0.2">
      <c r="G1576" t="b">
        <f>IF(OR(INDEX(IHZ_HAZ_DGCLASSIFI,69,1)="IMDG",),AND(INDEX(IHZ_HAZ_IMOHAZARDC,69,1)&lt;&gt;"",INDEX(IHZ_HAZ_UNNUMBER,69,1)&lt;&gt;""),TRUE)</f>
        <v>1</v>
      </c>
      <c r="H1576" t="str">
        <f t="shared" si="51"/>
        <v>Row 69 - If ‘DG classification’ is ‘IMDG’ the ‘IMO Hazard Class’ and ‘UN Number’ is mandatory</v>
      </c>
      <c r="I1576" t="s">
        <v>33308</v>
      </c>
      <c r="J1576" t="b">
        <f>IF(OR(INDEX(OHZ_HAZ_DGCLASSIFI,69,1)="IMDG",),AND(INDEX(OHZ_HAZ_IMOHAZARDC,69,1)&lt;&gt;"",INDEX(OHZ_HAZ_UNNUMBER,69,1)&lt;&gt;""),TRUE)</f>
        <v>1</v>
      </c>
      <c r="K1576" t="str">
        <f t="shared" si="52"/>
        <v>Row 69 - If ‘DG classification’ is ‘IMDG’ the ‘IMO Hazard Class’ and ‘UN Number’ is mandatory</v>
      </c>
    </row>
    <row r="1577" spans="7:11" x14ac:dyDescent="0.2">
      <c r="G1577" t="b">
        <f>IF(OR(INDEX(IHZ_HAZ_DGCLASSIFI,70,1)="IMDG",),AND(INDEX(IHZ_HAZ_IMOHAZARDC,70,1)&lt;&gt;"",INDEX(IHZ_HAZ_UNNUMBER,70,1)&lt;&gt;""),TRUE)</f>
        <v>1</v>
      </c>
      <c r="H1577" t="str">
        <f t="shared" si="51"/>
        <v>Row 70 - If ‘DG classification’ is ‘IMDG’ the ‘IMO Hazard Class’ and ‘UN Number’ is mandatory</v>
      </c>
      <c r="I1577" t="s">
        <v>33308</v>
      </c>
      <c r="J1577" t="b">
        <f>IF(OR(INDEX(OHZ_HAZ_DGCLASSIFI,70,1)="IMDG",),AND(INDEX(OHZ_HAZ_IMOHAZARDC,70,1)&lt;&gt;"",INDEX(OHZ_HAZ_UNNUMBER,70,1)&lt;&gt;""),TRUE)</f>
        <v>1</v>
      </c>
      <c r="K1577" t="str">
        <f t="shared" si="52"/>
        <v>Row 70 - If ‘DG classification’ is ‘IMDG’ the ‘IMO Hazard Class’ and ‘UN Number’ is mandatory</v>
      </c>
    </row>
    <row r="1578" spans="7:11" x14ac:dyDescent="0.2">
      <c r="G1578" t="b">
        <f>IF(OR(INDEX(IHZ_HAZ_DGCLASSIFI,71,1)="IMDG",),AND(INDEX(IHZ_HAZ_IMOHAZARDC,71,1)&lt;&gt;"",INDEX(IHZ_HAZ_UNNUMBER,71,1)&lt;&gt;""),TRUE)</f>
        <v>1</v>
      </c>
      <c r="H1578" t="str">
        <f t="shared" si="51"/>
        <v>Row 71 - If ‘DG classification’ is ‘IMDG’ the ‘IMO Hazard Class’ and ‘UN Number’ is mandatory</v>
      </c>
      <c r="I1578" t="s">
        <v>33308</v>
      </c>
      <c r="J1578" t="b">
        <f>IF(OR(INDEX(OHZ_HAZ_DGCLASSIFI,71,1)="IMDG",),AND(INDEX(OHZ_HAZ_IMOHAZARDC,71,1)&lt;&gt;"",INDEX(OHZ_HAZ_UNNUMBER,71,1)&lt;&gt;""),TRUE)</f>
        <v>1</v>
      </c>
      <c r="K1578" t="str">
        <f t="shared" si="52"/>
        <v>Row 71 - If ‘DG classification’ is ‘IMDG’ the ‘IMO Hazard Class’ and ‘UN Number’ is mandatory</v>
      </c>
    </row>
    <row r="1579" spans="7:11" x14ac:dyDescent="0.2">
      <c r="G1579" t="b">
        <f>IF(OR(INDEX(IHZ_HAZ_DGCLASSIFI,72,1)="IMDG",),AND(INDEX(IHZ_HAZ_IMOHAZARDC,72,1)&lt;&gt;"",INDEX(IHZ_HAZ_UNNUMBER,72,1)&lt;&gt;""),TRUE)</f>
        <v>1</v>
      </c>
      <c r="H1579" t="str">
        <f t="shared" si="51"/>
        <v>Row 72 - If ‘DG classification’ is ‘IMDG’ the ‘IMO Hazard Class’ and ‘UN Number’ is mandatory</v>
      </c>
      <c r="I1579" t="s">
        <v>33308</v>
      </c>
      <c r="J1579" t="b">
        <f>IF(OR(INDEX(OHZ_HAZ_DGCLASSIFI,72,1)="IMDG",),AND(INDEX(OHZ_HAZ_IMOHAZARDC,72,1)&lt;&gt;"",INDEX(OHZ_HAZ_UNNUMBER,72,1)&lt;&gt;""),TRUE)</f>
        <v>1</v>
      </c>
      <c r="K1579" t="str">
        <f t="shared" si="52"/>
        <v>Row 72 - If ‘DG classification’ is ‘IMDG’ the ‘IMO Hazard Class’ and ‘UN Number’ is mandatory</v>
      </c>
    </row>
    <row r="1580" spans="7:11" x14ac:dyDescent="0.2">
      <c r="G1580" t="b">
        <f>IF(OR(INDEX(IHZ_HAZ_DGCLASSIFI,73,1)="IMDG",),AND(INDEX(IHZ_HAZ_IMOHAZARDC,73,1)&lt;&gt;"",INDEX(IHZ_HAZ_UNNUMBER,73,1)&lt;&gt;""),TRUE)</f>
        <v>1</v>
      </c>
      <c r="H1580" t="str">
        <f t="shared" si="51"/>
        <v>Row 73 - If ‘DG classification’ is ‘IMDG’ the ‘IMO Hazard Class’ and ‘UN Number’ is mandatory</v>
      </c>
      <c r="I1580" t="s">
        <v>33308</v>
      </c>
      <c r="J1580" t="b">
        <f>IF(OR(INDEX(OHZ_HAZ_DGCLASSIFI,73,1)="IMDG",),AND(INDEX(OHZ_HAZ_IMOHAZARDC,73,1)&lt;&gt;"",INDEX(OHZ_HAZ_UNNUMBER,73,1)&lt;&gt;""),TRUE)</f>
        <v>1</v>
      </c>
      <c r="K1580" t="str">
        <f t="shared" si="52"/>
        <v>Row 73 - If ‘DG classification’ is ‘IMDG’ the ‘IMO Hazard Class’ and ‘UN Number’ is mandatory</v>
      </c>
    </row>
    <row r="1581" spans="7:11" x14ac:dyDescent="0.2">
      <c r="G1581" t="b">
        <f>IF(OR(INDEX(IHZ_HAZ_DGCLASSIFI,74,1)="IMDG",),AND(INDEX(IHZ_HAZ_IMOHAZARDC,74,1)&lt;&gt;"",INDEX(IHZ_HAZ_UNNUMBER,74,1)&lt;&gt;""),TRUE)</f>
        <v>1</v>
      </c>
      <c r="H1581" t="str">
        <f t="shared" si="51"/>
        <v>Row 74 - If ‘DG classification’ is ‘IMDG’ the ‘IMO Hazard Class’ and ‘UN Number’ is mandatory</v>
      </c>
      <c r="I1581" t="s">
        <v>33308</v>
      </c>
      <c r="J1581" t="b">
        <f>IF(OR(INDEX(OHZ_HAZ_DGCLASSIFI,74,1)="IMDG",),AND(INDEX(OHZ_HAZ_IMOHAZARDC,74,1)&lt;&gt;"",INDEX(OHZ_HAZ_UNNUMBER,74,1)&lt;&gt;""),TRUE)</f>
        <v>1</v>
      </c>
      <c r="K1581" t="str">
        <f t="shared" si="52"/>
        <v>Row 74 - If ‘DG classification’ is ‘IMDG’ the ‘IMO Hazard Class’ and ‘UN Number’ is mandatory</v>
      </c>
    </row>
    <row r="1582" spans="7:11" x14ac:dyDescent="0.2">
      <c r="G1582" t="b">
        <f>IF(OR(INDEX(IHZ_HAZ_DGCLASSIFI,75,1)="IMDG",),AND(INDEX(IHZ_HAZ_IMOHAZARDC,75,1)&lt;&gt;"",INDEX(IHZ_HAZ_UNNUMBER,75,1)&lt;&gt;""),TRUE)</f>
        <v>1</v>
      </c>
      <c r="H1582" t="str">
        <f t="shared" si="51"/>
        <v>Row 75 - If ‘DG classification’ is ‘IMDG’ the ‘IMO Hazard Class’ and ‘UN Number’ is mandatory</v>
      </c>
      <c r="I1582" t="s">
        <v>33308</v>
      </c>
      <c r="J1582" t="b">
        <f>IF(OR(INDEX(OHZ_HAZ_DGCLASSIFI,75,1)="IMDG",),AND(INDEX(OHZ_HAZ_IMOHAZARDC,75,1)&lt;&gt;"",INDEX(OHZ_HAZ_UNNUMBER,75,1)&lt;&gt;""),TRUE)</f>
        <v>1</v>
      </c>
      <c r="K1582" t="str">
        <f t="shared" si="52"/>
        <v>Row 75 - If ‘DG classification’ is ‘IMDG’ the ‘IMO Hazard Class’ and ‘UN Number’ is mandatory</v>
      </c>
    </row>
    <row r="1583" spans="7:11" x14ac:dyDescent="0.2">
      <c r="G1583" t="b">
        <f>IF(OR(INDEX(IHZ_HAZ_DGCLASSIFI,76,1)="IMDG",),AND(INDEX(IHZ_HAZ_IMOHAZARDC,76,1)&lt;&gt;"",INDEX(IHZ_HAZ_UNNUMBER,76,1)&lt;&gt;""),TRUE)</f>
        <v>1</v>
      </c>
      <c r="H1583" t="str">
        <f t="shared" si="51"/>
        <v>Row 76 - If ‘DG classification’ is ‘IMDG’ the ‘IMO Hazard Class’ and ‘UN Number’ is mandatory</v>
      </c>
      <c r="I1583" t="s">
        <v>33308</v>
      </c>
      <c r="J1583" t="b">
        <f>IF(OR(INDEX(OHZ_HAZ_DGCLASSIFI,76,1)="IMDG",),AND(INDEX(OHZ_HAZ_IMOHAZARDC,76,1)&lt;&gt;"",INDEX(OHZ_HAZ_UNNUMBER,76,1)&lt;&gt;""),TRUE)</f>
        <v>1</v>
      </c>
      <c r="K1583" t="str">
        <f t="shared" si="52"/>
        <v>Row 76 - If ‘DG classification’ is ‘IMDG’ the ‘IMO Hazard Class’ and ‘UN Number’ is mandatory</v>
      </c>
    </row>
    <row r="1584" spans="7:11" x14ac:dyDescent="0.2">
      <c r="G1584" t="b">
        <f>IF(OR(INDEX(IHZ_HAZ_DGCLASSIFI,77,1)="IMDG",),AND(INDEX(IHZ_HAZ_IMOHAZARDC,77,1)&lt;&gt;"",INDEX(IHZ_HAZ_UNNUMBER,77,1)&lt;&gt;""),TRUE)</f>
        <v>1</v>
      </c>
      <c r="H1584" t="str">
        <f t="shared" si="51"/>
        <v>Row 77 - If ‘DG classification’ is ‘IMDG’ the ‘IMO Hazard Class’ and ‘UN Number’ is mandatory</v>
      </c>
      <c r="I1584" t="s">
        <v>33308</v>
      </c>
      <c r="J1584" t="b">
        <f>IF(OR(INDEX(OHZ_HAZ_DGCLASSIFI,77,1)="IMDG",),AND(INDEX(OHZ_HAZ_IMOHAZARDC,77,1)&lt;&gt;"",INDEX(OHZ_HAZ_UNNUMBER,77,1)&lt;&gt;""),TRUE)</f>
        <v>1</v>
      </c>
      <c r="K1584" t="str">
        <f t="shared" si="52"/>
        <v>Row 77 - If ‘DG classification’ is ‘IMDG’ the ‘IMO Hazard Class’ and ‘UN Number’ is mandatory</v>
      </c>
    </row>
    <row r="1585" spans="7:11" x14ac:dyDescent="0.2">
      <c r="G1585" t="b">
        <f>IF(OR(INDEX(IHZ_HAZ_DGCLASSIFI,78,1)="IMDG",),AND(INDEX(IHZ_HAZ_IMOHAZARDC,78,1)&lt;&gt;"",INDEX(IHZ_HAZ_UNNUMBER,78,1)&lt;&gt;""),TRUE)</f>
        <v>1</v>
      </c>
      <c r="H1585" t="str">
        <f t="shared" si="51"/>
        <v>Row 78 - If ‘DG classification’ is ‘IMDG’ the ‘IMO Hazard Class’ and ‘UN Number’ is mandatory</v>
      </c>
      <c r="I1585" t="s">
        <v>33308</v>
      </c>
      <c r="J1585" t="b">
        <f>IF(OR(INDEX(OHZ_HAZ_DGCLASSIFI,78,1)="IMDG",),AND(INDEX(OHZ_HAZ_IMOHAZARDC,78,1)&lt;&gt;"",INDEX(OHZ_HAZ_UNNUMBER,78,1)&lt;&gt;""),TRUE)</f>
        <v>1</v>
      </c>
      <c r="K1585" t="str">
        <f t="shared" si="52"/>
        <v>Row 78 - If ‘DG classification’ is ‘IMDG’ the ‘IMO Hazard Class’ and ‘UN Number’ is mandatory</v>
      </c>
    </row>
    <row r="1586" spans="7:11" x14ac:dyDescent="0.2">
      <c r="G1586" t="b">
        <f>IF(OR(INDEX(IHZ_HAZ_DGCLASSIFI,79,1)="IMDG",),AND(INDEX(IHZ_HAZ_IMOHAZARDC,79,1)&lt;&gt;"",INDEX(IHZ_HAZ_UNNUMBER,79,1)&lt;&gt;""),TRUE)</f>
        <v>1</v>
      </c>
      <c r="H1586" t="str">
        <f t="shared" si="51"/>
        <v>Row 79 - If ‘DG classification’ is ‘IMDG’ the ‘IMO Hazard Class’ and ‘UN Number’ is mandatory</v>
      </c>
      <c r="I1586" t="s">
        <v>33308</v>
      </c>
      <c r="J1586" t="b">
        <f>IF(OR(INDEX(OHZ_HAZ_DGCLASSIFI,79,1)="IMDG",),AND(INDEX(OHZ_HAZ_IMOHAZARDC,79,1)&lt;&gt;"",INDEX(OHZ_HAZ_UNNUMBER,79,1)&lt;&gt;""),TRUE)</f>
        <v>1</v>
      </c>
      <c r="K1586" t="str">
        <f t="shared" si="52"/>
        <v>Row 79 - If ‘DG classification’ is ‘IMDG’ the ‘IMO Hazard Class’ and ‘UN Number’ is mandatory</v>
      </c>
    </row>
    <row r="1587" spans="7:11" x14ac:dyDescent="0.2">
      <c r="G1587" t="b">
        <f>IF(OR(INDEX(IHZ_HAZ_DGCLASSIFI,80,1)="IMDG",),AND(INDEX(IHZ_HAZ_IMOHAZARDC,80,1)&lt;&gt;"",INDEX(IHZ_HAZ_UNNUMBER,80,1)&lt;&gt;""),TRUE)</f>
        <v>1</v>
      </c>
      <c r="H1587" t="str">
        <f t="shared" si="51"/>
        <v>Row 80 - If ‘DG classification’ is ‘IMDG’ the ‘IMO Hazard Class’ and ‘UN Number’ is mandatory</v>
      </c>
      <c r="I1587" t="s">
        <v>33308</v>
      </c>
      <c r="J1587" t="b">
        <f>IF(OR(INDEX(OHZ_HAZ_DGCLASSIFI,80,1)="IMDG",),AND(INDEX(OHZ_HAZ_IMOHAZARDC,80,1)&lt;&gt;"",INDEX(OHZ_HAZ_UNNUMBER,80,1)&lt;&gt;""),TRUE)</f>
        <v>1</v>
      </c>
      <c r="K1587" t="str">
        <f t="shared" si="52"/>
        <v>Row 80 - If ‘DG classification’ is ‘IMDG’ the ‘IMO Hazard Class’ and ‘UN Number’ is mandatory</v>
      </c>
    </row>
    <row r="1588" spans="7:11" x14ac:dyDescent="0.2">
      <c r="G1588" t="b">
        <f>IF(OR(INDEX(IHZ_HAZ_DGCLASSIFI,81,1)="IMDG",),AND(INDEX(IHZ_HAZ_IMOHAZARDC,81,1)&lt;&gt;"",INDEX(IHZ_HAZ_UNNUMBER,81,1)&lt;&gt;""),TRUE)</f>
        <v>1</v>
      </c>
      <c r="H1588" t="str">
        <f t="shared" si="51"/>
        <v>Row 81 - If ‘DG classification’ is ‘IMDG’ the ‘IMO Hazard Class’ and ‘UN Number’ is mandatory</v>
      </c>
      <c r="I1588" t="s">
        <v>33308</v>
      </c>
      <c r="J1588" t="b">
        <f>IF(OR(INDEX(OHZ_HAZ_DGCLASSIFI,81,1)="IMDG",),AND(INDEX(OHZ_HAZ_IMOHAZARDC,81,1)&lt;&gt;"",INDEX(OHZ_HAZ_UNNUMBER,81,1)&lt;&gt;""),TRUE)</f>
        <v>1</v>
      </c>
      <c r="K1588" t="str">
        <f t="shared" si="52"/>
        <v>Row 81 - If ‘DG classification’ is ‘IMDG’ the ‘IMO Hazard Class’ and ‘UN Number’ is mandatory</v>
      </c>
    </row>
    <row r="1589" spans="7:11" x14ac:dyDescent="0.2">
      <c r="G1589" t="b">
        <f>IF(OR(INDEX(IHZ_HAZ_DGCLASSIFI,82,1)="IMDG",),AND(INDEX(IHZ_HAZ_IMOHAZARDC,82,1)&lt;&gt;"",INDEX(IHZ_HAZ_UNNUMBER,82,1)&lt;&gt;""),TRUE)</f>
        <v>1</v>
      </c>
      <c r="H1589" t="str">
        <f t="shared" si="51"/>
        <v>Row 82 - If ‘DG classification’ is ‘IMDG’ the ‘IMO Hazard Class’ and ‘UN Number’ is mandatory</v>
      </c>
      <c r="I1589" t="s">
        <v>33308</v>
      </c>
      <c r="J1589" t="b">
        <f>IF(OR(INDEX(OHZ_HAZ_DGCLASSIFI,82,1)="IMDG",),AND(INDEX(OHZ_HAZ_IMOHAZARDC,82,1)&lt;&gt;"",INDEX(OHZ_HAZ_UNNUMBER,82,1)&lt;&gt;""),TRUE)</f>
        <v>1</v>
      </c>
      <c r="K1589" t="str">
        <f t="shared" si="52"/>
        <v>Row 82 - If ‘DG classification’ is ‘IMDG’ the ‘IMO Hazard Class’ and ‘UN Number’ is mandatory</v>
      </c>
    </row>
    <row r="1590" spans="7:11" x14ac:dyDescent="0.2">
      <c r="G1590" t="b">
        <f>IF(OR(INDEX(IHZ_HAZ_DGCLASSIFI,83,1)="IMDG",),AND(INDEX(IHZ_HAZ_IMOHAZARDC,83,1)&lt;&gt;"",INDEX(IHZ_HAZ_UNNUMBER,83,1)&lt;&gt;""),TRUE)</f>
        <v>1</v>
      </c>
      <c r="H1590" t="str">
        <f t="shared" si="51"/>
        <v>Row 83 - If ‘DG classification’ is ‘IMDG’ the ‘IMO Hazard Class’ and ‘UN Number’ is mandatory</v>
      </c>
      <c r="I1590" t="s">
        <v>33308</v>
      </c>
      <c r="J1590" t="b">
        <f>IF(OR(INDEX(OHZ_HAZ_DGCLASSIFI,83,1)="IMDG",),AND(INDEX(OHZ_HAZ_IMOHAZARDC,83,1)&lt;&gt;"",INDEX(OHZ_HAZ_UNNUMBER,83,1)&lt;&gt;""),TRUE)</f>
        <v>1</v>
      </c>
      <c r="K1590" t="str">
        <f t="shared" si="52"/>
        <v>Row 83 - If ‘DG classification’ is ‘IMDG’ the ‘IMO Hazard Class’ and ‘UN Number’ is mandatory</v>
      </c>
    </row>
    <row r="1591" spans="7:11" x14ac:dyDescent="0.2">
      <c r="G1591" t="b">
        <f>IF(OR(INDEX(IHZ_HAZ_DGCLASSIFI,84,1)="IMDG",),AND(INDEX(IHZ_HAZ_IMOHAZARDC,84,1)&lt;&gt;"",INDEX(IHZ_HAZ_UNNUMBER,84,1)&lt;&gt;""),TRUE)</f>
        <v>1</v>
      </c>
      <c r="H1591" t="str">
        <f t="shared" si="51"/>
        <v>Row 84 - If ‘DG classification’ is ‘IMDG’ the ‘IMO Hazard Class’ and ‘UN Number’ is mandatory</v>
      </c>
      <c r="I1591" t="s">
        <v>33308</v>
      </c>
      <c r="J1591" t="b">
        <f>IF(OR(INDEX(OHZ_HAZ_DGCLASSIFI,84,1)="IMDG",),AND(INDEX(OHZ_HAZ_IMOHAZARDC,84,1)&lt;&gt;"",INDEX(OHZ_HAZ_UNNUMBER,84,1)&lt;&gt;""),TRUE)</f>
        <v>1</v>
      </c>
      <c r="K1591" t="str">
        <f t="shared" si="52"/>
        <v>Row 84 - If ‘DG classification’ is ‘IMDG’ the ‘IMO Hazard Class’ and ‘UN Number’ is mandatory</v>
      </c>
    </row>
    <row r="1592" spans="7:11" x14ac:dyDescent="0.2">
      <c r="G1592" t="b">
        <f>IF(OR(INDEX(IHZ_HAZ_DGCLASSIFI,85,1)="IMDG",),AND(INDEX(IHZ_HAZ_IMOHAZARDC,85,1)&lt;&gt;"",INDEX(IHZ_HAZ_UNNUMBER,85,1)&lt;&gt;""),TRUE)</f>
        <v>1</v>
      </c>
      <c r="H1592" t="str">
        <f t="shared" si="51"/>
        <v>Row 85 - If ‘DG classification’ is ‘IMDG’ the ‘IMO Hazard Class’ and ‘UN Number’ is mandatory</v>
      </c>
      <c r="I1592" t="s">
        <v>33308</v>
      </c>
      <c r="J1592" t="b">
        <f>IF(OR(INDEX(OHZ_HAZ_DGCLASSIFI,85,1)="IMDG",),AND(INDEX(OHZ_HAZ_IMOHAZARDC,85,1)&lt;&gt;"",INDEX(OHZ_HAZ_UNNUMBER,85,1)&lt;&gt;""),TRUE)</f>
        <v>1</v>
      </c>
      <c r="K1592" t="str">
        <f t="shared" si="52"/>
        <v>Row 85 - If ‘DG classification’ is ‘IMDG’ the ‘IMO Hazard Class’ and ‘UN Number’ is mandatory</v>
      </c>
    </row>
    <row r="1593" spans="7:11" x14ac:dyDescent="0.2">
      <c r="G1593" t="b">
        <f>IF(OR(INDEX(IHZ_HAZ_DGCLASSIFI,86,1)="IMDG",),AND(INDEX(IHZ_HAZ_IMOHAZARDC,86,1)&lt;&gt;"",INDEX(IHZ_HAZ_UNNUMBER,86,1)&lt;&gt;""),TRUE)</f>
        <v>1</v>
      </c>
      <c r="H1593" t="str">
        <f t="shared" si="51"/>
        <v>Row 86 - If ‘DG classification’ is ‘IMDG’ the ‘IMO Hazard Class’ and ‘UN Number’ is mandatory</v>
      </c>
      <c r="I1593" t="s">
        <v>33308</v>
      </c>
      <c r="J1593" t="b">
        <f>IF(OR(INDEX(OHZ_HAZ_DGCLASSIFI,86,1)="IMDG",),AND(INDEX(OHZ_HAZ_IMOHAZARDC,86,1)&lt;&gt;"",INDEX(OHZ_HAZ_UNNUMBER,86,1)&lt;&gt;""),TRUE)</f>
        <v>1</v>
      </c>
      <c r="K1593" t="str">
        <f t="shared" si="52"/>
        <v>Row 86 - If ‘DG classification’ is ‘IMDG’ the ‘IMO Hazard Class’ and ‘UN Number’ is mandatory</v>
      </c>
    </row>
    <row r="1594" spans="7:11" x14ac:dyDescent="0.2">
      <c r="G1594" t="b">
        <f>IF(OR(INDEX(IHZ_HAZ_DGCLASSIFI,87,1)="IMDG",),AND(INDEX(IHZ_HAZ_IMOHAZARDC,87,1)&lt;&gt;"",INDEX(IHZ_HAZ_UNNUMBER,87,1)&lt;&gt;""),TRUE)</f>
        <v>1</v>
      </c>
      <c r="H1594" t="str">
        <f t="shared" si="51"/>
        <v>Row 87 - If ‘DG classification’ is ‘IMDG’ the ‘IMO Hazard Class’ and ‘UN Number’ is mandatory</v>
      </c>
      <c r="I1594" t="s">
        <v>33308</v>
      </c>
      <c r="J1594" t="b">
        <f>IF(OR(INDEX(OHZ_HAZ_DGCLASSIFI,87,1)="IMDG",),AND(INDEX(OHZ_HAZ_IMOHAZARDC,87,1)&lt;&gt;"",INDEX(OHZ_HAZ_UNNUMBER,87,1)&lt;&gt;""),TRUE)</f>
        <v>1</v>
      </c>
      <c r="K1594" t="str">
        <f t="shared" si="52"/>
        <v>Row 87 - If ‘DG classification’ is ‘IMDG’ the ‘IMO Hazard Class’ and ‘UN Number’ is mandatory</v>
      </c>
    </row>
    <row r="1595" spans="7:11" x14ac:dyDescent="0.2">
      <c r="G1595" t="b">
        <f>IF(OR(INDEX(IHZ_HAZ_DGCLASSIFI,88,1)="IMDG",),AND(INDEX(IHZ_HAZ_IMOHAZARDC,88,1)&lt;&gt;"",INDEX(IHZ_HAZ_UNNUMBER,88,1)&lt;&gt;""),TRUE)</f>
        <v>1</v>
      </c>
      <c r="H1595" t="str">
        <f t="shared" si="51"/>
        <v>Row 88 - If ‘DG classification’ is ‘IMDG’ the ‘IMO Hazard Class’ and ‘UN Number’ is mandatory</v>
      </c>
      <c r="I1595" t="s">
        <v>33308</v>
      </c>
      <c r="J1595" t="b">
        <f>IF(OR(INDEX(OHZ_HAZ_DGCLASSIFI,88,1)="IMDG",),AND(INDEX(OHZ_HAZ_IMOHAZARDC,88,1)&lt;&gt;"",INDEX(OHZ_HAZ_UNNUMBER,88,1)&lt;&gt;""),TRUE)</f>
        <v>1</v>
      </c>
      <c r="K1595" t="str">
        <f t="shared" si="52"/>
        <v>Row 88 - If ‘DG classification’ is ‘IMDG’ the ‘IMO Hazard Class’ and ‘UN Number’ is mandatory</v>
      </c>
    </row>
    <row r="1596" spans="7:11" x14ac:dyDescent="0.2">
      <c r="G1596" t="b">
        <f>IF(OR(INDEX(IHZ_HAZ_DGCLASSIFI,89,1)="IMDG",),AND(INDEX(IHZ_HAZ_IMOHAZARDC,89,1)&lt;&gt;"",INDEX(IHZ_HAZ_UNNUMBER,89,1)&lt;&gt;""),TRUE)</f>
        <v>1</v>
      </c>
      <c r="H1596" t="str">
        <f t="shared" si="51"/>
        <v>Row 89 - If ‘DG classification’ is ‘IMDG’ the ‘IMO Hazard Class’ and ‘UN Number’ is mandatory</v>
      </c>
      <c r="I1596" t="s">
        <v>33308</v>
      </c>
      <c r="J1596" t="b">
        <f>IF(OR(INDEX(OHZ_HAZ_DGCLASSIFI,89,1)="IMDG",),AND(INDEX(OHZ_HAZ_IMOHAZARDC,89,1)&lt;&gt;"",INDEX(OHZ_HAZ_UNNUMBER,89,1)&lt;&gt;""),TRUE)</f>
        <v>1</v>
      </c>
      <c r="K1596" t="str">
        <f t="shared" si="52"/>
        <v>Row 89 - If ‘DG classification’ is ‘IMDG’ the ‘IMO Hazard Class’ and ‘UN Number’ is mandatory</v>
      </c>
    </row>
    <row r="1597" spans="7:11" x14ac:dyDescent="0.2">
      <c r="G1597" t="b">
        <f>IF(OR(INDEX(IHZ_HAZ_DGCLASSIFI,90,1)="IMDG",),AND(INDEX(IHZ_HAZ_IMOHAZARDC,90,1)&lt;&gt;"",INDEX(IHZ_HAZ_UNNUMBER,90,1)&lt;&gt;""),TRUE)</f>
        <v>1</v>
      </c>
      <c r="H1597" t="str">
        <f t="shared" si="51"/>
        <v>Row 90 - If ‘DG classification’ is ‘IMDG’ the ‘IMO Hazard Class’ and ‘UN Number’ is mandatory</v>
      </c>
      <c r="I1597" t="s">
        <v>33308</v>
      </c>
      <c r="J1597" t="b">
        <f>IF(OR(INDEX(OHZ_HAZ_DGCLASSIFI,90,1)="IMDG",),AND(INDEX(OHZ_HAZ_IMOHAZARDC,90,1)&lt;&gt;"",INDEX(OHZ_HAZ_UNNUMBER,90,1)&lt;&gt;""),TRUE)</f>
        <v>1</v>
      </c>
      <c r="K1597" t="str">
        <f t="shared" si="52"/>
        <v>Row 90 - If ‘DG classification’ is ‘IMDG’ the ‘IMO Hazard Class’ and ‘UN Number’ is mandatory</v>
      </c>
    </row>
    <row r="1598" spans="7:11" x14ac:dyDescent="0.2">
      <c r="G1598" t="b">
        <f>IF(OR(INDEX(IHZ_HAZ_DGCLASSIFI,91,1)="IMDG",),AND(INDEX(IHZ_HAZ_IMOHAZARDC,91,1)&lt;&gt;"",INDEX(IHZ_HAZ_UNNUMBER,91,1)&lt;&gt;""),TRUE)</f>
        <v>1</v>
      </c>
      <c r="H1598" t="str">
        <f t="shared" si="51"/>
        <v>Row 91 - If ‘DG classification’ is ‘IMDG’ the ‘IMO Hazard Class’ and ‘UN Number’ is mandatory</v>
      </c>
      <c r="I1598" t="s">
        <v>33308</v>
      </c>
      <c r="J1598" t="b">
        <f>IF(OR(INDEX(OHZ_HAZ_DGCLASSIFI,91,1)="IMDG",),AND(INDEX(OHZ_HAZ_IMOHAZARDC,91,1)&lt;&gt;"",INDEX(OHZ_HAZ_UNNUMBER,91,1)&lt;&gt;""),TRUE)</f>
        <v>1</v>
      </c>
      <c r="K1598" t="str">
        <f t="shared" si="52"/>
        <v>Row 91 - If ‘DG classification’ is ‘IMDG’ the ‘IMO Hazard Class’ and ‘UN Number’ is mandatory</v>
      </c>
    </row>
    <row r="1599" spans="7:11" x14ac:dyDescent="0.2">
      <c r="G1599" t="b">
        <f>IF(OR(INDEX(IHZ_HAZ_DGCLASSIFI,92,1)="IMDG",),AND(INDEX(IHZ_HAZ_IMOHAZARDC,92,1)&lt;&gt;"",INDEX(IHZ_HAZ_UNNUMBER,92,1)&lt;&gt;""),TRUE)</f>
        <v>1</v>
      </c>
      <c r="H1599" t="str">
        <f t="shared" si="51"/>
        <v>Row 92 - If ‘DG classification’ is ‘IMDG’ the ‘IMO Hazard Class’ and ‘UN Number’ is mandatory</v>
      </c>
      <c r="I1599" t="s">
        <v>33308</v>
      </c>
      <c r="J1599" t="b">
        <f>IF(OR(INDEX(OHZ_HAZ_DGCLASSIFI,92,1)="IMDG",),AND(INDEX(OHZ_HAZ_IMOHAZARDC,92,1)&lt;&gt;"",INDEX(OHZ_HAZ_UNNUMBER,92,1)&lt;&gt;""),TRUE)</f>
        <v>1</v>
      </c>
      <c r="K1599" t="str">
        <f t="shared" si="52"/>
        <v>Row 92 - If ‘DG classification’ is ‘IMDG’ the ‘IMO Hazard Class’ and ‘UN Number’ is mandatory</v>
      </c>
    </row>
    <row r="1600" spans="7:11" x14ac:dyDescent="0.2">
      <c r="G1600" t="b">
        <f>IF(OR(INDEX(IHZ_HAZ_DGCLASSIFI,93,1)="IMDG",),AND(INDEX(IHZ_HAZ_IMOHAZARDC,93,1)&lt;&gt;"",INDEX(IHZ_HAZ_UNNUMBER,93,1)&lt;&gt;""),TRUE)</f>
        <v>1</v>
      </c>
      <c r="H1600" t="str">
        <f t="shared" si="51"/>
        <v>Row 93 - If ‘DG classification’ is ‘IMDG’ the ‘IMO Hazard Class’ and ‘UN Number’ is mandatory</v>
      </c>
      <c r="I1600" t="s">
        <v>33308</v>
      </c>
      <c r="J1600" t="b">
        <f>IF(OR(INDEX(OHZ_HAZ_DGCLASSIFI,93,1)="IMDG",),AND(INDEX(OHZ_HAZ_IMOHAZARDC,93,1)&lt;&gt;"",INDEX(OHZ_HAZ_UNNUMBER,93,1)&lt;&gt;""),TRUE)</f>
        <v>1</v>
      </c>
      <c r="K1600" t="str">
        <f t="shared" si="52"/>
        <v>Row 93 - If ‘DG classification’ is ‘IMDG’ the ‘IMO Hazard Class’ and ‘UN Number’ is mandatory</v>
      </c>
    </row>
    <row r="1601" spans="7:11" x14ac:dyDescent="0.2">
      <c r="G1601" t="b">
        <f>IF(OR(INDEX(IHZ_HAZ_DGCLASSIFI,94,1)="IMDG",),AND(INDEX(IHZ_HAZ_IMOHAZARDC,94,1)&lt;&gt;"",INDEX(IHZ_HAZ_UNNUMBER,94,1)&lt;&gt;""),TRUE)</f>
        <v>1</v>
      </c>
      <c r="H1601" t="str">
        <f t="shared" si="51"/>
        <v>Row 94 - If ‘DG classification’ is ‘IMDG’ the ‘IMO Hazard Class’ and ‘UN Number’ is mandatory</v>
      </c>
      <c r="I1601" t="s">
        <v>33308</v>
      </c>
      <c r="J1601" t="b">
        <f>IF(OR(INDEX(OHZ_HAZ_DGCLASSIFI,94,1)="IMDG",),AND(INDEX(OHZ_HAZ_IMOHAZARDC,94,1)&lt;&gt;"",INDEX(OHZ_HAZ_UNNUMBER,94,1)&lt;&gt;""),TRUE)</f>
        <v>1</v>
      </c>
      <c r="K1601" t="str">
        <f t="shared" si="52"/>
        <v>Row 94 - If ‘DG classification’ is ‘IMDG’ the ‘IMO Hazard Class’ and ‘UN Number’ is mandatory</v>
      </c>
    </row>
    <row r="1602" spans="7:11" x14ac:dyDescent="0.2">
      <c r="G1602" t="b">
        <f>IF(OR(INDEX(IHZ_HAZ_DGCLASSIFI,95,1)="IMDG",),AND(INDEX(IHZ_HAZ_IMOHAZARDC,95,1)&lt;&gt;"",INDEX(IHZ_HAZ_UNNUMBER,95,1)&lt;&gt;""),TRUE)</f>
        <v>1</v>
      </c>
      <c r="H1602" t="str">
        <f t="shared" si="51"/>
        <v>Row 95 - If ‘DG classification’ is ‘IMDG’ the ‘IMO Hazard Class’ and ‘UN Number’ is mandatory</v>
      </c>
      <c r="I1602" t="s">
        <v>33308</v>
      </c>
      <c r="J1602" t="b">
        <f>IF(OR(INDEX(OHZ_HAZ_DGCLASSIFI,95,1)="IMDG",),AND(INDEX(OHZ_HAZ_IMOHAZARDC,95,1)&lt;&gt;"",INDEX(OHZ_HAZ_UNNUMBER,95,1)&lt;&gt;""),TRUE)</f>
        <v>1</v>
      </c>
      <c r="K1602" t="str">
        <f t="shared" si="52"/>
        <v>Row 95 - If ‘DG classification’ is ‘IMDG’ the ‘IMO Hazard Class’ and ‘UN Number’ is mandatory</v>
      </c>
    </row>
    <row r="1603" spans="7:11" x14ac:dyDescent="0.2">
      <c r="G1603" t="b">
        <f>IF(OR(INDEX(IHZ_HAZ_DGCLASSIFI,96,1)="IMDG",),AND(INDEX(IHZ_HAZ_IMOHAZARDC,96,1)&lt;&gt;"",INDEX(IHZ_HAZ_UNNUMBER,96,1)&lt;&gt;""),TRUE)</f>
        <v>1</v>
      </c>
      <c r="H1603" t="str">
        <f t="shared" si="51"/>
        <v>Row 96 - If ‘DG classification’ is ‘IMDG’ the ‘IMO Hazard Class’ and ‘UN Number’ is mandatory</v>
      </c>
      <c r="I1603" t="s">
        <v>33308</v>
      </c>
      <c r="J1603" t="b">
        <f>IF(OR(INDEX(OHZ_HAZ_DGCLASSIFI,96,1)="IMDG",),AND(INDEX(OHZ_HAZ_IMOHAZARDC,96,1)&lt;&gt;"",INDEX(OHZ_HAZ_UNNUMBER,96,1)&lt;&gt;""),TRUE)</f>
        <v>1</v>
      </c>
      <c r="K1603" t="str">
        <f t="shared" si="52"/>
        <v>Row 96 - If ‘DG classification’ is ‘IMDG’ the ‘IMO Hazard Class’ and ‘UN Number’ is mandatory</v>
      </c>
    </row>
    <row r="1604" spans="7:11" x14ac:dyDescent="0.2">
      <c r="G1604" t="b">
        <f>IF(OR(INDEX(IHZ_HAZ_DGCLASSIFI,97,1)="IMDG",),AND(INDEX(IHZ_HAZ_IMOHAZARDC,97,1)&lt;&gt;"",INDEX(IHZ_HAZ_UNNUMBER,97,1)&lt;&gt;""),TRUE)</f>
        <v>1</v>
      </c>
      <c r="H1604" t="str">
        <f t="shared" si="51"/>
        <v>Row 97 - If ‘DG classification’ is ‘IMDG’ the ‘IMO Hazard Class’ and ‘UN Number’ is mandatory</v>
      </c>
      <c r="I1604" t="s">
        <v>33308</v>
      </c>
      <c r="J1604" t="b">
        <f>IF(OR(INDEX(OHZ_HAZ_DGCLASSIFI,97,1)="IMDG",),AND(INDEX(OHZ_HAZ_IMOHAZARDC,97,1)&lt;&gt;"",INDEX(OHZ_HAZ_UNNUMBER,97,1)&lt;&gt;""),TRUE)</f>
        <v>1</v>
      </c>
      <c r="K1604" t="str">
        <f t="shared" si="52"/>
        <v>Row 97 - If ‘DG classification’ is ‘IMDG’ the ‘IMO Hazard Class’ and ‘UN Number’ is mandatory</v>
      </c>
    </row>
    <row r="1605" spans="7:11" x14ac:dyDescent="0.2">
      <c r="G1605" t="b">
        <f>IF(OR(INDEX(IHZ_HAZ_DGCLASSIFI,98,1)="IMDG",),AND(INDEX(IHZ_HAZ_IMOHAZARDC,98,1)&lt;&gt;"",INDEX(IHZ_HAZ_UNNUMBER,98,1)&lt;&gt;""),TRUE)</f>
        <v>1</v>
      </c>
      <c r="H1605" t="str">
        <f t="shared" si="51"/>
        <v>Row 98 - If ‘DG classification’ is ‘IMDG’ the ‘IMO Hazard Class’ and ‘UN Number’ is mandatory</v>
      </c>
      <c r="I1605" t="s">
        <v>33308</v>
      </c>
      <c r="J1605" t="b">
        <f>IF(OR(INDEX(OHZ_HAZ_DGCLASSIFI,98,1)="IMDG",),AND(INDEX(OHZ_HAZ_IMOHAZARDC,98,1)&lt;&gt;"",INDEX(OHZ_HAZ_UNNUMBER,98,1)&lt;&gt;""),TRUE)</f>
        <v>1</v>
      </c>
      <c r="K1605" t="str">
        <f t="shared" si="52"/>
        <v>Row 98 - If ‘DG classification’ is ‘IMDG’ the ‘IMO Hazard Class’ and ‘UN Number’ is mandatory</v>
      </c>
    </row>
    <row r="1606" spans="7:11" x14ac:dyDescent="0.2">
      <c r="G1606" t="b">
        <f>IF(OR(INDEX(IHZ_HAZ_DGCLASSIFI,99,1)="IMDG",),AND(INDEX(IHZ_HAZ_IMOHAZARDC,99,1)&lt;&gt;"",INDEX(IHZ_HAZ_UNNUMBER,99,1)&lt;&gt;""),TRUE)</f>
        <v>1</v>
      </c>
      <c r="H1606" t="str">
        <f t="shared" si="51"/>
        <v>Row 99 - If ‘DG classification’ is ‘IMDG’ the ‘IMO Hazard Class’ and ‘UN Number’ is mandatory</v>
      </c>
      <c r="I1606" t="s">
        <v>33308</v>
      </c>
      <c r="J1606" t="b">
        <f>IF(OR(INDEX(OHZ_HAZ_DGCLASSIFI,99,1)="IMDG",),AND(INDEX(OHZ_HAZ_IMOHAZARDC,99,1)&lt;&gt;"",INDEX(OHZ_HAZ_UNNUMBER,99,1)&lt;&gt;""),TRUE)</f>
        <v>1</v>
      </c>
      <c r="K1606" t="str">
        <f t="shared" si="52"/>
        <v>Row 99 - If ‘DG classification’ is ‘IMDG’ the ‘IMO Hazard Class’ and ‘UN Number’ is mandatory</v>
      </c>
    </row>
    <row r="1607" spans="7:11" x14ac:dyDescent="0.2">
      <c r="G1607" t="b">
        <f>IF(OR(INDEX(IHZ_HAZ_DGCLASSIFI,100,1)="IMDG",),AND(INDEX(IHZ_HAZ_IMOHAZARDC,100,1)&lt;&gt;"",INDEX(IHZ_HAZ_UNNUMBER,100,1)&lt;&gt;""),TRUE)</f>
        <v>1</v>
      </c>
      <c r="H1607" t="str">
        <f t="shared" si="51"/>
        <v>Row 100 - If ‘DG classification’ is ‘IMDG’ the ‘IMO Hazard Class’ and ‘UN Number’ is mandatory</v>
      </c>
      <c r="I1607" t="s">
        <v>33308</v>
      </c>
      <c r="J1607" t="b">
        <f>IF(OR(INDEX(OHZ_HAZ_DGCLASSIFI,100,1)="IMDG",),AND(INDEX(OHZ_HAZ_IMOHAZARDC,100,1)&lt;&gt;"",INDEX(OHZ_HAZ_UNNUMBER,100,1)&lt;&gt;""),TRUE)</f>
        <v>1</v>
      </c>
      <c r="K1607" t="str">
        <f t="shared" si="52"/>
        <v>Row 100 - If ‘DG classification’ is ‘IMDG’ the ‘IMO Hazard Class’ and ‘UN Number’ is mandatory</v>
      </c>
    </row>
    <row r="1608" spans="7:11" x14ac:dyDescent="0.2">
      <c r="G1608" t="b">
        <f>IF(OR(INDEX(IHZ_HAZ_DGCLASSIFI,101,1)="IMDG",),AND(INDEX(IHZ_HAZ_IMOHAZARDC,101,1)&lt;&gt;"",INDEX(IHZ_HAZ_UNNUMBER,101,1)&lt;&gt;""),TRUE)</f>
        <v>1</v>
      </c>
      <c r="H1608" t="str">
        <f t="shared" si="51"/>
        <v>Row 101 - If ‘DG classification’ is ‘IMDG’ the ‘IMO Hazard Class’ and ‘UN Number’ is mandatory</v>
      </c>
      <c r="I1608" t="s">
        <v>33308</v>
      </c>
      <c r="J1608" t="b">
        <f>IF(OR(INDEX(OHZ_HAZ_DGCLASSIFI,101,1)="IMDG",),AND(INDEX(OHZ_HAZ_IMOHAZARDC,101,1)&lt;&gt;"",INDEX(OHZ_HAZ_UNNUMBER,101,1)&lt;&gt;""),TRUE)</f>
        <v>1</v>
      </c>
      <c r="K1608" t="str">
        <f t="shared" si="52"/>
        <v>Row 101 - If ‘DG classification’ is ‘IMDG’ the ‘IMO Hazard Class’ and ‘UN Number’ is mandatory</v>
      </c>
    </row>
    <row r="1609" spans="7:11" x14ac:dyDescent="0.2">
      <c r="G1609" t="b">
        <f>IF(OR(INDEX(IHZ_HAZ_DGCLASSIFI,102,1)="IMDG",),AND(INDEX(IHZ_HAZ_IMOHAZARDC,102,1)&lt;&gt;"",INDEX(IHZ_HAZ_UNNUMBER,102,1)&lt;&gt;""),TRUE)</f>
        <v>1</v>
      </c>
      <c r="H1609" t="str">
        <f t="shared" si="51"/>
        <v>Row 102 - If ‘DG classification’ is ‘IMDG’ the ‘IMO Hazard Class’ and ‘UN Number’ is mandatory</v>
      </c>
      <c r="I1609" t="s">
        <v>33308</v>
      </c>
      <c r="J1609" t="b">
        <f>IF(OR(INDEX(OHZ_HAZ_DGCLASSIFI,102,1)="IMDG",),AND(INDEX(OHZ_HAZ_IMOHAZARDC,102,1)&lt;&gt;"",INDEX(OHZ_HAZ_UNNUMBER,102,1)&lt;&gt;""),TRUE)</f>
        <v>1</v>
      </c>
      <c r="K1609" t="str">
        <f t="shared" si="52"/>
        <v>Row 102 - If ‘DG classification’ is ‘IMDG’ the ‘IMO Hazard Class’ and ‘UN Number’ is mandatory</v>
      </c>
    </row>
    <row r="1610" spans="7:11" x14ac:dyDescent="0.2">
      <c r="G1610" t="b">
        <f>IF(OR(INDEX(IHZ_HAZ_DGCLASSIFI,103,1)="IMDG",),AND(INDEX(IHZ_HAZ_IMOHAZARDC,103,1)&lt;&gt;"",INDEX(IHZ_HAZ_UNNUMBER,103,1)&lt;&gt;""),TRUE)</f>
        <v>1</v>
      </c>
      <c r="H1610" t="str">
        <f t="shared" si="51"/>
        <v>Row 103 - If ‘DG classification’ is ‘IMDG’ the ‘IMO Hazard Class’ and ‘UN Number’ is mandatory</v>
      </c>
      <c r="I1610" t="s">
        <v>33308</v>
      </c>
      <c r="J1610" t="b">
        <f>IF(OR(INDEX(OHZ_HAZ_DGCLASSIFI,103,1)="IMDG",),AND(INDEX(OHZ_HAZ_IMOHAZARDC,103,1)&lt;&gt;"",INDEX(OHZ_HAZ_UNNUMBER,103,1)&lt;&gt;""),TRUE)</f>
        <v>1</v>
      </c>
      <c r="K1610" t="str">
        <f t="shared" si="52"/>
        <v>Row 103 - If ‘DG classification’ is ‘IMDG’ the ‘IMO Hazard Class’ and ‘UN Number’ is mandatory</v>
      </c>
    </row>
    <row r="1611" spans="7:11" x14ac:dyDescent="0.2">
      <c r="G1611" t="b">
        <f>IF(OR(INDEX(IHZ_HAZ_DGCLASSIFI,104,1)="IMDG",),AND(INDEX(IHZ_HAZ_IMOHAZARDC,104,1)&lt;&gt;"",INDEX(IHZ_HAZ_UNNUMBER,104,1)&lt;&gt;""),TRUE)</f>
        <v>1</v>
      </c>
      <c r="H1611" t="str">
        <f t="shared" si="51"/>
        <v>Row 104 - If ‘DG classification’ is ‘IMDG’ the ‘IMO Hazard Class’ and ‘UN Number’ is mandatory</v>
      </c>
      <c r="I1611" t="s">
        <v>33308</v>
      </c>
      <c r="J1611" t="b">
        <f>IF(OR(INDEX(OHZ_HAZ_DGCLASSIFI,104,1)="IMDG",),AND(INDEX(OHZ_HAZ_IMOHAZARDC,104,1)&lt;&gt;"",INDEX(OHZ_HAZ_UNNUMBER,104,1)&lt;&gt;""),TRUE)</f>
        <v>1</v>
      </c>
      <c r="K1611" t="str">
        <f t="shared" si="52"/>
        <v>Row 104 - If ‘DG classification’ is ‘IMDG’ the ‘IMO Hazard Class’ and ‘UN Number’ is mandatory</v>
      </c>
    </row>
    <row r="1612" spans="7:11" x14ac:dyDescent="0.2">
      <c r="G1612" t="b">
        <f>IF(OR(INDEX(IHZ_HAZ_DGCLASSIFI,105,1)="IMDG",),AND(INDEX(IHZ_HAZ_IMOHAZARDC,105,1)&lt;&gt;"",INDEX(IHZ_HAZ_UNNUMBER,105,1)&lt;&gt;""),TRUE)</f>
        <v>1</v>
      </c>
      <c r="H1612" t="str">
        <f t="shared" si="51"/>
        <v>Row 105 - If ‘DG classification’ is ‘IMDG’ the ‘IMO Hazard Class’ and ‘UN Number’ is mandatory</v>
      </c>
      <c r="I1612" t="s">
        <v>33308</v>
      </c>
      <c r="J1612" t="b">
        <f>IF(OR(INDEX(OHZ_HAZ_DGCLASSIFI,105,1)="IMDG",),AND(INDEX(OHZ_HAZ_IMOHAZARDC,105,1)&lt;&gt;"",INDEX(OHZ_HAZ_UNNUMBER,105,1)&lt;&gt;""),TRUE)</f>
        <v>1</v>
      </c>
      <c r="K1612" t="str">
        <f t="shared" si="52"/>
        <v>Row 105 - If ‘DG classification’ is ‘IMDG’ the ‘IMO Hazard Class’ and ‘UN Number’ is mandatory</v>
      </c>
    </row>
    <row r="1613" spans="7:11" x14ac:dyDescent="0.2">
      <c r="G1613" t="b">
        <f>IF(OR(INDEX(IHZ_HAZ_DGCLASSIFI,106,1)="IMDG",),AND(INDEX(IHZ_HAZ_IMOHAZARDC,106,1)&lt;&gt;"",INDEX(IHZ_HAZ_UNNUMBER,106,1)&lt;&gt;""),TRUE)</f>
        <v>1</v>
      </c>
      <c r="H1613" t="str">
        <f t="shared" si="51"/>
        <v>Row 106 - If ‘DG classification’ is ‘IMDG’ the ‘IMO Hazard Class’ and ‘UN Number’ is mandatory</v>
      </c>
      <c r="I1613" t="s">
        <v>33308</v>
      </c>
      <c r="J1613" t="b">
        <f>IF(OR(INDEX(OHZ_HAZ_DGCLASSIFI,106,1)="IMDG",),AND(INDEX(OHZ_HAZ_IMOHAZARDC,106,1)&lt;&gt;"",INDEX(OHZ_HAZ_UNNUMBER,106,1)&lt;&gt;""),TRUE)</f>
        <v>1</v>
      </c>
      <c r="K1613" t="str">
        <f t="shared" si="52"/>
        <v>Row 106 - If ‘DG classification’ is ‘IMDG’ the ‘IMO Hazard Class’ and ‘UN Number’ is mandatory</v>
      </c>
    </row>
    <row r="1614" spans="7:11" x14ac:dyDescent="0.2">
      <c r="G1614" t="b">
        <f>IF(OR(INDEX(IHZ_HAZ_DGCLASSIFI,107,1)="IMDG",),AND(INDEX(IHZ_HAZ_IMOHAZARDC,107,1)&lt;&gt;"",INDEX(IHZ_HAZ_UNNUMBER,107,1)&lt;&gt;""),TRUE)</f>
        <v>1</v>
      </c>
      <c r="H1614" t="str">
        <f t="shared" si="51"/>
        <v>Row 107 - If ‘DG classification’ is ‘IMDG’ the ‘IMO Hazard Class’ and ‘UN Number’ is mandatory</v>
      </c>
      <c r="I1614" t="s">
        <v>33308</v>
      </c>
      <c r="J1614" t="b">
        <f>IF(OR(INDEX(OHZ_HAZ_DGCLASSIFI,107,1)="IMDG",),AND(INDEX(OHZ_HAZ_IMOHAZARDC,107,1)&lt;&gt;"",INDEX(OHZ_HAZ_UNNUMBER,107,1)&lt;&gt;""),TRUE)</f>
        <v>1</v>
      </c>
      <c r="K1614" t="str">
        <f t="shared" si="52"/>
        <v>Row 107 - If ‘DG classification’ is ‘IMDG’ the ‘IMO Hazard Class’ and ‘UN Number’ is mandatory</v>
      </c>
    </row>
    <row r="1615" spans="7:11" x14ac:dyDescent="0.2">
      <c r="G1615" t="b">
        <f>IF(OR(INDEX(IHZ_HAZ_DGCLASSIFI,108,1)="IMDG",),AND(INDEX(IHZ_HAZ_IMOHAZARDC,108,1)&lt;&gt;"",INDEX(IHZ_HAZ_UNNUMBER,108,1)&lt;&gt;""),TRUE)</f>
        <v>1</v>
      </c>
      <c r="H1615" t="str">
        <f t="shared" si="51"/>
        <v>Row 108 - If ‘DG classification’ is ‘IMDG’ the ‘IMO Hazard Class’ and ‘UN Number’ is mandatory</v>
      </c>
      <c r="I1615" t="s">
        <v>33308</v>
      </c>
      <c r="J1615" t="b">
        <f>IF(OR(INDEX(OHZ_HAZ_DGCLASSIFI,108,1)="IMDG",),AND(INDEX(OHZ_HAZ_IMOHAZARDC,108,1)&lt;&gt;"",INDEX(OHZ_HAZ_UNNUMBER,108,1)&lt;&gt;""),TRUE)</f>
        <v>1</v>
      </c>
      <c r="K1615" t="str">
        <f t="shared" si="52"/>
        <v>Row 108 - If ‘DG classification’ is ‘IMDG’ the ‘IMO Hazard Class’ and ‘UN Number’ is mandatory</v>
      </c>
    </row>
    <row r="1616" spans="7:11" x14ac:dyDescent="0.2">
      <c r="G1616" t="b">
        <f>IF(OR(INDEX(IHZ_HAZ_DGCLASSIFI,109,1)="IMDG",),AND(INDEX(IHZ_HAZ_IMOHAZARDC,109,1)&lt;&gt;"",INDEX(IHZ_HAZ_UNNUMBER,109,1)&lt;&gt;""),TRUE)</f>
        <v>1</v>
      </c>
      <c r="H1616" t="str">
        <f t="shared" si="51"/>
        <v>Row 109 - If ‘DG classification’ is ‘IMDG’ the ‘IMO Hazard Class’ and ‘UN Number’ is mandatory</v>
      </c>
      <c r="I1616" t="s">
        <v>33308</v>
      </c>
      <c r="J1616" t="b">
        <f>IF(OR(INDEX(OHZ_HAZ_DGCLASSIFI,109,1)="IMDG",),AND(INDEX(OHZ_HAZ_IMOHAZARDC,109,1)&lt;&gt;"",INDEX(OHZ_HAZ_UNNUMBER,109,1)&lt;&gt;""),TRUE)</f>
        <v>1</v>
      </c>
      <c r="K1616" t="str">
        <f t="shared" si="52"/>
        <v>Row 109 - If ‘DG classification’ is ‘IMDG’ the ‘IMO Hazard Class’ and ‘UN Number’ is mandatory</v>
      </c>
    </row>
    <row r="1617" spans="7:11" x14ac:dyDescent="0.2">
      <c r="G1617" t="b">
        <f>IF(OR(INDEX(IHZ_HAZ_DGCLASSIFI,110,1)="IMDG",),AND(INDEX(IHZ_HAZ_IMOHAZARDC,110,1)&lt;&gt;"",INDEX(IHZ_HAZ_UNNUMBER,110,1)&lt;&gt;""),TRUE)</f>
        <v>1</v>
      </c>
      <c r="H1617" t="str">
        <f t="shared" si="51"/>
        <v>Row 110 - If ‘DG classification’ is ‘IMDG’ the ‘IMO Hazard Class’ and ‘UN Number’ is mandatory</v>
      </c>
      <c r="I1617" t="s">
        <v>33308</v>
      </c>
      <c r="J1617" t="b">
        <f>IF(OR(INDEX(OHZ_HAZ_DGCLASSIFI,110,1)="IMDG",),AND(INDEX(OHZ_HAZ_IMOHAZARDC,110,1)&lt;&gt;"",INDEX(OHZ_HAZ_UNNUMBER,110,1)&lt;&gt;""),TRUE)</f>
        <v>1</v>
      </c>
      <c r="K1617" t="str">
        <f t="shared" si="52"/>
        <v>Row 110 - If ‘DG classification’ is ‘IMDG’ the ‘IMO Hazard Class’ and ‘UN Number’ is mandatory</v>
      </c>
    </row>
    <row r="1618" spans="7:11" x14ac:dyDescent="0.2">
      <c r="G1618" t="b">
        <f>IF(OR(INDEX(IHZ_HAZ_DGCLASSIFI,111,1)="IMDG",),AND(INDEX(IHZ_HAZ_IMOHAZARDC,111,1)&lt;&gt;"",INDEX(IHZ_HAZ_UNNUMBER,111,1)&lt;&gt;""),TRUE)</f>
        <v>1</v>
      </c>
      <c r="H1618" t="str">
        <f t="shared" si="51"/>
        <v>Row 111 - If ‘DG classification’ is ‘IMDG’ the ‘IMO Hazard Class’ and ‘UN Number’ is mandatory</v>
      </c>
      <c r="I1618" t="s">
        <v>33308</v>
      </c>
      <c r="J1618" t="b">
        <f>IF(OR(INDEX(OHZ_HAZ_DGCLASSIFI,111,1)="IMDG",),AND(INDEX(OHZ_HAZ_IMOHAZARDC,111,1)&lt;&gt;"",INDEX(OHZ_HAZ_UNNUMBER,111,1)&lt;&gt;""),TRUE)</f>
        <v>1</v>
      </c>
      <c r="K1618" t="str">
        <f t="shared" si="52"/>
        <v>Row 111 - If ‘DG classification’ is ‘IMDG’ the ‘IMO Hazard Class’ and ‘UN Number’ is mandatory</v>
      </c>
    </row>
    <row r="1619" spans="7:11" x14ac:dyDescent="0.2">
      <c r="G1619" t="b">
        <f>IF(OR(INDEX(IHZ_HAZ_DGCLASSIFI,112,1)="IMDG",),AND(INDEX(IHZ_HAZ_IMOHAZARDC,112,1)&lt;&gt;"",INDEX(IHZ_HAZ_UNNUMBER,112,1)&lt;&gt;""),TRUE)</f>
        <v>1</v>
      </c>
      <c r="H1619" t="str">
        <f t="shared" si="51"/>
        <v>Row 112 - If ‘DG classification’ is ‘IMDG’ the ‘IMO Hazard Class’ and ‘UN Number’ is mandatory</v>
      </c>
      <c r="I1619" t="s">
        <v>33308</v>
      </c>
      <c r="J1619" t="b">
        <f>IF(OR(INDEX(OHZ_HAZ_DGCLASSIFI,112,1)="IMDG",),AND(INDEX(OHZ_HAZ_IMOHAZARDC,112,1)&lt;&gt;"",INDEX(OHZ_HAZ_UNNUMBER,112,1)&lt;&gt;""),TRUE)</f>
        <v>1</v>
      </c>
      <c r="K1619" t="str">
        <f t="shared" si="52"/>
        <v>Row 112 - If ‘DG classification’ is ‘IMDG’ the ‘IMO Hazard Class’ and ‘UN Number’ is mandatory</v>
      </c>
    </row>
    <row r="1620" spans="7:11" x14ac:dyDescent="0.2">
      <c r="G1620" t="b">
        <f>IF(OR(INDEX(IHZ_HAZ_DGCLASSIFI,113,1)="IMDG",),AND(INDEX(IHZ_HAZ_IMOHAZARDC,113,1)&lt;&gt;"",INDEX(IHZ_HAZ_UNNUMBER,113,1)&lt;&gt;""),TRUE)</f>
        <v>1</v>
      </c>
      <c r="H1620" t="str">
        <f t="shared" si="51"/>
        <v>Row 113 - If ‘DG classification’ is ‘IMDG’ the ‘IMO Hazard Class’ and ‘UN Number’ is mandatory</v>
      </c>
      <c r="I1620" t="s">
        <v>33308</v>
      </c>
      <c r="J1620" t="b">
        <f>IF(OR(INDEX(OHZ_HAZ_DGCLASSIFI,113,1)="IMDG",),AND(INDEX(OHZ_HAZ_IMOHAZARDC,113,1)&lt;&gt;"",INDEX(OHZ_HAZ_UNNUMBER,113,1)&lt;&gt;""),TRUE)</f>
        <v>1</v>
      </c>
      <c r="K1620" t="str">
        <f t="shared" si="52"/>
        <v>Row 113 - If ‘DG classification’ is ‘IMDG’ the ‘IMO Hazard Class’ and ‘UN Number’ is mandatory</v>
      </c>
    </row>
    <row r="1621" spans="7:11" x14ac:dyDescent="0.2">
      <c r="G1621" t="b">
        <f>IF(OR(INDEX(IHZ_HAZ_DGCLASSIFI,114,1)="IMDG",),AND(INDEX(IHZ_HAZ_IMOHAZARDC,114,1)&lt;&gt;"",INDEX(IHZ_HAZ_UNNUMBER,114,1)&lt;&gt;""),TRUE)</f>
        <v>1</v>
      </c>
      <c r="H1621" t="str">
        <f t="shared" si="51"/>
        <v>Row 114 - If ‘DG classification’ is ‘IMDG’ the ‘IMO Hazard Class’ and ‘UN Number’ is mandatory</v>
      </c>
      <c r="I1621" t="s">
        <v>33308</v>
      </c>
      <c r="J1621" t="b">
        <f>IF(OR(INDEX(OHZ_HAZ_DGCLASSIFI,114,1)="IMDG",),AND(INDEX(OHZ_HAZ_IMOHAZARDC,114,1)&lt;&gt;"",INDEX(OHZ_HAZ_UNNUMBER,114,1)&lt;&gt;""),TRUE)</f>
        <v>1</v>
      </c>
      <c r="K1621" t="str">
        <f t="shared" si="52"/>
        <v>Row 114 - If ‘DG classification’ is ‘IMDG’ the ‘IMO Hazard Class’ and ‘UN Number’ is mandatory</v>
      </c>
    </row>
    <row r="1622" spans="7:11" x14ac:dyDescent="0.2">
      <c r="G1622" t="b">
        <f>IF(OR(INDEX(IHZ_HAZ_DGCLASSIFI,115,1)="IMDG",),AND(INDEX(IHZ_HAZ_IMOHAZARDC,115,1)&lt;&gt;"",INDEX(IHZ_HAZ_UNNUMBER,115,1)&lt;&gt;""),TRUE)</f>
        <v>1</v>
      </c>
      <c r="H1622" t="str">
        <f t="shared" si="51"/>
        <v>Row 115 - If ‘DG classification’ is ‘IMDG’ the ‘IMO Hazard Class’ and ‘UN Number’ is mandatory</v>
      </c>
      <c r="I1622" t="s">
        <v>33308</v>
      </c>
      <c r="J1622" t="b">
        <f>IF(OR(INDEX(OHZ_HAZ_DGCLASSIFI,115,1)="IMDG",),AND(INDEX(OHZ_HAZ_IMOHAZARDC,115,1)&lt;&gt;"",INDEX(OHZ_HAZ_UNNUMBER,115,1)&lt;&gt;""),TRUE)</f>
        <v>1</v>
      </c>
      <c r="K1622" t="str">
        <f t="shared" si="52"/>
        <v>Row 115 - If ‘DG classification’ is ‘IMDG’ the ‘IMO Hazard Class’ and ‘UN Number’ is mandatory</v>
      </c>
    </row>
    <row r="1623" spans="7:11" x14ac:dyDescent="0.2">
      <c r="G1623" t="b">
        <f>IF(OR(INDEX(IHZ_HAZ_DGCLASSIFI,116,1)="IMDG",),AND(INDEX(IHZ_HAZ_IMOHAZARDC,116,1)&lt;&gt;"",INDEX(IHZ_HAZ_UNNUMBER,116,1)&lt;&gt;""),TRUE)</f>
        <v>1</v>
      </c>
      <c r="H1623" t="str">
        <f t="shared" si="51"/>
        <v>Row 116 - If ‘DG classification’ is ‘IMDG’ the ‘IMO Hazard Class’ and ‘UN Number’ is mandatory</v>
      </c>
      <c r="I1623" t="s">
        <v>33308</v>
      </c>
      <c r="J1623" t="b">
        <f>IF(OR(INDEX(OHZ_HAZ_DGCLASSIFI,116,1)="IMDG",),AND(INDEX(OHZ_HAZ_IMOHAZARDC,116,1)&lt;&gt;"",INDEX(OHZ_HAZ_UNNUMBER,116,1)&lt;&gt;""),TRUE)</f>
        <v>1</v>
      </c>
      <c r="K1623" t="str">
        <f t="shared" si="52"/>
        <v>Row 116 - If ‘DG classification’ is ‘IMDG’ the ‘IMO Hazard Class’ and ‘UN Number’ is mandatory</v>
      </c>
    </row>
    <row r="1624" spans="7:11" x14ac:dyDescent="0.2">
      <c r="G1624" t="b">
        <f>IF(OR(INDEX(IHZ_HAZ_DGCLASSIFI,117,1)="IMDG",),AND(INDEX(IHZ_HAZ_IMOHAZARDC,117,1)&lt;&gt;"",INDEX(IHZ_HAZ_UNNUMBER,117,1)&lt;&gt;""),TRUE)</f>
        <v>1</v>
      </c>
      <c r="H1624" t="str">
        <f t="shared" si="51"/>
        <v>Row 117 - If ‘DG classification’ is ‘IMDG’ the ‘IMO Hazard Class’ and ‘UN Number’ is mandatory</v>
      </c>
      <c r="I1624" t="s">
        <v>33308</v>
      </c>
      <c r="J1624" t="b">
        <f>IF(OR(INDEX(OHZ_HAZ_DGCLASSIFI,117,1)="IMDG",),AND(INDEX(OHZ_HAZ_IMOHAZARDC,117,1)&lt;&gt;"",INDEX(OHZ_HAZ_UNNUMBER,117,1)&lt;&gt;""),TRUE)</f>
        <v>1</v>
      </c>
      <c r="K1624" t="str">
        <f t="shared" si="52"/>
        <v>Row 117 - If ‘DG classification’ is ‘IMDG’ the ‘IMO Hazard Class’ and ‘UN Number’ is mandatory</v>
      </c>
    </row>
    <row r="1625" spans="7:11" x14ac:dyDescent="0.2">
      <c r="G1625" t="b">
        <f>IF(OR(INDEX(IHZ_HAZ_DGCLASSIFI,118,1)="IMDG",),AND(INDEX(IHZ_HAZ_IMOHAZARDC,118,1)&lt;&gt;"",INDEX(IHZ_HAZ_UNNUMBER,118,1)&lt;&gt;""),TRUE)</f>
        <v>1</v>
      </c>
      <c r="H1625" t="str">
        <f t="shared" si="51"/>
        <v>Row 118 - If ‘DG classification’ is ‘IMDG’ the ‘IMO Hazard Class’ and ‘UN Number’ is mandatory</v>
      </c>
      <c r="I1625" t="s">
        <v>33308</v>
      </c>
      <c r="J1625" t="b">
        <f>IF(OR(INDEX(OHZ_HAZ_DGCLASSIFI,118,1)="IMDG",),AND(INDEX(OHZ_HAZ_IMOHAZARDC,118,1)&lt;&gt;"",INDEX(OHZ_HAZ_UNNUMBER,118,1)&lt;&gt;""),TRUE)</f>
        <v>1</v>
      </c>
      <c r="K1625" t="str">
        <f t="shared" si="52"/>
        <v>Row 118 - If ‘DG classification’ is ‘IMDG’ the ‘IMO Hazard Class’ and ‘UN Number’ is mandatory</v>
      </c>
    </row>
    <row r="1626" spans="7:11" x14ac:dyDescent="0.2">
      <c r="G1626" t="b">
        <f>IF(OR(INDEX(IHZ_HAZ_DGCLASSIFI,119,1)="IMDG",),AND(INDEX(IHZ_HAZ_IMOHAZARDC,119,1)&lt;&gt;"",INDEX(IHZ_HAZ_UNNUMBER,119,1)&lt;&gt;""),TRUE)</f>
        <v>1</v>
      </c>
      <c r="H1626" t="str">
        <f t="shared" si="51"/>
        <v>Row 119 - If ‘DG classification’ is ‘IMDG’ the ‘IMO Hazard Class’ and ‘UN Number’ is mandatory</v>
      </c>
      <c r="I1626" t="s">
        <v>33308</v>
      </c>
      <c r="J1626" t="b">
        <f>IF(OR(INDEX(OHZ_HAZ_DGCLASSIFI,119,1)="IMDG",),AND(INDEX(OHZ_HAZ_IMOHAZARDC,119,1)&lt;&gt;"",INDEX(OHZ_HAZ_UNNUMBER,119,1)&lt;&gt;""),TRUE)</f>
        <v>1</v>
      </c>
      <c r="K1626" t="str">
        <f t="shared" si="52"/>
        <v>Row 119 - If ‘DG classification’ is ‘IMDG’ the ‘IMO Hazard Class’ and ‘UN Number’ is mandatory</v>
      </c>
    </row>
    <row r="1627" spans="7:11" x14ac:dyDescent="0.2">
      <c r="G1627" t="b">
        <f>IF(OR(INDEX(IHZ_HAZ_DGCLASSIFI,120,1)="IMDG",),AND(INDEX(IHZ_HAZ_IMOHAZARDC,120,1)&lt;&gt;"",INDEX(IHZ_HAZ_UNNUMBER,120,1)&lt;&gt;""),TRUE)</f>
        <v>1</v>
      </c>
      <c r="H1627" t="str">
        <f t="shared" si="51"/>
        <v>Row 120 - If ‘DG classification’ is ‘IMDG’ the ‘IMO Hazard Class’ and ‘UN Number’ is mandatory</v>
      </c>
      <c r="I1627" t="s">
        <v>33308</v>
      </c>
      <c r="J1627" t="b">
        <f>IF(OR(INDEX(OHZ_HAZ_DGCLASSIFI,120,1)="IMDG",),AND(INDEX(OHZ_HAZ_IMOHAZARDC,120,1)&lt;&gt;"",INDEX(OHZ_HAZ_UNNUMBER,120,1)&lt;&gt;""),TRUE)</f>
        <v>1</v>
      </c>
      <c r="K1627" t="str">
        <f t="shared" si="52"/>
        <v>Row 120 - If ‘DG classification’ is ‘IMDG’ the ‘IMO Hazard Class’ and ‘UN Number’ is mandatory</v>
      </c>
    </row>
    <row r="1628" spans="7:11" x14ac:dyDescent="0.2">
      <c r="G1628" t="b">
        <f>IF(OR(INDEX(IHZ_HAZ_DGCLASSIFI,121,1)="IMDG",),AND(INDEX(IHZ_HAZ_IMOHAZARDC,121,1)&lt;&gt;"",INDEX(IHZ_HAZ_UNNUMBER,121,1)&lt;&gt;""),TRUE)</f>
        <v>1</v>
      </c>
      <c r="H1628" t="str">
        <f t="shared" si="51"/>
        <v>Row 121 - If ‘DG classification’ is ‘IMDG’ the ‘IMO Hazard Class’ and ‘UN Number’ is mandatory</v>
      </c>
      <c r="I1628" t="s">
        <v>33308</v>
      </c>
      <c r="J1628" t="b">
        <f>IF(OR(INDEX(OHZ_HAZ_DGCLASSIFI,121,1)="IMDG",),AND(INDEX(OHZ_HAZ_IMOHAZARDC,121,1)&lt;&gt;"",INDEX(OHZ_HAZ_UNNUMBER,121,1)&lt;&gt;""),TRUE)</f>
        <v>1</v>
      </c>
      <c r="K1628" t="str">
        <f t="shared" si="52"/>
        <v>Row 121 - If ‘DG classification’ is ‘IMDG’ the ‘IMO Hazard Class’ and ‘UN Number’ is mandatory</v>
      </c>
    </row>
    <row r="1629" spans="7:11" x14ac:dyDescent="0.2">
      <c r="G1629" t="b">
        <f>IF(OR(INDEX(IHZ_HAZ_DGCLASSIFI,122,1)="IMDG",),AND(INDEX(IHZ_HAZ_IMOHAZARDC,122,1)&lt;&gt;"",INDEX(IHZ_HAZ_UNNUMBER,122,1)&lt;&gt;""),TRUE)</f>
        <v>1</v>
      </c>
      <c r="H1629" t="str">
        <f t="shared" si="51"/>
        <v>Row 122 - If ‘DG classification’ is ‘IMDG’ the ‘IMO Hazard Class’ and ‘UN Number’ is mandatory</v>
      </c>
      <c r="I1629" t="s">
        <v>33308</v>
      </c>
      <c r="J1629" t="b">
        <f>IF(OR(INDEX(OHZ_HAZ_DGCLASSIFI,122,1)="IMDG",),AND(INDEX(OHZ_HAZ_IMOHAZARDC,122,1)&lt;&gt;"",INDEX(OHZ_HAZ_UNNUMBER,122,1)&lt;&gt;""),TRUE)</f>
        <v>1</v>
      </c>
      <c r="K1629" t="str">
        <f t="shared" si="52"/>
        <v>Row 122 - If ‘DG classification’ is ‘IMDG’ the ‘IMO Hazard Class’ and ‘UN Number’ is mandatory</v>
      </c>
    </row>
    <row r="1630" spans="7:11" x14ac:dyDescent="0.2">
      <c r="G1630" t="b">
        <f>IF(OR(INDEX(IHZ_HAZ_DGCLASSIFI,123,1)="IMDG",),AND(INDEX(IHZ_HAZ_IMOHAZARDC,123,1)&lt;&gt;"",INDEX(IHZ_HAZ_UNNUMBER,123,1)&lt;&gt;""),TRUE)</f>
        <v>1</v>
      </c>
      <c r="H1630" t="str">
        <f t="shared" si="51"/>
        <v>Row 123 - If ‘DG classification’ is ‘IMDG’ the ‘IMO Hazard Class’ and ‘UN Number’ is mandatory</v>
      </c>
      <c r="I1630" t="s">
        <v>33308</v>
      </c>
      <c r="J1630" t="b">
        <f>IF(OR(INDEX(OHZ_HAZ_DGCLASSIFI,123,1)="IMDG",),AND(INDEX(OHZ_HAZ_IMOHAZARDC,123,1)&lt;&gt;"",INDEX(OHZ_HAZ_UNNUMBER,123,1)&lt;&gt;""),TRUE)</f>
        <v>1</v>
      </c>
      <c r="K1630" t="str">
        <f t="shared" si="52"/>
        <v>Row 123 - If ‘DG classification’ is ‘IMDG’ the ‘IMO Hazard Class’ and ‘UN Number’ is mandatory</v>
      </c>
    </row>
    <row r="1631" spans="7:11" x14ac:dyDescent="0.2">
      <c r="G1631" t="b">
        <f>IF(OR(INDEX(IHZ_HAZ_DGCLASSIFI,124,1)="IMDG",),AND(INDEX(IHZ_HAZ_IMOHAZARDC,124,1)&lt;&gt;"",INDEX(IHZ_HAZ_UNNUMBER,124,1)&lt;&gt;""),TRUE)</f>
        <v>1</v>
      </c>
      <c r="H1631" t="str">
        <f t="shared" si="51"/>
        <v>Row 124 - If ‘DG classification’ is ‘IMDG’ the ‘IMO Hazard Class’ and ‘UN Number’ is mandatory</v>
      </c>
      <c r="I1631" t="s">
        <v>33308</v>
      </c>
      <c r="J1631" t="b">
        <f>IF(OR(INDEX(OHZ_HAZ_DGCLASSIFI,124,1)="IMDG",),AND(INDEX(OHZ_HAZ_IMOHAZARDC,124,1)&lt;&gt;"",INDEX(OHZ_HAZ_UNNUMBER,124,1)&lt;&gt;""),TRUE)</f>
        <v>1</v>
      </c>
      <c r="K1631" t="str">
        <f t="shared" si="52"/>
        <v>Row 124 - If ‘DG classification’ is ‘IMDG’ the ‘IMO Hazard Class’ and ‘UN Number’ is mandatory</v>
      </c>
    </row>
    <row r="1632" spans="7:11" x14ac:dyDescent="0.2">
      <c r="G1632" t="b">
        <f>IF(OR(INDEX(IHZ_HAZ_DGCLASSIFI,125,1)="IMDG",),AND(INDEX(IHZ_HAZ_IMOHAZARDC,125,1)&lt;&gt;"",INDEX(IHZ_HAZ_UNNUMBER,125,1)&lt;&gt;""),TRUE)</f>
        <v>1</v>
      </c>
      <c r="H1632" t="str">
        <f t="shared" si="51"/>
        <v>Row 125 - If ‘DG classification’ is ‘IMDG’ the ‘IMO Hazard Class’ and ‘UN Number’ is mandatory</v>
      </c>
      <c r="I1632" t="s">
        <v>33308</v>
      </c>
      <c r="J1632" t="b">
        <f>IF(OR(INDEX(OHZ_HAZ_DGCLASSIFI,125,1)="IMDG",),AND(INDEX(OHZ_HAZ_IMOHAZARDC,125,1)&lt;&gt;"",INDEX(OHZ_HAZ_UNNUMBER,125,1)&lt;&gt;""),TRUE)</f>
        <v>1</v>
      </c>
      <c r="K1632" t="str">
        <f t="shared" si="52"/>
        <v>Row 125 - If ‘DG classification’ is ‘IMDG’ the ‘IMO Hazard Class’ and ‘UN Number’ is mandatory</v>
      </c>
    </row>
    <row r="1633" spans="7:11" x14ac:dyDescent="0.2">
      <c r="G1633" t="b">
        <f>IF(OR(INDEX(IHZ_HAZ_DGCLASSIFI,126,1)="IMDG",),AND(INDEX(IHZ_HAZ_IMOHAZARDC,126,1)&lt;&gt;"",INDEX(IHZ_HAZ_UNNUMBER,126,1)&lt;&gt;""),TRUE)</f>
        <v>1</v>
      </c>
      <c r="H1633" t="str">
        <f t="shared" si="51"/>
        <v>Row 126 - If ‘DG classification’ is ‘IMDG’ the ‘IMO Hazard Class’ and ‘UN Number’ is mandatory</v>
      </c>
      <c r="I1633" t="s">
        <v>33308</v>
      </c>
      <c r="J1633" t="b">
        <f>IF(OR(INDEX(OHZ_HAZ_DGCLASSIFI,126,1)="IMDG",),AND(INDEX(OHZ_HAZ_IMOHAZARDC,126,1)&lt;&gt;"",INDEX(OHZ_HAZ_UNNUMBER,126,1)&lt;&gt;""),TRUE)</f>
        <v>1</v>
      </c>
      <c r="K1633" t="str">
        <f t="shared" si="52"/>
        <v>Row 126 - If ‘DG classification’ is ‘IMDG’ the ‘IMO Hazard Class’ and ‘UN Number’ is mandatory</v>
      </c>
    </row>
    <row r="1634" spans="7:11" x14ac:dyDescent="0.2">
      <c r="G1634" t="b">
        <f>IF(OR(INDEX(IHZ_HAZ_DGCLASSIFI,127,1)="IMDG",),AND(INDEX(IHZ_HAZ_IMOHAZARDC,127,1)&lt;&gt;"",INDEX(IHZ_HAZ_UNNUMBER,127,1)&lt;&gt;""),TRUE)</f>
        <v>1</v>
      </c>
      <c r="H1634" t="str">
        <f t="shared" si="51"/>
        <v>Row 127 - If ‘DG classification’ is ‘IMDG’ the ‘IMO Hazard Class’ and ‘UN Number’ is mandatory</v>
      </c>
      <c r="I1634" t="s">
        <v>33308</v>
      </c>
      <c r="J1634" t="b">
        <f>IF(OR(INDEX(OHZ_HAZ_DGCLASSIFI,127,1)="IMDG",),AND(INDEX(OHZ_HAZ_IMOHAZARDC,127,1)&lt;&gt;"",INDEX(OHZ_HAZ_UNNUMBER,127,1)&lt;&gt;""),TRUE)</f>
        <v>1</v>
      </c>
      <c r="K1634" t="str">
        <f t="shared" si="52"/>
        <v>Row 127 - If ‘DG classification’ is ‘IMDG’ the ‘IMO Hazard Class’ and ‘UN Number’ is mandatory</v>
      </c>
    </row>
    <row r="1635" spans="7:11" x14ac:dyDescent="0.2">
      <c r="G1635" t="b">
        <f>IF(OR(INDEX(IHZ_HAZ_DGCLASSIFI,128,1)="IMDG",),AND(INDEX(IHZ_HAZ_IMOHAZARDC,128,1)&lt;&gt;"",INDEX(IHZ_HAZ_UNNUMBER,128,1)&lt;&gt;""),TRUE)</f>
        <v>1</v>
      </c>
      <c r="H1635" t="str">
        <f t="shared" si="51"/>
        <v>Row 128 - If ‘DG classification’ is ‘IMDG’ the ‘IMO Hazard Class’ and ‘UN Number’ is mandatory</v>
      </c>
      <c r="I1635" t="s">
        <v>33308</v>
      </c>
      <c r="J1635" t="b">
        <f>IF(OR(INDEX(OHZ_HAZ_DGCLASSIFI,128,1)="IMDG",),AND(INDEX(OHZ_HAZ_IMOHAZARDC,128,1)&lt;&gt;"",INDEX(OHZ_HAZ_UNNUMBER,128,1)&lt;&gt;""),TRUE)</f>
        <v>1</v>
      </c>
      <c r="K1635" t="str">
        <f t="shared" si="52"/>
        <v>Row 128 - If ‘DG classification’ is ‘IMDG’ the ‘IMO Hazard Class’ and ‘UN Number’ is mandatory</v>
      </c>
    </row>
    <row r="1636" spans="7:11" x14ac:dyDescent="0.2">
      <c r="G1636" t="b">
        <f>IF(OR(INDEX(IHZ_HAZ_DGCLASSIFI,129,1)="IMDG",),AND(INDEX(IHZ_HAZ_IMOHAZARDC,129,1)&lt;&gt;"",INDEX(IHZ_HAZ_UNNUMBER,129,1)&lt;&gt;""),TRUE)</f>
        <v>1</v>
      </c>
      <c r="H1636" t="str">
        <f t="shared" si="51"/>
        <v>Row 129 - If ‘DG classification’ is ‘IMDG’ the ‘IMO Hazard Class’ and ‘UN Number’ is mandatory</v>
      </c>
      <c r="I1636" t="s">
        <v>33308</v>
      </c>
      <c r="J1636" t="b">
        <f>IF(OR(INDEX(OHZ_HAZ_DGCLASSIFI,129,1)="IMDG",),AND(INDEX(OHZ_HAZ_IMOHAZARDC,129,1)&lt;&gt;"",INDEX(OHZ_HAZ_UNNUMBER,129,1)&lt;&gt;""),TRUE)</f>
        <v>1</v>
      </c>
      <c r="K1636" t="str">
        <f t="shared" si="52"/>
        <v>Row 129 - If ‘DG classification’ is ‘IMDG’ the ‘IMO Hazard Class’ and ‘UN Number’ is mandatory</v>
      </c>
    </row>
    <row r="1637" spans="7:11" x14ac:dyDescent="0.2">
      <c r="G1637" t="b">
        <f>IF(OR(INDEX(IHZ_HAZ_DGCLASSIFI,130,1)="IMDG",),AND(INDEX(IHZ_HAZ_IMOHAZARDC,130,1)&lt;&gt;"",INDEX(IHZ_HAZ_UNNUMBER,130,1)&lt;&gt;""),TRUE)</f>
        <v>1</v>
      </c>
      <c r="H1637" t="str">
        <f t="shared" ref="H1637:H1700" si="53">T130&amp;$V$6</f>
        <v>Row 130 - If ‘DG classification’ is ‘IMDG’ the ‘IMO Hazard Class’ and ‘UN Number’ is mandatory</v>
      </c>
      <c r="I1637" t="s">
        <v>33308</v>
      </c>
      <c r="J1637" t="b">
        <f>IF(OR(INDEX(OHZ_HAZ_DGCLASSIFI,130,1)="IMDG",),AND(INDEX(OHZ_HAZ_IMOHAZARDC,130,1)&lt;&gt;"",INDEX(OHZ_HAZ_UNNUMBER,130,1)&lt;&gt;""),TRUE)</f>
        <v>1</v>
      </c>
      <c r="K1637" t="str">
        <f t="shared" ref="K1637:K1700" si="54">T130&amp;$V$6</f>
        <v>Row 130 - If ‘DG classification’ is ‘IMDG’ the ‘IMO Hazard Class’ and ‘UN Number’ is mandatory</v>
      </c>
    </row>
    <row r="1638" spans="7:11" x14ac:dyDescent="0.2">
      <c r="G1638" t="b">
        <f>IF(OR(INDEX(IHZ_HAZ_DGCLASSIFI,131,1)="IMDG",),AND(INDEX(IHZ_HAZ_IMOHAZARDC,131,1)&lt;&gt;"",INDEX(IHZ_HAZ_UNNUMBER,131,1)&lt;&gt;""),TRUE)</f>
        <v>1</v>
      </c>
      <c r="H1638" t="str">
        <f t="shared" si="53"/>
        <v>Row 131 - If ‘DG classification’ is ‘IMDG’ the ‘IMO Hazard Class’ and ‘UN Number’ is mandatory</v>
      </c>
      <c r="I1638" t="s">
        <v>33308</v>
      </c>
      <c r="J1638" t="b">
        <f>IF(OR(INDEX(OHZ_HAZ_DGCLASSIFI,131,1)="IMDG",),AND(INDEX(OHZ_HAZ_IMOHAZARDC,131,1)&lt;&gt;"",INDEX(OHZ_HAZ_UNNUMBER,131,1)&lt;&gt;""),TRUE)</f>
        <v>1</v>
      </c>
      <c r="K1638" t="str">
        <f t="shared" si="54"/>
        <v>Row 131 - If ‘DG classification’ is ‘IMDG’ the ‘IMO Hazard Class’ and ‘UN Number’ is mandatory</v>
      </c>
    </row>
    <row r="1639" spans="7:11" x14ac:dyDescent="0.2">
      <c r="G1639" t="b">
        <f>IF(OR(INDEX(IHZ_HAZ_DGCLASSIFI,132,1)="IMDG",),AND(INDEX(IHZ_HAZ_IMOHAZARDC,132,1)&lt;&gt;"",INDEX(IHZ_HAZ_UNNUMBER,132,1)&lt;&gt;""),TRUE)</f>
        <v>1</v>
      </c>
      <c r="H1639" t="str">
        <f t="shared" si="53"/>
        <v>Row 132 - If ‘DG classification’ is ‘IMDG’ the ‘IMO Hazard Class’ and ‘UN Number’ is mandatory</v>
      </c>
      <c r="I1639" t="s">
        <v>33308</v>
      </c>
      <c r="J1639" t="b">
        <f>IF(OR(INDEX(OHZ_HAZ_DGCLASSIFI,132,1)="IMDG",),AND(INDEX(OHZ_HAZ_IMOHAZARDC,132,1)&lt;&gt;"",INDEX(OHZ_HAZ_UNNUMBER,132,1)&lt;&gt;""),TRUE)</f>
        <v>1</v>
      </c>
      <c r="K1639" t="str">
        <f t="shared" si="54"/>
        <v>Row 132 - If ‘DG classification’ is ‘IMDG’ the ‘IMO Hazard Class’ and ‘UN Number’ is mandatory</v>
      </c>
    </row>
    <row r="1640" spans="7:11" x14ac:dyDescent="0.2">
      <c r="G1640" t="b">
        <f>IF(OR(INDEX(IHZ_HAZ_DGCLASSIFI,133,1)="IMDG",),AND(INDEX(IHZ_HAZ_IMOHAZARDC,133,1)&lt;&gt;"",INDEX(IHZ_HAZ_UNNUMBER,133,1)&lt;&gt;""),TRUE)</f>
        <v>1</v>
      </c>
      <c r="H1640" t="str">
        <f t="shared" si="53"/>
        <v>Row 133 - If ‘DG classification’ is ‘IMDG’ the ‘IMO Hazard Class’ and ‘UN Number’ is mandatory</v>
      </c>
      <c r="I1640" t="s">
        <v>33308</v>
      </c>
      <c r="J1640" t="b">
        <f>IF(OR(INDEX(OHZ_HAZ_DGCLASSIFI,133,1)="IMDG",),AND(INDEX(OHZ_HAZ_IMOHAZARDC,133,1)&lt;&gt;"",INDEX(OHZ_HAZ_UNNUMBER,133,1)&lt;&gt;""),TRUE)</f>
        <v>1</v>
      </c>
      <c r="K1640" t="str">
        <f t="shared" si="54"/>
        <v>Row 133 - If ‘DG classification’ is ‘IMDG’ the ‘IMO Hazard Class’ and ‘UN Number’ is mandatory</v>
      </c>
    </row>
    <row r="1641" spans="7:11" x14ac:dyDescent="0.2">
      <c r="G1641" t="b">
        <f>IF(OR(INDEX(IHZ_HAZ_DGCLASSIFI,134,1)="IMDG",),AND(INDEX(IHZ_HAZ_IMOHAZARDC,134,1)&lt;&gt;"",INDEX(IHZ_HAZ_UNNUMBER,134,1)&lt;&gt;""),TRUE)</f>
        <v>1</v>
      </c>
      <c r="H1641" t="str">
        <f t="shared" si="53"/>
        <v>Row 134 - If ‘DG classification’ is ‘IMDG’ the ‘IMO Hazard Class’ and ‘UN Number’ is mandatory</v>
      </c>
      <c r="I1641" t="s">
        <v>33308</v>
      </c>
      <c r="J1641" t="b">
        <f>IF(OR(INDEX(OHZ_HAZ_DGCLASSIFI,134,1)="IMDG",),AND(INDEX(OHZ_HAZ_IMOHAZARDC,134,1)&lt;&gt;"",INDEX(OHZ_HAZ_UNNUMBER,134,1)&lt;&gt;""),TRUE)</f>
        <v>1</v>
      </c>
      <c r="K1641" t="str">
        <f t="shared" si="54"/>
        <v>Row 134 - If ‘DG classification’ is ‘IMDG’ the ‘IMO Hazard Class’ and ‘UN Number’ is mandatory</v>
      </c>
    </row>
    <row r="1642" spans="7:11" x14ac:dyDescent="0.2">
      <c r="G1642" t="b">
        <f>IF(OR(INDEX(IHZ_HAZ_DGCLASSIFI,135,1)="IMDG",),AND(INDEX(IHZ_HAZ_IMOHAZARDC,135,1)&lt;&gt;"",INDEX(IHZ_HAZ_UNNUMBER,135,1)&lt;&gt;""),TRUE)</f>
        <v>1</v>
      </c>
      <c r="H1642" t="str">
        <f t="shared" si="53"/>
        <v>Row 135 - If ‘DG classification’ is ‘IMDG’ the ‘IMO Hazard Class’ and ‘UN Number’ is mandatory</v>
      </c>
      <c r="I1642" t="s">
        <v>33308</v>
      </c>
      <c r="J1642" t="b">
        <f>IF(OR(INDEX(OHZ_HAZ_DGCLASSIFI,135,1)="IMDG",),AND(INDEX(OHZ_HAZ_IMOHAZARDC,135,1)&lt;&gt;"",INDEX(OHZ_HAZ_UNNUMBER,135,1)&lt;&gt;""),TRUE)</f>
        <v>1</v>
      </c>
      <c r="K1642" t="str">
        <f t="shared" si="54"/>
        <v>Row 135 - If ‘DG classification’ is ‘IMDG’ the ‘IMO Hazard Class’ and ‘UN Number’ is mandatory</v>
      </c>
    </row>
    <row r="1643" spans="7:11" x14ac:dyDescent="0.2">
      <c r="G1643" t="b">
        <f>IF(OR(INDEX(IHZ_HAZ_DGCLASSIFI,136,1)="IMDG",),AND(INDEX(IHZ_HAZ_IMOHAZARDC,136,1)&lt;&gt;"",INDEX(IHZ_HAZ_UNNUMBER,136,1)&lt;&gt;""),TRUE)</f>
        <v>1</v>
      </c>
      <c r="H1643" t="str">
        <f t="shared" si="53"/>
        <v>Row 136 - If ‘DG classification’ is ‘IMDG’ the ‘IMO Hazard Class’ and ‘UN Number’ is mandatory</v>
      </c>
      <c r="I1643" t="s">
        <v>33308</v>
      </c>
      <c r="J1643" t="b">
        <f>IF(OR(INDEX(OHZ_HAZ_DGCLASSIFI,136,1)="IMDG",),AND(INDEX(OHZ_HAZ_IMOHAZARDC,136,1)&lt;&gt;"",INDEX(OHZ_HAZ_UNNUMBER,136,1)&lt;&gt;""),TRUE)</f>
        <v>1</v>
      </c>
      <c r="K1643" t="str">
        <f t="shared" si="54"/>
        <v>Row 136 - If ‘DG classification’ is ‘IMDG’ the ‘IMO Hazard Class’ and ‘UN Number’ is mandatory</v>
      </c>
    </row>
    <row r="1644" spans="7:11" x14ac:dyDescent="0.2">
      <c r="G1644" t="b">
        <f>IF(OR(INDEX(IHZ_HAZ_DGCLASSIFI,137,1)="IMDG",),AND(INDEX(IHZ_HAZ_IMOHAZARDC,137,1)&lt;&gt;"",INDEX(IHZ_HAZ_UNNUMBER,137,1)&lt;&gt;""),TRUE)</f>
        <v>1</v>
      </c>
      <c r="H1644" t="str">
        <f t="shared" si="53"/>
        <v>Row 137 - If ‘DG classification’ is ‘IMDG’ the ‘IMO Hazard Class’ and ‘UN Number’ is mandatory</v>
      </c>
      <c r="I1644" t="s">
        <v>33308</v>
      </c>
      <c r="J1644" t="b">
        <f>IF(OR(INDEX(OHZ_HAZ_DGCLASSIFI,137,1)="IMDG",),AND(INDEX(OHZ_HAZ_IMOHAZARDC,137,1)&lt;&gt;"",INDEX(OHZ_HAZ_UNNUMBER,137,1)&lt;&gt;""),TRUE)</f>
        <v>1</v>
      </c>
      <c r="K1644" t="str">
        <f t="shared" si="54"/>
        <v>Row 137 - If ‘DG classification’ is ‘IMDG’ the ‘IMO Hazard Class’ and ‘UN Number’ is mandatory</v>
      </c>
    </row>
    <row r="1645" spans="7:11" x14ac:dyDescent="0.2">
      <c r="G1645" t="b">
        <f>IF(OR(INDEX(IHZ_HAZ_DGCLASSIFI,138,1)="IMDG",),AND(INDEX(IHZ_HAZ_IMOHAZARDC,138,1)&lt;&gt;"",INDEX(IHZ_HAZ_UNNUMBER,138,1)&lt;&gt;""),TRUE)</f>
        <v>1</v>
      </c>
      <c r="H1645" t="str">
        <f t="shared" si="53"/>
        <v>Row 138 - If ‘DG classification’ is ‘IMDG’ the ‘IMO Hazard Class’ and ‘UN Number’ is mandatory</v>
      </c>
      <c r="I1645" t="s">
        <v>33308</v>
      </c>
      <c r="J1645" t="b">
        <f>IF(OR(INDEX(OHZ_HAZ_DGCLASSIFI,138,1)="IMDG",),AND(INDEX(OHZ_HAZ_IMOHAZARDC,138,1)&lt;&gt;"",INDEX(OHZ_HAZ_UNNUMBER,138,1)&lt;&gt;""),TRUE)</f>
        <v>1</v>
      </c>
      <c r="K1645" t="str">
        <f t="shared" si="54"/>
        <v>Row 138 - If ‘DG classification’ is ‘IMDG’ the ‘IMO Hazard Class’ and ‘UN Number’ is mandatory</v>
      </c>
    </row>
    <row r="1646" spans="7:11" x14ac:dyDescent="0.2">
      <c r="G1646" t="b">
        <f>IF(OR(INDEX(IHZ_HAZ_DGCLASSIFI,139,1)="IMDG",),AND(INDEX(IHZ_HAZ_IMOHAZARDC,139,1)&lt;&gt;"",INDEX(IHZ_HAZ_UNNUMBER,139,1)&lt;&gt;""),TRUE)</f>
        <v>1</v>
      </c>
      <c r="H1646" t="str">
        <f t="shared" si="53"/>
        <v>Row 139 - If ‘DG classification’ is ‘IMDG’ the ‘IMO Hazard Class’ and ‘UN Number’ is mandatory</v>
      </c>
      <c r="I1646" t="s">
        <v>33308</v>
      </c>
      <c r="J1646" t="b">
        <f>IF(OR(INDEX(OHZ_HAZ_DGCLASSIFI,139,1)="IMDG",),AND(INDEX(OHZ_HAZ_IMOHAZARDC,139,1)&lt;&gt;"",INDEX(OHZ_HAZ_UNNUMBER,139,1)&lt;&gt;""),TRUE)</f>
        <v>1</v>
      </c>
      <c r="K1646" t="str">
        <f t="shared" si="54"/>
        <v>Row 139 - If ‘DG classification’ is ‘IMDG’ the ‘IMO Hazard Class’ and ‘UN Number’ is mandatory</v>
      </c>
    </row>
    <row r="1647" spans="7:11" x14ac:dyDescent="0.2">
      <c r="G1647" t="b">
        <f>IF(OR(INDEX(IHZ_HAZ_DGCLASSIFI,140,1)="IMDG",),AND(INDEX(IHZ_HAZ_IMOHAZARDC,140,1)&lt;&gt;"",INDEX(IHZ_HAZ_UNNUMBER,140,1)&lt;&gt;""),TRUE)</f>
        <v>1</v>
      </c>
      <c r="H1647" t="str">
        <f t="shared" si="53"/>
        <v>Row 140 - If ‘DG classification’ is ‘IMDG’ the ‘IMO Hazard Class’ and ‘UN Number’ is mandatory</v>
      </c>
      <c r="I1647" t="s">
        <v>33308</v>
      </c>
      <c r="J1647" t="b">
        <f>IF(OR(INDEX(OHZ_HAZ_DGCLASSIFI,140,1)="IMDG",),AND(INDEX(OHZ_HAZ_IMOHAZARDC,140,1)&lt;&gt;"",INDEX(OHZ_HAZ_UNNUMBER,140,1)&lt;&gt;""),TRUE)</f>
        <v>1</v>
      </c>
      <c r="K1647" t="str">
        <f t="shared" si="54"/>
        <v>Row 140 - If ‘DG classification’ is ‘IMDG’ the ‘IMO Hazard Class’ and ‘UN Number’ is mandatory</v>
      </c>
    </row>
    <row r="1648" spans="7:11" x14ac:dyDescent="0.2">
      <c r="G1648" t="b">
        <f>IF(OR(INDEX(IHZ_HAZ_DGCLASSIFI,141,1)="IMDG",),AND(INDEX(IHZ_HAZ_IMOHAZARDC,141,1)&lt;&gt;"",INDEX(IHZ_HAZ_UNNUMBER,141,1)&lt;&gt;""),TRUE)</f>
        <v>1</v>
      </c>
      <c r="H1648" t="str">
        <f t="shared" si="53"/>
        <v>Row 141 - If ‘DG classification’ is ‘IMDG’ the ‘IMO Hazard Class’ and ‘UN Number’ is mandatory</v>
      </c>
      <c r="I1648" t="s">
        <v>33308</v>
      </c>
      <c r="J1648" t="b">
        <f>IF(OR(INDEX(OHZ_HAZ_DGCLASSIFI,141,1)="IMDG",),AND(INDEX(OHZ_HAZ_IMOHAZARDC,141,1)&lt;&gt;"",INDEX(OHZ_HAZ_UNNUMBER,141,1)&lt;&gt;""),TRUE)</f>
        <v>1</v>
      </c>
      <c r="K1648" t="str">
        <f t="shared" si="54"/>
        <v>Row 141 - If ‘DG classification’ is ‘IMDG’ the ‘IMO Hazard Class’ and ‘UN Number’ is mandatory</v>
      </c>
    </row>
    <row r="1649" spans="7:11" x14ac:dyDescent="0.2">
      <c r="G1649" t="b">
        <f>IF(OR(INDEX(IHZ_HAZ_DGCLASSIFI,142,1)="IMDG",),AND(INDEX(IHZ_HAZ_IMOHAZARDC,142,1)&lt;&gt;"",INDEX(IHZ_HAZ_UNNUMBER,142,1)&lt;&gt;""),TRUE)</f>
        <v>1</v>
      </c>
      <c r="H1649" t="str">
        <f t="shared" si="53"/>
        <v>Row 142 - If ‘DG classification’ is ‘IMDG’ the ‘IMO Hazard Class’ and ‘UN Number’ is mandatory</v>
      </c>
      <c r="I1649" t="s">
        <v>33308</v>
      </c>
      <c r="J1649" t="b">
        <f>IF(OR(INDEX(OHZ_HAZ_DGCLASSIFI,142,1)="IMDG",),AND(INDEX(OHZ_HAZ_IMOHAZARDC,142,1)&lt;&gt;"",INDEX(OHZ_HAZ_UNNUMBER,142,1)&lt;&gt;""),TRUE)</f>
        <v>1</v>
      </c>
      <c r="K1649" t="str">
        <f t="shared" si="54"/>
        <v>Row 142 - If ‘DG classification’ is ‘IMDG’ the ‘IMO Hazard Class’ and ‘UN Number’ is mandatory</v>
      </c>
    </row>
    <row r="1650" spans="7:11" x14ac:dyDescent="0.2">
      <c r="G1650" t="b">
        <f>IF(OR(INDEX(IHZ_HAZ_DGCLASSIFI,143,1)="IMDG",),AND(INDEX(IHZ_HAZ_IMOHAZARDC,143,1)&lt;&gt;"",INDEX(IHZ_HAZ_UNNUMBER,143,1)&lt;&gt;""),TRUE)</f>
        <v>1</v>
      </c>
      <c r="H1650" t="str">
        <f t="shared" si="53"/>
        <v>Row 143 - If ‘DG classification’ is ‘IMDG’ the ‘IMO Hazard Class’ and ‘UN Number’ is mandatory</v>
      </c>
      <c r="I1650" t="s">
        <v>33308</v>
      </c>
      <c r="J1650" t="b">
        <f>IF(OR(INDEX(OHZ_HAZ_DGCLASSIFI,143,1)="IMDG",),AND(INDEX(OHZ_HAZ_IMOHAZARDC,143,1)&lt;&gt;"",INDEX(OHZ_HAZ_UNNUMBER,143,1)&lt;&gt;""),TRUE)</f>
        <v>1</v>
      </c>
      <c r="K1650" t="str">
        <f t="shared" si="54"/>
        <v>Row 143 - If ‘DG classification’ is ‘IMDG’ the ‘IMO Hazard Class’ and ‘UN Number’ is mandatory</v>
      </c>
    </row>
    <row r="1651" spans="7:11" x14ac:dyDescent="0.2">
      <c r="G1651" t="b">
        <f>IF(OR(INDEX(IHZ_HAZ_DGCLASSIFI,144,1)="IMDG",),AND(INDEX(IHZ_HAZ_IMOHAZARDC,144,1)&lt;&gt;"",INDEX(IHZ_HAZ_UNNUMBER,144,1)&lt;&gt;""),TRUE)</f>
        <v>1</v>
      </c>
      <c r="H1651" t="str">
        <f t="shared" si="53"/>
        <v>Row 144 - If ‘DG classification’ is ‘IMDG’ the ‘IMO Hazard Class’ and ‘UN Number’ is mandatory</v>
      </c>
      <c r="I1651" t="s">
        <v>33308</v>
      </c>
      <c r="J1651" t="b">
        <f>IF(OR(INDEX(OHZ_HAZ_DGCLASSIFI,144,1)="IMDG",),AND(INDEX(OHZ_HAZ_IMOHAZARDC,144,1)&lt;&gt;"",INDEX(OHZ_HAZ_UNNUMBER,144,1)&lt;&gt;""),TRUE)</f>
        <v>1</v>
      </c>
      <c r="K1651" t="str">
        <f t="shared" si="54"/>
        <v>Row 144 - If ‘DG classification’ is ‘IMDG’ the ‘IMO Hazard Class’ and ‘UN Number’ is mandatory</v>
      </c>
    </row>
    <row r="1652" spans="7:11" x14ac:dyDescent="0.2">
      <c r="G1652" t="b">
        <f>IF(OR(INDEX(IHZ_HAZ_DGCLASSIFI,145,1)="IMDG",),AND(INDEX(IHZ_HAZ_IMOHAZARDC,145,1)&lt;&gt;"",INDEX(IHZ_HAZ_UNNUMBER,145,1)&lt;&gt;""),TRUE)</f>
        <v>1</v>
      </c>
      <c r="H1652" t="str">
        <f t="shared" si="53"/>
        <v>Row 145 - If ‘DG classification’ is ‘IMDG’ the ‘IMO Hazard Class’ and ‘UN Number’ is mandatory</v>
      </c>
      <c r="I1652" t="s">
        <v>33308</v>
      </c>
      <c r="J1652" t="b">
        <f>IF(OR(INDEX(OHZ_HAZ_DGCLASSIFI,145,1)="IMDG",),AND(INDEX(OHZ_HAZ_IMOHAZARDC,145,1)&lt;&gt;"",INDEX(OHZ_HAZ_UNNUMBER,145,1)&lt;&gt;""),TRUE)</f>
        <v>1</v>
      </c>
      <c r="K1652" t="str">
        <f t="shared" si="54"/>
        <v>Row 145 - If ‘DG classification’ is ‘IMDG’ the ‘IMO Hazard Class’ and ‘UN Number’ is mandatory</v>
      </c>
    </row>
    <row r="1653" spans="7:11" x14ac:dyDescent="0.2">
      <c r="G1653" t="b">
        <f>IF(OR(INDEX(IHZ_HAZ_DGCLASSIFI,146,1)="IMDG",),AND(INDEX(IHZ_HAZ_IMOHAZARDC,146,1)&lt;&gt;"",INDEX(IHZ_HAZ_UNNUMBER,146,1)&lt;&gt;""),TRUE)</f>
        <v>1</v>
      </c>
      <c r="H1653" t="str">
        <f t="shared" si="53"/>
        <v>Row 146 - If ‘DG classification’ is ‘IMDG’ the ‘IMO Hazard Class’ and ‘UN Number’ is mandatory</v>
      </c>
      <c r="I1653" t="s">
        <v>33308</v>
      </c>
      <c r="J1653" t="b">
        <f>IF(OR(INDEX(OHZ_HAZ_DGCLASSIFI,146,1)="IMDG",),AND(INDEX(OHZ_HAZ_IMOHAZARDC,146,1)&lt;&gt;"",INDEX(OHZ_HAZ_UNNUMBER,146,1)&lt;&gt;""),TRUE)</f>
        <v>1</v>
      </c>
      <c r="K1653" t="str">
        <f t="shared" si="54"/>
        <v>Row 146 - If ‘DG classification’ is ‘IMDG’ the ‘IMO Hazard Class’ and ‘UN Number’ is mandatory</v>
      </c>
    </row>
    <row r="1654" spans="7:11" x14ac:dyDescent="0.2">
      <c r="G1654" t="b">
        <f>IF(OR(INDEX(IHZ_HAZ_DGCLASSIFI,147,1)="IMDG",),AND(INDEX(IHZ_HAZ_IMOHAZARDC,147,1)&lt;&gt;"",INDEX(IHZ_HAZ_UNNUMBER,147,1)&lt;&gt;""),TRUE)</f>
        <v>1</v>
      </c>
      <c r="H1654" t="str">
        <f t="shared" si="53"/>
        <v>Row 147 - If ‘DG classification’ is ‘IMDG’ the ‘IMO Hazard Class’ and ‘UN Number’ is mandatory</v>
      </c>
      <c r="I1654" t="s">
        <v>33308</v>
      </c>
      <c r="J1654" t="b">
        <f>IF(OR(INDEX(OHZ_HAZ_DGCLASSIFI,147,1)="IMDG",),AND(INDEX(OHZ_HAZ_IMOHAZARDC,147,1)&lt;&gt;"",INDEX(OHZ_HAZ_UNNUMBER,147,1)&lt;&gt;""),TRUE)</f>
        <v>1</v>
      </c>
      <c r="K1654" t="str">
        <f t="shared" si="54"/>
        <v>Row 147 - If ‘DG classification’ is ‘IMDG’ the ‘IMO Hazard Class’ and ‘UN Number’ is mandatory</v>
      </c>
    </row>
    <row r="1655" spans="7:11" x14ac:dyDescent="0.2">
      <c r="G1655" t="b">
        <f>IF(OR(INDEX(IHZ_HAZ_DGCLASSIFI,148,1)="IMDG",),AND(INDEX(IHZ_HAZ_IMOHAZARDC,148,1)&lt;&gt;"",INDEX(IHZ_HAZ_UNNUMBER,148,1)&lt;&gt;""),TRUE)</f>
        <v>1</v>
      </c>
      <c r="H1655" t="str">
        <f t="shared" si="53"/>
        <v>Row 148 - If ‘DG classification’ is ‘IMDG’ the ‘IMO Hazard Class’ and ‘UN Number’ is mandatory</v>
      </c>
      <c r="I1655" t="s">
        <v>33308</v>
      </c>
      <c r="J1655" t="b">
        <f>IF(OR(INDEX(OHZ_HAZ_DGCLASSIFI,148,1)="IMDG",),AND(INDEX(OHZ_HAZ_IMOHAZARDC,148,1)&lt;&gt;"",INDEX(OHZ_HAZ_UNNUMBER,148,1)&lt;&gt;""),TRUE)</f>
        <v>1</v>
      </c>
      <c r="K1655" t="str">
        <f t="shared" si="54"/>
        <v>Row 148 - If ‘DG classification’ is ‘IMDG’ the ‘IMO Hazard Class’ and ‘UN Number’ is mandatory</v>
      </c>
    </row>
    <row r="1656" spans="7:11" x14ac:dyDescent="0.2">
      <c r="G1656" t="b">
        <f>IF(OR(INDEX(IHZ_HAZ_DGCLASSIFI,149,1)="IMDG",),AND(INDEX(IHZ_HAZ_IMOHAZARDC,149,1)&lt;&gt;"",INDEX(IHZ_HAZ_UNNUMBER,149,1)&lt;&gt;""),TRUE)</f>
        <v>1</v>
      </c>
      <c r="H1656" t="str">
        <f t="shared" si="53"/>
        <v>Row 149 - If ‘DG classification’ is ‘IMDG’ the ‘IMO Hazard Class’ and ‘UN Number’ is mandatory</v>
      </c>
      <c r="J1656" t="b">
        <f>IF(OR(INDEX(OHZ_HAZ_DGCLASSIFI,149,1)="IMDG",),AND(INDEX(OHZ_HAZ_IMOHAZARDC,149,1)&lt;&gt;"",INDEX(OHZ_HAZ_UNNUMBER,149,1)&lt;&gt;""),TRUE)</f>
        <v>1</v>
      </c>
      <c r="K1656" t="str">
        <f t="shared" si="54"/>
        <v>Row 149 - If ‘DG classification’ is ‘IMDG’ the ‘IMO Hazard Class’ and ‘UN Number’ is mandatory</v>
      </c>
    </row>
    <row r="1657" spans="7:11" x14ac:dyDescent="0.2">
      <c r="G1657" t="b">
        <f>IF(OR(INDEX(IHZ_HAZ_DGCLASSIFI,150,1)="IMDG",),AND(INDEX(IHZ_HAZ_IMOHAZARDC,150,1)&lt;&gt;"",INDEX(IHZ_HAZ_UNNUMBER,150,1)&lt;&gt;""),TRUE)</f>
        <v>1</v>
      </c>
      <c r="H1657" t="str">
        <f t="shared" si="53"/>
        <v>Row 150 - If ‘DG classification’ is ‘IMDG’ the ‘IMO Hazard Class’ and ‘UN Number’ is mandatory</v>
      </c>
      <c r="J1657" t="b">
        <f>IF(OR(INDEX(OHZ_HAZ_DGCLASSIFI,150,1)="IMDG",),AND(INDEX(OHZ_HAZ_IMOHAZARDC,150,1)&lt;&gt;"",INDEX(OHZ_HAZ_UNNUMBER,150,1)&lt;&gt;""),TRUE)</f>
        <v>1</v>
      </c>
      <c r="K1657" t="str">
        <f t="shared" si="54"/>
        <v>Row 150 - If ‘DG classification’ is ‘IMDG’ the ‘IMO Hazard Class’ and ‘UN Number’ is mandatory</v>
      </c>
    </row>
    <row r="1658" spans="7:11" x14ac:dyDescent="0.2">
      <c r="G1658" t="b">
        <f>IF(OR(INDEX(IHZ_HAZ_DGCLASSIFI,151,1)="IMDG",),AND(INDEX(IHZ_HAZ_IMOHAZARDC,151,1)&lt;&gt;"",INDEX(IHZ_HAZ_UNNUMBER,151,1)&lt;&gt;""),TRUE)</f>
        <v>1</v>
      </c>
      <c r="H1658" t="str">
        <f t="shared" si="53"/>
        <v>Row 151 - If ‘DG classification’ is ‘IMDG’ the ‘IMO Hazard Class’ and ‘UN Number’ is mandatory</v>
      </c>
      <c r="J1658" t="b">
        <f>IF(OR(INDEX(OHZ_HAZ_DGCLASSIFI,151,1)="IMDG",),AND(INDEX(OHZ_HAZ_IMOHAZARDC,151,1)&lt;&gt;"",INDEX(OHZ_HAZ_UNNUMBER,151,1)&lt;&gt;""),TRUE)</f>
        <v>1</v>
      </c>
      <c r="K1658" t="str">
        <f t="shared" si="54"/>
        <v>Row 151 - If ‘DG classification’ is ‘IMDG’ the ‘IMO Hazard Class’ and ‘UN Number’ is mandatory</v>
      </c>
    </row>
    <row r="1659" spans="7:11" x14ac:dyDescent="0.2">
      <c r="G1659" t="b">
        <f>IF(OR(INDEX(IHZ_HAZ_DGCLASSIFI,152,1)="IMDG",),AND(INDEX(IHZ_HAZ_IMOHAZARDC,152,1)&lt;&gt;"",INDEX(IHZ_HAZ_UNNUMBER,152,1)&lt;&gt;""),TRUE)</f>
        <v>1</v>
      </c>
      <c r="H1659" t="str">
        <f t="shared" si="53"/>
        <v>Row 152 - If ‘DG classification’ is ‘IMDG’ the ‘IMO Hazard Class’ and ‘UN Number’ is mandatory</v>
      </c>
      <c r="J1659" t="b">
        <f>IF(OR(INDEX(OHZ_HAZ_DGCLASSIFI,152,1)="IMDG",),AND(INDEX(OHZ_HAZ_IMOHAZARDC,152,1)&lt;&gt;"",INDEX(OHZ_HAZ_UNNUMBER,152,1)&lt;&gt;""),TRUE)</f>
        <v>1</v>
      </c>
      <c r="K1659" t="str">
        <f t="shared" si="54"/>
        <v>Row 152 - If ‘DG classification’ is ‘IMDG’ the ‘IMO Hazard Class’ and ‘UN Number’ is mandatory</v>
      </c>
    </row>
    <row r="1660" spans="7:11" x14ac:dyDescent="0.2">
      <c r="G1660" t="b">
        <f>IF(OR(INDEX(IHZ_HAZ_DGCLASSIFI,153,1)="IMDG",),AND(INDEX(IHZ_HAZ_IMOHAZARDC,153,1)&lt;&gt;"",INDEX(IHZ_HAZ_UNNUMBER,153,1)&lt;&gt;""),TRUE)</f>
        <v>1</v>
      </c>
      <c r="H1660" t="str">
        <f t="shared" si="53"/>
        <v>Row 153 - If ‘DG classification’ is ‘IMDG’ the ‘IMO Hazard Class’ and ‘UN Number’ is mandatory</v>
      </c>
      <c r="J1660" t="b">
        <f>IF(OR(INDEX(OHZ_HAZ_DGCLASSIFI,153,1)="IMDG",),AND(INDEX(OHZ_HAZ_IMOHAZARDC,153,1)&lt;&gt;"",INDEX(OHZ_HAZ_UNNUMBER,153,1)&lt;&gt;""),TRUE)</f>
        <v>1</v>
      </c>
      <c r="K1660" t="str">
        <f t="shared" si="54"/>
        <v>Row 153 - If ‘DG classification’ is ‘IMDG’ the ‘IMO Hazard Class’ and ‘UN Number’ is mandatory</v>
      </c>
    </row>
    <row r="1661" spans="7:11" x14ac:dyDescent="0.2">
      <c r="G1661" t="b">
        <f>IF(OR(INDEX(IHZ_HAZ_DGCLASSIFI,154,1)="IMDG",),AND(INDEX(IHZ_HAZ_IMOHAZARDC,154,1)&lt;&gt;"",INDEX(IHZ_HAZ_UNNUMBER,154,1)&lt;&gt;""),TRUE)</f>
        <v>1</v>
      </c>
      <c r="H1661" t="str">
        <f t="shared" si="53"/>
        <v>Row 154 - If ‘DG classification’ is ‘IMDG’ the ‘IMO Hazard Class’ and ‘UN Number’ is mandatory</v>
      </c>
      <c r="J1661" t="b">
        <f>IF(OR(INDEX(OHZ_HAZ_DGCLASSIFI,154,1)="IMDG",),AND(INDEX(OHZ_HAZ_IMOHAZARDC,154,1)&lt;&gt;"",INDEX(OHZ_HAZ_UNNUMBER,154,1)&lt;&gt;""),TRUE)</f>
        <v>1</v>
      </c>
      <c r="K1661" t="str">
        <f t="shared" si="54"/>
        <v>Row 154 - If ‘DG classification’ is ‘IMDG’ the ‘IMO Hazard Class’ and ‘UN Number’ is mandatory</v>
      </c>
    </row>
    <row r="1662" spans="7:11" x14ac:dyDescent="0.2">
      <c r="G1662" t="b">
        <f>IF(OR(INDEX(IHZ_HAZ_DGCLASSIFI,155,1)="IMDG",),AND(INDEX(IHZ_HAZ_IMOHAZARDC,155,1)&lt;&gt;"",INDEX(IHZ_HAZ_UNNUMBER,155,1)&lt;&gt;""),TRUE)</f>
        <v>1</v>
      </c>
      <c r="H1662" t="str">
        <f t="shared" si="53"/>
        <v>Row 155 - If ‘DG classification’ is ‘IMDG’ the ‘IMO Hazard Class’ and ‘UN Number’ is mandatory</v>
      </c>
      <c r="J1662" t="b">
        <f>IF(OR(INDEX(OHZ_HAZ_DGCLASSIFI,155,1)="IMDG",),AND(INDEX(OHZ_HAZ_IMOHAZARDC,155,1)&lt;&gt;"",INDEX(OHZ_HAZ_UNNUMBER,155,1)&lt;&gt;""),TRUE)</f>
        <v>1</v>
      </c>
      <c r="K1662" t="str">
        <f t="shared" si="54"/>
        <v>Row 155 - If ‘DG classification’ is ‘IMDG’ the ‘IMO Hazard Class’ and ‘UN Number’ is mandatory</v>
      </c>
    </row>
    <row r="1663" spans="7:11" x14ac:dyDescent="0.2">
      <c r="G1663" t="b">
        <f>IF(OR(INDEX(IHZ_HAZ_DGCLASSIFI,156,1)="IMDG",),AND(INDEX(IHZ_HAZ_IMOHAZARDC,156,1)&lt;&gt;"",INDEX(IHZ_HAZ_UNNUMBER,156,1)&lt;&gt;""),TRUE)</f>
        <v>1</v>
      </c>
      <c r="H1663" t="str">
        <f t="shared" si="53"/>
        <v>Row 156 - If ‘DG classification’ is ‘IMDG’ the ‘IMO Hazard Class’ and ‘UN Number’ is mandatory</v>
      </c>
      <c r="J1663" t="b">
        <f>IF(OR(INDEX(OHZ_HAZ_DGCLASSIFI,156,1)="IMDG",),AND(INDEX(OHZ_HAZ_IMOHAZARDC,156,1)&lt;&gt;"",INDEX(OHZ_HAZ_UNNUMBER,156,1)&lt;&gt;""),TRUE)</f>
        <v>1</v>
      </c>
      <c r="K1663" t="str">
        <f t="shared" si="54"/>
        <v>Row 156 - If ‘DG classification’ is ‘IMDG’ the ‘IMO Hazard Class’ and ‘UN Number’ is mandatory</v>
      </c>
    </row>
    <row r="1664" spans="7:11" x14ac:dyDescent="0.2">
      <c r="G1664" t="b">
        <f>IF(OR(INDEX(IHZ_HAZ_DGCLASSIFI,157,1)="IMDG",),AND(INDEX(IHZ_HAZ_IMOHAZARDC,157,1)&lt;&gt;"",INDEX(IHZ_HAZ_UNNUMBER,157,1)&lt;&gt;""),TRUE)</f>
        <v>1</v>
      </c>
      <c r="H1664" t="str">
        <f t="shared" si="53"/>
        <v>Row 157 - If ‘DG classification’ is ‘IMDG’ the ‘IMO Hazard Class’ and ‘UN Number’ is mandatory</v>
      </c>
      <c r="J1664" t="b">
        <f>IF(OR(INDEX(OHZ_HAZ_DGCLASSIFI,157,1)="IMDG",),AND(INDEX(OHZ_HAZ_IMOHAZARDC,157,1)&lt;&gt;"",INDEX(OHZ_HAZ_UNNUMBER,157,1)&lt;&gt;""),TRUE)</f>
        <v>1</v>
      </c>
      <c r="K1664" t="str">
        <f t="shared" si="54"/>
        <v>Row 157 - If ‘DG classification’ is ‘IMDG’ the ‘IMO Hazard Class’ and ‘UN Number’ is mandatory</v>
      </c>
    </row>
    <row r="1665" spans="7:11" x14ac:dyDescent="0.2">
      <c r="G1665" t="b">
        <f>IF(OR(INDEX(IHZ_HAZ_DGCLASSIFI,158,1)="IMDG",),AND(INDEX(IHZ_HAZ_IMOHAZARDC,158,1)&lt;&gt;"",INDEX(IHZ_HAZ_UNNUMBER,158,1)&lt;&gt;""),TRUE)</f>
        <v>1</v>
      </c>
      <c r="H1665" t="str">
        <f t="shared" si="53"/>
        <v>Row 158 - If ‘DG classification’ is ‘IMDG’ the ‘IMO Hazard Class’ and ‘UN Number’ is mandatory</v>
      </c>
      <c r="J1665" t="b">
        <f>IF(OR(INDEX(OHZ_HAZ_DGCLASSIFI,158,1)="IMDG",),AND(INDEX(OHZ_HAZ_IMOHAZARDC,158,1)&lt;&gt;"",INDEX(OHZ_HAZ_UNNUMBER,158,1)&lt;&gt;""),TRUE)</f>
        <v>1</v>
      </c>
      <c r="K1665" t="str">
        <f t="shared" si="54"/>
        <v>Row 158 - If ‘DG classification’ is ‘IMDG’ the ‘IMO Hazard Class’ and ‘UN Number’ is mandatory</v>
      </c>
    </row>
    <row r="1666" spans="7:11" x14ac:dyDescent="0.2">
      <c r="G1666" t="b">
        <f>IF(OR(INDEX(IHZ_HAZ_DGCLASSIFI,159,1)="IMDG",),AND(INDEX(IHZ_HAZ_IMOHAZARDC,159,1)&lt;&gt;"",INDEX(IHZ_HAZ_UNNUMBER,159,1)&lt;&gt;""),TRUE)</f>
        <v>1</v>
      </c>
      <c r="H1666" t="str">
        <f t="shared" si="53"/>
        <v>Row 159 - If ‘DG classification’ is ‘IMDG’ the ‘IMO Hazard Class’ and ‘UN Number’ is mandatory</v>
      </c>
      <c r="J1666" t="b">
        <f>IF(OR(INDEX(OHZ_HAZ_DGCLASSIFI,159,1)="IMDG",),AND(INDEX(OHZ_HAZ_IMOHAZARDC,159,1)&lt;&gt;"",INDEX(OHZ_HAZ_UNNUMBER,159,1)&lt;&gt;""),TRUE)</f>
        <v>1</v>
      </c>
      <c r="K1666" t="str">
        <f t="shared" si="54"/>
        <v>Row 159 - If ‘DG classification’ is ‘IMDG’ the ‘IMO Hazard Class’ and ‘UN Number’ is mandatory</v>
      </c>
    </row>
    <row r="1667" spans="7:11" x14ac:dyDescent="0.2">
      <c r="G1667" t="b">
        <f>IF(OR(INDEX(IHZ_HAZ_DGCLASSIFI,160,1)="IMDG",),AND(INDEX(IHZ_HAZ_IMOHAZARDC,160,1)&lt;&gt;"",INDEX(IHZ_HAZ_UNNUMBER,160,1)&lt;&gt;""),TRUE)</f>
        <v>1</v>
      </c>
      <c r="H1667" t="str">
        <f t="shared" si="53"/>
        <v>Row 160 - If ‘DG classification’ is ‘IMDG’ the ‘IMO Hazard Class’ and ‘UN Number’ is mandatory</v>
      </c>
      <c r="J1667" t="b">
        <f>IF(OR(INDEX(OHZ_HAZ_DGCLASSIFI,160,1)="IMDG",),AND(INDEX(OHZ_HAZ_IMOHAZARDC,160,1)&lt;&gt;"",INDEX(OHZ_HAZ_UNNUMBER,160,1)&lt;&gt;""),TRUE)</f>
        <v>1</v>
      </c>
      <c r="K1667" t="str">
        <f t="shared" si="54"/>
        <v>Row 160 - If ‘DG classification’ is ‘IMDG’ the ‘IMO Hazard Class’ and ‘UN Number’ is mandatory</v>
      </c>
    </row>
    <row r="1668" spans="7:11" x14ac:dyDescent="0.2">
      <c r="G1668" t="b">
        <f>IF(OR(INDEX(IHZ_HAZ_DGCLASSIFI,161,1)="IMDG",),AND(INDEX(IHZ_HAZ_IMOHAZARDC,161,1)&lt;&gt;"",INDEX(IHZ_HAZ_UNNUMBER,161,1)&lt;&gt;""),TRUE)</f>
        <v>1</v>
      </c>
      <c r="H1668" t="str">
        <f t="shared" si="53"/>
        <v>Row 161 - If ‘DG classification’ is ‘IMDG’ the ‘IMO Hazard Class’ and ‘UN Number’ is mandatory</v>
      </c>
      <c r="J1668" t="b">
        <f>IF(OR(INDEX(OHZ_HAZ_DGCLASSIFI,161,1)="IMDG",),AND(INDEX(OHZ_HAZ_IMOHAZARDC,161,1)&lt;&gt;"",INDEX(OHZ_HAZ_UNNUMBER,161,1)&lt;&gt;""),TRUE)</f>
        <v>1</v>
      </c>
      <c r="K1668" t="str">
        <f t="shared" si="54"/>
        <v>Row 161 - If ‘DG classification’ is ‘IMDG’ the ‘IMO Hazard Class’ and ‘UN Number’ is mandatory</v>
      </c>
    </row>
    <row r="1669" spans="7:11" x14ac:dyDescent="0.2">
      <c r="G1669" t="b">
        <f>IF(OR(INDEX(IHZ_HAZ_DGCLASSIFI,162,1)="IMDG",),AND(INDEX(IHZ_HAZ_IMOHAZARDC,162,1)&lt;&gt;"",INDEX(IHZ_HAZ_UNNUMBER,162,1)&lt;&gt;""),TRUE)</f>
        <v>1</v>
      </c>
      <c r="H1669" t="str">
        <f t="shared" si="53"/>
        <v>Row 162 - If ‘DG classification’ is ‘IMDG’ the ‘IMO Hazard Class’ and ‘UN Number’ is mandatory</v>
      </c>
      <c r="J1669" t="b">
        <f>IF(OR(INDEX(OHZ_HAZ_DGCLASSIFI,162,1)="IMDG",),AND(INDEX(OHZ_HAZ_IMOHAZARDC,162,1)&lt;&gt;"",INDEX(OHZ_HAZ_UNNUMBER,162,1)&lt;&gt;""),TRUE)</f>
        <v>1</v>
      </c>
      <c r="K1669" t="str">
        <f t="shared" si="54"/>
        <v>Row 162 - If ‘DG classification’ is ‘IMDG’ the ‘IMO Hazard Class’ and ‘UN Number’ is mandatory</v>
      </c>
    </row>
    <row r="1670" spans="7:11" x14ac:dyDescent="0.2">
      <c r="G1670" t="b">
        <f>IF(OR(INDEX(IHZ_HAZ_DGCLASSIFI,163,1)="IMDG",),AND(INDEX(IHZ_HAZ_IMOHAZARDC,163,1)&lt;&gt;"",INDEX(IHZ_HAZ_UNNUMBER,163,1)&lt;&gt;""),TRUE)</f>
        <v>1</v>
      </c>
      <c r="H1670" t="str">
        <f t="shared" si="53"/>
        <v>Row 163 - If ‘DG classification’ is ‘IMDG’ the ‘IMO Hazard Class’ and ‘UN Number’ is mandatory</v>
      </c>
      <c r="J1670" t="b">
        <f>IF(OR(INDEX(OHZ_HAZ_DGCLASSIFI,163,1)="IMDG",),AND(INDEX(OHZ_HAZ_IMOHAZARDC,163,1)&lt;&gt;"",INDEX(OHZ_HAZ_UNNUMBER,163,1)&lt;&gt;""),TRUE)</f>
        <v>1</v>
      </c>
      <c r="K1670" t="str">
        <f t="shared" si="54"/>
        <v>Row 163 - If ‘DG classification’ is ‘IMDG’ the ‘IMO Hazard Class’ and ‘UN Number’ is mandatory</v>
      </c>
    </row>
    <row r="1671" spans="7:11" x14ac:dyDescent="0.2">
      <c r="G1671" t="b">
        <f>IF(OR(INDEX(IHZ_HAZ_DGCLASSIFI,164,1)="IMDG",),AND(INDEX(IHZ_HAZ_IMOHAZARDC,164,1)&lt;&gt;"",INDEX(IHZ_HAZ_UNNUMBER,164,1)&lt;&gt;""),TRUE)</f>
        <v>1</v>
      </c>
      <c r="H1671" t="str">
        <f t="shared" si="53"/>
        <v>Row 164 - If ‘DG classification’ is ‘IMDG’ the ‘IMO Hazard Class’ and ‘UN Number’ is mandatory</v>
      </c>
      <c r="J1671" t="b">
        <f>IF(OR(INDEX(OHZ_HAZ_DGCLASSIFI,164,1)="IMDG",),AND(INDEX(OHZ_HAZ_IMOHAZARDC,164,1)&lt;&gt;"",INDEX(OHZ_HAZ_UNNUMBER,164,1)&lt;&gt;""),TRUE)</f>
        <v>1</v>
      </c>
      <c r="K1671" t="str">
        <f t="shared" si="54"/>
        <v>Row 164 - If ‘DG classification’ is ‘IMDG’ the ‘IMO Hazard Class’ and ‘UN Number’ is mandatory</v>
      </c>
    </row>
    <row r="1672" spans="7:11" x14ac:dyDescent="0.2">
      <c r="G1672" t="b">
        <f>IF(OR(INDEX(IHZ_HAZ_DGCLASSIFI,165,1)="IMDG",),AND(INDEX(IHZ_HAZ_IMOHAZARDC,165,1)&lt;&gt;"",INDEX(IHZ_HAZ_UNNUMBER,165,1)&lt;&gt;""),TRUE)</f>
        <v>1</v>
      </c>
      <c r="H1672" t="str">
        <f t="shared" si="53"/>
        <v>Row 165 - If ‘DG classification’ is ‘IMDG’ the ‘IMO Hazard Class’ and ‘UN Number’ is mandatory</v>
      </c>
      <c r="J1672" t="b">
        <f>IF(OR(INDEX(OHZ_HAZ_DGCLASSIFI,165,1)="IMDG",),AND(INDEX(OHZ_HAZ_IMOHAZARDC,165,1)&lt;&gt;"",INDEX(OHZ_HAZ_UNNUMBER,165,1)&lt;&gt;""),TRUE)</f>
        <v>1</v>
      </c>
      <c r="K1672" t="str">
        <f t="shared" si="54"/>
        <v>Row 165 - If ‘DG classification’ is ‘IMDG’ the ‘IMO Hazard Class’ and ‘UN Number’ is mandatory</v>
      </c>
    </row>
    <row r="1673" spans="7:11" x14ac:dyDescent="0.2">
      <c r="G1673" t="b">
        <f>IF(OR(INDEX(IHZ_HAZ_DGCLASSIFI,166,1)="IMDG",),AND(INDEX(IHZ_HAZ_IMOHAZARDC,166,1)&lt;&gt;"",INDEX(IHZ_HAZ_UNNUMBER,166,1)&lt;&gt;""),TRUE)</f>
        <v>1</v>
      </c>
      <c r="H1673" t="str">
        <f t="shared" si="53"/>
        <v>Row 166 - If ‘DG classification’ is ‘IMDG’ the ‘IMO Hazard Class’ and ‘UN Number’ is mandatory</v>
      </c>
      <c r="J1673" t="b">
        <f>IF(OR(INDEX(OHZ_HAZ_DGCLASSIFI,166,1)="IMDG",),AND(INDEX(OHZ_HAZ_IMOHAZARDC,166,1)&lt;&gt;"",INDEX(OHZ_HAZ_UNNUMBER,166,1)&lt;&gt;""),TRUE)</f>
        <v>1</v>
      </c>
      <c r="K1673" t="str">
        <f t="shared" si="54"/>
        <v>Row 166 - If ‘DG classification’ is ‘IMDG’ the ‘IMO Hazard Class’ and ‘UN Number’ is mandatory</v>
      </c>
    </row>
    <row r="1674" spans="7:11" x14ac:dyDescent="0.2">
      <c r="G1674" t="b">
        <f>IF(OR(INDEX(IHZ_HAZ_DGCLASSIFI,167,1)="IMDG",),AND(INDEX(IHZ_HAZ_IMOHAZARDC,167,1)&lt;&gt;"",INDEX(IHZ_HAZ_UNNUMBER,167,1)&lt;&gt;""),TRUE)</f>
        <v>1</v>
      </c>
      <c r="H1674" t="str">
        <f t="shared" si="53"/>
        <v>Row 167 - If ‘DG classification’ is ‘IMDG’ the ‘IMO Hazard Class’ and ‘UN Number’ is mandatory</v>
      </c>
      <c r="J1674" t="b">
        <f>IF(OR(INDEX(OHZ_HAZ_DGCLASSIFI,167,1)="IMDG",),AND(INDEX(OHZ_HAZ_IMOHAZARDC,167,1)&lt;&gt;"",INDEX(OHZ_HAZ_UNNUMBER,167,1)&lt;&gt;""),TRUE)</f>
        <v>1</v>
      </c>
      <c r="K1674" t="str">
        <f t="shared" si="54"/>
        <v>Row 167 - If ‘DG classification’ is ‘IMDG’ the ‘IMO Hazard Class’ and ‘UN Number’ is mandatory</v>
      </c>
    </row>
    <row r="1675" spans="7:11" x14ac:dyDescent="0.2">
      <c r="G1675" t="b">
        <f>IF(OR(INDEX(IHZ_HAZ_DGCLASSIFI,168,1)="IMDG",),AND(INDEX(IHZ_HAZ_IMOHAZARDC,168,1)&lt;&gt;"",INDEX(IHZ_HAZ_UNNUMBER,168,1)&lt;&gt;""),TRUE)</f>
        <v>1</v>
      </c>
      <c r="H1675" t="str">
        <f t="shared" si="53"/>
        <v>Row 168 - If ‘DG classification’ is ‘IMDG’ the ‘IMO Hazard Class’ and ‘UN Number’ is mandatory</v>
      </c>
      <c r="J1675" t="b">
        <f>IF(OR(INDEX(OHZ_HAZ_DGCLASSIFI,168,1)="IMDG",),AND(INDEX(OHZ_HAZ_IMOHAZARDC,168,1)&lt;&gt;"",INDEX(OHZ_HAZ_UNNUMBER,168,1)&lt;&gt;""),TRUE)</f>
        <v>1</v>
      </c>
      <c r="K1675" t="str">
        <f t="shared" si="54"/>
        <v>Row 168 - If ‘DG classification’ is ‘IMDG’ the ‘IMO Hazard Class’ and ‘UN Number’ is mandatory</v>
      </c>
    </row>
    <row r="1676" spans="7:11" x14ac:dyDescent="0.2">
      <c r="G1676" t="b">
        <f>IF(OR(INDEX(IHZ_HAZ_DGCLASSIFI,169,1)="IMDG",),AND(INDEX(IHZ_HAZ_IMOHAZARDC,169,1)&lt;&gt;"",INDEX(IHZ_HAZ_UNNUMBER,169,1)&lt;&gt;""),TRUE)</f>
        <v>1</v>
      </c>
      <c r="H1676" t="str">
        <f t="shared" si="53"/>
        <v>Row 169 - If ‘DG classification’ is ‘IMDG’ the ‘IMO Hazard Class’ and ‘UN Number’ is mandatory</v>
      </c>
      <c r="J1676" t="b">
        <f>IF(OR(INDEX(OHZ_HAZ_DGCLASSIFI,169,1)="IMDG",),AND(INDEX(OHZ_HAZ_IMOHAZARDC,169,1)&lt;&gt;"",INDEX(OHZ_HAZ_UNNUMBER,169,1)&lt;&gt;""),TRUE)</f>
        <v>1</v>
      </c>
      <c r="K1676" t="str">
        <f t="shared" si="54"/>
        <v>Row 169 - If ‘DG classification’ is ‘IMDG’ the ‘IMO Hazard Class’ and ‘UN Number’ is mandatory</v>
      </c>
    </row>
    <row r="1677" spans="7:11" x14ac:dyDescent="0.2">
      <c r="G1677" t="b">
        <f>IF(OR(INDEX(IHZ_HAZ_DGCLASSIFI,170,1)="IMDG",),AND(INDEX(IHZ_HAZ_IMOHAZARDC,170,1)&lt;&gt;"",INDEX(IHZ_HAZ_UNNUMBER,170,1)&lt;&gt;""),TRUE)</f>
        <v>1</v>
      </c>
      <c r="H1677" t="str">
        <f t="shared" si="53"/>
        <v>Row 170 - If ‘DG classification’ is ‘IMDG’ the ‘IMO Hazard Class’ and ‘UN Number’ is mandatory</v>
      </c>
      <c r="J1677" t="b">
        <f>IF(OR(INDEX(OHZ_HAZ_DGCLASSIFI,170,1)="IMDG",),AND(INDEX(OHZ_HAZ_IMOHAZARDC,170,1)&lt;&gt;"",INDEX(OHZ_HAZ_UNNUMBER,170,1)&lt;&gt;""),TRUE)</f>
        <v>1</v>
      </c>
      <c r="K1677" t="str">
        <f t="shared" si="54"/>
        <v>Row 170 - If ‘DG classification’ is ‘IMDG’ the ‘IMO Hazard Class’ and ‘UN Number’ is mandatory</v>
      </c>
    </row>
    <row r="1678" spans="7:11" x14ac:dyDescent="0.2">
      <c r="G1678" t="b">
        <f>IF(OR(INDEX(IHZ_HAZ_DGCLASSIFI,171,1)="IMDG",),AND(INDEX(IHZ_HAZ_IMOHAZARDC,171,1)&lt;&gt;"",INDEX(IHZ_HAZ_UNNUMBER,171,1)&lt;&gt;""),TRUE)</f>
        <v>1</v>
      </c>
      <c r="H1678" t="str">
        <f t="shared" si="53"/>
        <v>Row 171 - If ‘DG classification’ is ‘IMDG’ the ‘IMO Hazard Class’ and ‘UN Number’ is mandatory</v>
      </c>
      <c r="J1678" t="b">
        <f>IF(OR(INDEX(OHZ_HAZ_DGCLASSIFI,171,1)="IMDG",),AND(INDEX(OHZ_HAZ_IMOHAZARDC,171,1)&lt;&gt;"",INDEX(OHZ_HAZ_UNNUMBER,171,1)&lt;&gt;""),TRUE)</f>
        <v>1</v>
      </c>
      <c r="K1678" t="str">
        <f t="shared" si="54"/>
        <v>Row 171 - If ‘DG classification’ is ‘IMDG’ the ‘IMO Hazard Class’ and ‘UN Number’ is mandatory</v>
      </c>
    </row>
    <row r="1679" spans="7:11" x14ac:dyDescent="0.2">
      <c r="G1679" t="b">
        <f>IF(OR(INDEX(IHZ_HAZ_DGCLASSIFI,172,1)="IMDG",),AND(INDEX(IHZ_HAZ_IMOHAZARDC,172,1)&lt;&gt;"",INDEX(IHZ_HAZ_UNNUMBER,172,1)&lt;&gt;""),TRUE)</f>
        <v>1</v>
      </c>
      <c r="H1679" t="str">
        <f t="shared" si="53"/>
        <v>Row 172 - If ‘DG classification’ is ‘IMDG’ the ‘IMO Hazard Class’ and ‘UN Number’ is mandatory</v>
      </c>
      <c r="J1679" t="b">
        <f>IF(OR(INDEX(OHZ_HAZ_DGCLASSIFI,172,1)="IMDG",),AND(INDEX(OHZ_HAZ_IMOHAZARDC,172,1)&lt;&gt;"",INDEX(OHZ_HAZ_UNNUMBER,172,1)&lt;&gt;""),TRUE)</f>
        <v>1</v>
      </c>
      <c r="K1679" t="str">
        <f t="shared" si="54"/>
        <v>Row 172 - If ‘DG classification’ is ‘IMDG’ the ‘IMO Hazard Class’ and ‘UN Number’ is mandatory</v>
      </c>
    </row>
    <row r="1680" spans="7:11" x14ac:dyDescent="0.2">
      <c r="G1680" t="b">
        <f>IF(OR(INDEX(IHZ_HAZ_DGCLASSIFI,173,1)="IMDG",),AND(INDEX(IHZ_HAZ_IMOHAZARDC,173,1)&lt;&gt;"",INDEX(IHZ_HAZ_UNNUMBER,173,1)&lt;&gt;""),TRUE)</f>
        <v>1</v>
      </c>
      <c r="H1680" t="str">
        <f t="shared" si="53"/>
        <v>Row 173 - If ‘DG classification’ is ‘IMDG’ the ‘IMO Hazard Class’ and ‘UN Number’ is mandatory</v>
      </c>
      <c r="J1680" t="b">
        <f>IF(OR(INDEX(OHZ_HAZ_DGCLASSIFI,173,1)="IMDG",),AND(INDEX(OHZ_HAZ_IMOHAZARDC,173,1)&lt;&gt;"",INDEX(OHZ_HAZ_UNNUMBER,173,1)&lt;&gt;""),TRUE)</f>
        <v>1</v>
      </c>
      <c r="K1680" t="str">
        <f t="shared" si="54"/>
        <v>Row 173 - If ‘DG classification’ is ‘IMDG’ the ‘IMO Hazard Class’ and ‘UN Number’ is mandatory</v>
      </c>
    </row>
    <row r="1681" spans="7:11" x14ac:dyDescent="0.2">
      <c r="G1681" t="b">
        <f>IF(OR(INDEX(IHZ_HAZ_DGCLASSIFI,174,1)="IMDG",),AND(INDEX(IHZ_HAZ_IMOHAZARDC,174,1)&lt;&gt;"",INDEX(IHZ_HAZ_UNNUMBER,174,1)&lt;&gt;""),TRUE)</f>
        <v>1</v>
      </c>
      <c r="H1681" t="str">
        <f t="shared" si="53"/>
        <v>Row 174 - If ‘DG classification’ is ‘IMDG’ the ‘IMO Hazard Class’ and ‘UN Number’ is mandatory</v>
      </c>
      <c r="J1681" t="b">
        <f>IF(OR(INDEX(OHZ_HAZ_DGCLASSIFI,174,1)="IMDG",),AND(INDEX(OHZ_HAZ_IMOHAZARDC,174,1)&lt;&gt;"",INDEX(OHZ_HAZ_UNNUMBER,174,1)&lt;&gt;""),TRUE)</f>
        <v>1</v>
      </c>
      <c r="K1681" t="str">
        <f t="shared" si="54"/>
        <v>Row 174 - If ‘DG classification’ is ‘IMDG’ the ‘IMO Hazard Class’ and ‘UN Number’ is mandatory</v>
      </c>
    </row>
    <row r="1682" spans="7:11" x14ac:dyDescent="0.2">
      <c r="G1682" t="b">
        <f>IF(OR(INDEX(IHZ_HAZ_DGCLASSIFI,175,1)="IMDG",),AND(INDEX(IHZ_HAZ_IMOHAZARDC,175,1)&lt;&gt;"",INDEX(IHZ_HAZ_UNNUMBER,175,1)&lt;&gt;""),TRUE)</f>
        <v>1</v>
      </c>
      <c r="H1682" t="str">
        <f t="shared" si="53"/>
        <v>Row 175 - If ‘DG classification’ is ‘IMDG’ the ‘IMO Hazard Class’ and ‘UN Number’ is mandatory</v>
      </c>
      <c r="J1682" t="b">
        <f>IF(OR(INDEX(OHZ_HAZ_DGCLASSIFI,175,1)="IMDG",),AND(INDEX(OHZ_HAZ_IMOHAZARDC,175,1)&lt;&gt;"",INDEX(OHZ_HAZ_UNNUMBER,175,1)&lt;&gt;""),TRUE)</f>
        <v>1</v>
      </c>
      <c r="K1682" t="str">
        <f t="shared" si="54"/>
        <v>Row 175 - If ‘DG classification’ is ‘IMDG’ the ‘IMO Hazard Class’ and ‘UN Number’ is mandatory</v>
      </c>
    </row>
    <row r="1683" spans="7:11" x14ac:dyDescent="0.2">
      <c r="G1683" t="b">
        <f>IF(OR(INDEX(IHZ_HAZ_DGCLASSIFI,176,1)="IMDG",),AND(INDEX(IHZ_HAZ_IMOHAZARDC,176,1)&lt;&gt;"",INDEX(IHZ_HAZ_UNNUMBER,176,1)&lt;&gt;""),TRUE)</f>
        <v>1</v>
      </c>
      <c r="H1683" t="str">
        <f t="shared" si="53"/>
        <v>Row 176 - If ‘DG classification’ is ‘IMDG’ the ‘IMO Hazard Class’ and ‘UN Number’ is mandatory</v>
      </c>
      <c r="J1683" t="b">
        <f>IF(OR(INDEX(OHZ_HAZ_DGCLASSIFI,176,1)="IMDG",),AND(INDEX(OHZ_HAZ_IMOHAZARDC,176,1)&lt;&gt;"",INDEX(OHZ_HAZ_UNNUMBER,176,1)&lt;&gt;""),TRUE)</f>
        <v>1</v>
      </c>
      <c r="K1683" t="str">
        <f t="shared" si="54"/>
        <v>Row 176 - If ‘DG classification’ is ‘IMDG’ the ‘IMO Hazard Class’ and ‘UN Number’ is mandatory</v>
      </c>
    </row>
    <row r="1684" spans="7:11" x14ac:dyDescent="0.2">
      <c r="G1684" t="b">
        <f>IF(OR(INDEX(IHZ_HAZ_DGCLASSIFI,177,1)="IMDG",),AND(INDEX(IHZ_HAZ_IMOHAZARDC,177,1)&lt;&gt;"",INDEX(IHZ_HAZ_UNNUMBER,177,1)&lt;&gt;""),TRUE)</f>
        <v>1</v>
      </c>
      <c r="H1684" t="str">
        <f t="shared" si="53"/>
        <v>Row 177 - If ‘DG classification’ is ‘IMDG’ the ‘IMO Hazard Class’ and ‘UN Number’ is mandatory</v>
      </c>
      <c r="J1684" t="b">
        <f>IF(OR(INDEX(OHZ_HAZ_DGCLASSIFI,177,1)="IMDG",),AND(INDEX(OHZ_HAZ_IMOHAZARDC,177,1)&lt;&gt;"",INDEX(OHZ_HAZ_UNNUMBER,177,1)&lt;&gt;""),TRUE)</f>
        <v>1</v>
      </c>
      <c r="K1684" t="str">
        <f t="shared" si="54"/>
        <v>Row 177 - If ‘DG classification’ is ‘IMDG’ the ‘IMO Hazard Class’ and ‘UN Number’ is mandatory</v>
      </c>
    </row>
    <row r="1685" spans="7:11" x14ac:dyDescent="0.2">
      <c r="G1685" t="b">
        <f>IF(OR(INDEX(IHZ_HAZ_DGCLASSIFI,178,1)="IMDG",),AND(INDEX(IHZ_HAZ_IMOHAZARDC,178,1)&lt;&gt;"",INDEX(IHZ_HAZ_UNNUMBER,178,1)&lt;&gt;""),TRUE)</f>
        <v>1</v>
      </c>
      <c r="H1685" t="str">
        <f t="shared" si="53"/>
        <v>Row 178 - If ‘DG classification’ is ‘IMDG’ the ‘IMO Hazard Class’ and ‘UN Number’ is mandatory</v>
      </c>
      <c r="J1685" t="b">
        <f>IF(OR(INDEX(OHZ_HAZ_DGCLASSIFI,178,1)="IMDG",),AND(INDEX(OHZ_HAZ_IMOHAZARDC,178,1)&lt;&gt;"",INDEX(OHZ_HAZ_UNNUMBER,178,1)&lt;&gt;""),TRUE)</f>
        <v>1</v>
      </c>
      <c r="K1685" t="str">
        <f t="shared" si="54"/>
        <v>Row 178 - If ‘DG classification’ is ‘IMDG’ the ‘IMO Hazard Class’ and ‘UN Number’ is mandatory</v>
      </c>
    </row>
    <row r="1686" spans="7:11" x14ac:dyDescent="0.2">
      <c r="G1686" t="b">
        <f>IF(OR(INDEX(IHZ_HAZ_DGCLASSIFI,179,1)="IMDG",),AND(INDEX(IHZ_HAZ_IMOHAZARDC,179,1)&lt;&gt;"",INDEX(IHZ_HAZ_UNNUMBER,179,1)&lt;&gt;""),TRUE)</f>
        <v>1</v>
      </c>
      <c r="H1686" t="str">
        <f t="shared" si="53"/>
        <v>Row 179 - If ‘DG classification’ is ‘IMDG’ the ‘IMO Hazard Class’ and ‘UN Number’ is mandatory</v>
      </c>
      <c r="J1686" t="b">
        <f>IF(OR(INDEX(OHZ_HAZ_DGCLASSIFI,179,1)="IMDG",),AND(INDEX(OHZ_HAZ_IMOHAZARDC,179,1)&lt;&gt;"",INDEX(OHZ_HAZ_UNNUMBER,179,1)&lt;&gt;""),TRUE)</f>
        <v>1</v>
      </c>
      <c r="K1686" t="str">
        <f t="shared" si="54"/>
        <v>Row 179 - If ‘DG classification’ is ‘IMDG’ the ‘IMO Hazard Class’ and ‘UN Number’ is mandatory</v>
      </c>
    </row>
    <row r="1687" spans="7:11" x14ac:dyDescent="0.2">
      <c r="G1687" t="b">
        <f>IF(OR(INDEX(IHZ_HAZ_DGCLASSIFI,180,1)="IMDG",),AND(INDEX(IHZ_HAZ_IMOHAZARDC,180,1)&lt;&gt;"",INDEX(IHZ_HAZ_UNNUMBER,180,1)&lt;&gt;""),TRUE)</f>
        <v>1</v>
      </c>
      <c r="H1687" t="str">
        <f t="shared" si="53"/>
        <v>Row 180 - If ‘DG classification’ is ‘IMDG’ the ‘IMO Hazard Class’ and ‘UN Number’ is mandatory</v>
      </c>
      <c r="J1687" t="b">
        <f>IF(OR(INDEX(OHZ_HAZ_DGCLASSIFI,180,1)="IMDG",),AND(INDEX(OHZ_HAZ_IMOHAZARDC,180,1)&lt;&gt;"",INDEX(OHZ_HAZ_UNNUMBER,180,1)&lt;&gt;""),TRUE)</f>
        <v>1</v>
      </c>
      <c r="K1687" t="str">
        <f t="shared" si="54"/>
        <v>Row 180 - If ‘DG classification’ is ‘IMDG’ the ‘IMO Hazard Class’ and ‘UN Number’ is mandatory</v>
      </c>
    </row>
    <row r="1688" spans="7:11" x14ac:dyDescent="0.2">
      <c r="G1688" t="b">
        <f>IF(OR(INDEX(IHZ_HAZ_DGCLASSIFI,181,1)="IMDG",),AND(INDEX(IHZ_HAZ_IMOHAZARDC,181,1)&lt;&gt;"",INDEX(IHZ_HAZ_UNNUMBER,181,1)&lt;&gt;""),TRUE)</f>
        <v>1</v>
      </c>
      <c r="H1688" t="str">
        <f t="shared" si="53"/>
        <v>Row 181 - If ‘DG classification’ is ‘IMDG’ the ‘IMO Hazard Class’ and ‘UN Number’ is mandatory</v>
      </c>
      <c r="J1688" t="b">
        <f>IF(OR(INDEX(OHZ_HAZ_DGCLASSIFI,181,1)="IMDG",),AND(INDEX(OHZ_HAZ_IMOHAZARDC,181,1)&lt;&gt;"",INDEX(OHZ_HAZ_UNNUMBER,181,1)&lt;&gt;""),TRUE)</f>
        <v>1</v>
      </c>
      <c r="K1688" t="str">
        <f t="shared" si="54"/>
        <v>Row 181 - If ‘DG classification’ is ‘IMDG’ the ‘IMO Hazard Class’ and ‘UN Number’ is mandatory</v>
      </c>
    </row>
    <row r="1689" spans="7:11" x14ac:dyDescent="0.2">
      <c r="G1689" t="b">
        <f>IF(OR(INDEX(IHZ_HAZ_DGCLASSIFI,182,1)="IMDG",),AND(INDEX(IHZ_HAZ_IMOHAZARDC,182,1)&lt;&gt;"",INDEX(IHZ_HAZ_UNNUMBER,182,1)&lt;&gt;""),TRUE)</f>
        <v>1</v>
      </c>
      <c r="H1689" t="str">
        <f t="shared" si="53"/>
        <v>Row 182 - If ‘DG classification’ is ‘IMDG’ the ‘IMO Hazard Class’ and ‘UN Number’ is mandatory</v>
      </c>
      <c r="J1689" t="b">
        <f>IF(OR(INDEX(OHZ_HAZ_DGCLASSIFI,182,1)="IMDG",),AND(INDEX(OHZ_HAZ_IMOHAZARDC,182,1)&lt;&gt;"",INDEX(OHZ_HAZ_UNNUMBER,182,1)&lt;&gt;""),TRUE)</f>
        <v>1</v>
      </c>
      <c r="K1689" t="str">
        <f t="shared" si="54"/>
        <v>Row 182 - If ‘DG classification’ is ‘IMDG’ the ‘IMO Hazard Class’ and ‘UN Number’ is mandatory</v>
      </c>
    </row>
    <row r="1690" spans="7:11" x14ac:dyDescent="0.2">
      <c r="G1690" t="b">
        <f>IF(OR(INDEX(IHZ_HAZ_DGCLASSIFI,183,1)="IMDG",),AND(INDEX(IHZ_HAZ_IMOHAZARDC,183,1)&lt;&gt;"",INDEX(IHZ_HAZ_UNNUMBER,183,1)&lt;&gt;""),TRUE)</f>
        <v>1</v>
      </c>
      <c r="H1690" t="str">
        <f t="shared" si="53"/>
        <v>Row 183 - If ‘DG classification’ is ‘IMDG’ the ‘IMO Hazard Class’ and ‘UN Number’ is mandatory</v>
      </c>
      <c r="J1690" t="b">
        <f>IF(OR(INDEX(OHZ_HAZ_DGCLASSIFI,183,1)="IMDG",),AND(INDEX(OHZ_HAZ_IMOHAZARDC,183,1)&lt;&gt;"",INDEX(OHZ_HAZ_UNNUMBER,183,1)&lt;&gt;""),TRUE)</f>
        <v>1</v>
      </c>
      <c r="K1690" t="str">
        <f t="shared" si="54"/>
        <v>Row 183 - If ‘DG classification’ is ‘IMDG’ the ‘IMO Hazard Class’ and ‘UN Number’ is mandatory</v>
      </c>
    </row>
    <row r="1691" spans="7:11" x14ac:dyDescent="0.2">
      <c r="G1691" t="b">
        <f>IF(OR(INDEX(IHZ_HAZ_DGCLASSIFI,184,1)="IMDG",),AND(INDEX(IHZ_HAZ_IMOHAZARDC,184,1)&lt;&gt;"",INDEX(IHZ_HAZ_UNNUMBER,184,1)&lt;&gt;""),TRUE)</f>
        <v>1</v>
      </c>
      <c r="H1691" t="str">
        <f t="shared" si="53"/>
        <v>Row 184 - If ‘DG classification’ is ‘IMDG’ the ‘IMO Hazard Class’ and ‘UN Number’ is mandatory</v>
      </c>
      <c r="J1691" t="b">
        <f>IF(OR(INDEX(OHZ_HAZ_DGCLASSIFI,184,1)="IMDG",),AND(INDEX(OHZ_HAZ_IMOHAZARDC,184,1)&lt;&gt;"",INDEX(OHZ_HAZ_UNNUMBER,184,1)&lt;&gt;""),TRUE)</f>
        <v>1</v>
      </c>
      <c r="K1691" t="str">
        <f t="shared" si="54"/>
        <v>Row 184 - If ‘DG classification’ is ‘IMDG’ the ‘IMO Hazard Class’ and ‘UN Number’ is mandatory</v>
      </c>
    </row>
    <row r="1692" spans="7:11" x14ac:dyDescent="0.2">
      <c r="G1692" t="b">
        <f>IF(OR(INDEX(IHZ_HAZ_DGCLASSIFI,185,1)="IMDG",),AND(INDEX(IHZ_HAZ_IMOHAZARDC,185,1)&lt;&gt;"",INDEX(IHZ_HAZ_UNNUMBER,185,1)&lt;&gt;""),TRUE)</f>
        <v>1</v>
      </c>
      <c r="H1692" t="str">
        <f t="shared" si="53"/>
        <v>Row 185 - If ‘DG classification’ is ‘IMDG’ the ‘IMO Hazard Class’ and ‘UN Number’ is mandatory</v>
      </c>
      <c r="J1692" t="b">
        <f>IF(OR(INDEX(OHZ_HAZ_DGCLASSIFI,185,1)="IMDG",),AND(INDEX(OHZ_HAZ_IMOHAZARDC,185,1)&lt;&gt;"",INDEX(OHZ_HAZ_UNNUMBER,185,1)&lt;&gt;""),TRUE)</f>
        <v>1</v>
      </c>
      <c r="K1692" t="str">
        <f t="shared" si="54"/>
        <v>Row 185 - If ‘DG classification’ is ‘IMDG’ the ‘IMO Hazard Class’ and ‘UN Number’ is mandatory</v>
      </c>
    </row>
    <row r="1693" spans="7:11" x14ac:dyDescent="0.2">
      <c r="G1693" t="b">
        <f>IF(OR(INDEX(IHZ_HAZ_DGCLASSIFI,186,1)="IMDG",),AND(INDEX(IHZ_HAZ_IMOHAZARDC,186,1)&lt;&gt;"",INDEX(IHZ_HAZ_UNNUMBER,186,1)&lt;&gt;""),TRUE)</f>
        <v>1</v>
      </c>
      <c r="H1693" t="str">
        <f t="shared" si="53"/>
        <v>Row 186 - If ‘DG classification’ is ‘IMDG’ the ‘IMO Hazard Class’ and ‘UN Number’ is mandatory</v>
      </c>
      <c r="J1693" t="b">
        <f>IF(OR(INDEX(OHZ_HAZ_DGCLASSIFI,186,1)="IMDG",),AND(INDEX(OHZ_HAZ_IMOHAZARDC,186,1)&lt;&gt;"",INDEX(OHZ_HAZ_UNNUMBER,186,1)&lt;&gt;""),TRUE)</f>
        <v>1</v>
      </c>
      <c r="K1693" t="str">
        <f t="shared" si="54"/>
        <v>Row 186 - If ‘DG classification’ is ‘IMDG’ the ‘IMO Hazard Class’ and ‘UN Number’ is mandatory</v>
      </c>
    </row>
    <row r="1694" spans="7:11" x14ac:dyDescent="0.2">
      <c r="G1694" t="b">
        <f>IF(OR(INDEX(IHZ_HAZ_DGCLASSIFI,187,1)="IMDG",),AND(INDEX(IHZ_HAZ_IMOHAZARDC,187,1)&lt;&gt;"",INDEX(IHZ_HAZ_UNNUMBER,187,1)&lt;&gt;""),TRUE)</f>
        <v>1</v>
      </c>
      <c r="H1694" t="str">
        <f t="shared" si="53"/>
        <v>Row 187 - If ‘DG classification’ is ‘IMDG’ the ‘IMO Hazard Class’ and ‘UN Number’ is mandatory</v>
      </c>
      <c r="J1694" t="b">
        <f>IF(OR(INDEX(OHZ_HAZ_DGCLASSIFI,187,1)="IMDG",),AND(INDEX(OHZ_HAZ_IMOHAZARDC,187,1)&lt;&gt;"",INDEX(OHZ_HAZ_UNNUMBER,187,1)&lt;&gt;""),TRUE)</f>
        <v>1</v>
      </c>
      <c r="K1694" t="str">
        <f t="shared" si="54"/>
        <v>Row 187 - If ‘DG classification’ is ‘IMDG’ the ‘IMO Hazard Class’ and ‘UN Number’ is mandatory</v>
      </c>
    </row>
    <row r="1695" spans="7:11" x14ac:dyDescent="0.2">
      <c r="G1695" t="b">
        <f>IF(OR(INDEX(IHZ_HAZ_DGCLASSIFI,188,1)="IMDG",),AND(INDEX(IHZ_HAZ_IMOHAZARDC,188,1)&lt;&gt;"",INDEX(IHZ_HAZ_UNNUMBER,188,1)&lt;&gt;""),TRUE)</f>
        <v>1</v>
      </c>
      <c r="H1695" t="str">
        <f t="shared" si="53"/>
        <v>Row 188 - If ‘DG classification’ is ‘IMDG’ the ‘IMO Hazard Class’ and ‘UN Number’ is mandatory</v>
      </c>
      <c r="J1695" t="b">
        <f>IF(OR(INDEX(OHZ_HAZ_DGCLASSIFI,188,1)="IMDG",),AND(INDEX(OHZ_HAZ_IMOHAZARDC,188,1)&lt;&gt;"",INDEX(OHZ_HAZ_UNNUMBER,188,1)&lt;&gt;""),TRUE)</f>
        <v>1</v>
      </c>
      <c r="K1695" t="str">
        <f t="shared" si="54"/>
        <v>Row 188 - If ‘DG classification’ is ‘IMDG’ the ‘IMO Hazard Class’ and ‘UN Number’ is mandatory</v>
      </c>
    </row>
    <row r="1696" spans="7:11" x14ac:dyDescent="0.2">
      <c r="G1696" t="b">
        <f>IF(OR(INDEX(IHZ_HAZ_DGCLASSIFI,189,1)="IMDG",),AND(INDEX(IHZ_HAZ_IMOHAZARDC,189,1)&lt;&gt;"",INDEX(IHZ_HAZ_UNNUMBER,189,1)&lt;&gt;""),TRUE)</f>
        <v>1</v>
      </c>
      <c r="H1696" t="str">
        <f t="shared" si="53"/>
        <v>Row 189 - If ‘DG classification’ is ‘IMDG’ the ‘IMO Hazard Class’ and ‘UN Number’ is mandatory</v>
      </c>
      <c r="J1696" t="b">
        <f>IF(OR(INDEX(OHZ_HAZ_DGCLASSIFI,189,1)="IMDG",),AND(INDEX(OHZ_HAZ_IMOHAZARDC,189,1)&lt;&gt;"",INDEX(OHZ_HAZ_UNNUMBER,189,1)&lt;&gt;""),TRUE)</f>
        <v>1</v>
      </c>
      <c r="K1696" t="str">
        <f t="shared" si="54"/>
        <v>Row 189 - If ‘DG classification’ is ‘IMDG’ the ‘IMO Hazard Class’ and ‘UN Number’ is mandatory</v>
      </c>
    </row>
    <row r="1697" spans="7:11" x14ac:dyDescent="0.2">
      <c r="G1697" t="b">
        <f>IF(OR(INDEX(IHZ_HAZ_DGCLASSIFI,190,1)="IMDG",),AND(INDEX(IHZ_HAZ_IMOHAZARDC,190,1)&lt;&gt;"",INDEX(IHZ_HAZ_UNNUMBER,190,1)&lt;&gt;""),TRUE)</f>
        <v>1</v>
      </c>
      <c r="H1697" t="str">
        <f t="shared" si="53"/>
        <v>Row 190 - If ‘DG classification’ is ‘IMDG’ the ‘IMO Hazard Class’ and ‘UN Number’ is mandatory</v>
      </c>
      <c r="J1697" t="b">
        <f>IF(OR(INDEX(OHZ_HAZ_DGCLASSIFI,190,1)="IMDG",),AND(INDEX(OHZ_HAZ_IMOHAZARDC,190,1)&lt;&gt;"",INDEX(OHZ_HAZ_UNNUMBER,190,1)&lt;&gt;""),TRUE)</f>
        <v>1</v>
      </c>
      <c r="K1697" t="str">
        <f t="shared" si="54"/>
        <v>Row 190 - If ‘DG classification’ is ‘IMDG’ the ‘IMO Hazard Class’ and ‘UN Number’ is mandatory</v>
      </c>
    </row>
    <row r="1698" spans="7:11" x14ac:dyDescent="0.2">
      <c r="G1698" t="b">
        <f>IF(OR(INDEX(IHZ_HAZ_DGCLASSIFI,191,1)="IMDG",),AND(INDEX(IHZ_HAZ_IMOHAZARDC,191,1)&lt;&gt;"",INDEX(IHZ_HAZ_UNNUMBER,191,1)&lt;&gt;""),TRUE)</f>
        <v>1</v>
      </c>
      <c r="H1698" t="str">
        <f t="shared" si="53"/>
        <v>Row 191 - If ‘DG classification’ is ‘IMDG’ the ‘IMO Hazard Class’ and ‘UN Number’ is mandatory</v>
      </c>
      <c r="J1698" t="b">
        <f>IF(OR(INDEX(OHZ_HAZ_DGCLASSIFI,191,1)="IMDG",),AND(INDEX(OHZ_HAZ_IMOHAZARDC,191,1)&lt;&gt;"",INDEX(OHZ_HAZ_UNNUMBER,191,1)&lt;&gt;""),TRUE)</f>
        <v>1</v>
      </c>
      <c r="K1698" t="str">
        <f t="shared" si="54"/>
        <v>Row 191 - If ‘DG classification’ is ‘IMDG’ the ‘IMO Hazard Class’ and ‘UN Number’ is mandatory</v>
      </c>
    </row>
    <row r="1699" spans="7:11" x14ac:dyDescent="0.2">
      <c r="G1699" t="b">
        <f>IF(OR(INDEX(IHZ_HAZ_DGCLASSIFI,192,1)="IMDG",),AND(INDEX(IHZ_HAZ_IMOHAZARDC,192,1)&lt;&gt;"",INDEX(IHZ_HAZ_UNNUMBER,192,1)&lt;&gt;""),TRUE)</f>
        <v>1</v>
      </c>
      <c r="H1699" t="str">
        <f t="shared" si="53"/>
        <v>Row 192 - If ‘DG classification’ is ‘IMDG’ the ‘IMO Hazard Class’ and ‘UN Number’ is mandatory</v>
      </c>
      <c r="J1699" t="b">
        <f>IF(OR(INDEX(OHZ_HAZ_DGCLASSIFI,192,1)="IMDG",),AND(INDEX(OHZ_HAZ_IMOHAZARDC,192,1)&lt;&gt;"",INDEX(OHZ_HAZ_UNNUMBER,192,1)&lt;&gt;""),TRUE)</f>
        <v>1</v>
      </c>
      <c r="K1699" t="str">
        <f t="shared" si="54"/>
        <v>Row 192 - If ‘DG classification’ is ‘IMDG’ the ‘IMO Hazard Class’ and ‘UN Number’ is mandatory</v>
      </c>
    </row>
    <row r="1700" spans="7:11" x14ac:dyDescent="0.2">
      <c r="G1700" t="b">
        <f>IF(OR(INDEX(IHZ_HAZ_DGCLASSIFI,193,1)="IMDG",),AND(INDEX(IHZ_HAZ_IMOHAZARDC,193,1)&lt;&gt;"",INDEX(IHZ_HAZ_UNNUMBER,193,1)&lt;&gt;""),TRUE)</f>
        <v>1</v>
      </c>
      <c r="H1700" t="str">
        <f t="shared" si="53"/>
        <v>Row 193 - If ‘DG classification’ is ‘IMDG’ the ‘IMO Hazard Class’ and ‘UN Number’ is mandatory</v>
      </c>
      <c r="J1700" t="b">
        <f>IF(OR(INDEX(OHZ_HAZ_DGCLASSIFI,193,1)="IMDG",),AND(INDEX(OHZ_HAZ_IMOHAZARDC,193,1)&lt;&gt;"",INDEX(OHZ_HAZ_UNNUMBER,193,1)&lt;&gt;""),TRUE)</f>
        <v>1</v>
      </c>
      <c r="K1700" t="str">
        <f t="shared" si="54"/>
        <v>Row 193 - If ‘DG classification’ is ‘IMDG’ the ‘IMO Hazard Class’ and ‘UN Number’ is mandatory</v>
      </c>
    </row>
    <row r="1701" spans="7:11" x14ac:dyDescent="0.2">
      <c r="G1701" t="b">
        <f>IF(OR(INDEX(IHZ_HAZ_DGCLASSIFI,194,1)="IMDG",),AND(INDEX(IHZ_HAZ_IMOHAZARDC,194,1)&lt;&gt;"",INDEX(IHZ_HAZ_UNNUMBER,194,1)&lt;&gt;""),TRUE)</f>
        <v>1</v>
      </c>
      <c r="H1701" t="str">
        <f t="shared" ref="H1701:H1757" si="55">T194&amp;$V$6</f>
        <v>Row 194 - If ‘DG classification’ is ‘IMDG’ the ‘IMO Hazard Class’ and ‘UN Number’ is mandatory</v>
      </c>
      <c r="J1701" t="b">
        <f>IF(OR(INDEX(OHZ_HAZ_DGCLASSIFI,194,1)="IMDG",),AND(INDEX(OHZ_HAZ_IMOHAZARDC,194,1)&lt;&gt;"",INDEX(OHZ_HAZ_UNNUMBER,194,1)&lt;&gt;""),TRUE)</f>
        <v>1</v>
      </c>
      <c r="K1701" t="str">
        <f t="shared" ref="K1701:K1757" si="56">T194&amp;$V$6</f>
        <v>Row 194 - If ‘DG classification’ is ‘IMDG’ the ‘IMO Hazard Class’ and ‘UN Number’ is mandatory</v>
      </c>
    </row>
    <row r="1702" spans="7:11" x14ac:dyDescent="0.2">
      <c r="G1702" t="b">
        <f>IF(OR(INDEX(IHZ_HAZ_DGCLASSIFI,195,1)="IMDG",),AND(INDEX(IHZ_HAZ_IMOHAZARDC,195,1)&lt;&gt;"",INDEX(IHZ_HAZ_UNNUMBER,195,1)&lt;&gt;""),TRUE)</f>
        <v>1</v>
      </c>
      <c r="H1702" t="str">
        <f t="shared" si="55"/>
        <v>Row 195 - If ‘DG classification’ is ‘IMDG’ the ‘IMO Hazard Class’ and ‘UN Number’ is mandatory</v>
      </c>
      <c r="J1702" t="b">
        <f>IF(OR(INDEX(OHZ_HAZ_DGCLASSIFI,195,1)="IMDG",),AND(INDEX(OHZ_HAZ_IMOHAZARDC,195,1)&lt;&gt;"",INDEX(OHZ_HAZ_UNNUMBER,195,1)&lt;&gt;""),TRUE)</f>
        <v>1</v>
      </c>
      <c r="K1702" t="str">
        <f t="shared" si="56"/>
        <v>Row 195 - If ‘DG classification’ is ‘IMDG’ the ‘IMO Hazard Class’ and ‘UN Number’ is mandatory</v>
      </c>
    </row>
    <row r="1703" spans="7:11" x14ac:dyDescent="0.2">
      <c r="G1703" t="b">
        <f>IF(OR(INDEX(IHZ_HAZ_DGCLASSIFI,196,1)="IMDG",),AND(INDEX(IHZ_HAZ_IMOHAZARDC,196,1)&lt;&gt;"",INDEX(IHZ_HAZ_UNNUMBER,196,1)&lt;&gt;""),TRUE)</f>
        <v>1</v>
      </c>
      <c r="H1703" t="str">
        <f t="shared" si="55"/>
        <v>Row 196 - If ‘DG classification’ is ‘IMDG’ the ‘IMO Hazard Class’ and ‘UN Number’ is mandatory</v>
      </c>
      <c r="J1703" t="b">
        <f>IF(OR(INDEX(OHZ_HAZ_DGCLASSIFI,196,1)="IMDG",),AND(INDEX(OHZ_HAZ_IMOHAZARDC,196,1)&lt;&gt;"",INDEX(OHZ_HAZ_UNNUMBER,196,1)&lt;&gt;""),TRUE)</f>
        <v>1</v>
      </c>
      <c r="K1703" t="str">
        <f t="shared" si="56"/>
        <v>Row 196 - If ‘DG classification’ is ‘IMDG’ the ‘IMO Hazard Class’ and ‘UN Number’ is mandatory</v>
      </c>
    </row>
    <row r="1704" spans="7:11" x14ac:dyDescent="0.2">
      <c r="G1704" t="b">
        <f>IF(OR(INDEX(IHZ_HAZ_DGCLASSIFI,197,1)="IMDG",),AND(INDEX(IHZ_HAZ_IMOHAZARDC,197,1)&lt;&gt;"",INDEX(IHZ_HAZ_UNNUMBER,197,1)&lt;&gt;""),TRUE)</f>
        <v>1</v>
      </c>
      <c r="H1704" t="str">
        <f t="shared" si="55"/>
        <v>Row 197 - If ‘DG classification’ is ‘IMDG’ the ‘IMO Hazard Class’ and ‘UN Number’ is mandatory</v>
      </c>
      <c r="J1704" t="b">
        <f>IF(OR(INDEX(OHZ_HAZ_DGCLASSIFI,197,1)="IMDG",),AND(INDEX(OHZ_HAZ_IMOHAZARDC,197,1)&lt;&gt;"",INDEX(OHZ_HAZ_UNNUMBER,197,1)&lt;&gt;""),TRUE)</f>
        <v>1</v>
      </c>
      <c r="K1704" t="str">
        <f t="shared" si="56"/>
        <v>Row 197 - If ‘DG classification’ is ‘IMDG’ the ‘IMO Hazard Class’ and ‘UN Number’ is mandatory</v>
      </c>
    </row>
    <row r="1705" spans="7:11" x14ac:dyDescent="0.2">
      <c r="G1705" t="b">
        <f>IF(OR(INDEX(IHZ_HAZ_DGCLASSIFI,198,1)="IMDG",),AND(INDEX(IHZ_HAZ_IMOHAZARDC,198,1)&lt;&gt;"",INDEX(IHZ_HAZ_UNNUMBER,198,1)&lt;&gt;""),TRUE)</f>
        <v>1</v>
      </c>
      <c r="H1705" t="str">
        <f t="shared" si="55"/>
        <v>Row 198 - If ‘DG classification’ is ‘IMDG’ the ‘IMO Hazard Class’ and ‘UN Number’ is mandatory</v>
      </c>
      <c r="J1705" t="b">
        <f>IF(OR(INDEX(OHZ_HAZ_DGCLASSIFI,198,1)="IMDG",),AND(INDEX(OHZ_HAZ_IMOHAZARDC,198,1)&lt;&gt;"",INDEX(OHZ_HAZ_UNNUMBER,198,1)&lt;&gt;""),TRUE)</f>
        <v>1</v>
      </c>
      <c r="K1705" t="str">
        <f t="shared" si="56"/>
        <v>Row 198 - If ‘DG classification’ is ‘IMDG’ the ‘IMO Hazard Class’ and ‘UN Number’ is mandatory</v>
      </c>
    </row>
    <row r="1706" spans="7:11" x14ac:dyDescent="0.2">
      <c r="G1706" t="b">
        <f>IF(OR(INDEX(IHZ_HAZ_DGCLASSIFI,199,1)="IMDG",),AND(INDEX(IHZ_HAZ_IMOHAZARDC,199,1)&lt;&gt;"",INDEX(IHZ_HAZ_UNNUMBER,199,1)&lt;&gt;""),TRUE)</f>
        <v>1</v>
      </c>
      <c r="H1706" t="str">
        <f t="shared" si="55"/>
        <v>Row 199 - If ‘DG classification’ is ‘IMDG’ the ‘IMO Hazard Class’ and ‘UN Number’ is mandatory</v>
      </c>
      <c r="J1706" t="b">
        <f>IF(OR(INDEX(OHZ_HAZ_DGCLASSIFI,199,1)="IMDG",),AND(INDEX(OHZ_HAZ_IMOHAZARDC,199,1)&lt;&gt;"",INDEX(OHZ_HAZ_UNNUMBER,199,1)&lt;&gt;""),TRUE)</f>
        <v>1</v>
      </c>
      <c r="K1706" t="str">
        <f t="shared" si="56"/>
        <v>Row 199 - If ‘DG classification’ is ‘IMDG’ the ‘IMO Hazard Class’ and ‘UN Number’ is mandatory</v>
      </c>
    </row>
    <row r="1707" spans="7:11" x14ac:dyDescent="0.2">
      <c r="G1707" t="b">
        <f>IF(OR(INDEX(IHZ_HAZ_DGCLASSIFI,200,1)="IMDG",),AND(INDEX(IHZ_HAZ_IMOHAZARDC,200,1)&lt;&gt;"",INDEX(IHZ_HAZ_UNNUMBER,200,1)&lt;&gt;""),TRUE)</f>
        <v>1</v>
      </c>
      <c r="H1707" t="str">
        <f t="shared" si="55"/>
        <v>Row 200 - If ‘DG classification’ is ‘IMDG’ the ‘IMO Hazard Class’ and ‘UN Number’ is mandatory</v>
      </c>
      <c r="J1707" t="b">
        <f>IF(OR(INDEX(OHZ_HAZ_DGCLASSIFI,200,1)="IMDG",),AND(INDEX(OHZ_HAZ_IMOHAZARDC,200,1)&lt;&gt;"",INDEX(OHZ_HAZ_UNNUMBER,200,1)&lt;&gt;""),TRUE)</f>
        <v>1</v>
      </c>
      <c r="K1707" t="str">
        <f t="shared" si="56"/>
        <v>Row 200 - If ‘DG classification’ is ‘IMDG’ the ‘IMO Hazard Class’ and ‘UN Number’ is mandatory</v>
      </c>
    </row>
    <row r="1708" spans="7:11" x14ac:dyDescent="0.2">
      <c r="G1708" t="b">
        <f>IF(OR(INDEX(IHZ_HAZ_DGCLASSIFI,201,1)="IMDG",),AND(INDEX(IHZ_HAZ_IMOHAZARDC,201,1)&lt;&gt;"",INDEX(IHZ_HAZ_UNNUMBER,201,1)&lt;&gt;""),TRUE)</f>
        <v>1</v>
      </c>
      <c r="H1708" t="str">
        <f t="shared" si="55"/>
        <v>Row 201 - If ‘DG classification’ is ‘IMDG’ the ‘IMO Hazard Class’ and ‘UN Number’ is mandatory</v>
      </c>
      <c r="J1708" t="b">
        <f>IF(OR(INDEX(OHZ_HAZ_DGCLASSIFI,201,1)="IMDG",),AND(INDEX(OHZ_HAZ_IMOHAZARDC,201,1)&lt;&gt;"",INDEX(OHZ_HAZ_UNNUMBER,201,1)&lt;&gt;""),TRUE)</f>
        <v>1</v>
      </c>
      <c r="K1708" t="str">
        <f t="shared" si="56"/>
        <v>Row 201 - If ‘DG classification’ is ‘IMDG’ the ‘IMO Hazard Class’ and ‘UN Number’ is mandatory</v>
      </c>
    </row>
    <row r="1709" spans="7:11" x14ac:dyDescent="0.2">
      <c r="G1709" t="b">
        <f>IF(OR(INDEX(IHZ_HAZ_DGCLASSIFI,202,1)="IMDG",),AND(INDEX(IHZ_HAZ_IMOHAZARDC,202,1)&lt;&gt;"",INDEX(IHZ_HAZ_UNNUMBER,202,1)&lt;&gt;""),TRUE)</f>
        <v>1</v>
      </c>
      <c r="H1709" t="str">
        <f t="shared" si="55"/>
        <v>Row 202 - If ‘DG classification’ is ‘IMDG’ the ‘IMO Hazard Class’ and ‘UN Number’ is mandatory</v>
      </c>
      <c r="J1709" t="b">
        <f>IF(OR(INDEX(OHZ_HAZ_DGCLASSIFI,202,1)="IMDG",),AND(INDEX(OHZ_HAZ_IMOHAZARDC,202,1)&lt;&gt;"",INDEX(OHZ_HAZ_UNNUMBER,202,1)&lt;&gt;""),TRUE)</f>
        <v>1</v>
      </c>
      <c r="K1709" t="str">
        <f t="shared" si="56"/>
        <v>Row 202 - If ‘DG classification’ is ‘IMDG’ the ‘IMO Hazard Class’ and ‘UN Number’ is mandatory</v>
      </c>
    </row>
    <row r="1710" spans="7:11" x14ac:dyDescent="0.2">
      <c r="G1710" t="b">
        <f>IF(OR(INDEX(IHZ_HAZ_DGCLASSIFI,203,1)="IMDG",),AND(INDEX(IHZ_HAZ_IMOHAZARDC,203,1)&lt;&gt;"",INDEX(IHZ_HAZ_UNNUMBER,203,1)&lt;&gt;""),TRUE)</f>
        <v>1</v>
      </c>
      <c r="H1710" t="str">
        <f t="shared" si="55"/>
        <v>Row 203 - If ‘DG classification’ is ‘IMDG’ the ‘IMO Hazard Class’ and ‘UN Number’ is mandatory</v>
      </c>
      <c r="J1710" t="b">
        <f>IF(OR(INDEX(OHZ_HAZ_DGCLASSIFI,203,1)="IMDG",),AND(INDEX(OHZ_HAZ_IMOHAZARDC,203,1)&lt;&gt;"",INDEX(OHZ_HAZ_UNNUMBER,203,1)&lt;&gt;""),TRUE)</f>
        <v>1</v>
      </c>
      <c r="K1710" t="str">
        <f t="shared" si="56"/>
        <v>Row 203 - If ‘DG classification’ is ‘IMDG’ the ‘IMO Hazard Class’ and ‘UN Number’ is mandatory</v>
      </c>
    </row>
    <row r="1711" spans="7:11" x14ac:dyDescent="0.2">
      <c r="G1711" t="b">
        <f>IF(OR(INDEX(IHZ_HAZ_DGCLASSIFI,204,1)="IMDG",),AND(INDEX(IHZ_HAZ_IMOHAZARDC,204,1)&lt;&gt;"",INDEX(IHZ_HAZ_UNNUMBER,204,1)&lt;&gt;""),TRUE)</f>
        <v>1</v>
      </c>
      <c r="H1711" t="str">
        <f t="shared" si="55"/>
        <v>Row 204 - If ‘DG classification’ is ‘IMDG’ the ‘IMO Hazard Class’ and ‘UN Number’ is mandatory</v>
      </c>
      <c r="J1711" t="b">
        <f>IF(OR(INDEX(OHZ_HAZ_DGCLASSIFI,204,1)="IMDG",),AND(INDEX(OHZ_HAZ_IMOHAZARDC,204,1)&lt;&gt;"",INDEX(OHZ_HAZ_UNNUMBER,204,1)&lt;&gt;""),TRUE)</f>
        <v>1</v>
      </c>
      <c r="K1711" t="str">
        <f t="shared" si="56"/>
        <v>Row 204 - If ‘DG classification’ is ‘IMDG’ the ‘IMO Hazard Class’ and ‘UN Number’ is mandatory</v>
      </c>
    </row>
    <row r="1712" spans="7:11" x14ac:dyDescent="0.2">
      <c r="G1712" t="b">
        <f>IF(OR(INDEX(IHZ_HAZ_DGCLASSIFI,205,1)="IMDG",),AND(INDEX(IHZ_HAZ_IMOHAZARDC,205,1)&lt;&gt;"",INDEX(IHZ_HAZ_UNNUMBER,205,1)&lt;&gt;""),TRUE)</f>
        <v>1</v>
      </c>
      <c r="H1712" t="str">
        <f t="shared" si="55"/>
        <v>Row 205 - If ‘DG classification’ is ‘IMDG’ the ‘IMO Hazard Class’ and ‘UN Number’ is mandatory</v>
      </c>
      <c r="J1712" t="b">
        <f>IF(OR(INDEX(OHZ_HAZ_DGCLASSIFI,205,1)="IMDG",),AND(INDEX(OHZ_HAZ_IMOHAZARDC,205,1)&lt;&gt;"",INDEX(OHZ_HAZ_UNNUMBER,205,1)&lt;&gt;""),TRUE)</f>
        <v>1</v>
      </c>
      <c r="K1712" t="str">
        <f t="shared" si="56"/>
        <v>Row 205 - If ‘DG classification’ is ‘IMDG’ the ‘IMO Hazard Class’ and ‘UN Number’ is mandatory</v>
      </c>
    </row>
    <row r="1713" spans="7:11" x14ac:dyDescent="0.2">
      <c r="G1713" t="b">
        <f>IF(OR(INDEX(IHZ_HAZ_DGCLASSIFI,206,1)="IMDG",),AND(INDEX(IHZ_HAZ_IMOHAZARDC,206,1)&lt;&gt;"",INDEX(IHZ_HAZ_UNNUMBER,206,1)&lt;&gt;""),TRUE)</f>
        <v>1</v>
      </c>
      <c r="H1713" t="str">
        <f t="shared" si="55"/>
        <v>Row 206 - If ‘DG classification’ is ‘IMDG’ the ‘IMO Hazard Class’ and ‘UN Number’ is mandatory</v>
      </c>
      <c r="J1713" t="b">
        <f>IF(OR(INDEX(OHZ_HAZ_DGCLASSIFI,206,1)="IMDG",),AND(INDEX(OHZ_HAZ_IMOHAZARDC,206,1)&lt;&gt;"",INDEX(OHZ_HAZ_UNNUMBER,206,1)&lt;&gt;""),TRUE)</f>
        <v>1</v>
      </c>
      <c r="K1713" t="str">
        <f t="shared" si="56"/>
        <v>Row 206 - If ‘DG classification’ is ‘IMDG’ the ‘IMO Hazard Class’ and ‘UN Number’ is mandatory</v>
      </c>
    </row>
    <row r="1714" spans="7:11" x14ac:dyDescent="0.2">
      <c r="G1714" t="b">
        <f>IF(OR(INDEX(IHZ_HAZ_DGCLASSIFI,207,1)="IMDG",),AND(INDEX(IHZ_HAZ_IMOHAZARDC,207,1)&lt;&gt;"",INDEX(IHZ_HAZ_UNNUMBER,207,1)&lt;&gt;""),TRUE)</f>
        <v>1</v>
      </c>
      <c r="H1714" t="str">
        <f t="shared" si="55"/>
        <v>Row 207 - If ‘DG classification’ is ‘IMDG’ the ‘IMO Hazard Class’ and ‘UN Number’ is mandatory</v>
      </c>
      <c r="J1714" t="b">
        <f>IF(OR(INDEX(OHZ_HAZ_DGCLASSIFI,207,1)="IMDG",),AND(INDEX(OHZ_HAZ_IMOHAZARDC,207,1)&lt;&gt;"",INDEX(OHZ_HAZ_UNNUMBER,207,1)&lt;&gt;""),TRUE)</f>
        <v>1</v>
      </c>
      <c r="K1714" t="str">
        <f t="shared" si="56"/>
        <v>Row 207 - If ‘DG classification’ is ‘IMDG’ the ‘IMO Hazard Class’ and ‘UN Number’ is mandatory</v>
      </c>
    </row>
    <row r="1715" spans="7:11" x14ac:dyDescent="0.2">
      <c r="G1715" t="b">
        <f>IF(OR(INDEX(IHZ_HAZ_DGCLASSIFI,208,1)="IMDG",),AND(INDEX(IHZ_HAZ_IMOHAZARDC,208,1)&lt;&gt;"",INDEX(IHZ_HAZ_UNNUMBER,208,1)&lt;&gt;""),TRUE)</f>
        <v>1</v>
      </c>
      <c r="H1715" t="str">
        <f t="shared" si="55"/>
        <v>Row 208 - If ‘DG classification’ is ‘IMDG’ the ‘IMO Hazard Class’ and ‘UN Number’ is mandatory</v>
      </c>
      <c r="J1715" t="b">
        <f>IF(OR(INDEX(OHZ_HAZ_DGCLASSIFI,208,1)="IMDG",),AND(INDEX(OHZ_HAZ_IMOHAZARDC,208,1)&lt;&gt;"",INDEX(OHZ_HAZ_UNNUMBER,208,1)&lt;&gt;""),TRUE)</f>
        <v>1</v>
      </c>
      <c r="K1715" t="str">
        <f t="shared" si="56"/>
        <v>Row 208 - If ‘DG classification’ is ‘IMDG’ the ‘IMO Hazard Class’ and ‘UN Number’ is mandatory</v>
      </c>
    </row>
    <row r="1716" spans="7:11" x14ac:dyDescent="0.2">
      <c r="G1716" t="b">
        <f>IF(OR(INDEX(IHZ_HAZ_DGCLASSIFI,209,1)="IMDG",),AND(INDEX(IHZ_HAZ_IMOHAZARDC,209,1)&lt;&gt;"",INDEX(IHZ_HAZ_UNNUMBER,209,1)&lt;&gt;""),TRUE)</f>
        <v>1</v>
      </c>
      <c r="H1716" t="str">
        <f t="shared" si="55"/>
        <v>Row 209 - If ‘DG classification’ is ‘IMDG’ the ‘IMO Hazard Class’ and ‘UN Number’ is mandatory</v>
      </c>
      <c r="J1716" t="b">
        <f>IF(OR(INDEX(OHZ_HAZ_DGCLASSIFI,209,1)="IMDG",),AND(INDEX(OHZ_HAZ_IMOHAZARDC,209,1)&lt;&gt;"",INDEX(OHZ_HAZ_UNNUMBER,209,1)&lt;&gt;""),TRUE)</f>
        <v>1</v>
      </c>
      <c r="K1716" t="str">
        <f t="shared" si="56"/>
        <v>Row 209 - If ‘DG classification’ is ‘IMDG’ the ‘IMO Hazard Class’ and ‘UN Number’ is mandatory</v>
      </c>
    </row>
    <row r="1717" spans="7:11" x14ac:dyDescent="0.2">
      <c r="G1717" t="b">
        <f>IF(OR(INDEX(IHZ_HAZ_DGCLASSIFI,210,1)="IMDG",),AND(INDEX(IHZ_HAZ_IMOHAZARDC,210,1)&lt;&gt;"",INDEX(IHZ_HAZ_UNNUMBER,210,1)&lt;&gt;""),TRUE)</f>
        <v>1</v>
      </c>
      <c r="H1717" t="str">
        <f t="shared" si="55"/>
        <v>Row 210 - If ‘DG classification’ is ‘IMDG’ the ‘IMO Hazard Class’ and ‘UN Number’ is mandatory</v>
      </c>
      <c r="J1717" t="b">
        <f>IF(OR(INDEX(OHZ_HAZ_DGCLASSIFI,210,1)="IMDG",),AND(INDEX(OHZ_HAZ_IMOHAZARDC,210,1)&lt;&gt;"",INDEX(OHZ_HAZ_UNNUMBER,210,1)&lt;&gt;""),TRUE)</f>
        <v>1</v>
      </c>
      <c r="K1717" t="str">
        <f t="shared" si="56"/>
        <v>Row 210 - If ‘DG classification’ is ‘IMDG’ the ‘IMO Hazard Class’ and ‘UN Number’ is mandatory</v>
      </c>
    </row>
    <row r="1718" spans="7:11" x14ac:dyDescent="0.2">
      <c r="G1718" t="b">
        <f>IF(OR(INDEX(IHZ_HAZ_DGCLASSIFI,211,1)="IMDG",),AND(INDEX(IHZ_HAZ_IMOHAZARDC,211,1)&lt;&gt;"",INDEX(IHZ_HAZ_UNNUMBER,211,1)&lt;&gt;""),TRUE)</f>
        <v>1</v>
      </c>
      <c r="H1718" t="str">
        <f t="shared" si="55"/>
        <v>Row 211 - If ‘DG classification’ is ‘IMDG’ the ‘IMO Hazard Class’ and ‘UN Number’ is mandatory</v>
      </c>
      <c r="J1718" t="b">
        <f>IF(OR(INDEX(OHZ_HAZ_DGCLASSIFI,211,1)="IMDG",),AND(INDEX(OHZ_HAZ_IMOHAZARDC,211,1)&lt;&gt;"",INDEX(OHZ_HAZ_UNNUMBER,211,1)&lt;&gt;""),TRUE)</f>
        <v>1</v>
      </c>
      <c r="K1718" t="str">
        <f t="shared" si="56"/>
        <v>Row 211 - If ‘DG classification’ is ‘IMDG’ the ‘IMO Hazard Class’ and ‘UN Number’ is mandatory</v>
      </c>
    </row>
    <row r="1719" spans="7:11" x14ac:dyDescent="0.2">
      <c r="G1719" t="b">
        <f>IF(OR(INDEX(IHZ_HAZ_DGCLASSIFI,212,1)="IMDG",),AND(INDEX(IHZ_HAZ_IMOHAZARDC,212,1)&lt;&gt;"",INDEX(IHZ_HAZ_UNNUMBER,212,1)&lt;&gt;""),TRUE)</f>
        <v>1</v>
      </c>
      <c r="H1719" t="str">
        <f t="shared" si="55"/>
        <v>Row 212 - If ‘DG classification’ is ‘IMDG’ the ‘IMO Hazard Class’ and ‘UN Number’ is mandatory</v>
      </c>
      <c r="J1719" t="b">
        <f>IF(OR(INDEX(OHZ_HAZ_DGCLASSIFI,212,1)="IMDG",),AND(INDEX(OHZ_HAZ_IMOHAZARDC,212,1)&lt;&gt;"",INDEX(OHZ_HAZ_UNNUMBER,212,1)&lt;&gt;""),TRUE)</f>
        <v>1</v>
      </c>
      <c r="K1719" t="str">
        <f t="shared" si="56"/>
        <v>Row 212 - If ‘DG classification’ is ‘IMDG’ the ‘IMO Hazard Class’ and ‘UN Number’ is mandatory</v>
      </c>
    </row>
    <row r="1720" spans="7:11" x14ac:dyDescent="0.2">
      <c r="G1720" t="b">
        <f>IF(OR(INDEX(IHZ_HAZ_DGCLASSIFI,213,1)="IMDG",),AND(INDEX(IHZ_HAZ_IMOHAZARDC,213,1)&lt;&gt;"",INDEX(IHZ_HAZ_UNNUMBER,213,1)&lt;&gt;""),TRUE)</f>
        <v>1</v>
      </c>
      <c r="H1720" t="str">
        <f t="shared" si="55"/>
        <v>Row 213 - If ‘DG classification’ is ‘IMDG’ the ‘IMO Hazard Class’ and ‘UN Number’ is mandatory</v>
      </c>
      <c r="J1720" t="b">
        <f>IF(OR(INDEX(OHZ_HAZ_DGCLASSIFI,213,1)="IMDG",),AND(INDEX(OHZ_HAZ_IMOHAZARDC,213,1)&lt;&gt;"",INDEX(OHZ_HAZ_UNNUMBER,213,1)&lt;&gt;""),TRUE)</f>
        <v>1</v>
      </c>
      <c r="K1720" t="str">
        <f t="shared" si="56"/>
        <v>Row 213 - If ‘DG classification’ is ‘IMDG’ the ‘IMO Hazard Class’ and ‘UN Number’ is mandatory</v>
      </c>
    </row>
    <row r="1721" spans="7:11" x14ac:dyDescent="0.2">
      <c r="G1721" t="b">
        <f>IF(OR(INDEX(IHZ_HAZ_DGCLASSIFI,214,1)="IMDG",),AND(INDEX(IHZ_HAZ_IMOHAZARDC,214,1)&lt;&gt;"",INDEX(IHZ_HAZ_UNNUMBER,214,1)&lt;&gt;""),TRUE)</f>
        <v>1</v>
      </c>
      <c r="H1721" t="str">
        <f t="shared" si="55"/>
        <v>Row 214 - If ‘DG classification’ is ‘IMDG’ the ‘IMO Hazard Class’ and ‘UN Number’ is mandatory</v>
      </c>
      <c r="J1721" t="b">
        <f>IF(OR(INDEX(OHZ_HAZ_DGCLASSIFI,214,1)="IMDG",),AND(INDEX(OHZ_HAZ_IMOHAZARDC,214,1)&lt;&gt;"",INDEX(OHZ_HAZ_UNNUMBER,214,1)&lt;&gt;""),TRUE)</f>
        <v>1</v>
      </c>
      <c r="K1721" t="str">
        <f t="shared" si="56"/>
        <v>Row 214 - If ‘DG classification’ is ‘IMDG’ the ‘IMO Hazard Class’ and ‘UN Number’ is mandatory</v>
      </c>
    </row>
    <row r="1722" spans="7:11" x14ac:dyDescent="0.2">
      <c r="G1722" t="b">
        <f>IF(OR(INDEX(IHZ_HAZ_DGCLASSIFI,215,1)="IMDG",),AND(INDEX(IHZ_HAZ_IMOHAZARDC,215,1)&lt;&gt;"",INDEX(IHZ_HAZ_UNNUMBER,215,1)&lt;&gt;""),TRUE)</f>
        <v>1</v>
      </c>
      <c r="H1722" t="str">
        <f t="shared" si="55"/>
        <v>Row 215 - If ‘DG classification’ is ‘IMDG’ the ‘IMO Hazard Class’ and ‘UN Number’ is mandatory</v>
      </c>
      <c r="J1722" t="b">
        <f>IF(OR(INDEX(OHZ_HAZ_DGCLASSIFI,215,1)="IMDG",),AND(INDEX(OHZ_HAZ_IMOHAZARDC,215,1)&lt;&gt;"",INDEX(OHZ_HAZ_UNNUMBER,215,1)&lt;&gt;""),TRUE)</f>
        <v>1</v>
      </c>
      <c r="K1722" t="str">
        <f t="shared" si="56"/>
        <v>Row 215 - If ‘DG classification’ is ‘IMDG’ the ‘IMO Hazard Class’ and ‘UN Number’ is mandatory</v>
      </c>
    </row>
    <row r="1723" spans="7:11" x14ac:dyDescent="0.2">
      <c r="G1723" t="b">
        <f>IF(OR(INDEX(IHZ_HAZ_DGCLASSIFI,216,1)="IMDG",),AND(INDEX(IHZ_HAZ_IMOHAZARDC,216,1)&lt;&gt;"",INDEX(IHZ_HAZ_UNNUMBER,216,1)&lt;&gt;""),TRUE)</f>
        <v>1</v>
      </c>
      <c r="H1723" t="str">
        <f t="shared" si="55"/>
        <v>Row 216 - If ‘DG classification’ is ‘IMDG’ the ‘IMO Hazard Class’ and ‘UN Number’ is mandatory</v>
      </c>
      <c r="J1723" t="b">
        <f>IF(OR(INDEX(OHZ_HAZ_DGCLASSIFI,216,1)="IMDG",),AND(INDEX(OHZ_HAZ_IMOHAZARDC,216,1)&lt;&gt;"",INDEX(OHZ_HAZ_UNNUMBER,216,1)&lt;&gt;""),TRUE)</f>
        <v>1</v>
      </c>
      <c r="K1723" t="str">
        <f t="shared" si="56"/>
        <v>Row 216 - If ‘DG classification’ is ‘IMDG’ the ‘IMO Hazard Class’ and ‘UN Number’ is mandatory</v>
      </c>
    </row>
    <row r="1724" spans="7:11" x14ac:dyDescent="0.2">
      <c r="G1724" t="b">
        <f>IF(OR(INDEX(IHZ_HAZ_DGCLASSIFI,217,1)="IMDG",),AND(INDEX(IHZ_HAZ_IMOHAZARDC,217,1)&lt;&gt;"",INDEX(IHZ_HAZ_UNNUMBER,217,1)&lt;&gt;""),TRUE)</f>
        <v>1</v>
      </c>
      <c r="H1724" t="str">
        <f t="shared" si="55"/>
        <v>Row 217 - If ‘DG classification’ is ‘IMDG’ the ‘IMO Hazard Class’ and ‘UN Number’ is mandatory</v>
      </c>
      <c r="J1724" t="b">
        <f>IF(OR(INDEX(OHZ_HAZ_DGCLASSIFI,217,1)="IMDG",),AND(INDEX(OHZ_HAZ_IMOHAZARDC,217,1)&lt;&gt;"",INDEX(OHZ_HAZ_UNNUMBER,217,1)&lt;&gt;""),TRUE)</f>
        <v>1</v>
      </c>
      <c r="K1724" t="str">
        <f t="shared" si="56"/>
        <v>Row 217 - If ‘DG classification’ is ‘IMDG’ the ‘IMO Hazard Class’ and ‘UN Number’ is mandatory</v>
      </c>
    </row>
    <row r="1725" spans="7:11" x14ac:dyDescent="0.2">
      <c r="G1725" t="b">
        <f>IF(OR(INDEX(IHZ_HAZ_DGCLASSIFI,218,1)="IMDG",),AND(INDEX(IHZ_HAZ_IMOHAZARDC,218,1)&lt;&gt;"",INDEX(IHZ_HAZ_UNNUMBER,218,1)&lt;&gt;""),TRUE)</f>
        <v>1</v>
      </c>
      <c r="H1725" t="str">
        <f t="shared" si="55"/>
        <v>Row 218 - If ‘DG classification’ is ‘IMDG’ the ‘IMO Hazard Class’ and ‘UN Number’ is mandatory</v>
      </c>
      <c r="J1725" t="b">
        <f>IF(OR(INDEX(OHZ_HAZ_DGCLASSIFI,218,1)="IMDG",),AND(INDEX(OHZ_HAZ_IMOHAZARDC,218,1)&lt;&gt;"",INDEX(OHZ_HAZ_UNNUMBER,218,1)&lt;&gt;""),TRUE)</f>
        <v>1</v>
      </c>
      <c r="K1725" t="str">
        <f t="shared" si="56"/>
        <v>Row 218 - If ‘DG classification’ is ‘IMDG’ the ‘IMO Hazard Class’ and ‘UN Number’ is mandatory</v>
      </c>
    </row>
    <row r="1726" spans="7:11" x14ac:dyDescent="0.2">
      <c r="G1726" t="b">
        <f>IF(OR(INDEX(IHZ_HAZ_DGCLASSIFI,219,1)="IMDG",),AND(INDEX(IHZ_HAZ_IMOHAZARDC,219,1)&lt;&gt;"",INDEX(IHZ_HAZ_UNNUMBER,219,1)&lt;&gt;""),TRUE)</f>
        <v>1</v>
      </c>
      <c r="H1726" t="str">
        <f t="shared" si="55"/>
        <v>Row 219 - If ‘DG classification’ is ‘IMDG’ the ‘IMO Hazard Class’ and ‘UN Number’ is mandatory</v>
      </c>
      <c r="J1726" t="b">
        <f>IF(OR(INDEX(OHZ_HAZ_DGCLASSIFI,219,1)="IMDG",),AND(INDEX(OHZ_HAZ_IMOHAZARDC,219,1)&lt;&gt;"",INDEX(OHZ_HAZ_UNNUMBER,219,1)&lt;&gt;""),TRUE)</f>
        <v>1</v>
      </c>
      <c r="K1726" t="str">
        <f t="shared" si="56"/>
        <v>Row 219 - If ‘DG classification’ is ‘IMDG’ the ‘IMO Hazard Class’ and ‘UN Number’ is mandatory</v>
      </c>
    </row>
    <row r="1727" spans="7:11" x14ac:dyDescent="0.2">
      <c r="G1727" t="b">
        <f>IF(OR(INDEX(IHZ_HAZ_DGCLASSIFI,220,1)="IMDG",),AND(INDEX(IHZ_HAZ_IMOHAZARDC,220,1)&lt;&gt;"",INDEX(IHZ_HAZ_UNNUMBER,220,1)&lt;&gt;""),TRUE)</f>
        <v>1</v>
      </c>
      <c r="H1727" t="str">
        <f t="shared" si="55"/>
        <v>Row 220 - If ‘DG classification’ is ‘IMDG’ the ‘IMO Hazard Class’ and ‘UN Number’ is mandatory</v>
      </c>
      <c r="J1727" t="b">
        <f>IF(OR(INDEX(OHZ_HAZ_DGCLASSIFI,220,1)="IMDG",),AND(INDEX(OHZ_HAZ_IMOHAZARDC,220,1)&lt;&gt;"",INDEX(OHZ_HAZ_UNNUMBER,220,1)&lt;&gt;""),TRUE)</f>
        <v>1</v>
      </c>
      <c r="K1727" t="str">
        <f t="shared" si="56"/>
        <v>Row 220 - If ‘DG classification’ is ‘IMDG’ the ‘IMO Hazard Class’ and ‘UN Number’ is mandatory</v>
      </c>
    </row>
    <row r="1728" spans="7:11" x14ac:dyDescent="0.2">
      <c r="G1728" t="b">
        <f>IF(OR(INDEX(IHZ_HAZ_DGCLASSIFI,221,1)="IMDG",),AND(INDEX(IHZ_HAZ_IMOHAZARDC,221,1)&lt;&gt;"",INDEX(IHZ_HAZ_UNNUMBER,221,1)&lt;&gt;""),TRUE)</f>
        <v>1</v>
      </c>
      <c r="H1728" t="str">
        <f t="shared" si="55"/>
        <v>Row 221 - If ‘DG classification’ is ‘IMDG’ the ‘IMO Hazard Class’ and ‘UN Number’ is mandatory</v>
      </c>
      <c r="J1728" t="b">
        <f>IF(OR(INDEX(OHZ_HAZ_DGCLASSIFI,221,1)="IMDG",),AND(INDEX(OHZ_HAZ_IMOHAZARDC,221,1)&lt;&gt;"",INDEX(OHZ_HAZ_UNNUMBER,221,1)&lt;&gt;""),TRUE)</f>
        <v>1</v>
      </c>
      <c r="K1728" t="str">
        <f t="shared" si="56"/>
        <v>Row 221 - If ‘DG classification’ is ‘IMDG’ the ‘IMO Hazard Class’ and ‘UN Number’ is mandatory</v>
      </c>
    </row>
    <row r="1729" spans="7:11" x14ac:dyDescent="0.2">
      <c r="G1729" t="b">
        <f>IF(OR(INDEX(IHZ_HAZ_DGCLASSIFI,222,1)="IMDG",),AND(INDEX(IHZ_HAZ_IMOHAZARDC,222,1)&lt;&gt;"",INDEX(IHZ_HAZ_UNNUMBER,222,1)&lt;&gt;""),TRUE)</f>
        <v>1</v>
      </c>
      <c r="H1729" t="str">
        <f t="shared" si="55"/>
        <v>Row 222 - If ‘DG classification’ is ‘IMDG’ the ‘IMO Hazard Class’ and ‘UN Number’ is mandatory</v>
      </c>
      <c r="J1729" t="b">
        <f>IF(OR(INDEX(OHZ_HAZ_DGCLASSIFI,222,1)="IMDG",),AND(INDEX(OHZ_HAZ_IMOHAZARDC,222,1)&lt;&gt;"",INDEX(OHZ_HAZ_UNNUMBER,222,1)&lt;&gt;""),TRUE)</f>
        <v>1</v>
      </c>
      <c r="K1729" t="str">
        <f t="shared" si="56"/>
        <v>Row 222 - If ‘DG classification’ is ‘IMDG’ the ‘IMO Hazard Class’ and ‘UN Number’ is mandatory</v>
      </c>
    </row>
    <row r="1730" spans="7:11" x14ac:dyDescent="0.2">
      <c r="G1730" t="b">
        <f>IF(OR(INDEX(IHZ_HAZ_DGCLASSIFI,223,1)="IMDG",),AND(INDEX(IHZ_HAZ_IMOHAZARDC,223,1)&lt;&gt;"",INDEX(IHZ_HAZ_UNNUMBER,223,1)&lt;&gt;""),TRUE)</f>
        <v>1</v>
      </c>
      <c r="H1730" t="str">
        <f t="shared" si="55"/>
        <v>Row 223 - If ‘DG classification’ is ‘IMDG’ the ‘IMO Hazard Class’ and ‘UN Number’ is mandatory</v>
      </c>
      <c r="J1730" t="b">
        <f>IF(OR(INDEX(OHZ_HAZ_DGCLASSIFI,223,1)="IMDG",),AND(INDEX(OHZ_HAZ_IMOHAZARDC,223,1)&lt;&gt;"",INDEX(OHZ_HAZ_UNNUMBER,223,1)&lt;&gt;""),TRUE)</f>
        <v>1</v>
      </c>
      <c r="K1730" t="str">
        <f t="shared" si="56"/>
        <v>Row 223 - If ‘DG classification’ is ‘IMDG’ the ‘IMO Hazard Class’ and ‘UN Number’ is mandatory</v>
      </c>
    </row>
    <row r="1731" spans="7:11" x14ac:dyDescent="0.2">
      <c r="G1731" t="b">
        <f>IF(OR(INDEX(IHZ_HAZ_DGCLASSIFI,224,1)="IMDG",),AND(INDEX(IHZ_HAZ_IMOHAZARDC,224,1)&lt;&gt;"",INDEX(IHZ_HAZ_UNNUMBER,224,1)&lt;&gt;""),TRUE)</f>
        <v>1</v>
      </c>
      <c r="H1731" t="str">
        <f t="shared" si="55"/>
        <v>Row 224 - If ‘DG classification’ is ‘IMDG’ the ‘IMO Hazard Class’ and ‘UN Number’ is mandatory</v>
      </c>
      <c r="J1731" t="b">
        <f>IF(OR(INDEX(OHZ_HAZ_DGCLASSIFI,224,1)="IMDG",),AND(INDEX(OHZ_HAZ_IMOHAZARDC,224,1)&lt;&gt;"",INDEX(OHZ_HAZ_UNNUMBER,224,1)&lt;&gt;""),TRUE)</f>
        <v>1</v>
      </c>
      <c r="K1731" t="str">
        <f t="shared" si="56"/>
        <v>Row 224 - If ‘DG classification’ is ‘IMDG’ the ‘IMO Hazard Class’ and ‘UN Number’ is mandatory</v>
      </c>
    </row>
    <row r="1732" spans="7:11" x14ac:dyDescent="0.2">
      <c r="G1732" t="b">
        <f>IF(OR(INDEX(IHZ_HAZ_DGCLASSIFI,225,1)="IMDG",),AND(INDEX(IHZ_HAZ_IMOHAZARDC,225,1)&lt;&gt;"",INDEX(IHZ_HAZ_UNNUMBER,225,1)&lt;&gt;""),TRUE)</f>
        <v>1</v>
      </c>
      <c r="H1732" t="str">
        <f t="shared" si="55"/>
        <v>Row 225 - If ‘DG classification’ is ‘IMDG’ the ‘IMO Hazard Class’ and ‘UN Number’ is mandatory</v>
      </c>
      <c r="J1732" t="b">
        <f>IF(OR(INDEX(OHZ_HAZ_DGCLASSIFI,225,1)="IMDG",),AND(INDEX(OHZ_HAZ_IMOHAZARDC,225,1)&lt;&gt;"",INDEX(OHZ_HAZ_UNNUMBER,225,1)&lt;&gt;""),TRUE)</f>
        <v>1</v>
      </c>
      <c r="K1732" t="str">
        <f t="shared" si="56"/>
        <v>Row 225 - If ‘DG classification’ is ‘IMDG’ the ‘IMO Hazard Class’ and ‘UN Number’ is mandatory</v>
      </c>
    </row>
    <row r="1733" spans="7:11" x14ac:dyDescent="0.2">
      <c r="G1733" t="b">
        <f>IF(OR(INDEX(IHZ_HAZ_DGCLASSIFI,226,1)="IMDG",),AND(INDEX(IHZ_HAZ_IMOHAZARDC,226,1)&lt;&gt;"",INDEX(IHZ_HAZ_UNNUMBER,226,1)&lt;&gt;""),TRUE)</f>
        <v>1</v>
      </c>
      <c r="H1733" t="str">
        <f t="shared" si="55"/>
        <v>Row 226 - If ‘DG classification’ is ‘IMDG’ the ‘IMO Hazard Class’ and ‘UN Number’ is mandatory</v>
      </c>
      <c r="J1733" t="b">
        <f>IF(OR(INDEX(OHZ_HAZ_DGCLASSIFI,226,1)="IMDG",),AND(INDEX(OHZ_HAZ_IMOHAZARDC,226,1)&lt;&gt;"",INDEX(OHZ_HAZ_UNNUMBER,226,1)&lt;&gt;""),TRUE)</f>
        <v>1</v>
      </c>
      <c r="K1733" t="str">
        <f t="shared" si="56"/>
        <v>Row 226 - If ‘DG classification’ is ‘IMDG’ the ‘IMO Hazard Class’ and ‘UN Number’ is mandatory</v>
      </c>
    </row>
    <row r="1734" spans="7:11" x14ac:dyDescent="0.2">
      <c r="G1734" t="b">
        <f>IF(OR(INDEX(IHZ_HAZ_DGCLASSIFI,227,1)="IMDG",),AND(INDEX(IHZ_HAZ_IMOHAZARDC,227,1)&lt;&gt;"",INDEX(IHZ_HAZ_UNNUMBER,227,1)&lt;&gt;""),TRUE)</f>
        <v>1</v>
      </c>
      <c r="H1734" t="str">
        <f t="shared" si="55"/>
        <v>Row 227 - If ‘DG classification’ is ‘IMDG’ the ‘IMO Hazard Class’ and ‘UN Number’ is mandatory</v>
      </c>
      <c r="J1734" t="b">
        <f>IF(OR(INDEX(OHZ_HAZ_DGCLASSIFI,227,1)="IMDG",),AND(INDEX(OHZ_HAZ_IMOHAZARDC,227,1)&lt;&gt;"",INDEX(OHZ_HAZ_UNNUMBER,227,1)&lt;&gt;""),TRUE)</f>
        <v>1</v>
      </c>
      <c r="K1734" t="str">
        <f t="shared" si="56"/>
        <v>Row 227 - If ‘DG classification’ is ‘IMDG’ the ‘IMO Hazard Class’ and ‘UN Number’ is mandatory</v>
      </c>
    </row>
    <row r="1735" spans="7:11" x14ac:dyDescent="0.2">
      <c r="G1735" t="b">
        <f>IF(OR(INDEX(IHZ_HAZ_DGCLASSIFI,228,1)="IMDG",),AND(INDEX(IHZ_HAZ_IMOHAZARDC,228,1)&lt;&gt;"",INDEX(IHZ_HAZ_UNNUMBER,228,1)&lt;&gt;""),TRUE)</f>
        <v>1</v>
      </c>
      <c r="H1735" t="str">
        <f t="shared" si="55"/>
        <v>Row 228 - If ‘DG classification’ is ‘IMDG’ the ‘IMO Hazard Class’ and ‘UN Number’ is mandatory</v>
      </c>
      <c r="J1735" t="b">
        <f>IF(OR(INDEX(OHZ_HAZ_DGCLASSIFI,228,1)="IMDG",),AND(INDEX(OHZ_HAZ_IMOHAZARDC,228,1)&lt;&gt;"",INDEX(OHZ_HAZ_UNNUMBER,228,1)&lt;&gt;""),TRUE)</f>
        <v>1</v>
      </c>
      <c r="K1735" t="str">
        <f t="shared" si="56"/>
        <v>Row 228 - If ‘DG classification’ is ‘IMDG’ the ‘IMO Hazard Class’ and ‘UN Number’ is mandatory</v>
      </c>
    </row>
    <row r="1736" spans="7:11" x14ac:dyDescent="0.2">
      <c r="G1736" t="b">
        <f>IF(OR(INDEX(IHZ_HAZ_DGCLASSIFI,229,1)="IMDG",),AND(INDEX(IHZ_HAZ_IMOHAZARDC,229,1)&lt;&gt;"",INDEX(IHZ_HAZ_UNNUMBER,229,1)&lt;&gt;""),TRUE)</f>
        <v>1</v>
      </c>
      <c r="H1736" t="str">
        <f t="shared" si="55"/>
        <v>Row 229 - If ‘DG classification’ is ‘IMDG’ the ‘IMO Hazard Class’ and ‘UN Number’ is mandatory</v>
      </c>
      <c r="J1736" t="b">
        <f>IF(OR(INDEX(OHZ_HAZ_DGCLASSIFI,229,1)="IMDG",),AND(INDEX(OHZ_HAZ_IMOHAZARDC,229,1)&lt;&gt;"",INDEX(OHZ_HAZ_UNNUMBER,229,1)&lt;&gt;""),TRUE)</f>
        <v>1</v>
      </c>
      <c r="K1736" t="str">
        <f t="shared" si="56"/>
        <v>Row 229 - If ‘DG classification’ is ‘IMDG’ the ‘IMO Hazard Class’ and ‘UN Number’ is mandatory</v>
      </c>
    </row>
    <row r="1737" spans="7:11" x14ac:dyDescent="0.2">
      <c r="G1737" t="b">
        <f>IF(OR(INDEX(IHZ_HAZ_DGCLASSIFI,230,1)="IMDG",),AND(INDEX(IHZ_HAZ_IMOHAZARDC,230,1)&lt;&gt;"",INDEX(IHZ_HAZ_UNNUMBER,230,1)&lt;&gt;""),TRUE)</f>
        <v>1</v>
      </c>
      <c r="H1737" t="str">
        <f t="shared" si="55"/>
        <v>Row 230 - If ‘DG classification’ is ‘IMDG’ the ‘IMO Hazard Class’ and ‘UN Number’ is mandatory</v>
      </c>
      <c r="J1737" t="b">
        <f>IF(OR(INDEX(OHZ_HAZ_DGCLASSIFI,230,1)="IMDG",),AND(INDEX(OHZ_HAZ_IMOHAZARDC,230,1)&lt;&gt;"",INDEX(OHZ_HAZ_UNNUMBER,230,1)&lt;&gt;""),TRUE)</f>
        <v>1</v>
      </c>
      <c r="K1737" t="str">
        <f t="shared" si="56"/>
        <v>Row 230 - If ‘DG classification’ is ‘IMDG’ the ‘IMO Hazard Class’ and ‘UN Number’ is mandatory</v>
      </c>
    </row>
    <row r="1738" spans="7:11" x14ac:dyDescent="0.2">
      <c r="G1738" t="b">
        <f>IF(OR(INDEX(IHZ_HAZ_DGCLASSIFI,231,1)="IMDG",),AND(INDEX(IHZ_HAZ_IMOHAZARDC,231,1)&lt;&gt;"",INDEX(IHZ_HAZ_UNNUMBER,231,1)&lt;&gt;""),TRUE)</f>
        <v>1</v>
      </c>
      <c r="H1738" t="str">
        <f t="shared" si="55"/>
        <v>Row 231 - If ‘DG classification’ is ‘IMDG’ the ‘IMO Hazard Class’ and ‘UN Number’ is mandatory</v>
      </c>
      <c r="J1738" t="b">
        <f>IF(OR(INDEX(OHZ_HAZ_DGCLASSIFI,231,1)="IMDG",),AND(INDEX(OHZ_HAZ_IMOHAZARDC,231,1)&lt;&gt;"",INDEX(OHZ_HAZ_UNNUMBER,231,1)&lt;&gt;""),TRUE)</f>
        <v>1</v>
      </c>
      <c r="K1738" t="str">
        <f t="shared" si="56"/>
        <v>Row 231 - If ‘DG classification’ is ‘IMDG’ the ‘IMO Hazard Class’ and ‘UN Number’ is mandatory</v>
      </c>
    </row>
    <row r="1739" spans="7:11" x14ac:dyDescent="0.2">
      <c r="G1739" t="b">
        <f>IF(OR(INDEX(IHZ_HAZ_DGCLASSIFI,232,1)="IMDG",),AND(INDEX(IHZ_HAZ_IMOHAZARDC,232,1)&lt;&gt;"",INDEX(IHZ_HAZ_UNNUMBER,232,1)&lt;&gt;""),TRUE)</f>
        <v>1</v>
      </c>
      <c r="H1739" t="str">
        <f t="shared" si="55"/>
        <v>Row 232 - If ‘DG classification’ is ‘IMDG’ the ‘IMO Hazard Class’ and ‘UN Number’ is mandatory</v>
      </c>
      <c r="J1739" t="b">
        <f>IF(OR(INDEX(OHZ_HAZ_DGCLASSIFI,232,1)="IMDG",),AND(INDEX(OHZ_HAZ_IMOHAZARDC,232,1)&lt;&gt;"",INDEX(OHZ_HAZ_UNNUMBER,232,1)&lt;&gt;""),TRUE)</f>
        <v>1</v>
      </c>
      <c r="K1739" t="str">
        <f t="shared" si="56"/>
        <v>Row 232 - If ‘DG classification’ is ‘IMDG’ the ‘IMO Hazard Class’ and ‘UN Number’ is mandatory</v>
      </c>
    </row>
    <row r="1740" spans="7:11" x14ac:dyDescent="0.2">
      <c r="G1740" t="b">
        <f>IF(OR(INDEX(IHZ_HAZ_DGCLASSIFI,233,1)="IMDG",),AND(INDEX(IHZ_HAZ_IMOHAZARDC,233,1)&lt;&gt;"",INDEX(IHZ_HAZ_UNNUMBER,233,1)&lt;&gt;""),TRUE)</f>
        <v>1</v>
      </c>
      <c r="H1740" t="str">
        <f t="shared" si="55"/>
        <v>Row 233 - If ‘DG classification’ is ‘IMDG’ the ‘IMO Hazard Class’ and ‘UN Number’ is mandatory</v>
      </c>
      <c r="J1740" t="b">
        <f>IF(OR(INDEX(OHZ_HAZ_DGCLASSIFI,233,1)="IMDG",),AND(INDEX(OHZ_HAZ_IMOHAZARDC,233,1)&lt;&gt;"",INDEX(OHZ_HAZ_UNNUMBER,233,1)&lt;&gt;""),TRUE)</f>
        <v>1</v>
      </c>
      <c r="K1740" t="str">
        <f t="shared" si="56"/>
        <v>Row 233 - If ‘DG classification’ is ‘IMDG’ the ‘IMO Hazard Class’ and ‘UN Number’ is mandatory</v>
      </c>
    </row>
    <row r="1741" spans="7:11" x14ac:dyDescent="0.2">
      <c r="G1741" t="b">
        <f>IF(OR(INDEX(IHZ_HAZ_DGCLASSIFI,234,1)="IMDG",),AND(INDEX(IHZ_HAZ_IMOHAZARDC,234,1)&lt;&gt;"",INDEX(IHZ_HAZ_UNNUMBER,234,1)&lt;&gt;""),TRUE)</f>
        <v>1</v>
      </c>
      <c r="H1741" t="str">
        <f t="shared" si="55"/>
        <v>Row 234 - If ‘DG classification’ is ‘IMDG’ the ‘IMO Hazard Class’ and ‘UN Number’ is mandatory</v>
      </c>
      <c r="J1741" t="b">
        <f>IF(OR(INDEX(OHZ_HAZ_DGCLASSIFI,234,1)="IMDG",),AND(INDEX(OHZ_HAZ_IMOHAZARDC,234,1)&lt;&gt;"",INDEX(OHZ_HAZ_UNNUMBER,234,1)&lt;&gt;""),TRUE)</f>
        <v>1</v>
      </c>
      <c r="K1741" t="str">
        <f t="shared" si="56"/>
        <v>Row 234 - If ‘DG classification’ is ‘IMDG’ the ‘IMO Hazard Class’ and ‘UN Number’ is mandatory</v>
      </c>
    </row>
    <row r="1742" spans="7:11" x14ac:dyDescent="0.2">
      <c r="G1742" t="b">
        <f>IF(OR(INDEX(IHZ_HAZ_DGCLASSIFI,235,1)="IMDG",),AND(INDEX(IHZ_HAZ_IMOHAZARDC,235,1)&lt;&gt;"",INDEX(IHZ_HAZ_UNNUMBER,235,1)&lt;&gt;""),TRUE)</f>
        <v>1</v>
      </c>
      <c r="H1742" t="str">
        <f t="shared" si="55"/>
        <v>Row 235 - If ‘DG classification’ is ‘IMDG’ the ‘IMO Hazard Class’ and ‘UN Number’ is mandatory</v>
      </c>
      <c r="J1742" t="b">
        <f>IF(OR(INDEX(OHZ_HAZ_DGCLASSIFI,235,1)="IMDG",),AND(INDEX(OHZ_HAZ_IMOHAZARDC,235,1)&lt;&gt;"",INDEX(OHZ_HAZ_UNNUMBER,235,1)&lt;&gt;""),TRUE)</f>
        <v>1</v>
      </c>
      <c r="K1742" t="str">
        <f t="shared" si="56"/>
        <v>Row 235 - If ‘DG classification’ is ‘IMDG’ the ‘IMO Hazard Class’ and ‘UN Number’ is mandatory</v>
      </c>
    </row>
    <row r="1743" spans="7:11" x14ac:dyDescent="0.2">
      <c r="G1743" t="b">
        <f>IF(OR(INDEX(IHZ_HAZ_DGCLASSIFI,236,1)="IMDG",),AND(INDEX(IHZ_HAZ_IMOHAZARDC,236,1)&lt;&gt;"",INDEX(IHZ_HAZ_UNNUMBER,236,1)&lt;&gt;""),TRUE)</f>
        <v>1</v>
      </c>
      <c r="H1743" t="str">
        <f t="shared" si="55"/>
        <v>Row 236 - If ‘DG classification’ is ‘IMDG’ the ‘IMO Hazard Class’ and ‘UN Number’ is mandatory</v>
      </c>
      <c r="J1743" t="b">
        <f>IF(OR(INDEX(OHZ_HAZ_DGCLASSIFI,236,1)="IMDG",),AND(INDEX(OHZ_HAZ_IMOHAZARDC,236,1)&lt;&gt;"",INDEX(OHZ_HAZ_UNNUMBER,236,1)&lt;&gt;""),TRUE)</f>
        <v>1</v>
      </c>
      <c r="K1743" t="str">
        <f t="shared" si="56"/>
        <v>Row 236 - If ‘DG classification’ is ‘IMDG’ the ‘IMO Hazard Class’ and ‘UN Number’ is mandatory</v>
      </c>
    </row>
    <row r="1744" spans="7:11" x14ac:dyDescent="0.2">
      <c r="G1744" t="b">
        <f>IF(OR(INDEX(IHZ_HAZ_DGCLASSIFI,237,1)="IMDG",),AND(INDEX(IHZ_HAZ_IMOHAZARDC,237,1)&lt;&gt;"",INDEX(IHZ_HAZ_UNNUMBER,237,1)&lt;&gt;""),TRUE)</f>
        <v>1</v>
      </c>
      <c r="H1744" t="str">
        <f t="shared" si="55"/>
        <v>Row 237 - If ‘DG classification’ is ‘IMDG’ the ‘IMO Hazard Class’ and ‘UN Number’ is mandatory</v>
      </c>
      <c r="J1744" t="b">
        <f>IF(OR(INDEX(OHZ_HAZ_DGCLASSIFI,237,1)="IMDG",),AND(INDEX(OHZ_HAZ_IMOHAZARDC,237,1)&lt;&gt;"",INDEX(OHZ_HAZ_UNNUMBER,237,1)&lt;&gt;""),TRUE)</f>
        <v>1</v>
      </c>
      <c r="K1744" t="str">
        <f t="shared" si="56"/>
        <v>Row 237 - If ‘DG classification’ is ‘IMDG’ the ‘IMO Hazard Class’ and ‘UN Number’ is mandatory</v>
      </c>
    </row>
    <row r="1745" spans="7:11" x14ac:dyDescent="0.2">
      <c r="G1745" t="b">
        <f>IF(OR(INDEX(IHZ_HAZ_DGCLASSIFI,238,1)="IMDG",),AND(INDEX(IHZ_HAZ_IMOHAZARDC,238,1)&lt;&gt;"",INDEX(IHZ_HAZ_UNNUMBER,238,1)&lt;&gt;""),TRUE)</f>
        <v>1</v>
      </c>
      <c r="H1745" t="str">
        <f t="shared" si="55"/>
        <v>Row 238 - If ‘DG classification’ is ‘IMDG’ the ‘IMO Hazard Class’ and ‘UN Number’ is mandatory</v>
      </c>
      <c r="J1745" t="b">
        <f>IF(OR(INDEX(OHZ_HAZ_DGCLASSIFI,238,1)="IMDG",),AND(INDEX(OHZ_HAZ_IMOHAZARDC,238,1)&lt;&gt;"",INDEX(OHZ_HAZ_UNNUMBER,238,1)&lt;&gt;""),TRUE)</f>
        <v>1</v>
      </c>
      <c r="K1745" t="str">
        <f t="shared" si="56"/>
        <v>Row 238 - If ‘DG classification’ is ‘IMDG’ the ‘IMO Hazard Class’ and ‘UN Number’ is mandatory</v>
      </c>
    </row>
    <row r="1746" spans="7:11" x14ac:dyDescent="0.2">
      <c r="G1746" t="b">
        <f>IF(OR(INDEX(IHZ_HAZ_DGCLASSIFI,239,1)="IMDG",),AND(INDEX(IHZ_HAZ_IMOHAZARDC,239,1)&lt;&gt;"",INDEX(IHZ_HAZ_UNNUMBER,239,1)&lt;&gt;""),TRUE)</f>
        <v>1</v>
      </c>
      <c r="H1746" t="str">
        <f t="shared" si="55"/>
        <v>Row 239 - If ‘DG classification’ is ‘IMDG’ the ‘IMO Hazard Class’ and ‘UN Number’ is mandatory</v>
      </c>
      <c r="J1746" t="b">
        <f>IF(OR(INDEX(OHZ_HAZ_DGCLASSIFI,239,1)="IMDG",),AND(INDEX(OHZ_HAZ_IMOHAZARDC,239,1)&lt;&gt;"",INDEX(OHZ_HAZ_UNNUMBER,239,1)&lt;&gt;""),TRUE)</f>
        <v>1</v>
      </c>
      <c r="K1746" t="str">
        <f t="shared" si="56"/>
        <v>Row 239 - If ‘DG classification’ is ‘IMDG’ the ‘IMO Hazard Class’ and ‘UN Number’ is mandatory</v>
      </c>
    </row>
    <row r="1747" spans="7:11" x14ac:dyDescent="0.2">
      <c r="G1747" t="b">
        <f>IF(OR(INDEX(IHZ_HAZ_DGCLASSIFI,240,1)="IMDG",),AND(INDEX(IHZ_HAZ_IMOHAZARDC,240,1)&lt;&gt;"",INDEX(IHZ_HAZ_UNNUMBER,240,1)&lt;&gt;""),TRUE)</f>
        <v>1</v>
      </c>
      <c r="H1747" t="str">
        <f t="shared" si="55"/>
        <v>Row 240 - If ‘DG classification’ is ‘IMDG’ the ‘IMO Hazard Class’ and ‘UN Number’ is mandatory</v>
      </c>
      <c r="J1747" t="b">
        <f>IF(OR(INDEX(OHZ_HAZ_DGCLASSIFI,240,1)="IMDG",),AND(INDEX(OHZ_HAZ_IMOHAZARDC,240,1)&lt;&gt;"",INDEX(OHZ_HAZ_UNNUMBER,240,1)&lt;&gt;""),TRUE)</f>
        <v>1</v>
      </c>
      <c r="K1747" t="str">
        <f t="shared" si="56"/>
        <v>Row 240 - If ‘DG classification’ is ‘IMDG’ the ‘IMO Hazard Class’ and ‘UN Number’ is mandatory</v>
      </c>
    </row>
    <row r="1748" spans="7:11" x14ac:dyDescent="0.2">
      <c r="G1748" t="b">
        <f>IF(OR(INDEX(IHZ_HAZ_DGCLASSIFI,241,1)="IMDG",),AND(INDEX(IHZ_HAZ_IMOHAZARDC,241,1)&lt;&gt;"",INDEX(IHZ_HAZ_UNNUMBER,241,1)&lt;&gt;""),TRUE)</f>
        <v>1</v>
      </c>
      <c r="H1748" t="str">
        <f t="shared" si="55"/>
        <v>Row 241 - If ‘DG classification’ is ‘IMDG’ the ‘IMO Hazard Class’ and ‘UN Number’ is mandatory</v>
      </c>
      <c r="J1748" t="b">
        <f>IF(OR(INDEX(OHZ_HAZ_DGCLASSIFI,241,1)="IMDG",),AND(INDEX(OHZ_HAZ_IMOHAZARDC,241,1)&lt;&gt;"",INDEX(OHZ_HAZ_UNNUMBER,241,1)&lt;&gt;""),TRUE)</f>
        <v>1</v>
      </c>
      <c r="K1748" t="str">
        <f t="shared" si="56"/>
        <v>Row 241 - If ‘DG classification’ is ‘IMDG’ the ‘IMO Hazard Class’ and ‘UN Number’ is mandatory</v>
      </c>
    </row>
    <row r="1749" spans="7:11" x14ac:dyDescent="0.2">
      <c r="G1749" t="b">
        <f>IF(OR(INDEX(IHZ_HAZ_DGCLASSIFI,242,1)="IMDG",),AND(INDEX(IHZ_HAZ_IMOHAZARDC,242,1)&lt;&gt;"",INDEX(IHZ_HAZ_UNNUMBER,242,1)&lt;&gt;""),TRUE)</f>
        <v>1</v>
      </c>
      <c r="H1749" t="str">
        <f t="shared" si="55"/>
        <v>Row 242 - If ‘DG classification’ is ‘IMDG’ the ‘IMO Hazard Class’ and ‘UN Number’ is mandatory</v>
      </c>
      <c r="J1749" t="b">
        <f>IF(OR(INDEX(OHZ_HAZ_DGCLASSIFI,242,1)="IMDG",),AND(INDEX(OHZ_HAZ_IMOHAZARDC,242,1)&lt;&gt;"",INDEX(OHZ_HAZ_UNNUMBER,242,1)&lt;&gt;""),TRUE)</f>
        <v>1</v>
      </c>
      <c r="K1749" t="str">
        <f t="shared" si="56"/>
        <v>Row 242 - If ‘DG classification’ is ‘IMDG’ the ‘IMO Hazard Class’ and ‘UN Number’ is mandatory</v>
      </c>
    </row>
    <row r="1750" spans="7:11" x14ac:dyDescent="0.2">
      <c r="G1750" t="b">
        <f>IF(OR(INDEX(IHZ_HAZ_DGCLASSIFI,243,1)="IMDG",),AND(INDEX(IHZ_HAZ_IMOHAZARDC,243,1)&lt;&gt;"",INDEX(IHZ_HAZ_UNNUMBER,243,1)&lt;&gt;""),TRUE)</f>
        <v>1</v>
      </c>
      <c r="H1750" t="str">
        <f t="shared" si="55"/>
        <v>Row 243 - If ‘DG classification’ is ‘IMDG’ the ‘IMO Hazard Class’ and ‘UN Number’ is mandatory</v>
      </c>
      <c r="J1750" t="b">
        <f>IF(OR(INDEX(OHZ_HAZ_DGCLASSIFI,243,1)="IMDG",),AND(INDEX(OHZ_HAZ_IMOHAZARDC,243,1)&lt;&gt;"",INDEX(OHZ_HAZ_UNNUMBER,243,1)&lt;&gt;""),TRUE)</f>
        <v>1</v>
      </c>
      <c r="K1750" t="str">
        <f t="shared" si="56"/>
        <v>Row 243 - If ‘DG classification’ is ‘IMDG’ the ‘IMO Hazard Class’ and ‘UN Number’ is mandatory</v>
      </c>
    </row>
    <row r="1751" spans="7:11" x14ac:dyDescent="0.2">
      <c r="G1751" t="b">
        <f>IF(OR(INDEX(IHZ_HAZ_DGCLASSIFI,244,1)="IMDG",),AND(INDEX(IHZ_HAZ_IMOHAZARDC,244,1)&lt;&gt;"",INDEX(IHZ_HAZ_UNNUMBER,244,1)&lt;&gt;""),TRUE)</f>
        <v>1</v>
      </c>
      <c r="H1751" t="str">
        <f t="shared" si="55"/>
        <v>Row 244 - If ‘DG classification’ is ‘IMDG’ the ‘IMO Hazard Class’ and ‘UN Number’ is mandatory</v>
      </c>
      <c r="J1751" t="b">
        <f>IF(OR(INDEX(OHZ_HAZ_DGCLASSIFI,244,1)="IMDG",),AND(INDEX(OHZ_HAZ_IMOHAZARDC,244,1)&lt;&gt;"",INDEX(OHZ_HAZ_UNNUMBER,244,1)&lt;&gt;""),TRUE)</f>
        <v>1</v>
      </c>
      <c r="K1751" t="str">
        <f t="shared" si="56"/>
        <v>Row 244 - If ‘DG classification’ is ‘IMDG’ the ‘IMO Hazard Class’ and ‘UN Number’ is mandatory</v>
      </c>
    </row>
    <row r="1752" spans="7:11" x14ac:dyDescent="0.2">
      <c r="G1752" t="b">
        <f>IF(OR(INDEX(IHZ_HAZ_DGCLASSIFI,245,1)="IMDG",),AND(INDEX(IHZ_HAZ_IMOHAZARDC,245,1)&lt;&gt;"",INDEX(IHZ_HAZ_UNNUMBER,245,1)&lt;&gt;""),TRUE)</f>
        <v>1</v>
      </c>
      <c r="H1752" t="str">
        <f t="shared" si="55"/>
        <v>Row 245 - If ‘DG classification’ is ‘IMDG’ the ‘IMO Hazard Class’ and ‘UN Number’ is mandatory</v>
      </c>
      <c r="J1752" t="b">
        <f>IF(OR(INDEX(OHZ_HAZ_DGCLASSIFI,245,1)="IMDG",),AND(INDEX(OHZ_HAZ_IMOHAZARDC,245,1)&lt;&gt;"",INDEX(OHZ_HAZ_UNNUMBER,245,1)&lt;&gt;""),TRUE)</f>
        <v>1</v>
      </c>
      <c r="K1752" t="str">
        <f t="shared" si="56"/>
        <v>Row 245 - If ‘DG classification’ is ‘IMDG’ the ‘IMO Hazard Class’ and ‘UN Number’ is mandatory</v>
      </c>
    </row>
    <row r="1753" spans="7:11" x14ac:dyDescent="0.2">
      <c r="G1753" t="b">
        <f>IF(OR(INDEX(IHZ_HAZ_DGCLASSIFI,246,1)="IMDG",),AND(INDEX(IHZ_HAZ_IMOHAZARDC,246,1)&lt;&gt;"",INDEX(IHZ_HAZ_UNNUMBER,246,1)&lt;&gt;""),TRUE)</f>
        <v>1</v>
      </c>
      <c r="H1753" t="str">
        <f t="shared" si="55"/>
        <v>Row 246 - If ‘DG classification’ is ‘IMDG’ the ‘IMO Hazard Class’ and ‘UN Number’ is mandatory</v>
      </c>
      <c r="J1753" t="b">
        <f>IF(OR(INDEX(OHZ_HAZ_DGCLASSIFI,246,1)="IMDG",),AND(INDEX(OHZ_HAZ_IMOHAZARDC,246,1)&lt;&gt;"",INDEX(OHZ_HAZ_UNNUMBER,246,1)&lt;&gt;""),TRUE)</f>
        <v>1</v>
      </c>
      <c r="K1753" t="str">
        <f t="shared" si="56"/>
        <v>Row 246 - If ‘DG classification’ is ‘IMDG’ the ‘IMO Hazard Class’ and ‘UN Number’ is mandatory</v>
      </c>
    </row>
    <row r="1754" spans="7:11" x14ac:dyDescent="0.2">
      <c r="G1754" t="b">
        <f>IF(OR(INDEX(IHZ_HAZ_DGCLASSIFI,247,1)="IMDG",),AND(INDEX(IHZ_HAZ_IMOHAZARDC,247,1)&lt;&gt;"",INDEX(IHZ_HAZ_UNNUMBER,247,1)&lt;&gt;""),TRUE)</f>
        <v>1</v>
      </c>
      <c r="H1754" t="str">
        <f t="shared" si="55"/>
        <v>Row 247 - If ‘DG classification’ is ‘IMDG’ the ‘IMO Hazard Class’ and ‘UN Number’ is mandatory</v>
      </c>
      <c r="J1754" t="b">
        <f>IF(OR(INDEX(OHZ_HAZ_DGCLASSIFI,247,1)="IMDG",),AND(INDEX(OHZ_HAZ_IMOHAZARDC,247,1)&lt;&gt;"",INDEX(OHZ_HAZ_UNNUMBER,247,1)&lt;&gt;""),TRUE)</f>
        <v>1</v>
      </c>
      <c r="K1754" t="str">
        <f t="shared" si="56"/>
        <v>Row 247 - If ‘DG classification’ is ‘IMDG’ the ‘IMO Hazard Class’ and ‘UN Number’ is mandatory</v>
      </c>
    </row>
    <row r="1755" spans="7:11" x14ac:dyDescent="0.2">
      <c r="G1755" t="b">
        <f>IF(OR(INDEX(IHZ_HAZ_DGCLASSIFI,248,1)="IMDG",),AND(INDEX(IHZ_HAZ_IMOHAZARDC,248,1)&lt;&gt;"",INDEX(IHZ_HAZ_UNNUMBER,248,1)&lt;&gt;""),TRUE)</f>
        <v>1</v>
      </c>
      <c r="H1755" t="str">
        <f t="shared" si="55"/>
        <v>Row 248 - If ‘DG classification’ is ‘IMDG’ the ‘IMO Hazard Class’ and ‘UN Number’ is mandatory</v>
      </c>
      <c r="J1755" t="b">
        <f>IF(OR(INDEX(OHZ_HAZ_DGCLASSIFI,248,1)="IMDG",),AND(INDEX(OHZ_HAZ_IMOHAZARDC,248,1)&lt;&gt;"",INDEX(OHZ_HAZ_UNNUMBER,248,1)&lt;&gt;""),TRUE)</f>
        <v>1</v>
      </c>
      <c r="K1755" t="str">
        <f t="shared" si="56"/>
        <v>Row 248 - If ‘DG classification’ is ‘IMDG’ the ‘IMO Hazard Class’ and ‘UN Number’ is mandatory</v>
      </c>
    </row>
    <row r="1756" spans="7:11" x14ac:dyDescent="0.2">
      <c r="G1756" t="b">
        <f>IF(OR(INDEX(IHZ_HAZ_DGCLASSIFI,249,1)="IMDG",),AND(INDEX(IHZ_HAZ_IMOHAZARDC,249,1)&lt;&gt;"",INDEX(IHZ_HAZ_UNNUMBER,249,1)&lt;&gt;""),TRUE)</f>
        <v>1</v>
      </c>
      <c r="H1756" t="str">
        <f t="shared" si="55"/>
        <v>Row 249 - If ‘DG classification’ is ‘IMDG’ the ‘IMO Hazard Class’ and ‘UN Number’ is mandatory</v>
      </c>
      <c r="J1756" t="b">
        <f>IF(OR(INDEX(OHZ_HAZ_DGCLASSIFI,249,1)="IMDG",),AND(INDEX(OHZ_HAZ_IMOHAZARDC,249,1)&lt;&gt;"",INDEX(OHZ_HAZ_UNNUMBER,249,1)&lt;&gt;""),TRUE)</f>
        <v>1</v>
      </c>
      <c r="K1756" t="str">
        <f t="shared" si="56"/>
        <v>Row 249 - If ‘DG classification’ is ‘IMDG’ the ‘IMO Hazard Class’ and ‘UN Number’ is mandatory</v>
      </c>
    </row>
    <row r="1757" spans="7:11" x14ac:dyDescent="0.2">
      <c r="G1757" t="b">
        <f>IF(OR(INDEX(IHZ_HAZ_DGCLASSIFI,250,1)="IMDG",),AND(INDEX(IHZ_HAZ_IMOHAZARDC,250,1)&lt;&gt;"",INDEX(IHZ_HAZ_UNNUMBER,250,1)&lt;&gt;""),TRUE)</f>
        <v>1</v>
      </c>
      <c r="H1757" t="str">
        <f t="shared" si="55"/>
        <v>Row 250 - If ‘DG classification’ is ‘IMDG’ the ‘IMO Hazard Class’ and ‘UN Number’ is mandatory</v>
      </c>
      <c r="J1757" t="b">
        <f>IF(OR(INDEX(OHZ_HAZ_DGCLASSIFI,250,1)="IMDG",),AND(INDEX(OHZ_HAZ_IMOHAZARDC,250,1)&lt;&gt;"",INDEX(OHZ_HAZ_UNNUMBER,250,1)&lt;&gt;""),TRUE)</f>
        <v>1</v>
      </c>
      <c r="K1757" t="str">
        <f t="shared" si="56"/>
        <v>Row 250 - If ‘DG classification’ is ‘IMDG’ the ‘IMO Hazard Class’ and ‘UN Number’ is mandatory</v>
      </c>
    </row>
    <row r="1758" spans="7:11" x14ac:dyDescent="0.2">
      <c r="G1758" t="b">
        <f>OR(IHZ_DET_HAZONBOARD="",COUNTIF(REF_YES_NO,IHZ_DET_HAZONBOARD)=1)</f>
        <v>1</v>
      </c>
      <c r="H1758" t="s">
        <v>33441</v>
      </c>
      <c r="J1758" t="b">
        <f>OR(OHZ_DET_HAZONBOARD="",COUNTIF(REF_YES_NO,OHZ_DET_HAZONBOARD)=1)</f>
        <v>1</v>
      </c>
      <c r="K1758" t="s">
        <v>33441</v>
      </c>
    </row>
    <row r="1759" spans="7:11" x14ac:dyDescent="0.2">
      <c r="G1759" t="b">
        <f>OR(IHZ_DET_INFSHIPCLA="",COUNTIF(INF_ship_classes,IHZ_DET_INFSHIPCLA)=1)</f>
        <v>1</v>
      </c>
      <c r="H1759" t="s">
        <v>33442</v>
      </c>
      <c r="J1759" t="b">
        <f>OR(OHZ_DET_INFSHIPCLA="",COUNTIF(INF_ship_classes,OHZ_DET_INFSHIPCLA)=1)</f>
        <v>1</v>
      </c>
      <c r="K1759" t="s">
        <v>33442</v>
      </c>
    </row>
    <row r="1760" spans="7:11" x14ac:dyDescent="0.2">
      <c r="G1760" s="35" t="b">
        <f>LEN(INDEX(IHZ_CON_FIRSTNAME,1,1))&lt;50</f>
        <v>1</v>
      </c>
      <c r="H1760" t="s">
        <v>33443</v>
      </c>
      <c r="J1760" t="b">
        <f>LEN(INDEX(OHZ_CON_FIRSTNAME,1,1))&lt;50</f>
        <v>1</v>
      </c>
      <c r="K1760" t="s">
        <v>33443</v>
      </c>
    </row>
    <row r="1761" spans="7:11" x14ac:dyDescent="0.2">
      <c r="G1761" s="35" t="b">
        <f>LEN(INDEX(IHZ_CON_LASTNAME,1,1))&lt;50</f>
        <v>1</v>
      </c>
      <c r="H1761" t="s">
        <v>33444</v>
      </c>
      <c r="J1761" t="b">
        <f>LEN(INDEX(OHZ_CON_LASTNAME,1,1))&lt;50</f>
        <v>1</v>
      </c>
      <c r="K1761" t="s">
        <v>33444</v>
      </c>
    </row>
    <row r="1762" spans="7:11" x14ac:dyDescent="0.2">
      <c r="G1762" t="b">
        <f>OR(IHZ_CON_LOCODE="",COUNTIF(REF_LOCODES,IHZ_CON_LOCODE)&lt;&gt;0)</f>
        <v>1</v>
      </c>
      <c r="H1762" t="s">
        <v>33445</v>
      </c>
      <c r="J1762" t="b">
        <f>OR(INDEX(OHZ_CON_LOCODE,1,1)="",COUNTIF(REF_LOCODES,INDEX(OHZ_CON_LOCODE,1,1))&lt;&gt;0)</f>
        <v>1</v>
      </c>
      <c r="K1762" t="s">
        <v>33445</v>
      </c>
    </row>
    <row r="1763" spans="7:11" x14ac:dyDescent="0.2">
      <c r="G1763" t="b">
        <f ca="1">OR(AND(ISNUMBER(SUMPRODUCT(SEARCH(MID(INDEX(IHZ_CON_PHONE,1,1),ROW(INDIRECT("1:"&amp;LEN(INDEX(IHZ_CON_PHONE,1,1)))),1),"0123456789+"))),LEN(INDEX(IHZ_CON_PHONE,1,1))&lt;=16),INDEX(IHZ_CON_PHONE,1,1)="")</f>
        <v>1</v>
      </c>
      <c r="H1763" t="s">
        <v>33447</v>
      </c>
      <c r="J1763" t="b">
        <f ca="1">OR(AND(ISNUMBER(SUMPRODUCT(SEARCH(MID(INDEX(OHZ_CON_PHONE,1,1),ROW(INDIRECT("1:"&amp;LEN(INDEX(OHZ_CON_PHONE,1,1)))),1),"0123456789+"))),LEN(INDEX(OHZ_CON_PHONE,1,1))&lt;=16),INDEX(OHZ_CON_PHONE,1,1)="")</f>
        <v>1</v>
      </c>
      <c r="K1763" t="s">
        <v>33447</v>
      </c>
    </row>
    <row r="1764" spans="7:11" x14ac:dyDescent="0.2">
      <c r="G1764" t="b">
        <f ca="1">OR(AND(ISNUMBER(SUMPRODUCT(SEARCH(MID(INDEX(IHZ_CON_FAX,1,1),ROW(INDIRECT("1:"&amp;LEN(INDEX(IHZ_CON_FAX,1,1)))),1),"0123456789+"))),LEN(INDEX(IHZ_CON_FAX,1,1))&lt;=16),INDEX(IHZ_CON_FAX,1,1)="")</f>
        <v>1</v>
      </c>
      <c r="H1764" t="s">
        <v>33446</v>
      </c>
      <c r="J1764" t="b">
        <f ca="1">OR(AND(ISNUMBER(SUMPRODUCT(SEARCH(MID(INDEX(OHZ_CON_FAX,1,1),ROW(INDIRECT("1:"&amp;LEN(INDEX(OHZ_CON_FAX,1,1)))),1),"0123456789+"))),LEN(INDEX(OHZ_CON_FAX,1,1))&lt;=16),INDEX(OHZ_CON_FAX,1,1)="")</f>
        <v>1</v>
      </c>
      <c r="K1764" t="s">
        <v>33446</v>
      </c>
    </row>
    <row r="1765" spans="7:11" x14ac:dyDescent="0.2">
      <c r="G1765" t="b">
        <f>IF(OR(ISBLANK(INDEX(IHZ_CON_EMAIL,1,1)),AND(NOT(ISERROR(SEARCH("@",INDEX(IHZ_CON_EMAIL,1,1)))),ISERROR(SEARCH(" ",INDEX(IHZ_CON_EMAIL,1,1))),LEN(INDEX(IHZ_CON_EMAIL,1,1))&lt;=50)),TRUE(),FALSE())</f>
        <v>1</v>
      </c>
      <c r="H1765" t="s">
        <v>33448</v>
      </c>
      <c r="J1765" t="b">
        <f>IF(OR(ISBLANK(INDEX(OHZ_CON_EMAIL,1,1)),AND(NOT(ISERROR(SEARCH("@",INDEX(OHZ_CON_EMAIL,1,1)))),ISERROR(SEARCH(" ",INDEX(OHZ_CON_EMAIL,1,1))),LEN(INDEX(OHZ_CON_EMAIL,1,1))&lt;=50)),TRUE(),FALSE())</f>
        <v>1</v>
      </c>
      <c r="K1765" t="s">
        <v>33448</v>
      </c>
    </row>
    <row r="1766" spans="7:11" x14ac:dyDescent="0.2">
      <c r="G1766" t="b">
        <f>IF(AND(LEFT(INDEX(IHZ_DET_URL,1,1),8)="https://",ISNUMBER(SEARCH(".",INDEX(IHZ_DET_URL,1,1)))),TRUE(),INDEX(IHZ_DET_URL,1,1)="")</f>
        <v>1</v>
      </c>
      <c r="H1766" t="s">
        <v>33449</v>
      </c>
      <c r="J1766" t="b">
        <f>IF(AND(LEFT(INDEX(OHZ_DET_URL,1,1),8)="https://",ISNUMBER(SEARCH(".",INDEX(OHZ_DET_URL,1,1)))),TRUE(),INDEX(OHZ_DET_URL,1,1)="")</f>
        <v>1</v>
      </c>
      <c r="K1766" t="s">
        <v>33449</v>
      </c>
    </row>
    <row r="1767" spans="7:11" x14ac:dyDescent="0.2">
      <c r="G1767" t="b">
        <f>OR(INDEX(IHZ_DET_DOCTYPE,1,1)="",COUNTIF(REF_DOCTYPES,INDEX(IHZ_DET_DOCTYPE,1,1))=1)</f>
        <v>1</v>
      </c>
      <c r="H1767" t="s">
        <v>33450</v>
      </c>
      <c r="J1767" t="b">
        <f>OR(INDEX(OHZ_DET_DOCTYPE,1,1)="",COUNTIF(REF_DOCTYPES,INDEX(OHZ_DET_DOCTYPE,1,1))=1)</f>
        <v>1</v>
      </c>
      <c r="K1767" t="s">
        <v>33450</v>
      </c>
    </row>
    <row r="1768" spans="7:11" x14ac:dyDescent="0.2">
      <c r="G1768" t="b">
        <f>OR(_xlfn.ISFORMULA(INDEX(IHZ_HAZ_CONSIGNMENT,1,1)),AND(INDEX(IHZ_HAZ_CONSIGNMENT,1,1)=INT(INDEX(IHZ_HAZ_CONSIGNMENT,1,1)),INDEX(IHZ_HAZ_CONSIGNMENT,1,1)&lt;1000))</f>
        <v>1</v>
      </c>
      <c r="H1768" s="484" t="s">
        <v>35092</v>
      </c>
      <c r="J1768" t="b">
        <f>OR(_xlfn.ISFORMULA(INDEX(OHZ_HAZ_CONSIGNMENT,1,1)),AND(INDEX(OHZ_HAZ_CONSIGNMENT,1,1)=INT(INDEX(OHZ_HAZ_CONSIGNMENT,1,1)),INDEX(OHZ_HAZ_CONSIGNMENT,1,1)&lt;1000))</f>
        <v>1</v>
      </c>
      <c r="K1768" t="s">
        <v>33476</v>
      </c>
    </row>
    <row r="1769" spans="7:11" ht="12.75" customHeight="1" x14ac:dyDescent="0.2">
      <c r="G1769" t="b">
        <f>SUMPRODUCT(--(LEN(IHZ_HAZ_TRANSDOCID)&gt;35))=0</f>
        <v>1</v>
      </c>
      <c r="H1769" t="s">
        <v>33477</v>
      </c>
      <c r="J1769" t="b">
        <f>SUMPRODUCT(--(LEN(OHZ_HAZ_TRANSDOCID)&gt;35))=0</f>
        <v>1</v>
      </c>
      <c r="K1769" t="s">
        <v>33477</v>
      </c>
    </row>
    <row r="1770" spans="7:11" x14ac:dyDescent="0.2">
      <c r="G1770" t="b">
        <f>OR(INDEX(IHZ_HAZ_PORTOFLOADING,1,1)="",COUNTIF(LOCODE,INDEX(IHZ_HAZ_PORTOFLOADING,1,1))&gt;0)</f>
        <v>1</v>
      </c>
      <c r="H1770" t="s">
        <v>37211</v>
      </c>
      <c r="J1770" t="b">
        <f>OR(INDEX(OHZ_HAZ_PORTOFLOADING,1,1)="",COUNTIF(LOCODE,INDEX(OHZ_HAZ_PORTOFLOADING,1,1))&gt;0)</f>
        <v>1</v>
      </c>
      <c r="K1770" t="s">
        <v>37213</v>
      </c>
    </row>
    <row r="1771" spans="7:11" x14ac:dyDescent="0.2">
      <c r="G1771" t="b">
        <f>OR(INDEX(IHZ_HAZ_PORTOFDISCHARGE,1,1)="",COUNTIF(LOCODE,INDEX(IHZ_HAZ_PORTOFDISCHARGE,1,1))&gt;0)</f>
        <v>1</v>
      </c>
      <c r="H1771" t="s">
        <v>37212</v>
      </c>
      <c r="J1771" t="b">
        <f>OR(INDEX(OHZ_HAZ_PORTOFDISCHARGE,1,1)="",COUNTIF(LOCODE,INDEX(OHZ_HAZ_PORTOFDISCHARGE,1,1))&gt;0)</f>
        <v>1</v>
      </c>
      <c r="K1771" t="s">
        <v>37212</v>
      </c>
    </row>
    <row r="1772" spans="7:11" x14ac:dyDescent="0.2">
      <c r="G1772" t="b">
        <f>OR(_xlfn.ISFORMULA(INDEX(IHZ_HAZ_DPGREF,1,1)),AND(INDEX(IHZ_HAZ_DPGREF,1,1)=INT(INDEX(IHZ_HAZ_DPGREF,1,1)),INDEX(IHZ_HAZ_DPGREF,1,1)&lt;1000))</f>
        <v>1</v>
      </c>
      <c r="H1772" s="35" t="s">
        <v>33478</v>
      </c>
      <c r="J1772" t="b">
        <f>OR(_xlfn.ISFORMULA(INDEX(OHZ_HAZ_DPGREF,1,1)),AND(INDEX(OHZ_HAZ_DPGREF,1,1)=INT(INDEX(OHZ_HAZ_DPGREF,1,1)),INDEX(OHZ_HAZ_DPGREF,1,1)&lt;1000))</f>
        <v>1</v>
      </c>
      <c r="K1772" t="s">
        <v>33478</v>
      </c>
    </row>
    <row r="1773" spans="7:11" x14ac:dyDescent="0.2">
      <c r="G1773" t="b">
        <f>OR(INDEX(IHZ_HAZ_DGCLASSIFI,1,1)="",COUNTIF(REF_DG_CLASSIFICATION,INDEX(IHZ_HAZ_DGCLASSIFI,1,1))=1)</f>
        <v>1</v>
      </c>
      <c r="H1773" t="s">
        <v>33480</v>
      </c>
      <c r="J1773" t="b">
        <f>OR(INDEX(OHZ_HAZ_DGCLASSIFI,1,1)="",COUNTIF(REF_DG_CLASSIFICATION,INDEX(OHZ_HAZ_DGCLASSIFI,1,1))=1)</f>
        <v>1</v>
      </c>
      <c r="K1773" t="s">
        <v>33480</v>
      </c>
    </row>
    <row r="1774" spans="7:11" x14ac:dyDescent="0.2">
      <c r="G1774" t="b">
        <f>SUMPRODUCT(--(LEN(IHZ_HAZ_TEXTUALREF)&gt;351))=0</f>
        <v>1</v>
      </c>
      <c r="H1774" t="s">
        <v>33479</v>
      </c>
      <c r="J1774" t="b">
        <f>SUMPRODUCT(--(LEN(OHZ_HAZ_TEXTUALREF)&gt;351))=0</f>
        <v>1</v>
      </c>
      <c r="K1774" t="s">
        <v>33479</v>
      </c>
    </row>
    <row r="1775" spans="7:11" x14ac:dyDescent="0.2">
      <c r="G1775" t="b">
        <f>SUMPRODUCT(--(LEN(IHZ_HAZ_IMOHAZARDC)&gt;8))=0</f>
        <v>1</v>
      </c>
      <c r="H1775" t="s">
        <v>33481</v>
      </c>
      <c r="J1775" t="b">
        <f>SUMPRODUCT(--(LEN(OHZ_HAZ_IMOHAZARDC)&gt;8))=0</f>
        <v>1</v>
      </c>
      <c r="K1775" t="s">
        <v>33481</v>
      </c>
    </row>
    <row r="1776" spans="7:11" x14ac:dyDescent="0.2">
      <c r="G1776" t="b">
        <f>OR(LEN(INDEX(IHZ_HAZ_UNNUMBER,1,1))=4,LEN(INDEX(IHZ_HAZ_UNNUMBER,1,1))=0,_xlfn.ISFORMULA(INDEX(IHZ_HAZ_UNNUMBER,1,1)))</f>
        <v>1</v>
      </c>
      <c r="H1776" t="s">
        <v>33482</v>
      </c>
      <c r="J1776" t="b">
        <f>OR(LEN(INDEX(OHZ_HAZ_UNNUMBER,1,1))=4,LEN(INDEX(OHZ_HAZ_UNNUMBER,1,1))=0,_xlfn.ISFORMULA(INDEX(OHZ_HAZ_UNNUMBER,1,1)))</f>
        <v>1</v>
      </c>
      <c r="K1776" t="s">
        <v>33482</v>
      </c>
    </row>
    <row r="1777" spans="7:11" x14ac:dyDescent="0.2">
      <c r="G1777" t="b">
        <f>OR(_xlfn.ISFORMULA(INDEX(IHZ_HAZ_TOTAMOUNT,1,1)),IF(OR(ISBLANK(INDEX(IHZ_HAZ_TOTAMOUNT,1,1)),AND(ISNUMBER(INDEX(IHZ_HAZ_TOTAMOUNT,1,1)),LEN(INDEX(IHZ_HAZ_TOTAMOUNT,1,1))-(IF(ISNUMBER(SEARCH(".",INDEX(IHZ_HAZ_TOTAMOUNT,1,1))),SEARCH(".",INDEX(IHZ_HAZ_TOTAMOUNT,1,1)),LEN(INDEX(IHZ_HAZ_TOTAMOUNT,1,1))))&lt;=3,INDEX(IHZ_HAZ_TOTAMOUNT,1,1)&lt;=9999999999999)),TRUE(),FALSE()))</f>
        <v>1</v>
      </c>
      <c r="H1777" t="s">
        <v>33483</v>
      </c>
      <c r="J1777" t="b">
        <f>OR(_xlfn.ISFORMULA(INDEX(OHZ_HAZ_TOTAMOUNT,1,1)),IF(OR(ISBLANK(INDEX(OHZ_HAZ_TOTAMOUNT,1,1)),AND(ISNUMBER(INDEX(OHZ_HAZ_TOTAMOUNT,1,1)),LEN(INDEX(OHZ_HAZ_TOTAMOUNT,1,1))-(IF(ISNUMBER(SEARCH(".",INDEX(OHZ_HAZ_TOTAMOUNT,1,1))),SEARCH(".",INDEX(OHZ_HAZ_TOTAMOUNT,1,1)),LEN(INDEX(OHZ_HAZ_TOTAMOUNT,1,1))))&lt;=3,INDEX(OHZ_HAZ_TOTAMOUNT,1,1)&lt;=9999999999999)),TRUE(),FALSE()))</f>
        <v>1</v>
      </c>
      <c r="K1777" t="s">
        <v>33483</v>
      </c>
    </row>
    <row r="1778" spans="7:11" x14ac:dyDescent="0.2">
      <c r="G1778" t="b">
        <f>OR(INDEX(IHZ_HAZ_TOTNETGROSS,1,1)="Net",INDEX(IHZ_HAZ_TOTNETGROSS,1,1)="Gross",INDEX(IHZ_HAZ_TOTNETGROSS,1,1)="")</f>
        <v>1</v>
      </c>
      <c r="H1778" t="s">
        <v>33484</v>
      </c>
      <c r="J1778" t="b">
        <f>OR(INDEX(OHZ_HAZ_TOTNETGROSS,1,1)="Net",INDEX(OHZ_HAZ_TOTNETGROSS,1,1)="Gross",INDEX(OHZ_HAZ_TOTNETGROSS,1,1)="")</f>
        <v>1</v>
      </c>
      <c r="K1778" t="s">
        <v>33484</v>
      </c>
    </row>
    <row r="1779" spans="7:11" x14ac:dyDescent="0.2">
      <c r="G1779" t="b">
        <f>OR(INDEX(IHZ_HAZ_TOTUNIT,1,1)="",COUNTIF(Units_description,INDEX(IHZ_HAZ_TOTUNIT,1,1))=1)</f>
        <v>1</v>
      </c>
      <c r="H1779" t="s">
        <v>33485</v>
      </c>
      <c r="J1779" t="b">
        <f>OR(INDEX(OHZ_HAZ_TOTUNIT,1,1)="",COUNTIF(Units_description,INDEX(OHZ_HAZ_TOTUNIT,1,1))=1)</f>
        <v>1</v>
      </c>
      <c r="K1779" t="s">
        <v>33485</v>
      </c>
    </row>
    <row r="1780" spans="7:11" x14ac:dyDescent="0.2">
      <c r="G1780" t="b">
        <f>OR(INDEX(IHZ_HAZ_PACKINGGRO,1,1)="",COUNTIF(REF_PACKING_GROUP,INDEX(IHZ_HAZ_PACKINGGRO,1,1))=1)</f>
        <v>1</v>
      </c>
      <c r="H1780" t="s">
        <v>33486</v>
      </c>
      <c r="J1780" t="b">
        <f>OR(INDEX(OHZ_HAZ_PACKINGGRO,1,1)="",COUNTIF(REF_PACKING_GROUP,INDEX(OHZ_HAZ_PACKINGGRO,1,1))=1)</f>
        <v>1</v>
      </c>
      <c r="K1780" t="s">
        <v>33486</v>
      </c>
    </row>
    <row r="1781" spans="7:11" x14ac:dyDescent="0.2">
      <c r="G1781" t="b">
        <f>OR(_xlfn.ISFORMULA(INDEX(IHZ_HAZ_FLASHPOINT,1,1)),(IF(OR(ISBLANK(INDEX(IHZ_HAZ_FLASHPOINT,1,1)),AND(ISNUMBER(INDEX(IHZ_HAZ_FLASHPOINT,1,1)),LEN(INDEX(IHZ_HAZ_FLASHPOINT,1,1))-(IF(ISNUMBER(SEARCH(".",INDEX(IHZ_HAZ_FLASHPOINT,1,1))),SEARCH(".",INDEX(IHZ_HAZ_FLASHPOINT,1,1)),LEN(INDEX(IHZ_HAZ_FLASHPOINT,1,1))))&lt;=3,INDEX(IHZ_HAZ_FLASHPOINT,1,1)&lt;=9999999999,INDEX(IHZ_HAZ_FLASHPOINT,1,1)&gt;=-9999999999)),TRUE(),FALSE())))</f>
        <v>1</v>
      </c>
      <c r="H1781" t="s">
        <v>33487</v>
      </c>
      <c r="J1781" t="b">
        <f>OR(_xlfn.ISFORMULA(INDEX(OHZ_HAZ_FLASHPOINT,1,1)),(IF(OR(ISBLANK(INDEX(OHZ_HAZ_FLASHPOINT,1,1)),AND(ISNUMBER(INDEX(OHZ_HAZ_FLASHPOINT,1,1)),LEN(INDEX(OHZ_HAZ_FLASHPOINT,1,1))-(IF(ISNUMBER(SEARCH(".",INDEX(OHZ_HAZ_FLASHPOINT,1,1))),SEARCH(".",INDEX(OHZ_HAZ_FLASHPOINT,1,1)),LEN(INDEX(OHZ_HAZ_FLASHPOINT,1,1))))&lt;=3,INDEX(OHZ_HAZ_FLASHPOINT,1,1)&lt;=9999999999,INDEX(OHZ_HAZ_FLASHPOINT,1,1)&gt;=-9999999999)),TRUE(),FALSE())))</f>
        <v>1</v>
      </c>
      <c r="K1781" t="s">
        <v>33487</v>
      </c>
    </row>
    <row r="1782" spans="7:11" x14ac:dyDescent="0.2">
      <c r="G1782" t="b">
        <f>OR(INDEX(IHZ_HAZ_MARPOLCODE,1,1)="",COUNTIF(MARPOL_codes,INDEX(IHZ_HAZ_MARPOLCODE,1,1))=1)</f>
        <v>1</v>
      </c>
      <c r="H1782" t="s">
        <v>33488</v>
      </c>
      <c r="J1782" t="b">
        <f>OR(INDEX(OHZ_HAZ_MARPOLCODE,1,1)="",COUNTIF(MARPOL_codes,INDEX(OHZ_HAZ_MARPOLCODE,1,1))=1)</f>
        <v>1</v>
      </c>
      <c r="K1782" t="s">
        <v>33488</v>
      </c>
    </row>
    <row r="1783" spans="7:11" x14ac:dyDescent="0.2">
      <c r="G1783" t="b">
        <f>OR(INDEX(IHZ_HAZ_PACKAGECOD,1,1)="-",INDEX(IHZ_HAZ_PACKAGECOD,1,1)="",COUNTIF(Package_type_code,INDEX(IHZ_HAZ_PACKAGECOD,1,1))&lt;&gt;0)</f>
        <v>1</v>
      </c>
      <c r="H1783" t="s">
        <v>33489</v>
      </c>
      <c r="J1783" t="b">
        <f>OR(INDEX(OHZ_HAZ_PACKAGECOD,1,1)="-",INDEX(OHZ_HAZ_PACKAGECOD,1,1)="",COUNTIF(Package_type_code,INDEX(OHZ_HAZ_PACKAGECOD,1,1))&lt;&gt;0)</f>
        <v>1</v>
      </c>
      <c r="K1783" t="s">
        <v>33489</v>
      </c>
    </row>
    <row r="1784" spans="7:11" x14ac:dyDescent="0.2">
      <c r="G1784" t="b">
        <f>OR(_xlfn.ISFORMULA(INDEX(IHZ_HAZ_TOTALPACKA,1,1)),AND(INT(INDEX(IHZ_HAZ_TOTALPACKA,1,1))=(INDEX(IHZ_HAZ_TOTALPACKA,1,1)),INDEX(IHZ_HAZ_TOTALPACKA,1,1)&lt;1000000000))</f>
        <v>1</v>
      </c>
      <c r="H1784" t="s">
        <v>33490</v>
      </c>
      <c r="J1784" t="b">
        <f>OR(_xlfn.ISFORMULA(INDEX(OHZ_HAZ_TOTALPACKA,1,1)),AND(INT(INDEX(OHZ_HAZ_TOTALPACKA,1,1))=(INDEX(OHZ_HAZ_TOTALPACKA,1,1)),INDEX(OHZ_HAZ_TOTALPACKA,1,1)&lt;1000000000))</f>
        <v>1</v>
      </c>
      <c r="K1784" t="s">
        <v>33490</v>
      </c>
    </row>
    <row r="1785" spans="7:11" x14ac:dyDescent="0.2">
      <c r="G1785" t="b">
        <f>SUMPRODUCT(--(LEN(IHZ_HAZ_ADDITIONAL)&gt;256))=0</f>
        <v>1</v>
      </c>
      <c r="H1785" t="s">
        <v>33491</v>
      </c>
      <c r="J1785" t="b">
        <f>SUMPRODUCT(--(LEN(OHZ_HAZ_ADDITIONAL)&gt;256))=0</f>
        <v>1</v>
      </c>
      <c r="K1785" t="s">
        <v>33491</v>
      </c>
    </row>
    <row r="1786" spans="7:11" x14ac:dyDescent="0.2">
      <c r="G1786" t="b">
        <f>OR(ISBLANK(INDEX(IHZ_HAZ_EMS,1,1)),AND(LEN(INDEX(IHZ_HAZ_EMS,1,1))&lt;=101,LEN(INDEX(IHZ_HAZ_EMS,1,1))-LEN(SUBSTITUTE(INDEX(IHZ_HAZ_EMS,1,1),",",""))&lt;2,LEN(LEFT(INDEX(IHZ_HAZ_EMS,1,1),IF(ISNUMBER(SEARCH(",",INDEX(IHZ_HAZ_EMS,1,1))),SEARCH(",",INDEX(IHZ_HAZ_EMS,1,1))-1,LEN(INDEX(IHZ_HAZ_EMS,1,1)))))&lt;=50,(LEN(INDEX(IHZ_HAZ_EMS,1,1))-1)-LEN(LEFT(INDEX(IHZ_HAZ_EMS,1,1),IF(ISNUMBER(SEARCH(",",INDEX(IHZ_HAZ_EMS,1,1))),SEARCH(",",INDEX(IHZ_HAZ_EMS,1,1))-1,LEN(INDEX(IHZ_HAZ_EMS,1,1)))))&lt;=50))</f>
        <v>1</v>
      </c>
      <c r="H1786" t="s">
        <v>33492</v>
      </c>
      <c r="J1786" t="b">
        <f>OR(ISBLANK(INDEX(OHZ_HAZ_EMS,1,1)),AND(LEN(INDEX(OHZ_HAZ_EMS,1,1))&lt;=101,LEN(INDEX(OHZ_HAZ_EMS,1,1))-LEN(SUBSTITUTE(INDEX(OHZ_HAZ_EMS,1,1),",",""))&lt;2,LEN(LEFT(INDEX(OHZ_HAZ_EMS,1,1),IF(ISNUMBER(SEARCH(",",INDEX(OHZ_HAZ_EMS,1,1))),SEARCH(",",INDEX(OHZ_HAZ_EMS,1,1))-1,LEN(INDEX(OHZ_HAZ_EMS,1,1)))))&lt;=50,(LEN(INDEX(OHZ_HAZ_EMS,1,1))-1)-LEN(LEFT(INDEX(OHZ_HAZ_EMS,1,1),IF(ISNUMBER(SEARCH(",",INDEX(OHZ_HAZ_EMS,1,1))),SEARCH(",",INDEX(OHZ_HAZ_EMS,1,1))-1,LEN(INDEX(OHZ_HAZ_EMS,1,1)))))&lt;=50))</f>
        <v>1</v>
      </c>
      <c r="K1786" t="s">
        <v>33492</v>
      </c>
    </row>
    <row r="1787" spans="7:11" x14ac:dyDescent="0.2">
      <c r="G1787" t="b">
        <f>OR(ISBLANK(INDEX(IHZ_HAZ_SUBSIDIARY,1,1)),AND(LEN(INDEX(IHZ_HAZ_SUBSIDIARY,1,1))&lt;=89,LEN(INDEX(IHZ_HAZ_SUBSIDIARY,1,1))-LEN(SUBSTITUTE(INDEX(IHZ_HAZ_SUBSIDIARY,1,1),",",""))&lt;5))</f>
        <v>1</v>
      </c>
      <c r="H1787" t="s">
        <v>33493</v>
      </c>
      <c r="J1787" t="b">
        <f>OR(ISBLANK(INDEX(OHZ_HAZ_SUBSIDIARY,1,1)),AND(LEN(INDEX(OHZ_HAZ_SUBSIDIARY,1,1))&lt;=89,LEN(INDEX(OHZ_HAZ_SUBSIDIARY,1,1))-LEN(SUBSTITUTE(INDEX(OHZ_HAZ_SUBSIDIARY,1,1),",",""))&lt;5))</f>
        <v>1</v>
      </c>
      <c r="K1787" t="s">
        <v>33493</v>
      </c>
    </row>
    <row r="1788" spans="7:11" x14ac:dyDescent="0.2">
      <c r="G1788" t="b">
        <f>OR(INDEX(IHZ_HAZ_UNITTYPE,1,1)="",INDEX(IHZ_HAZ_UNITTYPE,1,1)="TEU",INDEX(IHZ_HAZ_UNITTYPE,1,1)="Non-TEU")</f>
        <v>1</v>
      </c>
      <c r="H1788" t="s">
        <v>33494</v>
      </c>
      <c r="J1788" t="b">
        <f>OR(INDEX(OHZ_HAZ_UNITTYPE,1,1)="",INDEX(OHZ_HAZ_UNITTYPE,1,1)="TEU",INDEX(OHZ_HAZ_UNITTYPE,1,1)="Non-TEU")</f>
        <v>1</v>
      </c>
      <c r="K1788" t="s">
        <v>33494</v>
      </c>
    </row>
    <row r="1789" spans="7:11" x14ac:dyDescent="0.2">
      <c r="G1789" t="b">
        <f>SUMPRODUCT(--(LEN(IHZ_HAZ_TEUID)&gt;28))=0</f>
        <v>1</v>
      </c>
      <c r="H1789" t="s">
        <v>33495</v>
      </c>
      <c r="J1789" t="b">
        <f>SUMPRODUCT(--(LEN(OHZ_HAZ_TEUID)&gt;28))=0</f>
        <v>1</v>
      </c>
      <c r="K1789" t="s">
        <v>33495</v>
      </c>
    </row>
    <row r="1790" spans="7:11" x14ac:dyDescent="0.2">
      <c r="G1790" t="b">
        <f>SUMPRODUCT(--(LEN(IHZ_HAZ_LOCATION)&gt;26))=0</f>
        <v>1</v>
      </c>
      <c r="H1790" t="s">
        <v>33496</v>
      </c>
      <c r="J1790" t="b">
        <f>SUMPRODUCT(--(LEN(OHZ_HAZ_LOCATION)&gt;26))=0</f>
        <v>1</v>
      </c>
      <c r="K1790" t="s">
        <v>33496</v>
      </c>
    </row>
    <row r="1791" spans="7:11" x14ac:dyDescent="0.2">
      <c r="G1791" t="b">
        <f>OR(_xlfn.ISFORMULA(INDEX(IHZ_HAZ_PACKAGES,1,1)),AND(INT(INDEX(IHZ_HAZ_PACKAGES,1,1))=INDEX(IHZ_HAZ_PACKAGES,1,1),INDEX(IHZ_HAZ_PACKAGES,1,1)&lt;1000000000))</f>
        <v>1</v>
      </c>
      <c r="H1791" t="s">
        <v>33497</v>
      </c>
      <c r="J1791" t="b">
        <f>OR(_xlfn.ISFORMULA(INDEX(OHZ_HAZ_PACKAGES,1,1)),AND(INT(INDEX(OHZ_HAZ_PACKAGES,1,1))=INDEX(OHZ_HAZ_PACKAGES,1,1),INDEX(OHZ_HAZ_PACKAGES,1,1)&lt;1000000000))</f>
        <v>1</v>
      </c>
      <c r="K1791" t="s">
        <v>33497</v>
      </c>
    </row>
    <row r="1792" spans="7:11" x14ac:dyDescent="0.2">
      <c r="G1792" t="b">
        <f>OR(_xlfn.ISFORMULA(INDEX(IHZ_HAZ_AMOUNT,1,1)),IF(OR(ISBLANK(INDEX(IHZ_HAZ_AMOUNT,1,1)),AND(ISNUMBER(INDEX(IHZ_HAZ_AMOUNT,1,1)),LEN(INDEX(IHZ_HAZ_AMOUNT,1,1))-(IF(ISNUMBER(SEARCH(".",INDEX(IHZ_HAZ_AMOUNT,1,1))),SEARCH(".",INDEX(IHZ_HAZ_AMOUNT,1,1)),LEN(INDEX(IHZ_HAZ_AMOUNT,1,1))))&lt;=3,INDEX(IHZ_HAZ_AMOUNT,1,1)&lt;=9999999999999)),TRUE(),FALSE()))</f>
        <v>1</v>
      </c>
      <c r="H1792" t="s">
        <v>33498</v>
      </c>
      <c r="J1792" t="b">
        <f>OR(_xlfn.ISFORMULA(INDEX(OHZ_HAZ_AMOUNT,1,1)),IF(OR(ISBLANK(INDEX(OHZ_HAZ_AMOUNT,1,1)),AND(ISNUMBER(INDEX(OHZ_HAZ_AMOUNT,1,1)),LEN(INDEX(OHZ_HAZ_AMOUNT,1,1))-(IF(ISNUMBER(SEARCH(".",INDEX(OHZ_HAZ_AMOUNT,1,1))),SEARCH(".",INDEX(OHZ_HAZ_AMOUNT,1,1)),LEN(INDEX(OHZ_HAZ_AMOUNT,1,1))))&lt;=3,INDEX(OHZ_HAZ_AMOUNT,1,1)&lt;=9999999999999)),TRUE(),FALSE()))</f>
        <v>1</v>
      </c>
      <c r="K1792" t="s">
        <v>33498</v>
      </c>
    </row>
    <row r="1793" spans="7:11" x14ac:dyDescent="0.2">
      <c r="G1793" t="b">
        <f>OR(INDEX(IHZ_HAZ_NETGROSS,1,1)="Net",INDEX(IHZ_HAZ_NETGROSS,1,1)="Gross",INDEX(IHZ_HAZ_NETGROSS,1,1)="")</f>
        <v>1</v>
      </c>
      <c r="H1793" t="s">
        <v>33499</v>
      </c>
      <c r="J1793" t="b">
        <f>OR(INDEX(OHZ_HAZ_NETGROSS,1,1)="Net",INDEX(OHZ_HAZ_NETGROSS,1,1)="Gross",INDEX(OHZ_HAZ_NETGROSS,1,1)="")</f>
        <v>1</v>
      </c>
      <c r="K1793" t="s">
        <v>33499</v>
      </c>
    </row>
    <row r="1794" spans="7:11" x14ac:dyDescent="0.2">
      <c r="G1794" t="b">
        <f>OR(INDEX(IHZ_HAZ_UNIT,1,1)="",COUNTIF(Units_description,INDEX(IHZ_HAZ_UNIT,1,1))=1)</f>
        <v>1</v>
      </c>
      <c r="H1794" t="s">
        <v>33485</v>
      </c>
      <c r="J1794" t="b">
        <f>OR(INDEX(OHZ_HAZ_UNIT,1,1)="",COUNTIF(Units_description,INDEX(OHZ_HAZ_UNIT,1,1))=1)</f>
        <v>1</v>
      </c>
      <c r="K1794" t="s">
        <v>33485</v>
      </c>
    </row>
    <row r="1795" spans="7:11" x14ac:dyDescent="0.2">
      <c r="G1795" t="b">
        <f>OR(INDEX(IHZ_HAZ_CONSIGNMENT,1,1)&lt;&gt;"",INDEX(IHZ_DET_HAZONBOARD,1,1)="No")</f>
        <v>0</v>
      </c>
      <c r="H1795" t="s">
        <v>34831</v>
      </c>
      <c r="J1795" t="b">
        <f>OR(INDEX(OHZ_HAZ_CONSIGNMENT,1,1)&lt;&gt;"",INDEX(OHZ_DET_HAZONBOARD,1,1)="No")</f>
        <v>0</v>
      </c>
      <c r="K1795" t="s">
        <v>34831</v>
      </c>
    </row>
    <row r="1796" spans="7:11" x14ac:dyDescent="0.2">
      <c r="G1796" t="b">
        <f>ISNUMBER(INT(INDEX(IHZ_HAZ_CONSIGNMENT,1,1)))</f>
        <v>1</v>
      </c>
      <c r="H1796" s="484" t="s">
        <v>35140</v>
      </c>
      <c r="J1796" t="b">
        <f>ISNUMBER(INT(INDEX(OHZ_HAZ_CONSIGNMENT,1,1)))</f>
        <v>1</v>
      </c>
      <c r="K1796" s="484" t="s">
        <v>35140</v>
      </c>
    </row>
    <row r="1797" spans="7:11" x14ac:dyDescent="0.2">
      <c r="G1797" t="b">
        <f>ISNUMBER(INT(INDEX(IHZ_HAZ_DPGREF,1,1)))</f>
        <v>1</v>
      </c>
      <c r="H1797" s="484" t="s">
        <v>35143</v>
      </c>
      <c r="J1797" s="35" t="b">
        <f>ISNUMBER(INT(INDEX(OHZ_HAZ_DPGREF,1,1)))</f>
        <v>1</v>
      </c>
      <c r="K1797" s="484" t="s">
        <v>35143</v>
      </c>
    </row>
    <row r="1798" spans="7:11" x14ac:dyDescent="0.2">
      <c r="G1798" t="b" cm="1">
        <f t="array" ref="G1798">SUMPRODUCT(--(NOT(ISBLANK(IHZ_HAZ_FLASHPOINT)+ISNUMBER(VALUE(SUBSTITUTE(SUBSTITUTE(SUBSTITUTE(SUBSTITUTE(IHZ_HAZ_FLASHPOINT," ",""),"c",""),"C",""),"-",""))))))=0</f>
        <v>1</v>
      </c>
      <c r="H1798" t="str" cm="1">
        <f t="array" ref="H1798">SUMPRODUCT(--(NOT(ISBLANK(IHZ_HAZ_FLASHPOINT)+ISNUMBER(VALUE(SUBSTITUTE(SUBSTITUTE(SUBSTITUTE(SUBSTITUTE(IHZ_HAZ_FLASHPOINT," ",""),"c",""),"C",""),"-","")))))) &amp; " invalid flashpoint temperatures"</f>
        <v>0 invalid flashpoint temperatures</v>
      </c>
      <c r="J1798" t="b" cm="1">
        <f t="array" ref="J1798">SUMPRODUCT(--(NOT(ISBLANK(OHZ_HAZ_FLASHPOINT)+ISNUMBER(VALUE(SUBSTITUTE(SUBSTITUTE(SUBSTITUTE(SUBSTITUTE(OHZ_HAZ_FLASHPOINT," ",""),"c",""),"C",""),"-",""))))))=0</f>
        <v>1</v>
      </c>
      <c r="K1798" t="str" cm="1">
        <f t="array" ref="K1798">SUMPRODUCT(--(NOT(ISBLANK(OHZ_HAZ_FLASHPOINT)+ISNUMBER(VALUE(SUBSTITUTE(SUBSTITUTE(SUBSTITUTE(SUBSTITUTE(OHZ_HAZ_FLASHPOINT," ",""),"c",""),"C",""),"-","")))))) &amp; " invalid flashpoint temperatures"</f>
        <v>0 invalid flashpoint temperatures</v>
      </c>
    </row>
    <row r="1799" spans="7:11" x14ac:dyDescent="0.2">
      <c r="G1799" t="b" cm="1">
        <f t="array" ref="G1799">(SUMPRODUCT(--(ISNA(MATCH(IHZ_HAZ_PACKAGECOD,Package_type_code,0))))-COUNTBLANK(IHZ_HAZ_PACKAGECOD))=0</f>
        <v>1</v>
      </c>
      <c r="H1799" t="str" cm="1">
        <f t="array" ref="H1799">(SUMPRODUCT(--(ISNA(MATCH(IHZ_HAZ_PACKAGECOD,Package_type_code,0))))-COUNTBLANK(IHZ_HAZ_PACKAGECOD)) &amp; " package codes invalid"</f>
        <v>0 package codes invalid</v>
      </c>
      <c r="J1799" t="b" cm="1">
        <f t="array" ref="J1799">(SUMPRODUCT(--(ISNA(MATCH(OHZ_HAZ_PACKAGECOD,Package_type_code,0))))-COUNTBLANK(OHZ_HAZ_PACKAGECOD))=0</f>
        <v>1</v>
      </c>
      <c r="K1799" t="str" cm="1">
        <f t="array" ref="K1799">(SUMPRODUCT(--(ISNA(MATCH(OHZ_HAZ_PACKAGECOD,Package_type_code,0))))-COUNTBLANK(OHZ_HAZ_PACKAGECOD)) &amp; " package codes invalid"</f>
        <v>0 package codes invalid</v>
      </c>
    </row>
  </sheetData>
  <sheetProtection algorithmName="SHA-512" hashValue="s0px6YIwO3QV7OYim+iYvMedJ2E7i6dGZ3fFfjNLcJx1T26vWFd1mXKkHUpppLOiXbS888UrE7LWfYiRrr+O4g==" saltValue="9eJr15BgNV2kcLYWZP912g==" spinCount="100000" sheet="1" objects="1" scenarios="1"/>
  <dataValidations disablePrompts="1" count="1">
    <dataValidation allowBlank="1" prompt="Security related matter to report, if any. Max. 255 characters." sqref="B57"/>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1"/>
  <dimension ref="A1:E9"/>
  <sheetViews>
    <sheetView zoomScale="85" zoomScaleNormal="85" workbookViewId="0">
      <selection activeCell="M49" sqref="M49"/>
    </sheetView>
  </sheetViews>
  <sheetFormatPr defaultRowHeight="12.75" x14ac:dyDescent="0.2"/>
  <cols>
    <col min="1" max="1" width="3.42578125" style="35" customWidth="1"/>
    <col min="2" max="2" width="31.85546875" customWidth="1"/>
    <col min="3" max="3" width="16" style="79" customWidth="1"/>
    <col min="4" max="4" width="16" style="373" customWidth="1"/>
  </cols>
  <sheetData>
    <row r="1" spans="2:5" s="35" customFormat="1" x14ac:dyDescent="0.2">
      <c r="C1" s="79"/>
      <c r="D1" s="373"/>
    </row>
    <row r="2" spans="2:5" x14ac:dyDescent="0.2">
      <c r="B2" s="81" t="s">
        <v>33341</v>
      </c>
      <c r="C2" s="82" t="e">
        <v>#N/A</v>
      </c>
      <c r="D2" s="376"/>
    </row>
    <row r="3" spans="2:5" x14ac:dyDescent="0.2">
      <c r="B3" s="81" t="s">
        <v>33340</v>
      </c>
      <c r="C3" s="82" t="e">
        <v>#N/A</v>
      </c>
      <c r="D3" s="376"/>
    </row>
    <row r="4" spans="2:5" x14ac:dyDescent="0.2">
      <c r="B4" s="81" t="s">
        <v>33342</v>
      </c>
      <c r="C4" s="82" t="e">
        <v>#N/A</v>
      </c>
      <c r="D4" s="377"/>
      <c r="E4" s="35"/>
    </row>
    <row r="5" spans="2:5" x14ac:dyDescent="0.2">
      <c r="B5" s="89" t="s">
        <v>33365</v>
      </c>
      <c r="C5" s="82" t="e">
        <v>#N/A</v>
      </c>
      <c r="D5" s="376"/>
    </row>
    <row r="6" spans="2:5" x14ac:dyDescent="0.2">
      <c r="B6" s="374" t="s">
        <v>33812</v>
      </c>
      <c r="C6" s="373" t="s">
        <v>33816</v>
      </c>
      <c r="D6" s="35"/>
    </row>
    <row r="7" spans="2:5" s="35" customFormat="1" x14ac:dyDescent="0.2">
      <c r="B7" s="374" t="s">
        <v>33813</v>
      </c>
      <c r="C7" s="373" t="str">
        <f>IF(SUM_OVE_VALID="Allow invalid sheet upload","Upload anyway","")</f>
        <v/>
      </c>
    </row>
    <row r="8" spans="2:5" x14ac:dyDescent="0.2">
      <c r="B8" s="374" t="s">
        <v>33817</v>
      </c>
      <c r="C8" s="79" t="s">
        <v>33819</v>
      </c>
    </row>
    <row r="9" spans="2:5" x14ac:dyDescent="0.2">
      <c r="B9" s="374" t="s">
        <v>33818</v>
      </c>
      <c r="C9" s="373" t="str">
        <f>IF(LEN(SUM_OVR_RES)&gt;7,"Allow invalid sheet upload","")</f>
        <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AV17811"/>
  <sheetViews>
    <sheetView topLeftCell="AK1" zoomScale="85" zoomScaleNormal="85" workbookViewId="0">
      <pane ySplit="1" topLeftCell="A17797" activePane="bottomLeft" state="frozen"/>
      <selection pane="bottomLeft" activeCell="AN17816" sqref="AN17816"/>
    </sheetView>
  </sheetViews>
  <sheetFormatPr defaultRowHeight="12" customHeight="1" x14ac:dyDescent="0.2"/>
  <cols>
    <col min="1" max="6" width="30.42578125" customWidth="1"/>
    <col min="7" max="7" width="21.28515625" customWidth="1"/>
    <col min="8" max="8" width="31.7109375" customWidth="1"/>
    <col min="9" max="9" width="21.28515625" customWidth="1"/>
    <col min="10" max="10" width="25.7109375" customWidth="1"/>
    <col min="11" max="11" width="19.28515625" customWidth="1"/>
    <col min="12" max="12" width="29.28515625" customWidth="1"/>
    <col min="13" max="13" width="19.140625" customWidth="1"/>
    <col min="14" max="14" width="33.42578125" customWidth="1"/>
    <col min="15" max="15" width="9.7109375" customWidth="1"/>
    <col min="16" max="16" width="62.7109375" customWidth="1"/>
    <col min="17" max="17" width="20.5703125" customWidth="1"/>
    <col min="18" max="18" width="19.7109375" customWidth="1"/>
    <col min="19" max="19" width="33" customWidth="1"/>
    <col min="20" max="20" width="7.7109375" customWidth="1"/>
    <col min="21" max="21" width="19.85546875" customWidth="1"/>
    <col min="22" max="22" width="14.42578125" customWidth="1"/>
    <col min="23" max="23" width="14.85546875" customWidth="1"/>
    <col min="24" max="24" width="15.42578125" customWidth="1"/>
    <col min="25" max="32" width="30.140625" customWidth="1"/>
    <col min="33" max="33" width="47.5703125" customWidth="1"/>
    <col min="34" max="34" width="30.140625" customWidth="1"/>
    <col min="36" max="36" width="31.28515625" customWidth="1"/>
    <col min="37" max="37" width="10.7109375" customWidth="1"/>
    <col min="38" max="38" width="67" customWidth="1"/>
    <col min="39" max="39" width="37.85546875" customWidth="1"/>
    <col min="40" max="40" width="12.5703125" customWidth="1"/>
    <col min="41" max="41" width="33.85546875" customWidth="1"/>
    <col min="42" max="42" width="14.140625" customWidth="1"/>
    <col min="43" max="43" width="26.28515625" customWidth="1"/>
    <col min="45" max="45" width="11.140625" customWidth="1"/>
    <col min="46" max="46" width="44" customWidth="1"/>
    <col min="47" max="47" width="22.7109375" bestFit="1" customWidth="1"/>
  </cols>
  <sheetData>
    <row r="1" spans="1:48" ht="12" customHeight="1" x14ac:dyDescent="0.2">
      <c r="A1" t="s">
        <v>19</v>
      </c>
      <c r="B1" t="s">
        <v>42</v>
      </c>
      <c r="C1" t="s">
        <v>62</v>
      </c>
      <c r="D1" t="s">
        <v>74</v>
      </c>
      <c r="E1" t="s">
        <v>81</v>
      </c>
      <c r="F1" t="s">
        <v>82</v>
      </c>
      <c r="G1" t="s">
        <v>85</v>
      </c>
      <c r="H1" t="s">
        <v>110</v>
      </c>
      <c r="I1" t="s">
        <v>111</v>
      </c>
      <c r="J1" t="s">
        <v>387</v>
      </c>
      <c r="K1" t="s">
        <v>388</v>
      </c>
      <c r="L1" t="s">
        <v>395</v>
      </c>
      <c r="M1" t="s">
        <v>399</v>
      </c>
      <c r="N1" t="s">
        <v>44</v>
      </c>
      <c r="O1" t="s">
        <v>18</v>
      </c>
      <c r="P1" t="s">
        <v>578</v>
      </c>
      <c r="Q1" t="s">
        <v>581</v>
      </c>
      <c r="R1" t="s">
        <v>582</v>
      </c>
      <c r="S1" t="s">
        <v>57</v>
      </c>
      <c r="T1" t="s">
        <v>585</v>
      </c>
      <c r="U1" t="s">
        <v>578</v>
      </c>
      <c r="V1" t="s">
        <v>587</v>
      </c>
      <c r="W1" t="s">
        <v>588</v>
      </c>
      <c r="X1" t="s">
        <v>83</v>
      </c>
      <c r="Y1" t="s">
        <v>622</v>
      </c>
      <c r="Z1" t="s">
        <v>589</v>
      </c>
      <c r="AA1" t="s">
        <v>590</v>
      </c>
      <c r="AB1" t="s">
        <v>591</v>
      </c>
      <c r="AC1" t="s">
        <v>636</v>
      </c>
      <c r="AD1" t="s">
        <v>592</v>
      </c>
      <c r="AE1" t="s">
        <v>619</v>
      </c>
      <c r="AF1" t="s">
        <v>682</v>
      </c>
      <c r="AG1" t="s">
        <v>626</v>
      </c>
      <c r="AH1" t="s">
        <v>627</v>
      </c>
      <c r="AJ1" t="s">
        <v>669</v>
      </c>
      <c r="AK1" t="s">
        <v>18</v>
      </c>
      <c r="AL1" t="s">
        <v>578</v>
      </c>
      <c r="AM1" t="s">
        <v>32870</v>
      </c>
      <c r="AN1" t="s">
        <v>681</v>
      </c>
      <c r="AO1" t="s">
        <v>32760</v>
      </c>
      <c r="AP1" t="s">
        <v>33060</v>
      </c>
      <c r="AQ1" t="s">
        <v>33061</v>
      </c>
      <c r="AS1" t="s">
        <v>681</v>
      </c>
      <c r="AT1" t="s">
        <v>32760</v>
      </c>
      <c r="AU1" t="s">
        <v>35160</v>
      </c>
      <c r="AV1" t="s">
        <v>35161</v>
      </c>
    </row>
    <row r="2" spans="1:48" ht="12" customHeight="1" x14ac:dyDescent="0.2">
      <c r="A2" t="s">
        <v>20</v>
      </c>
      <c r="B2" t="s">
        <v>8</v>
      </c>
      <c r="C2" t="s">
        <v>79</v>
      </c>
      <c r="D2" t="s">
        <v>75</v>
      </c>
      <c r="E2">
        <v>1</v>
      </c>
      <c r="F2" t="s">
        <v>83</v>
      </c>
      <c r="G2" t="s">
        <v>34839</v>
      </c>
      <c r="H2" t="s">
        <v>86</v>
      </c>
      <c r="I2" t="s">
        <v>112</v>
      </c>
      <c r="J2" t="s">
        <v>116</v>
      </c>
      <c r="K2" t="s">
        <v>117</v>
      </c>
      <c r="L2" t="s">
        <v>390</v>
      </c>
      <c r="M2" t="s">
        <v>396</v>
      </c>
      <c r="N2" t="s">
        <v>464</v>
      </c>
      <c r="O2">
        <v>551</v>
      </c>
      <c r="P2" t="s">
        <v>465</v>
      </c>
      <c r="Q2" t="s">
        <v>579</v>
      </c>
      <c r="R2" t="s">
        <v>617</v>
      </c>
      <c r="S2" t="s">
        <v>115</v>
      </c>
      <c r="T2" t="s">
        <v>33321</v>
      </c>
      <c r="U2" t="s">
        <v>33321</v>
      </c>
      <c r="V2">
        <v>29221</v>
      </c>
      <c r="W2">
        <v>54789</v>
      </c>
      <c r="X2" t="s">
        <v>83</v>
      </c>
      <c r="Y2" t="s">
        <v>623</v>
      </c>
      <c r="Z2" t="s">
        <v>33344</v>
      </c>
      <c r="AA2" t="s">
        <v>593</v>
      </c>
      <c r="AB2" t="s">
        <v>591</v>
      </c>
      <c r="AC2" t="s">
        <v>33312</v>
      </c>
      <c r="AD2" t="s">
        <v>33313</v>
      </c>
      <c r="AE2" t="s">
        <v>33302</v>
      </c>
      <c r="AF2" t="b">
        <v>1</v>
      </c>
      <c r="AG2" t="s">
        <v>33343</v>
      </c>
      <c r="AH2">
        <v>1100</v>
      </c>
      <c r="AJ2" t="s">
        <v>639</v>
      </c>
      <c r="AK2">
        <v>1</v>
      </c>
      <c r="AL2" t="s">
        <v>640</v>
      </c>
      <c r="AM2" t="str">
        <f>AO2 &amp; " [" &amp; AN2 &amp; "]"</f>
        <v>A Baiuca [ESAXO]</v>
      </c>
      <c r="AN2" t="s">
        <v>9552</v>
      </c>
      <c r="AO2" t="s">
        <v>9553</v>
      </c>
      <c r="AP2" t="s">
        <v>33078</v>
      </c>
      <c r="AQ2" t="s">
        <v>32890</v>
      </c>
      <c r="AS2" t="s">
        <v>12253</v>
      </c>
      <c r="AT2" t="s">
        <v>12254</v>
      </c>
      <c r="AU2" t="s">
        <v>77</v>
      </c>
      <c r="AV2" t="s">
        <v>35162</v>
      </c>
    </row>
    <row r="3" spans="1:48" ht="12" customHeight="1" x14ac:dyDescent="0.2">
      <c r="A3" t="s">
        <v>21</v>
      </c>
      <c r="B3" t="s">
        <v>16</v>
      </c>
      <c r="C3" t="s">
        <v>80</v>
      </c>
      <c r="D3" t="s">
        <v>76</v>
      </c>
      <c r="E3">
        <v>2</v>
      </c>
      <c r="F3" t="s">
        <v>84</v>
      </c>
      <c r="G3" t="s">
        <v>34840</v>
      </c>
      <c r="H3" t="s">
        <v>87</v>
      </c>
      <c r="I3" t="s">
        <v>113</v>
      </c>
      <c r="J3" t="s">
        <v>118</v>
      </c>
      <c r="K3" t="s">
        <v>33088</v>
      </c>
      <c r="L3" t="s">
        <v>391</v>
      </c>
      <c r="M3" t="s">
        <v>397</v>
      </c>
      <c r="N3" t="s">
        <v>482</v>
      </c>
      <c r="O3">
        <v>60</v>
      </c>
      <c r="P3" t="s">
        <v>483</v>
      </c>
      <c r="Q3" t="s">
        <v>580</v>
      </c>
      <c r="R3" t="s">
        <v>618</v>
      </c>
      <c r="S3" t="s">
        <v>584</v>
      </c>
      <c r="T3" t="s">
        <v>586</v>
      </c>
      <c r="U3" t="s">
        <v>586</v>
      </c>
      <c r="Y3" t="s">
        <v>591</v>
      </c>
      <c r="Z3" t="s">
        <v>33343</v>
      </c>
      <c r="AA3" t="s">
        <v>598</v>
      </c>
      <c r="AC3" t="s">
        <v>595</v>
      </c>
      <c r="AD3" t="s">
        <v>596</v>
      </c>
      <c r="AE3" t="s">
        <v>33303</v>
      </c>
      <c r="AF3" t="b">
        <v>0</v>
      </c>
      <c r="AG3" t="s">
        <v>33344</v>
      </c>
      <c r="AH3">
        <v>1200</v>
      </c>
      <c r="AJ3" t="s">
        <v>641</v>
      </c>
      <c r="AK3">
        <v>2</v>
      </c>
      <c r="AL3" t="s">
        <v>642</v>
      </c>
      <c r="AM3" t="str">
        <f t="shared" ref="AM3:AM66" si="0">AO3 &amp; " [" &amp; AN3 &amp; "]"</f>
        <v>A i Lofoten [NOAAA]</v>
      </c>
      <c r="AN3" t="s">
        <v>23818</v>
      </c>
      <c r="AO3" t="s">
        <v>36111</v>
      </c>
      <c r="AP3" t="s">
        <v>33079</v>
      </c>
      <c r="AQ3" t="s">
        <v>32893</v>
      </c>
      <c r="AS3" t="s">
        <v>12257</v>
      </c>
      <c r="AT3" t="s">
        <v>12258</v>
      </c>
      <c r="AU3" t="s">
        <v>586</v>
      </c>
      <c r="AV3" t="s">
        <v>35163</v>
      </c>
    </row>
    <row r="4" spans="1:48" ht="12" customHeight="1" x14ac:dyDescent="0.2">
      <c r="A4" t="s">
        <v>4</v>
      </c>
      <c r="B4" t="s">
        <v>14</v>
      </c>
      <c r="E4">
        <v>3</v>
      </c>
      <c r="G4" t="s">
        <v>34841</v>
      </c>
      <c r="H4" t="s">
        <v>88</v>
      </c>
      <c r="I4" t="s">
        <v>114</v>
      </c>
      <c r="J4" t="s">
        <v>119</v>
      </c>
      <c r="K4" t="s">
        <v>120</v>
      </c>
      <c r="L4" t="s">
        <v>392</v>
      </c>
      <c r="M4" t="s">
        <v>398</v>
      </c>
      <c r="N4" t="s">
        <v>423</v>
      </c>
      <c r="O4">
        <v>515</v>
      </c>
      <c r="P4" t="s">
        <v>424</v>
      </c>
      <c r="S4" t="s">
        <v>583</v>
      </c>
      <c r="T4" t="s">
        <v>77</v>
      </c>
      <c r="U4" t="s">
        <v>77</v>
      </c>
      <c r="Y4" t="s">
        <v>590</v>
      </c>
      <c r="Z4" t="s">
        <v>597</v>
      </c>
      <c r="AA4" t="s">
        <v>594</v>
      </c>
      <c r="AC4" t="s">
        <v>33317</v>
      </c>
      <c r="AD4" t="s">
        <v>599</v>
      </c>
      <c r="AE4" t="s">
        <v>33304</v>
      </c>
      <c r="AG4" t="s">
        <v>597</v>
      </c>
      <c r="AH4">
        <v>1301</v>
      </c>
      <c r="AJ4" t="s">
        <v>643</v>
      </c>
      <c r="AK4">
        <v>3</v>
      </c>
      <c r="AL4" t="s">
        <v>644</v>
      </c>
      <c r="AM4" t="str">
        <f t="shared" si="0"/>
        <v>Aachen [DEAAH]</v>
      </c>
      <c r="AN4" t="s">
        <v>6967</v>
      </c>
      <c r="AO4" t="s">
        <v>6968</v>
      </c>
      <c r="AP4" t="s">
        <v>33080</v>
      </c>
      <c r="AQ4" t="s">
        <v>32935</v>
      </c>
      <c r="AS4" t="s">
        <v>12275</v>
      </c>
      <c r="AT4" t="s">
        <v>32763</v>
      </c>
      <c r="AV4" t="s">
        <v>35164</v>
      </c>
    </row>
    <row r="5" spans="1:48" ht="12" customHeight="1" x14ac:dyDescent="0.2">
      <c r="A5" t="s">
        <v>22</v>
      </c>
      <c r="B5" t="s">
        <v>15</v>
      </c>
      <c r="H5" t="s">
        <v>89</v>
      </c>
      <c r="I5" t="s">
        <v>115</v>
      </c>
      <c r="J5" t="s">
        <v>121</v>
      </c>
      <c r="K5" t="s">
        <v>122</v>
      </c>
      <c r="L5" t="s">
        <v>393</v>
      </c>
      <c r="N5" t="s">
        <v>564</v>
      </c>
      <c r="O5">
        <v>84</v>
      </c>
      <c r="P5" t="s">
        <v>565</v>
      </c>
      <c r="Y5" t="s">
        <v>624</v>
      </c>
      <c r="Z5" t="s">
        <v>33316</v>
      </c>
      <c r="AA5" t="s">
        <v>600</v>
      </c>
      <c r="AD5" t="s">
        <v>601</v>
      </c>
      <c r="AE5" t="s">
        <v>33305</v>
      </c>
      <c r="AG5" t="s">
        <v>33316</v>
      </c>
      <c r="AH5">
        <v>1300</v>
      </c>
      <c r="AJ5" t="s">
        <v>645</v>
      </c>
      <c r="AK5">
        <v>4</v>
      </c>
      <c r="AL5" t="s">
        <v>646</v>
      </c>
      <c r="AM5" t="str">
        <f t="shared" si="0"/>
        <v>Aalborg [DKAAL]</v>
      </c>
      <c r="AN5" t="s">
        <v>8591</v>
      </c>
      <c r="AO5" t="s">
        <v>8592</v>
      </c>
      <c r="AP5" t="s">
        <v>33081</v>
      </c>
      <c r="AQ5" t="s">
        <v>32897</v>
      </c>
      <c r="AS5" t="s">
        <v>12277</v>
      </c>
      <c r="AT5" t="s">
        <v>32764</v>
      </c>
      <c r="AV5" t="s">
        <v>35165</v>
      </c>
    </row>
    <row r="6" spans="1:48" ht="12" customHeight="1" x14ac:dyDescent="0.2">
      <c r="A6" t="s">
        <v>23</v>
      </c>
      <c r="B6" t="s">
        <v>43</v>
      </c>
      <c r="H6" t="s">
        <v>90</v>
      </c>
      <c r="J6" t="s">
        <v>135</v>
      </c>
      <c r="K6" t="s">
        <v>136</v>
      </c>
      <c r="L6" t="s">
        <v>394</v>
      </c>
      <c r="N6" t="s">
        <v>433</v>
      </c>
      <c r="O6">
        <v>52</v>
      </c>
      <c r="P6" t="s">
        <v>434</v>
      </c>
      <c r="Y6" t="s">
        <v>625</v>
      </c>
      <c r="AA6" t="s">
        <v>602</v>
      </c>
      <c r="AD6" t="s">
        <v>33318</v>
      </c>
      <c r="AE6" t="s">
        <v>33306</v>
      </c>
      <c r="AG6" t="s">
        <v>593</v>
      </c>
      <c r="AH6">
        <v>2100</v>
      </c>
      <c r="AJ6" t="s">
        <v>647</v>
      </c>
      <c r="AK6">
        <v>5</v>
      </c>
      <c r="AL6" t="s">
        <v>648</v>
      </c>
      <c r="AM6" t="str">
        <f t="shared" si="0"/>
        <v>Aalborg Portland Cementfabrikk [DKROR]</v>
      </c>
      <c r="AN6" t="s">
        <v>8593</v>
      </c>
      <c r="AO6" t="s">
        <v>8594</v>
      </c>
      <c r="AP6" t="s">
        <v>33082</v>
      </c>
      <c r="AQ6" t="s">
        <v>32888</v>
      </c>
      <c r="AS6" t="s">
        <v>12279</v>
      </c>
      <c r="AT6" t="s">
        <v>32765</v>
      </c>
      <c r="AV6" t="s">
        <v>35166</v>
      </c>
    </row>
    <row r="7" spans="1:48" ht="12" customHeight="1" x14ac:dyDescent="0.2">
      <c r="A7" t="s">
        <v>10</v>
      </c>
      <c r="H7" t="s">
        <v>91</v>
      </c>
      <c r="J7" t="s">
        <v>145</v>
      </c>
      <c r="K7" t="s">
        <v>146</v>
      </c>
      <c r="N7" t="s">
        <v>516</v>
      </c>
      <c r="O7">
        <v>727</v>
      </c>
      <c r="P7" t="s">
        <v>517</v>
      </c>
      <c r="AA7" t="s">
        <v>603</v>
      </c>
      <c r="AD7" t="s">
        <v>604</v>
      </c>
      <c r="AE7" t="s">
        <v>33307</v>
      </c>
      <c r="AG7" t="s">
        <v>594</v>
      </c>
      <c r="AH7">
        <v>2200</v>
      </c>
      <c r="AJ7" t="s">
        <v>649</v>
      </c>
      <c r="AK7">
        <v>6</v>
      </c>
      <c r="AL7" t="s">
        <v>650</v>
      </c>
      <c r="AM7" t="str">
        <f t="shared" si="0"/>
        <v>Aalsmeer [NLAAM]</v>
      </c>
      <c r="AN7" t="s">
        <v>23016</v>
      </c>
      <c r="AO7" t="s">
        <v>23017</v>
      </c>
      <c r="AP7" t="s">
        <v>33083</v>
      </c>
      <c r="AQ7" t="s">
        <v>32894</v>
      </c>
      <c r="AS7" t="s">
        <v>12301</v>
      </c>
      <c r="AT7" t="s">
        <v>12302</v>
      </c>
      <c r="AV7" t="s">
        <v>35167</v>
      </c>
    </row>
    <row r="8" spans="1:48" ht="12" customHeight="1" x14ac:dyDescent="0.2">
      <c r="A8" t="s">
        <v>24</v>
      </c>
      <c r="H8" t="s">
        <v>92</v>
      </c>
      <c r="J8" t="s">
        <v>147</v>
      </c>
      <c r="K8" t="s">
        <v>148</v>
      </c>
      <c r="N8" t="s">
        <v>514</v>
      </c>
      <c r="O8">
        <v>726</v>
      </c>
      <c r="P8" t="s">
        <v>515</v>
      </c>
      <c r="AA8" t="s">
        <v>605</v>
      </c>
      <c r="AD8" t="s">
        <v>606</v>
      </c>
      <c r="AG8" t="s">
        <v>598</v>
      </c>
      <c r="AH8">
        <v>2301</v>
      </c>
      <c r="AJ8" t="s">
        <v>651</v>
      </c>
      <c r="AK8">
        <v>7</v>
      </c>
      <c r="AL8" t="s">
        <v>652</v>
      </c>
      <c r="AM8" t="str">
        <f t="shared" si="0"/>
        <v>Aalsmeerderbrug [NLAMB]</v>
      </c>
      <c r="AN8" t="s">
        <v>23018</v>
      </c>
      <c r="AO8" t="s">
        <v>23019</v>
      </c>
      <c r="AP8" t="s">
        <v>33084</v>
      </c>
      <c r="AQ8" t="s">
        <v>32892</v>
      </c>
      <c r="AS8" t="s">
        <v>12314</v>
      </c>
      <c r="AT8" t="s">
        <v>12315</v>
      </c>
      <c r="AV8" t="s">
        <v>35168</v>
      </c>
    </row>
    <row r="9" spans="1:48" ht="12" customHeight="1" x14ac:dyDescent="0.2">
      <c r="A9" t="s">
        <v>25</v>
      </c>
      <c r="H9" t="s">
        <v>93</v>
      </c>
      <c r="J9" t="s">
        <v>133</v>
      </c>
      <c r="K9" t="s">
        <v>134</v>
      </c>
      <c r="N9" t="s">
        <v>419</v>
      </c>
      <c r="O9">
        <v>513</v>
      </c>
      <c r="P9" t="s">
        <v>420</v>
      </c>
      <c r="AA9" t="s">
        <v>607</v>
      </c>
      <c r="AD9" t="s">
        <v>33314</v>
      </c>
      <c r="AG9" t="s">
        <v>600</v>
      </c>
      <c r="AH9">
        <v>2302</v>
      </c>
      <c r="AJ9" t="s">
        <v>653</v>
      </c>
      <c r="AK9">
        <v>8</v>
      </c>
      <c r="AL9" t="s">
        <v>654</v>
      </c>
      <c r="AM9" t="str">
        <f t="shared" si="0"/>
        <v>Aalst [BEAAB]</v>
      </c>
      <c r="AN9" t="s">
        <v>2208</v>
      </c>
      <c r="AO9" t="s">
        <v>2209</v>
      </c>
      <c r="AP9" t="s">
        <v>33085</v>
      </c>
      <c r="AQ9" t="s">
        <v>32895</v>
      </c>
      <c r="AS9" t="s">
        <v>12330</v>
      </c>
      <c r="AT9" t="s">
        <v>12331</v>
      </c>
      <c r="AV9" t="s">
        <v>35169</v>
      </c>
    </row>
    <row r="10" spans="1:48" ht="12" customHeight="1" x14ac:dyDescent="0.2">
      <c r="A10" t="s">
        <v>26</v>
      </c>
      <c r="H10" t="s">
        <v>94</v>
      </c>
      <c r="J10" t="s">
        <v>151</v>
      </c>
      <c r="K10" t="s">
        <v>152</v>
      </c>
      <c r="N10" t="s">
        <v>470</v>
      </c>
      <c r="O10">
        <v>57</v>
      </c>
      <c r="P10" t="s">
        <v>471</v>
      </c>
      <c r="AA10" t="s">
        <v>608</v>
      </c>
      <c r="AD10" t="s">
        <v>609</v>
      </c>
      <c r="AG10" t="s">
        <v>602</v>
      </c>
      <c r="AH10">
        <v>2303</v>
      </c>
      <c r="AJ10" t="s">
        <v>655</v>
      </c>
      <c r="AK10">
        <v>9</v>
      </c>
      <c r="AL10" t="s">
        <v>656</v>
      </c>
      <c r="AM10" t="str">
        <f t="shared" si="0"/>
        <v>Aalter [BEAAL]</v>
      </c>
      <c r="AN10" t="s">
        <v>2210</v>
      </c>
      <c r="AO10" t="s">
        <v>2211</v>
      </c>
      <c r="AP10" t="s">
        <v>33086</v>
      </c>
      <c r="AQ10" t="s">
        <v>32891</v>
      </c>
      <c r="AS10" t="s">
        <v>12332</v>
      </c>
      <c r="AT10" t="s">
        <v>12333</v>
      </c>
      <c r="AV10" t="s">
        <v>35170</v>
      </c>
    </row>
    <row r="11" spans="1:48" ht="12" customHeight="1" x14ac:dyDescent="0.2">
      <c r="A11" t="s">
        <v>27</v>
      </c>
      <c r="H11" t="s">
        <v>95</v>
      </c>
      <c r="J11" t="s">
        <v>155</v>
      </c>
      <c r="K11" t="s">
        <v>156</v>
      </c>
      <c r="N11" t="s">
        <v>409</v>
      </c>
      <c r="O11">
        <v>505</v>
      </c>
      <c r="P11" t="s">
        <v>410</v>
      </c>
      <c r="AA11" t="s">
        <v>610</v>
      </c>
      <c r="AD11" t="s">
        <v>611</v>
      </c>
      <c r="AG11" t="s">
        <v>603</v>
      </c>
      <c r="AH11">
        <v>2304</v>
      </c>
      <c r="AJ11" t="s">
        <v>657</v>
      </c>
      <c r="AK11">
        <v>10</v>
      </c>
      <c r="AL11" t="s">
        <v>658</v>
      </c>
      <c r="AM11" t="str">
        <f t="shared" si="0"/>
        <v>Aarhus [DKAAR]</v>
      </c>
      <c r="AN11" t="s">
        <v>8595</v>
      </c>
      <c r="AO11" t="s">
        <v>8596</v>
      </c>
      <c r="AP11" t="s">
        <v>33087</v>
      </c>
      <c r="AQ11" t="s">
        <v>32896</v>
      </c>
      <c r="AS11" t="s">
        <v>12336</v>
      </c>
      <c r="AT11" t="s">
        <v>33352</v>
      </c>
    </row>
    <row r="12" spans="1:48" ht="12" customHeight="1" x14ac:dyDescent="0.2">
      <c r="A12" t="s">
        <v>28</v>
      </c>
      <c r="H12" t="s">
        <v>96</v>
      </c>
      <c r="J12" t="s">
        <v>123</v>
      </c>
      <c r="K12" t="s">
        <v>124</v>
      </c>
      <c r="N12" t="s">
        <v>574</v>
      </c>
      <c r="O12">
        <v>92</v>
      </c>
      <c r="P12" t="s">
        <v>575</v>
      </c>
      <c r="AA12" t="s">
        <v>612</v>
      </c>
      <c r="AD12" t="s">
        <v>613</v>
      </c>
      <c r="AG12" t="s">
        <v>605</v>
      </c>
      <c r="AH12">
        <v>2305</v>
      </c>
      <c r="AJ12" t="s">
        <v>659</v>
      </c>
      <c r="AK12">
        <v>11</v>
      </c>
      <c r="AL12" t="s">
        <v>660</v>
      </c>
      <c r="AM12" t="str">
        <f t="shared" si="0"/>
        <v>Aarle Rixtel [NLARI]</v>
      </c>
      <c r="AN12" t="s">
        <v>33856</v>
      </c>
      <c r="AO12" t="s">
        <v>33978</v>
      </c>
      <c r="AP12" t="s">
        <v>33088</v>
      </c>
      <c r="AQ12" t="s">
        <v>28140</v>
      </c>
      <c r="AS12" t="s">
        <v>12338</v>
      </c>
      <c r="AT12" t="s">
        <v>1394</v>
      </c>
    </row>
    <row r="13" spans="1:48" ht="12" customHeight="1" x14ac:dyDescent="0.2">
      <c r="A13" t="s">
        <v>9</v>
      </c>
      <c r="H13" t="s">
        <v>97</v>
      </c>
      <c r="J13" t="s">
        <v>169</v>
      </c>
      <c r="K13" t="s">
        <v>170</v>
      </c>
      <c r="N13" t="s">
        <v>439</v>
      </c>
      <c r="O13">
        <v>523</v>
      </c>
      <c r="P13" t="s">
        <v>440</v>
      </c>
      <c r="AA13" t="s">
        <v>33320</v>
      </c>
      <c r="AD13" t="s">
        <v>614</v>
      </c>
      <c r="AG13" t="s">
        <v>607</v>
      </c>
      <c r="AH13">
        <v>2306</v>
      </c>
      <c r="AJ13" t="s">
        <v>661</v>
      </c>
      <c r="AK13">
        <v>12</v>
      </c>
      <c r="AL13" t="s">
        <v>662</v>
      </c>
      <c r="AM13" t="str">
        <f t="shared" si="0"/>
        <v>Aars [DKAZS]</v>
      </c>
      <c r="AN13" t="s">
        <v>36860</v>
      </c>
      <c r="AO13" t="s">
        <v>36861</v>
      </c>
      <c r="AP13" t="s">
        <v>33089</v>
      </c>
      <c r="AQ13" t="s">
        <v>2141</v>
      </c>
      <c r="AS13" t="s">
        <v>12339</v>
      </c>
      <c r="AT13" t="s">
        <v>32766</v>
      </c>
    </row>
    <row r="14" spans="1:48" ht="12" customHeight="1" x14ac:dyDescent="0.2">
      <c r="A14" t="s">
        <v>29</v>
      </c>
      <c r="H14" t="s">
        <v>98</v>
      </c>
      <c r="J14" t="s">
        <v>143</v>
      </c>
      <c r="K14" t="s">
        <v>144</v>
      </c>
      <c r="N14" t="s">
        <v>425</v>
      </c>
      <c r="O14">
        <v>516</v>
      </c>
      <c r="P14" t="s">
        <v>426</v>
      </c>
      <c r="AA14" t="s">
        <v>615</v>
      </c>
      <c r="AD14" t="s">
        <v>33319</v>
      </c>
      <c r="AG14" t="s">
        <v>608</v>
      </c>
      <c r="AH14">
        <v>2307</v>
      </c>
      <c r="AJ14" t="s">
        <v>663</v>
      </c>
      <c r="AK14">
        <v>13</v>
      </c>
      <c r="AL14" t="s">
        <v>664</v>
      </c>
      <c r="AM14" t="str">
        <f t="shared" si="0"/>
        <v>Aasgard [XZAAD]</v>
      </c>
      <c r="AN14" t="s">
        <v>32542</v>
      </c>
      <c r="AO14" t="s">
        <v>32543</v>
      </c>
      <c r="AP14" t="s">
        <v>33090</v>
      </c>
      <c r="AQ14" t="s">
        <v>32899</v>
      </c>
      <c r="AS14" t="s">
        <v>12343</v>
      </c>
      <c r="AT14" t="s">
        <v>12344</v>
      </c>
    </row>
    <row r="15" spans="1:48" ht="12" customHeight="1" x14ac:dyDescent="0.2">
      <c r="A15" t="s">
        <v>17</v>
      </c>
      <c r="H15" t="s">
        <v>99</v>
      </c>
      <c r="J15" t="s">
        <v>173</v>
      </c>
      <c r="K15" t="s">
        <v>174</v>
      </c>
      <c r="N15" t="s">
        <v>449</v>
      </c>
      <c r="O15">
        <v>532</v>
      </c>
      <c r="P15" t="s">
        <v>450</v>
      </c>
      <c r="AA15" t="s">
        <v>616</v>
      </c>
      <c r="AG15" t="s">
        <v>610</v>
      </c>
      <c r="AH15">
        <v>2308</v>
      </c>
      <c r="AJ15" t="s">
        <v>665</v>
      </c>
      <c r="AK15">
        <v>14</v>
      </c>
      <c r="AL15" t="s">
        <v>666</v>
      </c>
      <c r="AM15" t="str">
        <f t="shared" si="0"/>
        <v>Aasiaat (Egedesminde) [GLJEG]</v>
      </c>
      <c r="AN15" t="s">
        <v>14976</v>
      </c>
      <c r="AO15" t="s">
        <v>14977</v>
      </c>
      <c r="AP15" t="s">
        <v>122</v>
      </c>
      <c r="AQ15" t="s">
        <v>32898</v>
      </c>
      <c r="AS15" t="s">
        <v>12347</v>
      </c>
      <c r="AT15" t="s">
        <v>32767</v>
      </c>
    </row>
    <row r="16" spans="1:48" ht="12" customHeight="1" x14ac:dyDescent="0.2">
      <c r="A16" t="s">
        <v>30</v>
      </c>
      <c r="H16" t="s">
        <v>100</v>
      </c>
      <c r="J16" t="s">
        <v>139</v>
      </c>
      <c r="K16" t="s">
        <v>140</v>
      </c>
      <c r="N16" t="s">
        <v>451</v>
      </c>
      <c r="O16">
        <v>533</v>
      </c>
      <c r="P16" t="s">
        <v>452</v>
      </c>
      <c r="AA16" t="s">
        <v>33315</v>
      </c>
      <c r="AG16" t="s">
        <v>612</v>
      </c>
      <c r="AH16">
        <v>2309</v>
      </c>
      <c r="AJ16" t="s">
        <v>667</v>
      </c>
      <c r="AK16">
        <v>15</v>
      </c>
      <c r="AL16" t="s">
        <v>668</v>
      </c>
      <c r="AM16" t="str">
        <f t="shared" si="0"/>
        <v>Abadan [IRABD]</v>
      </c>
      <c r="AN16" t="s">
        <v>17590</v>
      </c>
      <c r="AO16" t="s">
        <v>17591</v>
      </c>
      <c r="AP16" t="s">
        <v>33091</v>
      </c>
      <c r="AQ16" t="s">
        <v>33247</v>
      </c>
      <c r="AS16" t="s">
        <v>12353</v>
      </c>
      <c r="AT16" t="s">
        <v>32768</v>
      </c>
    </row>
    <row r="17" spans="1:46" ht="12" customHeight="1" x14ac:dyDescent="0.2">
      <c r="A17" t="s">
        <v>31</v>
      </c>
      <c r="H17" t="s">
        <v>101</v>
      </c>
      <c r="J17" t="s">
        <v>129</v>
      </c>
      <c r="K17" t="s">
        <v>130</v>
      </c>
      <c r="N17" t="s">
        <v>538</v>
      </c>
      <c r="O17">
        <v>762</v>
      </c>
      <c r="P17" t="s">
        <v>539</v>
      </c>
      <c r="AG17" t="s">
        <v>33320</v>
      </c>
      <c r="AH17">
        <v>2310</v>
      </c>
      <c r="AM17" t="str">
        <f t="shared" si="0"/>
        <v>Abaete [BRABT]</v>
      </c>
      <c r="AN17" t="s">
        <v>3248</v>
      </c>
      <c r="AO17" t="s">
        <v>35287</v>
      </c>
      <c r="AP17" t="s">
        <v>158</v>
      </c>
      <c r="AQ17" t="s">
        <v>32911</v>
      </c>
      <c r="AS17" t="s">
        <v>12369</v>
      </c>
      <c r="AT17" t="s">
        <v>32769</v>
      </c>
    </row>
    <row r="18" spans="1:46" ht="12" customHeight="1" x14ac:dyDescent="0.2">
      <c r="A18" t="s">
        <v>32</v>
      </c>
      <c r="H18" t="s">
        <v>102</v>
      </c>
      <c r="J18" t="s">
        <v>167</v>
      </c>
      <c r="K18" t="s">
        <v>168</v>
      </c>
      <c r="N18" t="s">
        <v>443</v>
      </c>
      <c r="O18">
        <v>525</v>
      </c>
      <c r="P18" t="s">
        <v>444</v>
      </c>
      <c r="AG18" t="s">
        <v>615</v>
      </c>
      <c r="AH18">
        <v>2311</v>
      </c>
      <c r="AM18" t="str">
        <f t="shared" si="0"/>
        <v>Abaetetuba [BRATB]</v>
      </c>
      <c r="AN18" t="s">
        <v>3249</v>
      </c>
      <c r="AO18" t="s">
        <v>3250</v>
      </c>
      <c r="AP18" t="s">
        <v>138</v>
      </c>
      <c r="AQ18" t="s">
        <v>32905</v>
      </c>
      <c r="AS18" t="s">
        <v>12373</v>
      </c>
      <c r="AT18" t="s">
        <v>12374</v>
      </c>
    </row>
    <row r="19" spans="1:46" ht="12" customHeight="1" x14ac:dyDescent="0.2">
      <c r="A19" t="s">
        <v>33</v>
      </c>
      <c r="H19" t="s">
        <v>103</v>
      </c>
      <c r="J19" t="s">
        <v>125</v>
      </c>
      <c r="K19" t="s">
        <v>126</v>
      </c>
      <c r="N19" t="s">
        <v>568</v>
      </c>
      <c r="O19">
        <v>89</v>
      </c>
      <c r="P19" t="s">
        <v>569</v>
      </c>
      <c r="AG19" t="s">
        <v>616</v>
      </c>
      <c r="AH19">
        <v>2312</v>
      </c>
      <c r="AM19" t="str">
        <f t="shared" si="0"/>
        <v>Abaja Sadam [EEABJ]</v>
      </c>
      <c r="AN19" t="s">
        <v>34922</v>
      </c>
      <c r="AO19" t="s">
        <v>34923</v>
      </c>
      <c r="AP19" t="s">
        <v>130</v>
      </c>
      <c r="AQ19" t="s">
        <v>32901</v>
      </c>
      <c r="AS19" t="s">
        <v>12379</v>
      </c>
      <c r="AT19" t="s">
        <v>12380</v>
      </c>
    </row>
    <row r="20" spans="1:46" ht="12" customHeight="1" x14ac:dyDescent="0.2">
      <c r="A20" t="s">
        <v>34</v>
      </c>
      <c r="H20" t="s">
        <v>104</v>
      </c>
      <c r="J20" t="s">
        <v>159</v>
      </c>
      <c r="K20" t="s">
        <v>160</v>
      </c>
      <c r="N20" t="s">
        <v>566</v>
      </c>
      <c r="O20">
        <v>85</v>
      </c>
      <c r="P20" t="s">
        <v>567</v>
      </c>
      <c r="AG20" t="s">
        <v>33315</v>
      </c>
      <c r="AH20">
        <v>2300</v>
      </c>
      <c r="AM20" t="str">
        <f t="shared" si="0"/>
        <v>Abangares [CRABG]</v>
      </c>
      <c r="AN20" t="s">
        <v>6554</v>
      </c>
      <c r="AO20" t="s">
        <v>6555</v>
      </c>
      <c r="AP20" t="s">
        <v>126</v>
      </c>
      <c r="AQ20" t="s">
        <v>32900</v>
      </c>
      <c r="AS20" t="s">
        <v>12387</v>
      </c>
      <c r="AT20" t="s">
        <v>32770</v>
      </c>
    </row>
    <row r="21" spans="1:46" ht="12" customHeight="1" x14ac:dyDescent="0.2">
      <c r="A21" t="s">
        <v>35</v>
      </c>
      <c r="H21" t="s">
        <v>105</v>
      </c>
      <c r="J21" t="s">
        <v>157</v>
      </c>
      <c r="K21" t="s">
        <v>158</v>
      </c>
      <c r="N21" t="s">
        <v>552</v>
      </c>
      <c r="O21">
        <v>781</v>
      </c>
      <c r="P21" t="s">
        <v>553</v>
      </c>
      <c r="AG21" t="s">
        <v>591</v>
      </c>
      <c r="AH21">
        <v>3000</v>
      </c>
      <c r="AM21" t="str">
        <f t="shared" si="0"/>
        <v>Abanto [ESABH]</v>
      </c>
      <c r="AN21" t="s">
        <v>9554</v>
      </c>
      <c r="AO21" t="s">
        <v>9555</v>
      </c>
      <c r="AP21" t="s">
        <v>168</v>
      </c>
      <c r="AQ21" t="s">
        <v>32914</v>
      </c>
      <c r="AS21" t="s">
        <v>12405</v>
      </c>
      <c r="AT21" t="s">
        <v>12406</v>
      </c>
    </row>
    <row r="22" spans="1:46" ht="12" customHeight="1" x14ac:dyDescent="0.2">
      <c r="A22" t="s">
        <v>36</v>
      </c>
      <c r="H22" t="s">
        <v>106</v>
      </c>
      <c r="J22" t="s">
        <v>149</v>
      </c>
      <c r="K22" t="s">
        <v>150</v>
      </c>
      <c r="N22" t="s">
        <v>447</v>
      </c>
      <c r="O22">
        <v>531</v>
      </c>
      <c r="P22" t="s">
        <v>448</v>
      </c>
      <c r="AG22" t="s">
        <v>33312</v>
      </c>
      <c r="AH22">
        <v>4000</v>
      </c>
      <c r="AM22" t="str">
        <f t="shared" si="0"/>
        <v>Abashiri [JPABA]</v>
      </c>
      <c r="AN22" t="s">
        <v>18465</v>
      </c>
      <c r="AO22" t="s">
        <v>18466</v>
      </c>
      <c r="AP22" t="s">
        <v>132</v>
      </c>
      <c r="AQ22" t="s">
        <v>32902</v>
      </c>
      <c r="AS22" t="s">
        <v>12413</v>
      </c>
      <c r="AT22" t="s">
        <v>32771</v>
      </c>
    </row>
    <row r="23" spans="1:46" ht="12" customHeight="1" x14ac:dyDescent="0.2">
      <c r="A23" t="s">
        <v>37</v>
      </c>
      <c r="H23" t="s">
        <v>107</v>
      </c>
      <c r="J23" t="s">
        <v>163</v>
      </c>
      <c r="K23" t="s">
        <v>164</v>
      </c>
      <c r="N23" t="s">
        <v>474</v>
      </c>
      <c r="O23">
        <v>591</v>
      </c>
      <c r="P23" t="s">
        <v>475</v>
      </c>
      <c r="AG23" t="s">
        <v>595</v>
      </c>
      <c r="AH23">
        <v>4101</v>
      </c>
      <c r="AM23" t="str">
        <f t="shared" si="0"/>
        <v>Abau [PGABW]</v>
      </c>
      <c r="AN23" t="s">
        <v>25344</v>
      </c>
      <c r="AO23" t="s">
        <v>25345</v>
      </c>
      <c r="AP23" t="s">
        <v>170</v>
      </c>
      <c r="AQ23" t="s">
        <v>32915</v>
      </c>
      <c r="AS23" t="s">
        <v>12415</v>
      </c>
      <c r="AT23" t="s">
        <v>32772</v>
      </c>
    </row>
    <row r="24" spans="1:46" ht="12" customHeight="1" x14ac:dyDescent="0.2">
      <c r="A24" t="s">
        <v>38</v>
      </c>
      <c r="H24" t="s">
        <v>32874</v>
      </c>
      <c r="J24" t="s">
        <v>153</v>
      </c>
      <c r="K24" t="s">
        <v>154</v>
      </c>
      <c r="N24" t="s">
        <v>530</v>
      </c>
      <c r="O24">
        <v>752</v>
      </c>
      <c r="P24" t="s">
        <v>531</v>
      </c>
      <c r="AG24" t="s">
        <v>33317</v>
      </c>
      <c r="AH24">
        <v>4100</v>
      </c>
      <c r="AM24" t="str">
        <f t="shared" si="0"/>
        <v>Abbehausen [DEABH]</v>
      </c>
      <c r="AN24" t="s">
        <v>6969</v>
      </c>
      <c r="AO24" t="s">
        <v>6970</v>
      </c>
      <c r="AP24" t="s">
        <v>142</v>
      </c>
      <c r="AQ24" t="s">
        <v>32907</v>
      </c>
      <c r="AS24" t="s">
        <v>12424</v>
      </c>
      <c r="AT24" t="s">
        <v>32773</v>
      </c>
    </row>
    <row r="25" spans="1:46" ht="12" customHeight="1" x14ac:dyDescent="0.2">
      <c r="A25" t="s">
        <v>39</v>
      </c>
      <c r="H25" t="s">
        <v>108</v>
      </c>
      <c r="J25" t="s">
        <v>127</v>
      </c>
      <c r="K25" t="s">
        <v>128</v>
      </c>
      <c r="N25" t="s">
        <v>554</v>
      </c>
      <c r="O25">
        <v>782</v>
      </c>
      <c r="P25" t="s">
        <v>555</v>
      </c>
      <c r="AG25" t="s">
        <v>33313</v>
      </c>
      <c r="AH25">
        <v>5000</v>
      </c>
      <c r="AM25" t="str">
        <f t="shared" si="0"/>
        <v>Abbenfleth [DEABF]</v>
      </c>
      <c r="AN25" t="s">
        <v>6971</v>
      </c>
      <c r="AO25" t="s">
        <v>6972</v>
      </c>
      <c r="AP25" t="s">
        <v>33092</v>
      </c>
      <c r="AQ25" t="s">
        <v>32908</v>
      </c>
      <c r="AS25" t="s">
        <v>12433</v>
      </c>
      <c r="AT25" t="s">
        <v>32774</v>
      </c>
    </row>
    <row r="26" spans="1:46" ht="12" customHeight="1" x14ac:dyDescent="0.2">
      <c r="A26" t="s">
        <v>40</v>
      </c>
      <c r="H26" t="s">
        <v>109</v>
      </c>
      <c r="J26" t="s">
        <v>165</v>
      </c>
      <c r="K26" t="s">
        <v>166</v>
      </c>
      <c r="N26" t="s">
        <v>524</v>
      </c>
      <c r="O26">
        <v>74</v>
      </c>
      <c r="P26" t="s">
        <v>525</v>
      </c>
      <c r="AG26" t="s">
        <v>596</v>
      </c>
      <c r="AH26">
        <v>5101</v>
      </c>
      <c r="AM26" t="str">
        <f t="shared" si="0"/>
        <v>Abbesbuttel [DEABL]</v>
      </c>
      <c r="AN26" t="s">
        <v>6973</v>
      </c>
      <c r="AO26" t="s">
        <v>35410</v>
      </c>
      <c r="AP26" t="s">
        <v>160</v>
      </c>
      <c r="AQ26" t="s">
        <v>32912</v>
      </c>
      <c r="AS26" t="s">
        <v>12453</v>
      </c>
      <c r="AT26" t="s">
        <v>12454</v>
      </c>
    </row>
    <row r="27" spans="1:46" ht="12" customHeight="1" x14ac:dyDescent="0.2">
      <c r="A27" t="s">
        <v>41</v>
      </c>
      <c r="J27" t="s">
        <v>141</v>
      </c>
      <c r="K27" t="s">
        <v>142</v>
      </c>
      <c r="N27" t="s">
        <v>435</v>
      </c>
      <c r="O27">
        <v>521</v>
      </c>
      <c r="P27" t="s">
        <v>436</v>
      </c>
      <c r="AG27" t="s">
        <v>599</v>
      </c>
      <c r="AH27">
        <v>5102</v>
      </c>
      <c r="AM27" t="str">
        <f t="shared" si="0"/>
        <v>Abbeville [FRABB]</v>
      </c>
      <c r="AN27" t="s">
        <v>10708</v>
      </c>
      <c r="AO27" t="s">
        <v>10709</v>
      </c>
      <c r="AP27" t="s">
        <v>150</v>
      </c>
      <c r="AQ27" t="s">
        <v>33248</v>
      </c>
      <c r="AS27" t="s">
        <v>12459</v>
      </c>
      <c r="AT27" t="s">
        <v>32775</v>
      </c>
    </row>
    <row r="28" spans="1:46" ht="12" customHeight="1" x14ac:dyDescent="0.2">
      <c r="J28" t="s">
        <v>369</v>
      </c>
      <c r="K28" t="s">
        <v>370</v>
      </c>
      <c r="N28" t="s">
        <v>532</v>
      </c>
      <c r="O28">
        <v>753</v>
      </c>
      <c r="P28" t="s">
        <v>533</v>
      </c>
      <c r="AG28" t="s">
        <v>601</v>
      </c>
      <c r="AH28">
        <v>5103</v>
      </c>
      <c r="AM28" t="str">
        <f t="shared" si="0"/>
        <v>Abbot Point [AUABP]</v>
      </c>
      <c r="AN28" t="s">
        <v>1377</v>
      </c>
      <c r="AO28" t="s">
        <v>1378</v>
      </c>
      <c r="AP28" t="s">
        <v>154</v>
      </c>
      <c r="AQ28" t="s">
        <v>33249</v>
      </c>
      <c r="AS28" t="s">
        <v>12461</v>
      </c>
      <c r="AT28" t="s">
        <v>32776</v>
      </c>
    </row>
    <row r="29" spans="1:46" ht="12" customHeight="1" x14ac:dyDescent="0.2">
      <c r="J29" t="s">
        <v>379</v>
      </c>
      <c r="K29" t="s">
        <v>380</v>
      </c>
      <c r="N29" t="s">
        <v>570</v>
      </c>
      <c r="O29">
        <v>90</v>
      </c>
      <c r="P29" t="s">
        <v>571</v>
      </c>
      <c r="AG29" t="s">
        <v>33318</v>
      </c>
      <c r="AH29">
        <v>5100</v>
      </c>
      <c r="AM29" t="str">
        <f t="shared" si="0"/>
        <v>Abbotsbury [GBAOT]</v>
      </c>
      <c r="AN29" t="s">
        <v>12247</v>
      </c>
      <c r="AO29" t="s">
        <v>12248</v>
      </c>
      <c r="AP29" t="s">
        <v>124</v>
      </c>
      <c r="AQ29" t="s">
        <v>33250</v>
      </c>
      <c r="AS29" t="s">
        <v>12479</v>
      </c>
      <c r="AT29" t="s">
        <v>12480</v>
      </c>
    </row>
    <row r="30" spans="1:46" ht="12" customHeight="1" x14ac:dyDescent="0.2">
      <c r="J30" t="s">
        <v>373</v>
      </c>
      <c r="K30" t="s">
        <v>374</v>
      </c>
      <c r="N30" t="s">
        <v>476</v>
      </c>
      <c r="O30">
        <v>592</v>
      </c>
      <c r="P30" t="s">
        <v>477</v>
      </c>
      <c r="AG30" t="s">
        <v>604</v>
      </c>
      <c r="AH30">
        <v>5201</v>
      </c>
      <c r="AM30" t="str">
        <f t="shared" si="0"/>
        <v>Abbotsley [GBAOL]</v>
      </c>
      <c r="AN30" t="s">
        <v>12249</v>
      </c>
      <c r="AO30" t="s">
        <v>34924</v>
      </c>
      <c r="AP30" t="s">
        <v>33093</v>
      </c>
      <c r="AQ30" t="s">
        <v>32672</v>
      </c>
      <c r="AS30" t="s">
        <v>12493</v>
      </c>
      <c r="AT30" t="s">
        <v>8976</v>
      </c>
    </row>
    <row r="31" spans="1:46" ht="12" customHeight="1" x14ac:dyDescent="0.2">
      <c r="J31" t="s">
        <v>383</v>
      </c>
      <c r="K31" t="s">
        <v>384</v>
      </c>
      <c r="N31" t="s">
        <v>536</v>
      </c>
      <c r="O31">
        <v>761</v>
      </c>
      <c r="P31" t="s">
        <v>537</v>
      </c>
      <c r="AG31" t="s">
        <v>606</v>
      </c>
      <c r="AH31">
        <v>5202</v>
      </c>
      <c r="AM31" t="str">
        <f t="shared" si="0"/>
        <v>Abbottstown [USAQW]</v>
      </c>
      <c r="AN31" t="s">
        <v>28785</v>
      </c>
      <c r="AO31" t="s">
        <v>28786</v>
      </c>
      <c r="AP31" t="s">
        <v>164</v>
      </c>
      <c r="AQ31" t="s">
        <v>32913</v>
      </c>
      <c r="AS31" t="s">
        <v>12496</v>
      </c>
      <c r="AT31" t="s">
        <v>32777</v>
      </c>
    </row>
    <row r="32" spans="1:46" ht="12" customHeight="1" x14ac:dyDescent="0.2">
      <c r="J32" t="s">
        <v>381</v>
      </c>
      <c r="K32" t="s">
        <v>382</v>
      </c>
      <c r="N32" t="s">
        <v>526</v>
      </c>
      <c r="O32">
        <v>75</v>
      </c>
      <c r="P32" t="s">
        <v>527</v>
      </c>
      <c r="AG32" t="s">
        <v>33314</v>
      </c>
      <c r="AH32">
        <v>5200</v>
      </c>
      <c r="AM32" t="str">
        <f t="shared" si="0"/>
        <v>Abelardo Luz [BRADL]</v>
      </c>
      <c r="AN32" t="s">
        <v>3251</v>
      </c>
      <c r="AO32" t="s">
        <v>3252</v>
      </c>
      <c r="AP32" t="s">
        <v>156</v>
      </c>
      <c r="AQ32" t="s">
        <v>32910</v>
      </c>
      <c r="AS32" t="s">
        <v>12508</v>
      </c>
      <c r="AT32" t="s">
        <v>32778</v>
      </c>
    </row>
    <row r="33" spans="10:46" ht="12" customHeight="1" x14ac:dyDescent="0.2">
      <c r="J33" t="s">
        <v>375</v>
      </c>
      <c r="K33" t="s">
        <v>376</v>
      </c>
      <c r="N33" t="s">
        <v>415</v>
      </c>
      <c r="O33">
        <v>511</v>
      </c>
      <c r="P33" t="s">
        <v>416</v>
      </c>
      <c r="AG33" t="s">
        <v>609</v>
      </c>
      <c r="AH33">
        <v>5301</v>
      </c>
      <c r="AM33" t="str">
        <f t="shared" si="0"/>
        <v>Abell Point [AUALP]</v>
      </c>
      <c r="AN33" t="s">
        <v>1379</v>
      </c>
      <c r="AO33" t="s">
        <v>1380</v>
      </c>
      <c r="AP33" t="s">
        <v>33094</v>
      </c>
      <c r="AQ33" t="s">
        <v>32966</v>
      </c>
      <c r="AS33" t="s">
        <v>12516</v>
      </c>
      <c r="AT33" t="s">
        <v>12517</v>
      </c>
    </row>
    <row r="34" spans="10:46" ht="12" customHeight="1" x14ac:dyDescent="0.2">
      <c r="J34" t="s">
        <v>137</v>
      </c>
      <c r="K34" t="s">
        <v>138</v>
      </c>
      <c r="N34" t="s">
        <v>400</v>
      </c>
      <c r="O34">
        <v>50</v>
      </c>
      <c r="P34" t="s">
        <v>401</v>
      </c>
      <c r="AG34" t="s">
        <v>611</v>
      </c>
      <c r="AH34">
        <v>5302</v>
      </c>
      <c r="AM34" t="str">
        <f t="shared" si="0"/>
        <v>Abelnes [NOABE]</v>
      </c>
      <c r="AN34" t="s">
        <v>23819</v>
      </c>
      <c r="AO34" t="s">
        <v>23820</v>
      </c>
      <c r="AP34" t="s">
        <v>148</v>
      </c>
      <c r="AQ34" t="s">
        <v>32909</v>
      </c>
      <c r="AS34" t="s">
        <v>12526</v>
      </c>
      <c r="AT34" t="s">
        <v>12527</v>
      </c>
    </row>
    <row r="35" spans="10:46" ht="12" customHeight="1" x14ac:dyDescent="0.2">
      <c r="J35" t="s">
        <v>131</v>
      </c>
      <c r="K35" t="s">
        <v>132</v>
      </c>
      <c r="N35" t="s">
        <v>402</v>
      </c>
      <c r="O35">
        <v>501</v>
      </c>
      <c r="P35" t="s">
        <v>403</v>
      </c>
      <c r="AG35" t="s">
        <v>613</v>
      </c>
      <c r="AH35">
        <v>5303</v>
      </c>
      <c r="AM35" t="str">
        <f t="shared" si="0"/>
        <v>Abelvar [NOABV]</v>
      </c>
      <c r="AN35" t="s">
        <v>23821</v>
      </c>
      <c r="AO35" t="s">
        <v>36112</v>
      </c>
      <c r="AP35" t="s">
        <v>136</v>
      </c>
      <c r="AQ35" t="s">
        <v>32904</v>
      </c>
      <c r="AS35" t="s">
        <v>12546</v>
      </c>
      <c r="AT35" t="s">
        <v>12547</v>
      </c>
    </row>
    <row r="36" spans="10:46" ht="12" customHeight="1" x14ac:dyDescent="0.2">
      <c r="J36" t="s">
        <v>161</v>
      </c>
      <c r="K36" t="s">
        <v>162</v>
      </c>
      <c r="N36" t="s">
        <v>441</v>
      </c>
      <c r="O36">
        <v>524</v>
      </c>
      <c r="P36" t="s">
        <v>442</v>
      </c>
      <c r="AG36" t="s">
        <v>614</v>
      </c>
      <c r="AH36">
        <v>5304</v>
      </c>
      <c r="AM36" t="str">
        <f t="shared" si="0"/>
        <v>Abenberg [DEABR]</v>
      </c>
      <c r="AN36" t="s">
        <v>6974</v>
      </c>
      <c r="AO36" t="s">
        <v>6975</v>
      </c>
      <c r="AP36" t="s">
        <v>134</v>
      </c>
      <c r="AQ36" t="s">
        <v>32903</v>
      </c>
      <c r="AS36" t="s">
        <v>12552</v>
      </c>
      <c r="AT36" t="s">
        <v>12553</v>
      </c>
    </row>
    <row r="37" spans="10:46" ht="12" customHeight="1" x14ac:dyDescent="0.2">
      <c r="J37" t="s">
        <v>181</v>
      </c>
      <c r="K37" t="s">
        <v>182</v>
      </c>
      <c r="N37" t="s">
        <v>429</v>
      </c>
      <c r="O37">
        <v>518</v>
      </c>
      <c r="P37" t="s">
        <v>430</v>
      </c>
      <c r="AG37" t="s">
        <v>33319</v>
      </c>
      <c r="AH37">
        <v>5300</v>
      </c>
      <c r="AM37" t="str">
        <f t="shared" si="0"/>
        <v>Abenra [DKAAB]</v>
      </c>
      <c r="AN37" t="s">
        <v>8597</v>
      </c>
      <c r="AO37" t="s">
        <v>35517</v>
      </c>
      <c r="AP37" t="s">
        <v>140</v>
      </c>
      <c r="AQ37" t="s">
        <v>32906</v>
      </c>
      <c r="AS37" t="s">
        <v>12579</v>
      </c>
      <c r="AT37" t="s">
        <v>12580</v>
      </c>
    </row>
    <row r="38" spans="10:46" ht="12" customHeight="1" x14ac:dyDescent="0.2">
      <c r="J38" t="s">
        <v>207</v>
      </c>
      <c r="K38" t="s">
        <v>208</v>
      </c>
      <c r="N38" t="s">
        <v>496</v>
      </c>
      <c r="O38">
        <v>607</v>
      </c>
      <c r="P38" t="s">
        <v>497</v>
      </c>
      <c r="AM38" t="str">
        <f t="shared" si="0"/>
        <v>Aber Soch (Abersoch) [GBABS]</v>
      </c>
      <c r="AN38" t="s">
        <v>12250</v>
      </c>
      <c r="AO38" t="s">
        <v>35864</v>
      </c>
      <c r="AP38" t="s">
        <v>33095</v>
      </c>
      <c r="AQ38" t="s">
        <v>32974</v>
      </c>
      <c r="AS38" t="s">
        <v>12585</v>
      </c>
      <c r="AT38" t="s">
        <v>12586</v>
      </c>
    </row>
    <row r="39" spans="10:46" ht="12" customHeight="1" x14ac:dyDescent="0.2">
      <c r="J39" t="s">
        <v>171</v>
      </c>
      <c r="K39" t="s">
        <v>172</v>
      </c>
      <c r="N39" t="s">
        <v>572</v>
      </c>
      <c r="O39">
        <v>91</v>
      </c>
      <c r="P39" t="s">
        <v>573</v>
      </c>
      <c r="AM39" t="str">
        <f t="shared" si="0"/>
        <v>Aberaeron [GBABA]</v>
      </c>
      <c r="AN39" t="s">
        <v>12251</v>
      </c>
      <c r="AO39" t="s">
        <v>12252</v>
      </c>
      <c r="AP39" t="s">
        <v>33096</v>
      </c>
      <c r="AQ39" t="s">
        <v>32923</v>
      </c>
      <c r="AS39" t="s">
        <v>12599</v>
      </c>
      <c r="AT39" t="s">
        <v>12600</v>
      </c>
    </row>
    <row r="40" spans="10:46" ht="12" customHeight="1" x14ac:dyDescent="0.2">
      <c r="J40" t="s">
        <v>185</v>
      </c>
      <c r="K40" t="s">
        <v>186</v>
      </c>
      <c r="N40" t="s">
        <v>518</v>
      </c>
      <c r="O40">
        <v>728</v>
      </c>
      <c r="P40" t="s">
        <v>519</v>
      </c>
      <c r="AM40" t="str">
        <f t="shared" si="0"/>
        <v>Abercastle [GBARC]</v>
      </c>
      <c r="AN40" t="s">
        <v>12253</v>
      </c>
      <c r="AO40" t="s">
        <v>12254</v>
      </c>
      <c r="AP40" t="s">
        <v>172</v>
      </c>
      <c r="AQ40" t="s">
        <v>32916</v>
      </c>
      <c r="AS40" t="s">
        <v>12621</v>
      </c>
      <c r="AT40" t="s">
        <v>12622</v>
      </c>
    </row>
    <row r="41" spans="10:46" ht="12" customHeight="1" x14ac:dyDescent="0.2">
      <c r="J41" t="s">
        <v>211</v>
      </c>
      <c r="K41" t="s">
        <v>212</v>
      </c>
      <c r="N41" t="s">
        <v>427</v>
      </c>
      <c r="O41">
        <v>517</v>
      </c>
      <c r="P41" t="s">
        <v>428</v>
      </c>
      <c r="AM41" t="str">
        <f t="shared" si="0"/>
        <v>Aberdaron [GBADR]</v>
      </c>
      <c r="AN41" t="s">
        <v>12255</v>
      </c>
      <c r="AO41" t="s">
        <v>12256</v>
      </c>
      <c r="AP41" t="s">
        <v>206</v>
      </c>
      <c r="AQ41" t="s">
        <v>32927</v>
      </c>
      <c r="AS41" t="s">
        <v>12631</v>
      </c>
      <c r="AT41" t="s">
        <v>12632</v>
      </c>
    </row>
    <row r="42" spans="10:46" ht="12" customHeight="1" x14ac:dyDescent="0.2">
      <c r="J42" t="s">
        <v>193</v>
      </c>
      <c r="K42" t="s">
        <v>194</v>
      </c>
      <c r="N42" t="s">
        <v>455</v>
      </c>
      <c r="O42">
        <v>54</v>
      </c>
      <c r="P42" t="s">
        <v>456</v>
      </c>
      <c r="AM42" t="str">
        <f t="shared" si="0"/>
        <v>Aberdeen [GBABD]</v>
      </c>
      <c r="AN42" t="s">
        <v>12257</v>
      </c>
      <c r="AO42" t="s">
        <v>12258</v>
      </c>
      <c r="AP42" t="s">
        <v>33097</v>
      </c>
      <c r="AQ42" t="s">
        <v>32977</v>
      </c>
      <c r="AS42" t="s">
        <v>12635</v>
      </c>
      <c r="AT42" t="s">
        <v>12636</v>
      </c>
    </row>
    <row r="43" spans="10:46" ht="12" customHeight="1" x14ac:dyDescent="0.2">
      <c r="J43" t="s">
        <v>195</v>
      </c>
      <c r="K43" t="s">
        <v>196</v>
      </c>
      <c r="N43" t="s">
        <v>421</v>
      </c>
      <c r="O43">
        <v>514</v>
      </c>
      <c r="P43" t="s">
        <v>422</v>
      </c>
      <c r="AM43" t="str">
        <f t="shared" si="0"/>
        <v>Aberdeen [HKABD]</v>
      </c>
      <c r="AN43" t="s">
        <v>15643</v>
      </c>
      <c r="AO43" t="s">
        <v>12258</v>
      </c>
      <c r="AP43" t="s">
        <v>180</v>
      </c>
      <c r="AQ43" t="s">
        <v>32918</v>
      </c>
      <c r="AS43" t="s">
        <v>12641</v>
      </c>
      <c r="AT43" t="s">
        <v>12642</v>
      </c>
    </row>
    <row r="44" spans="10:46" ht="12" customHeight="1" x14ac:dyDescent="0.2">
      <c r="J44" t="s">
        <v>201</v>
      </c>
      <c r="K44" t="s">
        <v>202</v>
      </c>
      <c r="N44" t="s">
        <v>459</v>
      </c>
      <c r="O44">
        <v>542</v>
      </c>
      <c r="P44" t="s">
        <v>460</v>
      </c>
      <c r="AM44" t="str">
        <f t="shared" si="0"/>
        <v>Aberdeen [USAEK]</v>
      </c>
      <c r="AN44" t="s">
        <v>28787</v>
      </c>
      <c r="AO44" t="s">
        <v>12258</v>
      </c>
      <c r="AP44" t="s">
        <v>349</v>
      </c>
      <c r="AQ44" t="s">
        <v>33040</v>
      </c>
      <c r="AS44" t="s">
        <v>12651</v>
      </c>
      <c r="AT44" t="s">
        <v>32779</v>
      </c>
    </row>
    <row r="45" spans="10:46" ht="12" customHeight="1" x14ac:dyDescent="0.2">
      <c r="J45" t="s">
        <v>199</v>
      </c>
      <c r="K45" t="s">
        <v>200</v>
      </c>
      <c r="N45" t="s">
        <v>461</v>
      </c>
      <c r="O45">
        <v>543</v>
      </c>
      <c r="P45" t="s">
        <v>577</v>
      </c>
      <c r="AM45" t="str">
        <f t="shared" si="0"/>
        <v>Aberdeen [USAB3]</v>
      </c>
      <c r="AN45" t="s">
        <v>28788</v>
      </c>
      <c r="AO45" t="s">
        <v>12258</v>
      </c>
      <c r="AP45" t="s">
        <v>192</v>
      </c>
      <c r="AQ45" t="s">
        <v>32922</v>
      </c>
      <c r="AS45" t="s">
        <v>12653</v>
      </c>
      <c r="AT45" t="s">
        <v>12654</v>
      </c>
    </row>
    <row r="46" spans="10:46" ht="12" customHeight="1" x14ac:dyDescent="0.2">
      <c r="J46" t="s">
        <v>189</v>
      </c>
      <c r="K46" t="s">
        <v>190</v>
      </c>
      <c r="N46" t="s">
        <v>457</v>
      </c>
      <c r="O46">
        <v>541</v>
      </c>
      <c r="P46" t="s">
        <v>458</v>
      </c>
      <c r="AM46" t="str">
        <f t="shared" si="0"/>
        <v>Aberdour [GBAYD]</v>
      </c>
      <c r="AN46" t="s">
        <v>12259</v>
      </c>
      <c r="AO46" t="s">
        <v>12260</v>
      </c>
      <c r="AP46" t="s">
        <v>33098</v>
      </c>
      <c r="AQ46" t="s">
        <v>18685</v>
      </c>
      <c r="AS46" t="s">
        <v>12663</v>
      </c>
      <c r="AT46" t="s">
        <v>32780</v>
      </c>
    </row>
    <row r="47" spans="10:46" ht="12" customHeight="1" x14ac:dyDescent="0.2">
      <c r="J47" t="s">
        <v>183</v>
      </c>
      <c r="K47" t="s">
        <v>184</v>
      </c>
      <c r="N47" t="s">
        <v>466</v>
      </c>
      <c r="O47">
        <v>552</v>
      </c>
      <c r="P47" t="s">
        <v>467</v>
      </c>
      <c r="AM47" t="str">
        <f t="shared" si="0"/>
        <v>Aberdovey [GBABV]</v>
      </c>
      <c r="AN47" t="s">
        <v>12261</v>
      </c>
      <c r="AO47" t="s">
        <v>12262</v>
      </c>
      <c r="AP47" t="s">
        <v>208</v>
      </c>
      <c r="AQ47" t="s">
        <v>32928</v>
      </c>
      <c r="AS47" t="s">
        <v>12665</v>
      </c>
      <c r="AT47" t="s">
        <v>12666</v>
      </c>
    </row>
    <row r="48" spans="10:46" ht="12" customHeight="1" x14ac:dyDescent="0.2">
      <c r="J48" t="s">
        <v>175</v>
      </c>
      <c r="K48" t="s">
        <v>176</v>
      </c>
      <c r="N48" t="s">
        <v>548</v>
      </c>
      <c r="O48">
        <v>77</v>
      </c>
      <c r="P48" t="s">
        <v>549</v>
      </c>
      <c r="AM48" t="str">
        <f t="shared" si="0"/>
        <v>Aberdyfi (Aberdovey) [GBABF]</v>
      </c>
      <c r="AN48" t="s">
        <v>12263</v>
      </c>
      <c r="AO48" t="s">
        <v>12264</v>
      </c>
      <c r="AP48" t="s">
        <v>176</v>
      </c>
      <c r="AQ48" t="s">
        <v>32917</v>
      </c>
      <c r="AS48" t="s">
        <v>12678</v>
      </c>
      <c r="AT48" t="s">
        <v>12679</v>
      </c>
    </row>
    <row r="49" spans="10:46" ht="12" customHeight="1" x14ac:dyDescent="0.2">
      <c r="J49" t="s">
        <v>179</v>
      </c>
      <c r="K49" t="s">
        <v>180</v>
      </c>
      <c r="N49" t="s">
        <v>508</v>
      </c>
      <c r="O49">
        <v>723</v>
      </c>
      <c r="P49" t="s">
        <v>509</v>
      </c>
      <c r="AM49" t="str">
        <f t="shared" si="0"/>
        <v>Aberffraw [GBAFW]</v>
      </c>
      <c r="AN49" t="s">
        <v>12265</v>
      </c>
      <c r="AO49" t="s">
        <v>12266</v>
      </c>
      <c r="AP49" t="s">
        <v>33078</v>
      </c>
      <c r="AQ49" t="s">
        <v>32890</v>
      </c>
      <c r="AS49" t="s">
        <v>12704</v>
      </c>
      <c r="AT49" t="s">
        <v>12705</v>
      </c>
    </row>
    <row r="50" spans="10:46" ht="12" customHeight="1" x14ac:dyDescent="0.2">
      <c r="J50" t="s">
        <v>187</v>
      </c>
      <c r="K50" t="s">
        <v>188</v>
      </c>
      <c r="N50" t="s">
        <v>453</v>
      </c>
      <c r="O50">
        <v>534</v>
      </c>
      <c r="P50" t="s">
        <v>454</v>
      </c>
      <c r="AM50" t="str">
        <f t="shared" si="0"/>
        <v>Abergele [GBAEE]</v>
      </c>
      <c r="AN50" t="s">
        <v>12267</v>
      </c>
      <c r="AO50" t="s">
        <v>12268</v>
      </c>
      <c r="AP50" t="s">
        <v>33099</v>
      </c>
      <c r="AQ50" t="s">
        <v>33251</v>
      </c>
      <c r="AS50" t="s">
        <v>12734</v>
      </c>
      <c r="AT50" t="s">
        <v>12735</v>
      </c>
    </row>
    <row r="51" spans="10:46" ht="12" customHeight="1" x14ac:dyDescent="0.2">
      <c r="J51" t="s">
        <v>191</v>
      </c>
      <c r="K51" t="s">
        <v>192</v>
      </c>
      <c r="N51" t="s">
        <v>492</v>
      </c>
      <c r="O51">
        <v>605</v>
      </c>
      <c r="P51" t="s">
        <v>493</v>
      </c>
      <c r="AM51" t="str">
        <f t="shared" si="0"/>
        <v>Aberystwyth [GBAYW]</v>
      </c>
      <c r="AN51" t="s">
        <v>12269</v>
      </c>
      <c r="AO51" t="s">
        <v>12270</v>
      </c>
      <c r="AP51" t="s">
        <v>33079</v>
      </c>
      <c r="AQ51" t="s">
        <v>32893</v>
      </c>
      <c r="AS51" t="s">
        <v>12742</v>
      </c>
      <c r="AT51" t="s">
        <v>12743</v>
      </c>
    </row>
    <row r="52" spans="10:46" ht="12" customHeight="1" x14ac:dyDescent="0.2">
      <c r="J52" t="s">
        <v>350</v>
      </c>
      <c r="K52" t="s">
        <v>349</v>
      </c>
      <c r="N52" t="s">
        <v>494</v>
      </c>
      <c r="O52">
        <v>606</v>
      </c>
      <c r="P52" t="s">
        <v>495</v>
      </c>
      <c r="AM52" t="str">
        <f t="shared" si="0"/>
        <v>Abidjan [CIABJ]</v>
      </c>
      <c r="AN52" t="s">
        <v>4773</v>
      </c>
      <c r="AO52" t="s">
        <v>4774</v>
      </c>
      <c r="AP52" t="s">
        <v>33080</v>
      </c>
      <c r="AQ52" t="s">
        <v>32935</v>
      </c>
      <c r="AS52" t="s">
        <v>12746</v>
      </c>
      <c r="AT52" t="s">
        <v>32781</v>
      </c>
    </row>
    <row r="53" spans="10:46" ht="12" customHeight="1" x14ac:dyDescent="0.2">
      <c r="J53" t="s">
        <v>205</v>
      </c>
      <c r="K53" t="s">
        <v>206</v>
      </c>
      <c r="N53" t="s">
        <v>437</v>
      </c>
      <c r="O53">
        <v>522</v>
      </c>
      <c r="P53" t="s">
        <v>438</v>
      </c>
      <c r="AM53" t="str">
        <f t="shared" si="0"/>
        <v>Abinsk [RUABK]</v>
      </c>
      <c r="AN53" t="s">
        <v>36683</v>
      </c>
      <c r="AO53" t="s">
        <v>36684</v>
      </c>
      <c r="AP53" t="s">
        <v>33081</v>
      </c>
      <c r="AQ53" t="s">
        <v>32897</v>
      </c>
      <c r="AS53" t="s">
        <v>12748</v>
      </c>
      <c r="AT53" t="s">
        <v>12749</v>
      </c>
    </row>
    <row r="54" spans="10:46" ht="12" customHeight="1" x14ac:dyDescent="0.2">
      <c r="J54" t="s">
        <v>197</v>
      </c>
      <c r="K54" t="s">
        <v>198</v>
      </c>
      <c r="N54" t="s">
        <v>478</v>
      </c>
      <c r="O54">
        <v>593</v>
      </c>
      <c r="P54" t="s">
        <v>479</v>
      </c>
      <c r="AM54" t="str">
        <f t="shared" si="0"/>
        <v>Abo [NGABF]</v>
      </c>
      <c r="AN54" t="s">
        <v>22900</v>
      </c>
      <c r="AO54" t="s">
        <v>22901</v>
      </c>
      <c r="AP54" t="s">
        <v>33082</v>
      </c>
      <c r="AQ54" t="s">
        <v>32888</v>
      </c>
      <c r="AS54" t="s">
        <v>12756</v>
      </c>
      <c r="AT54" t="s">
        <v>12757</v>
      </c>
    </row>
    <row r="55" spans="10:46" ht="12" customHeight="1" x14ac:dyDescent="0.2">
      <c r="J55" t="s">
        <v>177</v>
      </c>
      <c r="K55" t="s">
        <v>178</v>
      </c>
      <c r="N55" t="s">
        <v>498</v>
      </c>
      <c r="O55">
        <v>70</v>
      </c>
      <c r="P55" t="s">
        <v>499</v>
      </c>
      <c r="AM55" t="str">
        <f t="shared" si="0"/>
        <v>Abo (Turku) [FITKU]</v>
      </c>
      <c r="AN55" t="s">
        <v>10307</v>
      </c>
      <c r="AO55" t="s">
        <v>35708</v>
      </c>
      <c r="AP55" t="s">
        <v>33083</v>
      </c>
      <c r="AQ55" t="s">
        <v>32894</v>
      </c>
      <c r="AS55" t="s">
        <v>12770</v>
      </c>
      <c r="AT55" t="s">
        <v>12771</v>
      </c>
    </row>
    <row r="56" spans="10:46" ht="12" customHeight="1" x14ac:dyDescent="0.2">
      <c r="J56" t="s">
        <v>203</v>
      </c>
      <c r="K56" t="s">
        <v>204</v>
      </c>
      <c r="N56" t="s">
        <v>462</v>
      </c>
      <c r="O56">
        <v>55</v>
      </c>
      <c r="P56" t="s">
        <v>463</v>
      </c>
      <c r="AM56" t="str">
        <f t="shared" si="0"/>
        <v>Aboa [AQABA]</v>
      </c>
      <c r="AN56" t="s">
        <v>904</v>
      </c>
      <c r="AO56" t="s">
        <v>905</v>
      </c>
      <c r="AP56" t="s">
        <v>33084</v>
      </c>
      <c r="AQ56" t="s">
        <v>32892</v>
      </c>
      <c r="AS56" t="s">
        <v>12780</v>
      </c>
      <c r="AT56" t="s">
        <v>32782</v>
      </c>
    </row>
    <row r="57" spans="10:46" ht="12" customHeight="1" x14ac:dyDescent="0.2">
      <c r="J57" t="s">
        <v>209</v>
      </c>
      <c r="K57" t="s">
        <v>210</v>
      </c>
      <c r="N57" t="s">
        <v>472</v>
      </c>
      <c r="O57">
        <v>59</v>
      </c>
      <c r="P57" t="s">
        <v>473</v>
      </c>
      <c r="AM57" t="str">
        <f t="shared" si="0"/>
        <v>Abohshita [JPABS]</v>
      </c>
      <c r="AN57" t="s">
        <v>18467</v>
      </c>
      <c r="AO57" t="s">
        <v>18468</v>
      </c>
      <c r="AP57" t="s">
        <v>33085</v>
      </c>
      <c r="AQ57" t="s">
        <v>32895</v>
      </c>
      <c r="AS57" t="s">
        <v>12792</v>
      </c>
      <c r="AT57" t="s">
        <v>32783</v>
      </c>
    </row>
    <row r="58" spans="10:46" ht="12" customHeight="1" x14ac:dyDescent="0.2">
      <c r="J58" t="s">
        <v>213</v>
      </c>
      <c r="K58" t="s">
        <v>214</v>
      </c>
      <c r="N58" t="s">
        <v>480</v>
      </c>
      <c r="O58">
        <v>594</v>
      </c>
      <c r="P58" t="s">
        <v>481</v>
      </c>
      <c r="AM58" t="str">
        <f t="shared" si="0"/>
        <v>Abonnema [NGABO]</v>
      </c>
      <c r="AN58" t="s">
        <v>22902</v>
      </c>
      <c r="AO58" t="s">
        <v>22903</v>
      </c>
      <c r="AP58" t="s">
        <v>33086</v>
      </c>
      <c r="AQ58" t="s">
        <v>32891</v>
      </c>
      <c r="AS58" t="s">
        <v>12813</v>
      </c>
      <c r="AT58" t="s">
        <v>3708</v>
      </c>
    </row>
    <row r="59" spans="10:46" ht="12" customHeight="1" x14ac:dyDescent="0.2">
      <c r="J59" t="s">
        <v>215</v>
      </c>
      <c r="K59" t="s">
        <v>216</v>
      </c>
      <c r="N59" t="s">
        <v>502</v>
      </c>
      <c r="O59">
        <v>712</v>
      </c>
      <c r="P59" t="s">
        <v>503</v>
      </c>
      <c r="AM59" t="str">
        <f t="shared" si="0"/>
        <v>Aboshi/Himeji [JPABO]</v>
      </c>
      <c r="AN59" t="s">
        <v>18469</v>
      </c>
      <c r="AO59" t="s">
        <v>18470</v>
      </c>
      <c r="AP59" t="s">
        <v>33087</v>
      </c>
      <c r="AQ59" t="s">
        <v>32896</v>
      </c>
      <c r="AS59" t="s">
        <v>12814</v>
      </c>
      <c r="AT59" t="s">
        <v>12815</v>
      </c>
    </row>
    <row r="60" spans="10:46" ht="12" customHeight="1" x14ac:dyDescent="0.2">
      <c r="J60" t="s">
        <v>217</v>
      </c>
      <c r="K60" t="s">
        <v>218</v>
      </c>
      <c r="N60" t="s">
        <v>500</v>
      </c>
      <c r="O60">
        <v>711</v>
      </c>
      <c r="P60" t="s">
        <v>501</v>
      </c>
      <c r="AM60" t="str">
        <f t="shared" si="0"/>
        <v>Abruka [EEABR]</v>
      </c>
      <c r="AN60" t="s">
        <v>9130</v>
      </c>
      <c r="AO60" t="s">
        <v>9131</v>
      </c>
      <c r="AP60" t="s">
        <v>33088</v>
      </c>
      <c r="AQ60" t="s">
        <v>28140</v>
      </c>
      <c r="AS60" t="s">
        <v>12818</v>
      </c>
      <c r="AT60" t="s">
        <v>12819</v>
      </c>
    </row>
    <row r="61" spans="10:46" ht="12" customHeight="1" x14ac:dyDescent="0.2">
      <c r="J61" t="s">
        <v>219</v>
      </c>
      <c r="K61" t="s">
        <v>220</v>
      </c>
      <c r="N61" t="s">
        <v>520</v>
      </c>
      <c r="O61">
        <v>729</v>
      </c>
      <c r="P61" t="s">
        <v>521</v>
      </c>
      <c r="AM61" t="str">
        <f t="shared" si="0"/>
        <v>Abu [MYABU]</v>
      </c>
      <c r="AN61" t="s">
        <v>22490</v>
      </c>
      <c r="AO61" t="s">
        <v>22491</v>
      </c>
      <c r="AP61" t="s">
        <v>33089</v>
      </c>
      <c r="AQ61" t="s">
        <v>2141</v>
      </c>
      <c r="AS61" t="s">
        <v>12834</v>
      </c>
      <c r="AT61" t="s">
        <v>12835</v>
      </c>
    </row>
    <row r="62" spans="10:46" ht="12" customHeight="1" x14ac:dyDescent="0.2">
      <c r="J62" t="s">
        <v>231</v>
      </c>
      <c r="K62" t="s">
        <v>232</v>
      </c>
      <c r="N62" t="s">
        <v>556</v>
      </c>
      <c r="O62">
        <v>80</v>
      </c>
      <c r="P62" t="s">
        <v>557</v>
      </c>
      <c r="AM62" t="str">
        <f t="shared" si="0"/>
        <v>Abu al Bukhoosh [AEABU]</v>
      </c>
      <c r="AN62" t="s">
        <v>701</v>
      </c>
      <c r="AO62" t="s">
        <v>702</v>
      </c>
      <c r="AP62" t="s">
        <v>33090</v>
      </c>
      <c r="AQ62" t="s">
        <v>32899</v>
      </c>
      <c r="AS62" t="s">
        <v>12836</v>
      </c>
      <c r="AT62" t="s">
        <v>12837</v>
      </c>
    </row>
    <row r="63" spans="10:46" ht="12" customHeight="1" x14ac:dyDescent="0.2">
      <c r="J63" t="s">
        <v>225</v>
      </c>
      <c r="K63" t="s">
        <v>226</v>
      </c>
      <c r="N63" t="s">
        <v>510</v>
      </c>
      <c r="O63">
        <v>724</v>
      </c>
      <c r="P63" t="s">
        <v>511</v>
      </c>
      <c r="AM63" t="str">
        <f t="shared" si="0"/>
        <v>Abu Al Fulus [IQALF]</v>
      </c>
      <c r="AN63" t="s">
        <v>17547</v>
      </c>
      <c r="AO63" t="s">
        <v>17548</v>
      </c>
      <c r="AP63" t="s">
        <v>122</v>
      </c>
      <c r="AQ63" t="s">
        <v>32898</v>
      </c>
      <c r="AS63" t="s">
        <v>12840</v>
      </c>
      <c r="AT63" t="s">
        <v>12841</v>
      </c>
    </row>
    <row r="64" spans="10:46" ht="12" customHeight="1" x14ac:dyDescent="0.2">
      <c r="J64" t="s">
        <v>227</v>
      </c>
      <c r="K64" t="s">
        <v>228</v>
      </c>
      <c r="N64" t="s">
        <v>522</v>
      </c>
      <c r="O64">
        <v>73</v>
      </c>
      <c r="P64" t="s">
        <v>523</v>
      </c>
      <c r="AM64" t="str">
        <f t="shared" si="0"/>
        <v>Abu Alandah [JODAH]</v>
      </c>
      <c r="AN64" t="s">
        <v>18459</v>
      </c>
      <c r="AO64" t="s">
        <v>18460</v>
      </c>
      <c r="AP64" t="s">
        <v>33091</v>
      </c>
      <c r="AQ64" t="s">
        <v>33247</v>
      </c>
      <c r="AS64" t="s">
        <v>12842</v>
      </c>
      <c r="AT64" t="s">
        <v>12843</v>
      </c>
    </row>
    <row r="65" spans="10:46" ht="12" customHeight="1" x14ac:dyDescent="0.2">
      <c r="J65" t="s">
        <v>229</v>
      </c>
      <c r="K65" t="s">
        <v>230</v>
      </c>
      <c r="N65" t="s">
        <v>490</v>
      </c>
      <c r="O65">
        <v>604</v>
      </c>
      <c r="P65" t="s">
        <v>491</v>
      </c>
      <c r="AM65" t="str">
        <f t="shared" si="0"/>
        <v>Abu Dhabi [AEAUH]</v>
      </c>
      <c r="AN65" t="s">
        <v>703</v>
      </c>
      <c r="AO65" t="s">
        <v>704</v>
      </c>
      <c r="AP65" t="s">
        <v>158</v>
      </c>
      <c r="AQ65" t="s">
        <v>32911</v>
      </c>
      <c r="AS65" t="s">
        <v>12844</v>
      </c>
      <c r="AT65" t="s">
        <v>32784</v>
      </c>
    </row>
    <row r="66" spans="10:46" ht="12" customHeight="1" x14ac:dyDescent="0.2">
      <c r="J66" t="s">
        <v>233</v>
      </c>
      <c r="K66" t="s">
        <v>234</v>
      </c>
      <c r="N66" t="s">
        <v>534</v>
      </c>
      <c r="O66">
        <v>76</v>
      </c>
      <c r="P66" t="s">
        <v>535</v>
      </c>
      <c r="AM66" t="str">
        <f t="shared" si="0"/>
        <v>Abu Kammash [LYABK]</v>
      </c>
      <c r="AN66" t="s">
        <v>21963</v>
      </c>
      <c r="AO66" t="s">
        <v>21964</v>
      </c>
      <c r="AP66" t="s">
        <v>138</v>
      </c>
      <c r="AQ66" t="s">
        <v>32905</v>
      </c>
      <c r="AS66" t="s">
        <v>12849</v>
      </c>
      <c r="AT66" t="s">
        <v>12850</v>
      </c>
    </row>
    <row r="67" spans="10:46" ht="12" customHeight="1" x14ac:dyDescent="0.2">
      <c r="J67" t="s">
        <v>223</v>
      </c>
      <c r="K67" t="s">
        <v>224</v>
      </c>
      <c r="N67" t="s">
        <v>417</v>
      </c>
      <c r="O67">
        <v>512</v>
      </c>
      <c r="P67" t="s">
        <v>418</v>
      </c>
      <c r="AM67" t="str">
        <f t="shared" ref="AM67:AM130" si="1">AO67 &amp; " [" &amp; AN67 &amp; "]"</f>
        <v>Abu Kir [EGAKI]</v>
      </c>
      <c r="AN67" t="s">
        <v>9434</v>
      </c>
      <c r="AO67" t="s">
        <v>9435</v>
      </c>
      <c r="AP67" t="s">
        <v>130</v>
      </c>
      <c r="AQ67" t="s">
        <v>32901</v>
      </c>
      <c r="AS67" t="s">
        <v>12865</v>
      </c>
      <c r="AT67" t="s">
        <v>12866</v>
      </c>
    </row>
    <row r="68" spans="10:46" ht="12" customHeight="1" x14ac:dyDescent="0.2">
      <c r="J68" t="s">
        <v>221</v>
      </c>
      <c r="K68" t="s">
        <v>222</v>
      </c>
      <c r="N68" t="s">
        <v>431</v>
      </c>
      <c r="O68">
        <v>519</v>
      </c>
      <c r="P68" t="s">
        <v>432</v>
      </c>
      <c r="AM68" t="str">
        <f t="shared" si="1"/>
        <v>Abu Musa [AEAMU]</v>
      </c>
      <c r="AN68" t="s">
        <v>705</v>
      </c>
      <c r="AO68" t="s">
        <v>706</v>
      </c>
      <c r="AP68" t="s">
        <v>126</v>
      </c>
      <c r="AQ68" t="s">
        <v>32900</v>
      </c>
      <c r="AS68" t="s">
        <v>12871</v>
      </c>
      <c r="AT68" t="s">
        <v>32785</v>
      </c>
    </row>
    <row r="69" spans="10:46" ht="12" customHeight="1" x14ac:dyDescent="0.2">
      <c r="J69" t="s">
        <v>235</v>
      </c>
      <c r="K69" t="s">
        <v>236</v>
      </c>
      <c r="N69" t="s">
        <v>560</v>
      </c>
      <c r="O69">
        <v>82</v>
      </c>
      <c r="P69" t="s">
        <v>561</v>
      </c>
      <c r="AM69" t="str">
        <f t="shared" si="1"/>
        <v>Abu Rudeis [EGAUE]</v>
      </c>
      <c r="AN69" t="s">
        <v>9436</v>
      </c>
      <c r="AO69" t="s">
        <v>9437</v>
      </c>
      <c r="AP69" t="s">
        <v>168</v>
      </c>
      <c r="AQ69" t="s">
        <v>32914</v>
      </c>
      <c r="AS69" t="s">
        <v>12894</v>
      </c>
      <c r="AT69" t="s">
        <v>12895</v>
      </c>
    </row>
    <row r="70" spans="10:46" ht="12" customHeight="1" x14ac:dyDescent="0.2">
      <c r="J70" t="s">
        <v>237</v>
      </c>
      <c r="K70" t="s">
        <v>238</v>
      </c>
      <c r="N70" t="s">
        <v>544</v>
      </c>
      <c r="O70">
        <v>765</v>
      </c>
      <c r="P70" t="s">
        <v>545</v>
      </c>
      <c r="AM70" t="str">
        <f t="shared" si="1"/>
        <v>Abu Zenimah [EGAZA]</v>
      </c>
      <c r="AN70" t="s">
        <v>9438</v>
      </c>
      <c r="AO70" t="s">
        <v>9439</v>
      </c>
      <c r="AP70" t="s">
        <v>132</v>
      </c>
      <c r="AQ70" t="s">
        <v>32902</v>
      </c>
      <c r="AS70" t="s">
        <v>12898</v>
      </c>
      <c r="AT70" t="s">
        <v>12899</v>
      </c>
    </row>
    <row r="71" spans="10:46" ht="12" customHeight="1" x14ac:dyDescent="0.2">
      <c r="J71" t="s">
        <v>239</v>
      </c>
      <c r="K71" t="s">
        <v>240</v>
      </c>
      <c r="N71" t="s">
        <v>562</v>
      </c>
      <c r="O71">
        <v>83</v>
      </c>
      <c r="P71" t="s">
        <v>563</v>
      </c>
      <c r="AM71" t="str">
        <f t="shared" si="1"/>
        <v>Abulug [PHABU]</v>
      </c>
      <c r="AN71" t="s">
        <v>25504</v>
      </c>
      <c r="AO71" t="s">
        <v>25505</v>
      </c>
      <c r="AP71" t="s">
        <v>170</v>
      </c>
      <c r="AQ71" t="s">
        <v>32915</v>
      </c>
      <c r="AS71" t="s">
        <v>12912</v>
      </c>
      <c r="AT71" t="s">
        <v>32786</v>
      </c>
    </row>
    <row r="72" spans="10:46" ht="12" customHeight="1" x14ac:dyDescent="0.2">
      <c r="J72" t="s">
        <v>243</v>
      </c>
      <c r="K72" t="s">
        <v>244</v>
      </c>
      <c r="N72" t="s">
        <v>488</v>
      </c>
      <c r="O72">
        <v>603</v>
      </c>
      <c r="P72" t="s">
        <v>489</v>
      </c>
      <c r="AM72" t="str">
        <f t="shared" si="1"/>
        <v>Aburatsu [JPABU]</v>
      </c>
      <c r="AN72" t="s">
        <v>18471</v>
      </c>
      <c r="AO72" t="s">
        <v>18472</v>
      </c>
      <c r="AP72" t="s">
        <v>142</v>
      </c>
      <c r="AQ72" t="s">
        <v>32907</v>
      </c>
      <c r="AS72" t="s">
        <v>12914</v>
      </c>
      <c r="AT72" t="s">
        <v>32787</v>
      </c>
    </row>
    <row r="73" spans="10:46" ht="12" customHeight="1" x14ac:dyDescent="0.2">
      <c r="J73" t="s">
        <v>241</v>
      </c>
      <c r="K73" t="s">
        <v>242</v>
      </c>
      <c r="N73" t="s">
        <v>542</v>
      </c>
      <c r="O73">
        <v>764</v>
      </c>
      <c r="P73" t="s">
        <v>543</v>
      </c>
      <c r="AM73" t="str">
        <f t="shared" si="1"/>
        <v>Abuto [JPABT]</v>
      </c>
      <c r="AN73" t="s">
        <v>18473</v>
      </c>
      <c r="AO73" t="s">
        <v>18474</v>
      </c>
      <c r="AP73" t="s">
        <v>33092</v>
      </c>
      <c r="AQ73" t="s">
        <v>32908</v>
      </c>
      <c r="AS73" t="s">
        <v>12916</v>
      </c>
      <c r="AT73" t="s">
        <v>12917</v>
      </c>
    </row>
    <row r="74" spans="10:46" ht="12" customHeight="1" x14ac:dyDescent="0.2">
      <c r="J74" t="s">
        <v>245</v>
      </c>
      <c r="K74" t="s">
        <v>246</v>
      </c>
      <c r="N74" t="s">
        <v>540</v>
      </c>
      <c r="O74">
        <v>763</v>
      </c>
      <c r="P74" t="s">
        <v>541</v>
      </c>
      <c r="AM74" t="str">
        <f t="shared" si="1"/>
        <v>Abybro [DKKK4]</v>
      </c>
      <c r="AN74" t="s">
        <v>8598</v>
      </c>
      <c r="AO74" t="s">
        <v>35518</v>
      </c>
      <c r="AP74" t="s">
        <v>160</v>
      </c>
      <c r="AQ74" t="s">
        <v>32912</v>
      </c>
      <c r="AS74" t="s">
        <v>12932</v>
      </c>
      <c r="AT74" t="s">
        <v>32788</v>
      </c>
    </row>
    <row r="75" spans="10:46" ht="12" customHeight="1" x14ac:dyDescent="0.2">
      <c r="J75" t="s">
        <v>247</v>
      </c>
      <c r="K75" t="s">
        <v>248</v>
      </c>
      <c r="N75" t="s">
        <v>558</v>
      </c>
      <c r="O75">
        <v>81</v>
      </c>
      <c r="P75" t="s">
        <v>559</v>
      </c>
      <c r="AM75" t="str">
        <f t="shared" si="1"/>
        <v>Acajutla [SVAQJ]</v>
      </c>
      <c r="AN75" t="s">
        <v>28135</v>
      </c>
      <c r="AO75" t="s">
        <v>28136</v>
      </c>
      <c r="AP75" t="s">
        <v>150</v>
      </c>
      <c r="AQ75" t="s">
        <v>33252</v>
      </c>
      <c r="AS75" t="s">
        <v>12936</v>
      </c>
      <c r="AT75" t="s">
        <v>32789</v>
      </c>
    </row>
    <row r="76" spans="10:46" ht="12" customHeight="1" x14ac:dyDescent="0.2">
      <c r="J76" t="s">
        <v>253</v>
      </c>
      <c r="K76" t="s">
        <v>254</v>
      </c>
      <c r="N76" t="s">
        <v>407</v>
      </c>
      <c r="O76">
        <v>504</v>
      </c>
      <c r="P76" t="s">
        <v>408</v>
      </c>
      <c r="AM76" t="str">
        <f t="shared" si="1"/>
        <v>Acanceh [MXANH]</v>
      </c>
      <c r="AN76" t="s">
        <v>22297</v>
      </c>
      <c r="AO76" t="s">
        <v>22298</v>
      </c>
      <c r="AP76" t="s">
        <v>154</v>
      </c>
      <c r="AQ76" t="s">
        <v>33249</v>
      </c>
      <c r="AS76" t="s">
        <v>12953</v>
      </c>
      <c r="AT76" t="s">
        <v>32790</v>
      </c>
    </row>
    <row r="77" spans="10:46" ht="12" customHeight="1" x14ac:dyDescent="0.2">
      <c r="J77" t="s">
        <v>257</v>
      </c>
      <c r="K77" t="s">
        <v>258</v>
      </c>
      <c r="N77" t="s">
        <v>512</v>
      </c>
      <c r="O77">
        <v>725</v>
      </c>
      <c r="P77" t="s">
        <v>513</v>
      </c>
      <c r="AM77" t="str">
        <f t="shared" si="1"/>
        <v>Acapulco [MXACA]</v>
      </c>
      <c r="AN77" t="s">
        <v>22299</v>
      </c>
      <c r="AO77" t="s">
        <v>22300</v>
      </c>
      <c r="AP77" t="s">
        <v>124</v>
      </c>
      <c r="AQ77" t="s">
        <v>33250</v>
      </c>
      <c r="AS77" t="s">
        <v>12955</v>
      </c>
      <c r="AT77" t="s">
        <v>32791</v>
      </c>
    </row>
    <row r="78" spans="10:46" ht="12" customHeight="1" x14ac:dyDescent="0.2">
      <c r="J78" t="s">
        <v>249</v>
      </c>
      <c r="K78" t="s">
        <v>250</v>
      </c>
      <c r="N78" t="s">
        <v>550</v>
      </c>
      <c r="O78">
        <v>78</v>
      </c>
      <c r="P78" t="s">
        <v>551</v>
      </c>
      <c r="AM78" t="str">
        <f t="shared" si="1"/>
        <v>Acciaroli [ITAOL]</v>
      </c>
      <c r="AN78" t="s">
        <v>17785</v>
      </c>
      <c r="AO78" t="s">
        <v>17786</v>
      </c>
      <c r="AP78" t="s">
        <v>33093</v>
      </c>
      <c r="AQ78" t="s">
        <v>32672</v>
      </c>
      <c r="AS78" t="s">
        <v>12969</v>
      </c>
      <c r="AT78" t="s">
        <v>12970</v>
      </c>
    </row>
    <row r="79" spans="10:46" ht="12" customHeight="1" x14ac:dyDescent="0.2">
      <c r="J79" t="s">
        <v>251</v>
      </c>
      <c r="K79" t="s">
        <v>252</v>
      </c>
      <c r="N79" t="s">
        <v>506</v>
      </c>
      <c r="O79">
        <v>721</v>
      </c>
      <c r="P79" t="s">
        <v>507</v>
      </c>
      <c r="AM79" t="str">
        <f t="shared" si="1"/>
        <v>Accord [USA8C]</v>
      </c>
      <c r="AN79" t="s">
        <v>28789</v>
      </c>
      <c r="AO79" t="s">
        <v>28790</v>
      </c>
      <c r="AP79" t="s">
        <v>164</v>
      </c>
      <c r="AQ79" t="s">
        <v>32913</v>
      </c>
      <c r="AS79" t="s">
        <v>12985</v>
      </c>
      <c r="AT79" t="s">
        <v>12986</v>
      </c>
    </row>
    <row r="80" spans="10:46" ht="12" customHeight="1" x14ac:dyDescent="0.2">
      <c r="J80" t="s">
        <v>255</v>
      </c>
      <c r="K80" t="s">
        <v>256</v>
      </c>
      <c r="N80" t="s">
        <v>445</v>
      </c>
      <c r="O80">
        <v>53</v>
      </c>
      <c r="P80" t="s">
        <v>446</v>
      </c>
      <c r="AM80" t="str">
        <f t="shared" si="1"/>
        <v>Aceuchal [ESACH]</v>
      </c>
      <c r="AN80" t="s">
        <v>9556</v>
      </c>
      <c r="AO80" t="s">
        <v>9557</v>
      </c>
      <c r="AP80" t="s">
        <v>156</v>
      </c>
      <c r="AQ80" t="s">
        <v>32910</v>
      </c>
      <c r="AS80" t="s">
        <v>12987</v>
      </c>
      <c r="AT80" t="s">
        <v>12988</v>
      </c>
    </row>
    <row r="81" spans="10:46" ht="12" customHeight="1" x14ac:dyDescent="0.2">
      <c r="J81" t="s">
        <v>259</v>
      </c>
      <c r="K81" t="s">
        <v>78</v>
      </c>
      <c r="N81" t="s">
        <v>411</v>
      </c>
      <c r="O81">
        <v>506</v>
      </c>
      <c r="P81" t="s">
        <v>412</v>
      </c>
      <c r="AM81" t="str">
        <f t="shared" si="1"/>
        <v>Achao [CLACH]</v>
      </c>
      <c r="AN81" t="s">
        <v>4809</v>
      </c>
      <c r="AO81" t="s">
        <v>4810</v>
      </c>
      <c r="AP81" t="s">
        <v>33094</v>
      </c>
      <c r="AQ81" t="s">
        <v>32966</v>
      </c>
      <c r="AS81" t="s">
        <v>12997</v>
      </c>
      <c r="AT81" t="s">
        <v>12998</v>
      </c>
    </row>
    <row r="82" spans="10:46" ht="12" customHeight="1" x14ac:dyDescent="0.2">
      <c r="J82" t="s">
        <v>260</v>
      </c>
      <c r="K82" t="s">
        <v>261</v>
      </c>
      <c r="N82" t="s">
        <v>576</v>
      </c>
      <c r="O82">
        <v>502</v>
      </c>
      <c r="P82" t="s">
        <v>404</v>
      </c>
      <c r="AM82" t="str">
        <f t="shared" si="1"/>
        <v>Acharacle [GBACA]</v>
      </c>
      <c r="AN82" t="s">
        <v>12271</v>
      </c>
      <c r="AO82" t="s">
        <v>12272</v>
      </c>
      <c r="AP82" t="s">
        <v>148</v>
      </c>
      <c r="AQ82" t="s">
        <v>32909</v>
      </c>
      <c r="AS82" t="s">
        <v>13010</v>
      </c>
      <c r="AT82" t="s">
        <v>13011</v>
      </c>
    </row>
    <row r="83" spans="10:46" ht="12" customHeight="1" x14ac:dyDescent="0.2">
      <c r="J83" t="s">
        <v>262</v>
      </c>
      <c r="K83" t="s">
        <v>263</v>
      </c>
      <c r="N83" t="s">
        <v>546</v>
      </c>
      <c r="O83">
        <v>766</v>
      </c>
      <c r="P83" t="s">
        <v>547</v>
      </c>
      <c r="AM83" t="str">
        <f t="shared" si="1"/>
        <v>Achau [ATFG7]</v>
      </c>
      <c r="AN83" t="s">
        <v>1161</v>
      </c>
      <c r="AO83" t="s">
        <v>1162</v>
      </c>
      <c r="AP83" t="s">
        <v>136</v>
      </c>
      <c r="AQ83" t="s">
        <v>32904</v>
      </c>
      <c r="AS83" t="s">
        <v>13012</v>
      </c>
      <c r="AT83" t="s">
        <v>13013</v>
      </c>
    </row>
    <row r="84" spans="10:46" ht="12" customHeight="1" x14ac:dyDescent="0.2">
      <c r="J84" t="s">
        <v>270</v>
      </c>
      <c r="K84" t="s">
        <v>271</v>
      </c>
      <c r="N84" t="s">
        <v>528</v>
      </c>
      <c r="O84">
        <v>751</v>
      </c>
      <c r="P84" t="s">
        <v>529</v>
      </c>
      <c r="AM84" t="str">
        <f t="shared" si="1"/>
        <v>Achery [FRA86]</v>
      </c>
      <c r="AN84" t="s">
        <v>10710</v>
      </c>
      <c r="AO84" t="s">
        <v>10711</v>
      </c>
      <c r="AP84" t="s">
        <v>134</v>
      </c>
      <c r="AQ84" t="s">
        <v>32903</v>
      </c>
      <c r="AS84" t="s">
        <v>13028</v>
      </c>
      <c r="AT84" t="s">
        <v>13029</v>
      </c>
    </row>
    <row r="85" spans="10:46" ht="12" customHeight="1" x14ac:dyDescent="0.2">
      <c r="J85" t="s">
        <v>272</v>
      </c>
      <c r="K85" t="s">
        <v>273</v>
      </c>
      <c r="N85" t="s">
        <v>486</v>
      </c>
      <c r="O85">
        <v>602</v>
      </c>
      <c r="P85" t="s">
        <v>487</v>
      </c>
      <c r="AM85" t="str">
        <f t="shared" si="1"/>
        <v>Achiltibuie [GBACE]</v>
      </c>
      <c r="AN85" t="s">
        <v>12273</v>
      </c>
      <c r="AO85" t="s">
        <v>12274</v>
      </c>
      <c r="AP85" t="s">
        <v>140</v>
      </c>
      <c r="AQ85" t="s">
        <v>32906</v>
      </c>
      <c r="AS85" t="s">
        <v>13032</v>
      </c>
      <c r="AT85" t="s">
        <v>13033</v>
      </c>
    </row>
    <row r="86" spans="10:46" ht="12" customHeight="1" x14ac:dyDescent="0.2">
      <c r="J86" t="s">
        <v>266</v>
      </c>
      <c r="K86" t="s">
        <v>267</v>
      </c>
      <c r="N86" t="s">
        <v>484</v>
      </c>
      <c r="O86">
        <v>601</v>
      </c>
      <c r="P86" t="s">
        <v>485</v>
      </c>
      <c r="AM86" t="str">
        <f t="shared" si="1"/>
        <v>Achladi [GRACL]</v>
      </c>
      <c r="AN86" t="s">
        <v>15079</v>
      </c>
      <c r="AO86" t="s">
        <v>15080</v>
      </c>
      <c r="AP86" t="s">
        <v>206</v>
      </c>
      <c r="AQ86" t="s">
        <v>33253</v>
      </c>
      <c r="AS86" t="s">
        <v>13106</v>
      </c>
      <c r="AT86" t="s">
        <v>13107</v>
      </c>
    </row>
    <row r="87" spans="10:46" ht="12" customHeight="1" x14ac:dyDescent="0.2">
      <c r="J87" t="s">
        <v>264</v>
      </c>
      <c r="K87" t="s">
        <v>265</v>
      </c>
      <c r="N87" t="s">
        <v>413</v>
      </c>
      <c r="O87">
        <v>51</v>
      </c>
      <c r="P87" t="s">
        <v>414</v>
      </c>
      <c r="AM87" t="str">
        <f t="shared" si="1"/>
        <v>Achmer [DEAMR]</v>
      </c>
      <c r="AN87" t="s">
        <v>6976</v>
      </c>
      <c r="AO87" t="s">
        <v>6977</v>
      </c>
      <c r="AP87" t="s">
        <v>33095</v>
      </c>
      <c r="AQ87" t="s">
        <v>32974</v>
      </c>
      <c r="AS87" t="s">
        <v>13114</v>
      </c>
      <c r="AT87" t="s">
        <v>13115</v>
      </c>
    </row>
    <row r="88" spans="10:46" ht="12" customHeight="1" x14ac:dyDescent="0.2">
      <c r="J88" t="s">
        <v>268</v>
      </c>
      <c r="K88" t="s">
        <v>269</v>
      </c>
      <c r="N88" t="s">
        <v>468</v>
      </c>
      <c r="O88">
        <v>553</v>
      </c>
      <c r="P88" t="s">
        <v>469</v>
      </c>
      <c r="AM88" t="str">
        <f t="shared" si="1"/>
        <v>Achnacroish [GBAHN]</v>
      </c>
      <c r="AN88" t="s">
        <v>12275</v>
      </c>
      <c r="AO88" t="s">
        <v>12276</v>
      </c>
      <c r="AP88" t="s">
        <v>33096</v>
      </c>
      <c r="AQ88" t="s">
        <v>32923</v>
      </c>
      <c r="AS88" t="s">
        <v>13116</v>
      </c>
      <c r="AT88" t="s">
        <v>13117</v>
      </c>
    </row>
    <row r="89" spans="10:46" ht="12" customHeight="1" x14ac:dyDescent="0.2">
      <c r="J89" t="s">
        <v>276</v>
      </c>
      <c r="K89" t="s">
        <v>277</v>
      </c>
      <c r="N89" t="s">
        <v>405</v>
      </c>
      <c r="O89">
        <v>503</v>
      </c>
      <c r="P89" t="s">
        <v>406</v>
      </c>
      <c r="AM89" t="str">
        <f t="shared" si="1"/>
        <v>Achra [INACH]</v>
      </c>
      <c r="AN89" t="s">
        <v>16994</v>
      </c>
      <c r="AO89" t="s">
        <v>16995</v>
      </c>
      <c r="AP89" t="s">
        <v>172</v>
      </c>
      <c r="AQ89" t="s">
        <v>32916</v>
      </c>
      <c r="AS89" t="s">
        <v>13119</v>
      </c>
      <c r="AT89" t="s">
        <v>13120</v>
      </c>
    </row>
    <row r="90" spans="10:46" ht="12" customHeight="1" x14ac:dyDescent="0.2">
      <c r="J90" t="s">
        <v>278</v>
      </c>
      <c r="K90" t="s">
        <v>279</v>
      </c>
      <c r="N90" t="s">
        <v>504</v>
      </c>
      <c r="O90">
        <v>72</v>
      </c>
      <c r="P90" t="s">
        <v>505</v>
      </c>
      <c r="AM90" t="str">
        <f t="shared" si="1"/>
        <v>Achterwehr [DEAWR]</v>
      </c>
      <c r="AN90" t="s">
        <v>6978</v>
      </c>
      <c r="AO90" t="s">
        <v>6979</v>
      </c>
      <c r="AP90" t="s">
        <v>33097</v>
      </c>
      <c r="AQ90" t="s">
        <v>32977</v>
      </c>
      <c r="AS90" t="s">
        <v>13123</v>
      </c>
      <c r="AT90" t="s">
        <v>13124</v>
      </c>
    </row>
    <row r="91" spans="10:46" ht="12" customHeight="1" x14ac:dyDescent="0.2">
      <c r="J91" t="s">
        <v>290</v>
      </c>
      <c r="K91" t="s">
        <v>291</v>
      </c>
      <c r="AM91" t="str">
        <f t="shared" si="1"/>
        <v>Achthoven [NLAHO]</v>
      </c>
      <c r="AN91" t="s">
        <v>23020</v>
      </c>
      <c r="AO91" t="s">
        <v>23021</v>
      </c>
      <c r="AP91" t="s">
        <v>180</v>
      </c>
      <c r="AQ91" t="s">
        <v>32918</v>
      </c>
      <c r="AS91" t="s">
        <v>13125</v>
      </c>
      <c r="AT91" t="s">
        <v>799</v>
      </c>
    </row>
    <row r="92" spans="10:46" ht="12" customHeight="1" x14ac:dyDescent="0.2">
      <c r="J92" t="s">
        <v>280</v>
      </c>
      <c r="K92" t="s">
        <v>281</v>
      </c>
      <c r="AM92" t="str">
        <f t="shared" si="1"/>
        <v>Aci Castello [ITACL]</v>
      </c>
      <c r="AN92" t="s">
        <v>17787</v>
      </c>
      <c r="AO92" t="s">
        <v>17788</v>
      </c>
      <c r="AP92" t="s">
        <v>349</v>
      </c>
      <c r="AQ92" t="s">
        <v>33040</v>
      </c>
      <c r="AS92" t="s">
        <v>13128</v>
      </c>
      <c r="AT92" t="s">
        <v>13129</v>
      </c>
    </row>
    <row r="93" spans="10:46" ht="12" customHeight="1" x14ac:dyDescent="0.2">
      <c r="J93" t="s">
        <v>292</v>
      </c>
      <c r="K93" t="s">
        <v>293</v>
      </c>
      <c r="AM93" t="str">
        <f t="shared" si="1"/>
        <v>Aci Trezza [ITACT]</v>
      </c>
      <c r="AN93" t="s">
        <v>17789</v>
      </c>
      <c r="AO93" t="s">
        <v>17790</v>
      </c>
      <c r="AP93" t="s">
        <v>192</v>
      </c>
      <c r="AQ93" t="s">
        <v>32922</v>
      </c>
      <c r="AS93" t="s">
        <v>13132</v>
      </c>
      <c r="AT93" t="s">
        <v>13133</v>
      </c>
    </row>
    <row r="94" spans="10:46" ht="12" customHeight="1" x14ac:dyDescent="0.2">
      <c r="J94" t="s">
        <v>282</v>
      </c>
      <c r="K94" t="s">
        <v>283</v>
      </c>
      <c r="AM94" t="str">
        <f t="shared" si="1"/>
        <v>Acolman [MXACM]</v>
      </c>
      <c r="AN94" t="s">
        <v>22301</v>
      </c>
      <c r="AO94" t="s">
        <v>22302</v>
      </c>
      <c r="AP94" t="s">
        <v>33098</v>
      </c>
      <c r="AQ94" t="s">
        <v>18685</v>
      </c>
      <c r="AS94" t="s">
        <v>13136</v>
      </c>
      <c r="AT94" t="s">
        <v>13137</v>
      </c>
    </row>
    <row r="95" spans="10:46" ht="12" customHeight="1" x14ac:dyDescent="0.2">
      <c r="J95" t="s">
        <v>288</v>
      </c>
      <c r="K95" t="s">
        <v>289</v>
      </c>
      <c r="AM95" t="str">
        <f t="shared" si="1"/>
        <v>Acre [ILACR]</v>
      </c>
      <c r="AN95" t="s">
        <v>16948</v>
      </c>
      <c r="AO95" t="s">
        <v>16949</v>
      </c>
      <c r="AP95" t="s">
        <v>208</v>
      </c>
      <c r="AQ95" t="s">
        <v>32928</v>
      </c>
      <c r="AS95" t="s">
        <v>13138</v>
      </c>
      <c r="AT95" t="s">
        <v>13139</v>
      </c>
    </row>
    <row r="96" spans="10:46" ht="12" customHeight="1" x14ac:dyDescent="0.2">
      <c r="J96" t="s">
        <v>307</v>
      </c>
      <c r="K96" t="s">
        <v>306</v>
      </c>
      <c r="AM96" t="str">
        <f t="shared" si="1"/>
        <v>Actu-lum [THSHT]</v>
      </c>
      <c r="AN96" t="s">
        <v>33939</v>
      </c>
      <c r="AO96" t="s">
        <v>34061</v>
      </c>
      <c r="AP96" t="s">
        <v>176</v>
      </c>
      <c r="AQ96" t="s">
        <v>32917</v>
      </c>
      <c r="AS96" t="s">
        <v>13152</v>
      </c>
      <c r="AT96" t="s">
        <v>13153</v>
      </c>
    </row>
    <row r="97" spans="10:46" ht="12" customHeight="1" x14ac:dyDescent="0.2">
      <c r="J97" t="s">
        <v>286</v>
      </c>
      <c r="K97" t="s">
        <v>287</v>
      </c>
      <c r="AM97" t="str">
        <f t="shared" si="1"/>
        <v>Acu Pt/Sao Joao da Barra [BRACX]</v>
      </c>
      <c r="AN97" t="s">
        <v>34925</v>
      </c>
      <c r="AO97" t="s">
        <v>34926</v>
      </c>
      <c r="AP97" t="s">
        <v>194</v>
      </c>
      <c r="AQ97" t="s">
        <v>32924</v>
      </c>
      <c r="AS97" t="s">
        <v>13154</v>
      </c>
      <c r="AT97" t="s">
        <v>32792</v>
      </c>
    </row>
    <row r="98" spans="10:46" ht="12" customHeight="1" x14ac:dyDescent="0.2">
      <c r="J98" t="s">
        <v>294</v>
      </c>
      <c r="K98" t="s">
        <v>295</v>
      </c>
      <c r="AM98" t="str">
        <f t="shared" si="1"/>
        <v>Ad Dammam [SADMM]</v>
      </c>
      <c r="AN98" t="s">
        <v>27366</v>
      </c>
      <c r="AO98" t="s">
        <v>27367</v>
      </c>
      <c r="AP98" t="s">
        <v>33100</v>
      </c>
      <c r="AQ98" t="s">
        <v>32976</v>
      </c>
      <c r="AS98" t="s">
        <v>13156</v>
      </c>
      <c r="AT98" t="s">
        <v>32793</v>
      </c>
    </row>
    <row r="99" spans="10:46" ht="12" customHeight="1" x14ac:dyDescent="0.2">
      <c r="J99" t="s">
        <v>305</v>
      </c>
      <c r="K99" t="s">
        <v>306</v>
      </c>
      <c r="AM99" t="str">
        <f t="shared" si="1"/>
        <v>Ada [GHADA]</v>
      </c>
      <c r="AN99" t="s">
        <v>14950</v>
      </c>
      <c r="AO99" t="s">
        <v>14951</v>
      </c>
      <c r="AP99" t="s">
        <v>182</v>
      </c>
      <c r="AQ99" t="s">
        <v>32919</v>
      </c>
      <c r="AS99" t="s">
        <v>13160</v>
      </c>
      <c r="AT99" t="s">
        <v>13161</v>
      </c>
    </row>
    <row r="100" spans="10:46" ht="12" customHeight="1" x14ac:dyDescent="0.2">
      <c r="J100" t="s">
        <v>284</v>
      </c>
      <c r="K100" t="s">
        <v>285</v>
      </c>
      <c r="AM100" t="str">
        <f t="shared" si="1"/>
        <v>Adamas Milos [GRADL]</v>
      </c>
      <c r="AN100" t="s">
        <v>15081</v>
      </c>
      <c r="AO100" t="s">
        <v>15082</v>
      </c>
      <c r="AP100" t="s">
        <v>33101</v>
      </c>
      <c r="AQ100" t="s">
        <v>33254</v>
      </c>
      <c r="AS100" t="s">
        <v>13162</v>
      </c>
      <c r="AT100" t="s">
        <v>32794</v>
      </c>
    </row>
    <row r="101" spans="10:46" ht="12" customHeight="1" x14ac:dyDescent="0.2">
      <c r="J101" t="s">
        <v>303</v>
      </c>
      <c r="K101" t="s">
        <v>304</v>
      </c>
      <c r="AM101" t="str">
        <f t="shared" si="1"/>
        <v>Adamston [USDST]</v>
      </c>
      <c r="AN101" t="s">
        <v>28791</v>
      </c>
      <c r="AO101" t="s">
        <v>28792</v>
      </c>
      <c r="AP101" t="s">
        <v>190</v>
      </c>
      <c r="AQ101" t="s">
        <v>32921</v>
      </c>
      <c r="AS101" t="s">
        <v>13168</v>
      </c>
      <c r="AT101" t="s">
        <v>13169</v>
      </c>
    </row>
    <row r="102" spans="10:46" ht="12" customHeight="1" x14ac:dyDescent="0.2">
      <c r="J102" t="s">
        <v>298</v>
      </c>
      <c r="K102" t="s">
        <v>299</v>
      </c>
      <c r="AM102" t="str">
        <f t="shared" si="1"/>
        <v>Adana [TRADA]</v>
      </c>
      <c r="AN102" t="s">
        <v>28383</v>
      </c>
      <c r="AO102" t="s">
        <v>28384</v>
      </c>
      <c r="AP102" t="s">
        <v>198</v>
      </c>
      <c r="AQ102" t="s">
        <v>32925</v>
      </c>
      <c r="AS102" t="s">
        <v>13170</v>
      </c>
      <c r="AT102" t="s">
        <v>13171</v>
      </c>
    </row>
    <row r="103" spans="10:46" ht="12" customHeight="1" x14ac:dyDescent="0.2">
      <c r="J103" t="s">
        <v>296</v>
      </c>
      <c r="K103" t="s">
        <v>297</v>
      </c>
      <c r="AM103" t="str">
        <f t="shared" si="1"/>
        <v>Adang Bay [IDADB]</v>
      </c>
      <c r="AN103" t="s">
        <v>16139</v>
      </c>
      <c r="AO103" t="s">
        <v>16140</v>
      </c>
      <c r="AP103" t="s">
        <v>186</v>
      </c>
      <c r="AQ103" t="s">
        <v>33255</v>
      </c>
      <c r="AS103" t="s">
        <v>13174</v>
      </c>
      <c r="AT103" t="s">
        <v>32795</v>
      </c>
    </row>
    <row r="104" spans="10:46" ht="12" customHeight="1" x14ac:dyDescent="0.2">
      <c r="J104" t="s">
        <v>316</v>
      </c>
      <c r="K104" t="s">
        <v>317</v>
      </c>
      <c r="AM104" t="str">
        <f t="shared" si="1"/>
        <v>Addison [USIAB]</v>
      </c>
      <c r="AN104" t="s">
        <v>28793</v>
      </c>
      <c r="AO104" t="s">
        <v>28794</v>
      </c>
      <c r="AP104" t="s">
        <v>244</v>
      </c>
      <c r="AQ104" t="s">
        <v>32959</v>
      </c>
      <c r="AS104" t="s">
        <v>13182</v>
      </c>
      <c r="AT104" t="s">
        <v>13183</v>
      </c>
    </row>
    <row r="105" spans="10:46" ht="12" customHeight="1" x14ac:dyDescent="0.2">
      <c r="J105" t="s">
        <v>312</v>
      </c>
      <c r="K105" t="s">
        <v>313</v>
      </c>
      <c r="AM105" t="str">
        <f t="shared" si="1"/>
        <v>Addu [MVADU]</v>
      </c>
      <c r="AN105" t="s">
        <v>22290</v>
      </c>
      <c r="AO105" t="s">
        <v>22291</v>
      </c>
      <c r="AP105" t="s">
        <v>204</v>
      </c>
      <c r="AQ105" t="s">
        <v>32926</v>
      </c>
      <c r="AS105" t="s">
        <v>13196</v>
      </c>
      <c r="AT105" t="s">
        <v>13197</v>
      </c>
    </row>
    <row r="106" spans="10:46" ht="12" customHeight="1" x14ac:dyDescent="0.2">
      <c r="J106" t="s">
        <v>310</v>
      </c>
      <c r="K106" t="s">
        <v>311</v>
      </c>
      <c r="AM106" t="str">
        <f t="shared" si="1"/>
        <v>Ade [JPADE]</v>
      </c>
      <c r="AN106" t="s">
        <v>18475</v>
      </c>
      <c r="AO106" t="s">
        <v>18476</v>
      </c>
      <c r="AP106" t="s">
        <v>33102</v>
      </c>
      <c r="AQ106" t="s">
        <v>6746</v>
      </c>
      <c r="AS106" t="s">
        <v>13198</v>
      </c>
      <c r="AT106" t="s">
        <v>13199</v>
      </c>
    </row>
    <row r="107" spans="10:46" ht="12" customHeight="1" x14ac:dyDescent="0.2">
      <c r="J107" t="s">
        <v>308</v>
      </c>
      <c r="K107" t="s">
        <v>309</v>
      </c>
      <c r="AM107" t="str">
        <f t="shared" si="1"/>
        <v>Adelaide [AUADL]</v>
      </c>
      <c r="AN107" t="s">
        <v>1381</v>
      </c>
      <c r="AO107" t="s">
        <v>1382</v>
      </c>
      <c r="AP107" t="s">
        <v>210</v>
      </c>
      <c r="AQ107" t="s">
        <v>32929</v>
      </c>
      <c r="AS107" t="s">
        <v>13217</v>
      </c>
      <c r="AT107" t="s">
        <v>13218</v>
      </c>
    </row>
    <row r="108" spans="10:46" ht="12" customHeight="1" x14ac:dyDescent="0.2">
      <c r="J108" t="s">
        <v>318</v>
      </c>
      <c r="K108" t="s">
        <v>319</v>
      </c>
      <c r="AM108" t="str">
        <f t="shared" si="1"/>
        <v>Aden [YEADE]</v>
      </c>
      <c r="AN108" t="s">
        <v>32628</v>
      </c>
      <c r="AO108" t="s">
        <v>32629</v>
      </c>
      <c r="AP108" t="s">
        <v>212</v>
      </c>
      <c r="AQ108" t="s">
        <v>32930</v>
      </c>
      <c r="AS108" t="s">
        <v>13219</v>
      </c>
      <c r="AT108" t="s">
        <v>32796</v>
      </c>
    </row>
    <row r="109" spans="10:46" ht="12" customHeight="1" x14ac:dyDescent="0.2">
      <c r="J109" t="s">
        <v>314</v>
      </c>
      <c r="K109" t="s">
        <v>315</v>
      </c>
      <c r="AM109" t="str">
        <f t="shared" si="1"/>
        <v>Adinkerke [BEADK]</v>
      </c>
      <c r="AN109" t="s">
        <v>2212</v>
      </c>
      <c r="AO109" t="s">
        <v>2213</v>
      </c>
      <c r="AP109" t="s">
        <v>33103</v>
      </c>
      <c r="AQ109" t="s">
        <v>32932</v>
      </c>
      <c r="AS109" t="s">
        <v>13227</v>
      </c>
      <c r="AT109" t="s">
        <v>13228</v>
      </c>
    </row>
    <row r="110" spans="10:46" ht="12" customHeight="1" x14ac:dyDescent="0.2">
      <c r="J110" t="s">
        <v>328</v>
      </c>
      <c r="K110" t="s">
        <v>329</v>
      </c>
      <c r="AM110" t="str">
        <f t="shared" si="1"/>
        <v>Adlavik [CAALK]</v>
      </c>
      <c r="AN110" t="s">
        <v>3512</v>
      </c>
      <c r="AO110" t="s">
        <v>3513</v>
      </c>
      <c r="AP110" t="s">
        <v>214</v>
      </c>
      <c r="AQ110" t="s">
        <v>8587</v>
      </c>
      <c r="AS110" t="s">
        <v>13233</v>
      </c>
      <c r="AT110" t="s">
        <v>13232</v>
      </c>
    </row>
    <row r="111" spans="10:46" ht="12" customHeight="1" x14ac:dyDescent="0.2">
      <c r="J111" t="s">
        <v>320</v>
      </c>
      <c r="K111" t="s">
        <v>321</v>
      </c>
      <c r="AM111" t="str">
        <f t="shared" si="1"/>
        <v>Adlay/Bislig [PHADL]</v>
      </c>
      <c r="AN111" t="s">
        <v>25506</v>
      </c>
      <c r="AO111" t="s">
        <v>25507</v>
      </c>
      <c r="AP111" t="s">
        <v>33104</v>
      </c>
      <c r="AQ111" t="s">
        <v>32933</v>
      </c>
      <c r="AS111" t="s">
        <v>13234</v>
      </c>
      <c r="AT111" t="s">
        <v>13235</v>
      </c>
    </row>
    <row r="112" spans="10:46" ht="12" customHeight="1" x14ac:dyDescent="0.2">
      <c r="J112" t="s">
        <v>326</v>
      </c>
      <c r="K112" t="s">
        <v>327</v>
      </c>
      <c r="AM112" t="str">
        <f t="shared" si="1"/>
        <v>Admirali Vaikesadam [EEADV]</v>
      </c>
      <c r="AN112" t="s">
        <v>9132</v>
      </c>
      <c r="AO112" t="s">
        <v>35613</v>
      </c>
      <c r="AP112" t="s">
        <v>33105</v>
      </c>
      <c r="AQ112" t="s">
        <v>32934</v>
      </c>
      <c r="AS112" t="s">
        <v>14974</v>
      </c>
      <c r="AT112" t="s">
        <v>33822</v>
      </c>
    </row>
    <row r="113" spans="10:46" ht="12" customHeight="1" x14ac:dyDescent="0.2">
      <c r="J113" t="s">
        <v>322</v>
      </c>
      <c r="K113" t="s">
        <v>323</v>
      </c>
      <c r="AM113" t="str">
        <f t="shared" si="1"/>
        <v>Ado [JPADO]</v>
      </c>
      <c r="AN113" t="s">
        <v>18477</v>
      </c>
      <c r="AO113" t="s">
        <v>18478</v>
      </c>
      <c r="AP113" t="s">
        <v>33106</v>
      </c>
      <c r="AQ113" t="s">
        <v>32936</v>
      </c>
      <c r="AS113" t="s">
        <v>13236</v>
      </c>
      <c r="AT113" t="s">
        <v>13237</v>
      </c>
    </row>
    <row r="114" spans="10:46" ht="12" customHeight="1" x14ac:dyDescent="0.2">
      <c r="J114" t="s">
        <v>336</v>
      </c>
      <c r="K114" t="s">
        <v>337</v>
      </c>
      <c r="AM114" t="str">
        <f t="shared" si="1"/>
        <v>Ado [NGADO]</v>
      </c>
      <c r="AN114" t="s">
        <v>22904</v>
      </c>
      <c r="AO114" t="s">
        <v>18478</v>
      </c>
      <c r="AP114" t="s">
        <v>33107</v>
      </c>
      <c r="AQ114" t="s">
        <v>32938</v>
      </c>
      <c r="AS114" t="s">
        <v>13238</v>
      </c>
      <c r="AT114" t="s">
        <v>32797</v>
      </c>
    </row>
    <row r="115" spans="10:46" ht="12" customHeight="1" x14ac:dyDescent="0.2">
      <c r="J115" t="s">
        <v>334</v>
      </c>
      <c r="K115" t="s">
        <v>335</v>
      </c>
      <c r="AM115" t="str">
        <f t="shared" si="1"/>
        <v>Adony [HUADY]</v>
      </c>
      <c r="AN115" t="s">
        <v>16046</v>
      </c>
      <c r="AO115" t="s">
        <v>16047</v>
      </c>
      <c r="AP115" t="s">
        <v>33108</v>
      </c>
      <c r="AQ115" t="s">
        <v>33037</v>
      </c>
      <c r="AS115" t="s">
        <v>13240</v>
      </c>
      <c r="AT115" t="s">
        <v>13241</v>
      </c>
    </row>
    <row r="116" spans="10:46" ht="12" customHeight="1" x14ac:dyDescent="0.2">
      <c r="J116" t="s">
        <v>342</v>
      </c>
      <c r="K116" t="s">
        <v>343</v>
      </c>
      <c r="AM116" t="str">
        <f t="shared" si="1"/>
        <v>Adra [ESADR]</v>
      </c>
      <c r="AN116" t="s">
        <v>9558</v>
      </c>
      <c r="AO116" t="s">
        <v>9559</v>
      </c>
      <c r="AP116" t="s">
        <v>33109</v>
      </c>
      <c r="AQ116" t="s">
        <v>32954</v>
      </c>
      <c r="AS116" t="s">
        <v>13242</v>
      </c>
      <c r="AT116" t="s">
        <v>13243</v>
      </c>
    </row>
    <row r="117" spans="10:46" ht="12" customHeight="1" x14ac:dyDescent="0.2">
      <c r="J117" t="s">
        <v>340</v>
      </c>
      <c r="K117" t="s">
        <v>341</v>
      </c>
      <c r="AM117" t="str">
        <f t="shared" si="1"/>
        <v>Adrian [USDIA]</v>
      </c>
      <c r="AN117" t="s">
        <v>28795</v>
      </c>
      <c r="AO117" t="s">
        <v>28796</v>
      </c>
      <c r="AP117" t="s">
        <v>33110</v>
      </c>
      <c r="AQ117" t="s">
        <v>32940</v>
      </c>
      <c r="AS117" t="s">
        <v>13244</v>
      </c>
      <c r="AT117" t="s">
        <v>13245</v>
      </c>
    </row>
    <row r="118" spans="10:46" ht="12" customHeight="1" x14ac:dyDescent="0.2">
      <c r="J118" t="s">
        <v>330</v>
      </c>
      <c r="K118" t="s">
        <v>331</v>
      </c>
      <c r="AM118" t="str">
        <f t="shared" si="1"/>
        <v>Adventure [GYANT]</v>
      </c>
      <c r="AN118" t="s">
        <v>15631</v>
      </c>
      <c r="AO118" t="s">
        <v>15632</v>
      </c>
      <c r="AP118" t="s">
        <v>33111</v>
      </c>
      <c r="AQ118" t="s">
        <v>32937</v>
      </c>
      <c r="AS118" t="s">
        <v>13254</v>
      </c>
      <c r="AT118" t="s">
        <v>13255</v>
      </c>
    </row>
    <row r="119" spans="10:46" ht="12" customHeight="1" x14ac:dyDescent="0.2">
      <c r="J119" t="s">
        <v>332</v>
      </c>
      <c r="K119" t="s">
        <v>333</v>
      </c>
      <c r="AM119" t="str">
        <f t="shared" si="1"/>
        <v>Aegina [GRAEG]</v>
      </c>
      <c r="AN119" t="s">
        <v>15083</v>
      </c>
      <c r="AO119" t="s">
        <v>15084</v>
      </c>
      <c r="AP119" t="s">
        <v>33112</v>
      </c>
      <c r="AQ119" t="s">
        <v>32942</v>
      </c>
      <c r="AS119" t="s">
        <v>13258</v>
      </c>
      <c r="AT119" t="s">
        <v>13259</v>
      </c>
    </row>
    <row r="120" spans="10:46" ht="12" customHeight="1" x14ac:dyDescent="0.2">
      <c r="J120" t="s">
        <v>324</v>
      </c>
      <c r="K120" t="s">
        <v>325</v>
      </c>
      <c r="AM120" t="str">
        <f t="shared" si="1"/>
        <v>Aegna [EEAEN]</v>
      </c>
      <c r="AN120" t="s">
        <v>9133</v>
      </c>
      <c r="AO120" t="s">
        <v>9134</v>
      </c>
      <c r="AP120" t="s">
        <v>33113</v>
      </c>
      <c r="AQ120" t="s">
        <v>33256</v>
      </c>
      <c r="AS120" t="s">
        <v>13262</v>
      </c>
      <c r="AT120" t="s">
        <v>13263</v>
      </c>
    </row>
    <row r="121" spans="10:46" ht="12" customHeight="1" x14ac:dyDescent="0.2">
      <c r="J121" t="s">
        <v>338</v>
      </c>
      <c r="K121" t="s">
        <v>339</v>
      </c>
      <c r="AM121" t="str">
        <f t="shared" si="1"/>
        <v>Aeugst am Albis [CHXRE]</v>
      </c>
      <c r="AN121" t="s">
        <v>4646</v>
      </c>
      <c r="AO121" t="s">
        <v>4647</v>
      </c>
      <c r="AP121" t="s">
        <v>230</v>
      </c>
      <c r="AQ121" t="s">
        <v>32945</v>
      </c>
      <c r="AS121" t="s">
        <v>13272</v>
      </c>
      <c r="AT121" t="s">
        <v>13273</v>
      </c>
    </row>
    <row r="122" spans="10:46" ht="12" customHeight="1" x14ac:dyDescent="0.2">
      <c r="J122" t="s">
        <v>363</v>
      </c>
      <c r="K122" t="s">
        <v>364</v>
      </c>
      <c r="AM122" t="str">
        <f t="shared" si="1"/>
        <v>Aewol [KRAWL]</v>
      </c>
      <c r="AN122" t="s">
        <v>21600</v>
      </c>
      <c r="AO122" t="s">
        <v>21601</v>
      </c>
      <c r="AP122" t="s">
        <v>33114</v>
      </c>
      <c r="AQ122" t="s">
        <v>32944</v>
      </c>
      <c r="AS122" t="s">
        <v>13283</v>
      </c>
      <c r="AT122" t="s">
        <v>13284</v>
      </c>
    </row>
    <row r="123" spans="10:46" ht="12" customHeight="1" x14ac:dyDescent="0.2">
      <c r="J123" t="s">
        <v>351</v>
      </c>
      <c r="K123" t="s">
        <v>352</v>
      </c>
      <c r="AM123" t="str">
        <f t="shared" si="1"/>
        <v>Afjord [NOAAF]</v>
      </c>
      <c r="AN123" t="s">
        <v>23822</v>
      </c>
      <c r="AO123" t="s">
        <v>36113</v>
      </c>
      <c r="AP123" t="s">
        <v>226</v>
      </c>
      <c r="AQ123" t="s">
        <v>32943</v>
      </c>
      <c r="AS123" t="s">
        <v>13287</v>
      </c>
      <c r="AT123" t="s">
        <v>13288</v>
      </c>
    </row>
    <row r="124" spans="10:46" ht="12" customHeight="1" x14ac:dyDescent="0.2">
      <c r="J124" t="s">
        <v>346</v>
      </c>
      <c r="K124" t="s">
        <v>347</v>
      </c>
      <c r="AM124" t="str">
        <f t="shared" si="1"/>
        <v>Afognak [USAFK]</v>
      </c>
      <c r="AN124" t="s">
        <v>28797</v>
      </c>
      <c r="AO124" t="s">
        <v>28798</v>
      </c>
      <c r="AP124" t="s">
        <v>234</v>
      </c>
      <c r="AQ124" t="s">
        <v>32946</v>
      </c>
      <c r="AS124" t="s">
        <v>13289</v>
      </c>
      <c r="AT124" t="s">
        <v>13290</v>
      </c>
    </row>
    <row r="125" spans="10:46" ht="12" customHeight="1" x14ac:dyDescent="0.2">
      <c r="J125" t="s">
        <v>353</v>
      </c>
      <c r="K125" t="s">
        <v>354</v>
      </c>
      <c r="AM125" t="str">
        <f t="shared" si="1"/>
        <v>Afsnee [BEAFN]</v>
      </c>
      <c r="AN125" t="s">
        <v>2214</v>
      </c>
      <c r="AO125" t="s">
        <v>2215</v>
      </c>
      <c r="AP125" t="s">
        <v>33115</v>
      </c>
      <c r="AQ125" t="s">
        <v>33257</v>
      </c>
      <c r="AS125" t="s">
        <v>13295</v>
      </c>
      <c r="AT125" t="s">
        <v>13296</v>
      </c>
    </row>
    <row r="126" spans="10:46" ht="12" customHeight="1" x14ac:dyDescent="0.2">
      <c r="J126" t="s">
        <v>302</v>
      </c>
      <c r="K126" t="s">
        <v>301</v>
      </c>
      <c r="AM126" t="str">
        <f t="shared" si="1"/>
        <v>Afton [USAF5]</v>
      </c>
      <c r="AN126" t="s">
        <v>28799</v>
      </c>
      <c r="AO126" t="s">
        <v>28800</v>
      </c>
      <c r="AP126" t="s">
        <v>33116</v>
      </c>
      <c r="AQ126" t="s">
        <v>33258</v>
      </c>
      <c r="AS126" t="s">
        <v>13299</v>
      </c>
      <c r="AT126" t="s">
        <v>13300</v>
      </c>
    </row>
    <row r="127" spans="10:46" ht="12" customHeight="1" x14ac:dyDescent="0.2">
      <c r="J127" t="s">
        <v>300</v>
      </c>
      <c r="K127" t="s">
        <v>301</v>
      </c>
      <c r="AM127" t="str">
        <f t="shared" si="1"/>
        <v>Agadir [MAAGA]</v>
      </c>
      <c r="AN127" t="s">
        <v>22018</v>
      </c>
      <c r="AO127" t="s">
        <v>22019</v>
      </c>
      <c r="AP127" t="s">
        <v>33117</v>
      </c>
      <c r="AQ127" t="s">
        <v>33041</v>
      </c>
      <c r="AS127" t="s">
        <v>13305</v>
      </c>
      <c r="AT127" t="s">
        <v>1710</v>
      </c>
    </row>
    <row r="128" spans="10:46" ht="12" customHeight="1" x14ac:dyDescent="0.2">
      <c r="J128" t="s">
        <v>357</v>
      </c>
      <c r="K128" t="s">
        <v>358</v>
      </c>
      <c r="AM128" t="str">
        <f t="shared" si="1"/>
        <v>Agaete [ESAGA]</v>
      </c>
      <c r="AN128" t="s">
        <v>9560</v>
      </c>
      <c r="AO128" t="s">
        <v>9561</v>
      </c>
      <c r="AP128" t="s">
        <v>33118</v>
      </c>
      <c r="AQ128" t="s">
        <v>32947</v>
      </c>
      <c r="AS128" t="s">
        <v>13310</v>
      </c>
      <c r="AT128" t="s">
        <v>13311</v>
      </c>
    </row>
    <row r="129" spans="10:46" ht="12" customHeight="1" x14ac:dyDescent="0.2">
      <c r="J129" t="s">
        <v>359</v>
      </c>
      <c r="K129" t="s">
        <v>360</v>
      </c>
      <c r="AM129" t="str">
        <f t="shared" si="1"/>
        <v>Agathonisi [GRAGN]</v>
      </c>
      <c r="AN129" t="s">
        <v>15085</v>
      </c>
      <c r="AO129" t="s">
        <v>15086</v>
      </c>
      <c r="AP129" t="s">
        <v>33119</v>
      </c>
      <c r="AQ129" t="s">
        <v>32952</v>
      </c>
      <c r="AS129" t="s">
        <v>13314</v>
      </c>
      <c r="AT129" t="s">
        <v>32798</v>
      </c>
    </row>
    <row r="130" spans="10:46" ht="12" customHeight="1" x14ac:dyDescent="0.2">
      <c r="J130" t="s">
        <v>344</v>
      </c>
      <c r="K130" t="s">
        <v>345</v>
      </c>
      <c r="AM130" t="str">
        <f t="shared" si="1"/>
        <v>Agbami [NGABM]</v>
      </c>
      <c r="AN130" t="s">
        <v>22905</v>
      </c>
      <c r="AO130" t="s">
        <v>22906</v>
      </c>
      <c r="AP130" t="s">
        <v>33120</v>
      </c>
      <c r="AQ130" t="s">
        <v>32949</v>
      </c>
      <c r="AS130" t="s">
        <v>13316</v>
      </c>
      <c r="AT130" t="s">
        <v>32799</v>
      </c>
    </row>
    <row r="131" spans="10:46" ht="12" customHeight="1" x14ac:dyDescent="0.2">
      <c r="J131" t="s">
        <v>361</v>
      </c>
      <c r="K131" t="s">
        <v>362</v>
      </c>
      <c r="AM131" t="str">
        <f t="shared" ref="AM131:AM194" si="2">AO131 &amp; " [" &amp; AN131 &amp; "]"</f>
        <v>Agdenes [NOAGD]</v>
      </c>
      <c r="AN131" t="s">
        <v>23823</v>
      </c>
      <c r="AO131" t="s">
        <v>23824</v>
      </c>
      <c r="AP131" t="s">
        <v>33121</v>
      </c>
      <c r="AQ131" t="s">
        <v>32931</v>
      </c>
      <c r="AS131" t="s">
        <v>13318</v>
      </c>
      <c r="AT131" t="s">
        <v>32800</v>
      </c>
    </row>
    <row r="132" spans="10:46" ht="12" customHeight="1" x14ac:dyDescent="0.2">
      <c r="J132" t="s">
        <v>348</v>
      </c>
      <c r="K132" t="s">
        <v>349</v>
      </c>
      <c r="AM132" t="str">
        <f t="shared" si="2"/>
        <v>Agen [FRAGF]</v>
      </c>
      <c r="AN132" t="s">
        <v>10712</v>
      </c>
      <c r="AO132" t="s">
        <v>10713</v>
      </c>
      <c r="AP132" t="s">
        <v>33122</v>
      </c>
      <c r="AQ132" t="s">
        <v>32950</v>
      </c>
      <c r="AS132" t="s">
        <v>13324</v>
      </c>
      <c r="AT132" t="s">
        <v>13325</v>
      </c>
    </row>
    <row r="133" spans="10:46" ht="12" customHeight="1" x14ac:dyDescent="0.2">
      <c r="J133" t="s">
        <v>365</v>
      </c>
      <c r="K133" t="s">
        <v>366</v>
      </c>
      <c r="AM133" t="str">
        <f t="shared" si="2"/>
        <v>Agenosho [JPAGN]</v>
      </c>
      <c r="AN133" t="s">
        <v>18479</v>
      </c>
      <c r="AO133" t="s">
        <v>18480</v>
      </c>
      <c r="AP133" t="s">
        <v>238</v>
      </c>
      <c r="AQ133" t="s">
        <v>14975</v>
      </c>
      <c r="AS133" t="s">
        <v>13328</v>
      </c>
      <c r="AT133" t="s">
        <v>32801</v>
      </c>
    </row>
    <row r="134" spans="10:46" ht="12" customHeight="1" x14ac:dyDescent="0.2">
      <c r="J134" t="s">
        <v>355</v>
      </c>
      <c r="K134" t="s">
        <v>356</v>
      </c>
      <c r="AM134" t="str">
        <f t="shared" si="2"/>
        <v>Agerso [DKAGO]</v>
      </c>
      <c r="AN134" t="s">
        <v>8600</v>
      </c>
      <c r="AO134" t="s">
        <v>35520</v>
      </c>
      <c r="AP134" t="s">
        <v>33123</v>
      </c>
      <c r="AQ134" t="s">
        <v>32955</v>
      </c>
      <c r="AS134" t="s">
        <v>13338</v>
      </c>
      <c r="AT134" t="s">
        <v>32802</v>
      </c>
    </row>
    <row r="135" spans="10:46" ht="12" customHeight="1" x14ac:dyDescent="0.2">
      <c r="J135" t="s">
        <v>274</v>
      </c>
      <c r="K135" t="s">
        <v>275</v>
      </c>
      <c r="AM135" t="str">
        <f t="shared" si="2"/>
        <v>Ageshima [JPAGS]</v>
      </c>
      <c r="AN135" t="s">
        <v>18481</v>
      </c>
      <c r="AO135" t="s">
        <v>18482</v>
      </c>
      <c r="AP135" t="s">
        <v>33124</v>
      </c>
      <c r="AQ135" t="s">
        <v>32951</v>
      </c>
      <c r="AS135" t="s">
        <v>13342</v>
      </c>
      <c r="AT135" t="s">
        <v>32803</v>
      </c>
    </row>
    <row r="136" spans="10:46" ht="12" customHeight="1" x14ac:dyDescent="0.2">
      <c r="J136" t="s">
        <v>377</v>
      </c>
      <c r="K136" t="s">
        <v>378</v>
      </c>
      <c r="AM136" t="str">
        <f t="shared" si="2"/>
        <v>Agger Havn [DKAGH]</v>
      </c>
      <c r="AN136" t="s">
        <v>8601</v>
      </c>
      <c r="AO136" t="s">
        <v>8602</v>
      </c>
      <c r="AP136" t="s">
        <v>33125</v>
      </c>
      <c r="AQ136" t="s">
        <v>32948</v>
      </c>
      <c r="AS136" t="s">
        <v>13352</v>
      </c>
      <c r="AT136" t="s">
        <v>13353</v>
      </c>
    </row>
    <row r="137" spans="10:46" ht="12" customHeight="1" x14ac:dyDescent="0.2">
      <c r="J137" t="s">
        <v>367</v>
      </c>
      <c r="K137" t="s">
        <v>368</v>
      </c>
      <c r="AM137" t="str">
        <f t="shared" si="2"/>
        <v>Aggersund [DKASH]</v>
      </c>
      <c r="AN137" t="s">
        <v>8603</v>
      </c>
      <c r="AO137" t="s">
        <v>8604</v>
      </c>
      <c r="AP137" t="s">
        <v>33126</v>
      </c>
      <c r="AQ137" t="s">
        <v>33259</v>
      </c>
      <c r="AS137" t="s">
        <v>13356</v>
      </c>
      <c r="AT137" t="s">
        <v>32804</v>
      </c>
    </row>
    <row r="138" spans="10:46" ht="12" customHeight="1" x14ac:dyDescent="0.2">
      <c r="J138" t="s">
        <v>371</v>
      </c>
      <c r="K138" t="s">
        <v>372</v>
      </c>
      <c r="AM138" t="str">
        <f t="shared" si="2"/>
        <v>Agia Efimia [GRAEF]</v>
      </c>
      <c r="AN138" t="s">
        <v>15087</v>
      </c>
      <c r="AO138" t="s">
        <v>15088</v>
      </c>
      <c r="AP138" t="s">
        <v>33127</v>
      </c>
      <c r="AQ138" t="s">
        <v>15616</v>
      </c>
      <c r="AS138" t="s">
        <v>13383</v>
      </c>
      <c r="AT138" t="s">
        <v>32805</v>
      </c>
    </row>
    <row r="139" spans="10:46" ht="12" customHeight="1" x14ac:dyDescent="0.2">
      <c r="J139" t="s">
        <v>385</v>
      </c>
      <c r="K139" t="s">
        <v>386</v>
      </c>
      <c r="AM139" t="str">
        <f t="shared" si="2"/>
        <v>Agia Kyriaki (Trikeri Magnisia) [GRAKM]</v>
      </c>
      <c r="AN139" t="s">
        <v>15089</v>
      </c>
      <c r="AO139" t="s">
        <v>15090</v>
      </c>
      <c r="AP139" t="s">
        <v>33128</v>
      </c>
      <c r="AQ139" t="s">
        <v>32956</v>
      </c>
      <c r="AS139" t="s">
        <v>13391</v>
      </c>
      <c r="AT139" t="s">
        <v>13392</v>
      </c>
    </row>
    <row r="140" spans="10:46" ht="12" customHeight="1" x14ac:dyDescent="0.2">
      <c r="K140" t="s">
        <v>37210</v>
      </c>
      <c r="AM140" t="str">
        <f t="shared" si="2"/>
        <v>Agia Marina Aiginas [GRAMR]</v>
      </c>
      <c r="AN140" t="s">
        <v>15091</v>
      </c>
      <c r="AO140" t="s">
        <v>15092</v>
      </c>
      <c r="AP140" t="s">
        <v>33129</v>
      </c>
      <c r="AQ140" t="s">
        <v>14948</v>
      </c>
      <c r="AS140" t="s">
        <v>13399</v>
      </c>
      <c r="AT140" t="s">
        <v>32806</v>
      </c>
    </row>
    <row r="141" spans="10:46" ht="12" customHeight="1" x14ac:dyDescent="0.2">
      <c r="AM141" t="str">
        <f t="shared" si="2"/>
        <v>Agia Marina Fthiotidas [GRAGM]</v>
      </c>
      <c r="AN141" t="s">
        <v>15093</v>
      </c>
      <c r="AO141" t="s">
        <v>15094</v>
      </c>
      <c r="AP141" t="s">
        <v>33130</v>
      </c>
      <c r="AQ141" t="s">
        <v>32953</v>
      </c>
      <c r="AS141" t="s">
        <v>13407</v>
      </c>
      <c r="AT141" t="s">
        <v>13408</v>
      </c>
    </row>
    <row r="142" spans="10:46" ht="12" customHeight="1" x14ac:dyDescent="0.2">
      <c r="AM142" t="str">
        <f t="shared" si="2"/>
        <v>Agia Marina Grammatikou Attikis [GRGMA]</v>
      </c>
      <c r="AN142" t="s">
        <v>15095</v>
      </c>
      <c r="AO142" t="s">
        <v>15096</v>
      </c>
      <c r="AP142" t="s">
        <v>33131</v>
      </c>
      <c r="AQ142" t="s">
        <v>33260</v>
      </c>
      <c r="AS142" t="s">
        <v>13409</v>
      </c>
      <c r="AT142" t="s">
        <v>13410</v>
      </c>
    </row>
    <row r="143" spans="10:46" ht="12" customHeight="1" x14ac:dyDescent="0.2">
      <c r="AM143" t="str">
        <f t="shared" si="2"/>
        <v>Agia Marina Lerou [GRAML]</v>
      </c>
      <c r="AN143" t="s">
        <v>15097</v>
      </c>
      <c r="AO143" t="s">
        <v>15098</v>
      </c>
      <c r="AP143" t="s">
        <v>33132</v>
      </c>
      <c r="AQ143" t="s">
        <v>32957</v>
      </c>
      <c r="AS143" t="s">
        <v>13423</v>
      </c>
      <c r="AT143" t="s">
        <v>13424</v>
      </c>
    </row>
    <row r="144" spans="10:46" ht="12" customHeight="1" x14ac:dyDescent="0.2">
      <c r="AM144" t="str">
        <f t="shared" si="2"/>
        <v>Agia Pelagia [GRAPE]</v>
      </c>
      <c r="AN144" t="s">
        <v>15099</v>
      </c>
      <c r="AO144" t="s">
        <v>35872</v>
      </c>
      <c r="AP144" t="s">
        <v>33133</v>
      </c>
      <c r="AQ144" t="s">
        <v>32960</v>
      </c>
      <c r="AS144" t="s">
        <v>13425</v>
      </c>
      <c r="AT144" t="s">
        <v>32807</v>
      </c>
    </row>
    <row r="145" spans="39:46" ht="12" customHeight="1" x14ac:dyDescent="0.2">
      <c r="AM145" t="str">
        <f t="shared" si="2"/>
        <v>Agia Roumeli [GRROU]</v>
      </c>
      <c r="AN145" t="s">
        <v>15100</v>
      </c>
      <c r="AO145" t="s">
        <v>15101</v>
      </c>
      <c r="AP145" t="s">
        <v>33134</v>
      </c>
      <c r="AQ145" t="s">
        <v>33261</v>
      </c>
      <c r="AS145" t="s">
        <v>13431</v>
      </c>
      <c r="AT145" t="s">
        <v>32808</v>
      </c>
    </row>
    <row r="146" spans="39:46" ht="12" customHeight="1" x14ac:dyDescent="0.2">
      <c r="AM146" t="str">
        <f t="shared" si="2"/>
        <v>Agigea [ROAGI]</v>
      </c>
      <c r="AN146" t="s">
        <v>26718</v>
      </c>
      <c r="AO146" t="s">
        <v>26719</v>
      </c>
      <c r="AP146" t="s">
        <v>368</v>
      </c>
      <c r="AQ146" t="s">
        <v>33262</v>
      </c>
      <c r="AS146" t="s">
        <v>13441</v>
      </c>
      <c r="AT146" t="s">
        <v>13442</v>
      </c>
    </row>
    <row r="147" spans="39:46" ht="12" customHeight="1" x14ac:dyDescent="0.2">
      <c r="AM147" t="str">
        <f t="shared" si="2"/>
        <v>Agio Theodoroi [GRAGT]</v>
      </c>
      <c r="AN147" t="s">
        <v>15102</v>
      </c>
      <c r="AO147" t="s">
        <v>15103</v>
      </c>
      <c r="AP147" t="s">
        <v>33135</v>
      </c>
      <c r="AQ147" t="s">
        <v>32958</v>
      </c>
      <c r="AS147" t="s">
        <v>13447</v>
      </c>
      <c r="AT147" t="s">
        <v>13448</v>
      </c>
    </row>
    <row r="148" spans="39:46" ht="12" customHeight="1" x14ac:dyDescent="0.2">
      <c r="AM148" t="str">
        <f t="shared" si="2"/>
        <v>Agiokampos Larissas [GRAGK]</v>
      </c>
      <c r="AN148" t="s">
        <v>15104</v>
      </c>
      <c r="AO148" t="s">
        <v>15105</v>
      </c>
      <c r="AP148" t="s">
        <v>33136</v>
      </c>
      <c r="AQ148" t="s">
        <v>15651</v>
      </c>
      <c r="AS148" t="s">
        <v>13455</v>
      </c>
      <c r="AT148" t="s">
        <v>13456</v>
      </c>
    </row>
    <row r="149" spans="39:46" ht="12" customHeight="1" x14ac:dyDescent="0.2">
      <c r="AM149" t="str">
        <f t="shared" si="2"/>
        <v>Agios Efstratios [GRAGO]</v>
      </c>
      <c r="AN149" t="s">
        <v>15106</v>
      </c>
      <c r="AO149" t="s">
        <v>35873</v>
      </c>
      <c r="AP149" t="s">
        <v>33137</v>
      </c>
      <c r="AQ149" t="s">
        <v>32961</v>
      </c>
      <c r="AS149" t="s">
        <v>13457</v>
      </c>
      <c r="AT149" t="s">
        <v>13458</v>
      </c>
    </row>
    <row r="150" spans="39:46" ht="12" customHeight="1" x14ac:dyDescent="0.2">
      <c r="AM150" t="str">
        <f t="shared" si="2"/>
        <v>Agios Georgios [GRAGE]</v>
      </c>
      <c r="AN150" t="s">
        <v>15107</v>
      </c>
      <c r="AO150" t="s">
        <v>15108</v>
      </c>
      <c r="AP150" t="s">
        <v>33138</v>
      </c>
      <c r="AQ150" t="s">
        <v>32968</v>
      </c>
      <c r="AS150" t="s">
        <v>13469</v>
      </c>
      <c r="AT150" t="s">
        <v>13470</v>
      </c>
    </row>
    <row r="151" spans="39:46" ht="12" customHeight="1" x14ac:dyDescent="0.2">
      <c r="AM151" t="str">
        <f t="shared" si="2"/>
        <v>Agios Kirykos [GRAKI]</v>
      </c>
      <c r="AN151" t="s">
        <v>15109</v>
      </c>
      <c r="AO151" t="s">
        <v>35874</v>
      </c>
      <c r="AP151" t="s">
        <v>246</v>
      </c>
      <c r="AQ151" t="s">
        <v>32965</v>
      </c>
      <c r="AS151" t="s">
        <v>13471</v>
      </c>
      <c r="AT151" t="s">
        <v>13472</v>
      </c>
    </row>
    <row r="152" spans="39:46" ht="12" customHeight="1" x14ac:dyDescent="0.2">
      <c r="AM152" t="str">
        <f t="shared" si="2"/>
        <v>Agios Konstantinos [GRAKO]</v>
      </c>
      <c r="AN152" t="s">
        <v>15110</v>
      </c>
      <c r="AO152" t="s">
        <v>35875</v>
      </c>
      <c r="AP152" t="s">
        <v>33139</v>
      </c>
      <c r="AQ152" t="s">
        <v>32962</v>
      </c>
      <c r="AS152" t="s">
        <v>13473</v>
      </c>
      <c r="AT152" t="s">
        <v>13474</v>
      </c>
    </row>
    <row r="153" spans="39:46" ht="12" customHeight="1" x14ac:dyDescent="0.2">
      <c r="AM153" t="str">
        <f t="shared" si="2"/>
        <v>Agios Nikolaos Fokidas [GRAGF]</v>
      </c>
      <c r="AN153" t="s">
        <v>15111</v>
      </c>
      <c r="AO153" t="s">
        <v>15112</v>
      </c>
      <c r="AP153" t="s">
        <v>33140</v>
      </c>
      <c r="AQ153" t="s">
        <v>33263</v>
      </c>
      <c r="AS153" t="s">
        <v>13475</v>
      </c>
      <c r="AT153" t="s">
        <v>13476</v>
      </c>
    </row>
    <row r="154" spans="39:46" ht="12" customHeight="1" x14ac:dyDescent="0.2">
      <c r="AM154" t="str">
        <f t="shared" si="2"/>
        <v>Agios Nikolaos, Kriti [GRANI]</v>
      </c>
      <c r="AN154" t="s">
        <v>15113</v>
      </c>
      <c r="AO154" t="s">
        <v>35876</v>
      </c>
      <c r="AP154" t="s">
        <v>33141</v>
      </c>
      <c r="AQ154" t="s">
        <v>32967</v>
      </c>
      <c r="AS154" t="s">
        <v>13479</v>
      </c>
      <c r="AT154" t="s">
        <v>13480</v>
      </c>
    </row>
    <row r="155" spans="39:46" ht="12" customHeight="1" x14ac:dyDescent="0.2">
      <c r="AM155" t="str">
        <f t="shared" si="2"/>
        <v>Agios Stefanos Corfu [GRASF]</v>
      </c>
      <c r="AN155" t="s">
        <v>15114</v>
      </c>
      <c r="AO155" t="s">
        <v>15115</v>
      </c>
      <c r="AP155" t="s">
        <v>33142</v>
      </c>
      <c r="AQ155" t="s">
        <v>32963</v>
      </c>
      <c r="AS155" t="s">
        <v>13481</v>
      </c>
      <c r="AT155" t="s">
        <v>1752</v>
      </c>
    </row>
    <row r="156" spans="39:46" ht="12" customHeight="1" x14ac:dyDescent="0.2">
      <c r="AM156" t="str">
        <f t="shared" si="2"/>
        <v>Agistri Aiginas [GRAGG]</v>
      </c>
      <c r="AN156" t="s">
        <v>15116</v>
      </c>
      <c r="AO156" t="s">
        <v>15117</v>
      </c>
      <c r="AP156" t="s">
        <v>33076</v>
      </c>
      <c r="AQ156" t="s">
        <v>33264</v>
      </c>
      <c r="AS156" t="s">
        <v>33354</v>
      </c>
      <c r="AT156" t="s">
        <v>33355</v>
      </c>
    </row>
    <row r="157" spans="39:46" ht="12" customHeight="1" x14ac:dyDescent="0.2">
      <c r="AM157" t="str">
        <f t="shared" si="2"/>
        <v>Agnefest [NOAFT]</v>
      </c>
      <c r="AN157" t="s">
        <v>23825</v>
      </c>
      <c r="AO157" t="s">
        <v>23826</v>
      </c>
      <c r="AP157" t="s">
        <v>33143</v>
      </c>
      <c r="AQ157" t="s">
        <v>32964</v>
      </c>
      <c r="AS157" t="s">
        <v>13489</v>
      </c>
      <c r="AT157" t="s">
        <v>13490</v>
      </c>
    </row>
    <row r="158" spans="39:46" ht="12" customHeight="1" x14ac:dyDescent="0.2">
      <c r="AM158" t="str">
        <f t="shared" si="2"/>
        <v>Agnesberg [SEAGB]</v>
      </c>
      <c r="AN158" t="s">
        <v>27477</v>
      </c>
      <c r="AO158" t="s">
        <v>27478</v>
      </c>
      <c r="AP158" t="s">
        <v>33144</v>
      </c>
      <c r="AQ158" t="s">
        <v>32969</v>
      </c>
      <c r="AS158" t="s">
        <v>14400</v>
      </c>
      <c r="AT158" t="s">
        <v>32809</v>
      </c>
    </row>
    <row r="159" spans="39:46" ht="12" customHeight="1" x14ac:dyDescent="0.2">
      <c r="AM159" t="str">
        <f t="shared" si="2"/>
        <v>Agnontas Skopelos [GRANL]</v>
      </c>
      <c r="AN159" t="s">
        <v>15118</v>
      </c>
      <c r="AO159" t="s">
        <v>15119</v>
      </c>
      <c r="AP159" t="s">
        <v>33145</v>
      </c>
      <c r="AQ159" t="s">
        <v>30210</v>
      </c>
      <c r="AS159" t="s">
        <v>13439</v>
      </c>
      <c r="AT159" t="s">
        <v>32810</v>
      </c>
    </row>
    <row r="160" spans="39:46" ht="12" customHeight="1" x14ac:dyDescent="0.2">
      <c r="AM160" t="str">
        <f t="shared" si="2"/>
        <v>Agonoura [JPAGR]</v>
      </c>
      <c r="AN160" t="s">
        <v>18483</v>
      </c>
      <c r="AO160" t="s">
        <v>18484</v>
      </c>
      <c r="AP160" t="s">
        <v>33146</v>
      </c>
      <c r="AQ160" t="s">
        <v>32971</v>
      </c>
      <c r="AS160" t="s">
        <v>14726</v>
      </c>
      <c r="AT160" t="s">
        <v>32811</v>
      </c>
    </row>
    <row r="161" spans="39:46" ht="12" customHeight="1" x14ac:dyDescent="0.2">
      <c r="AM161" t="str">
        <f t="shared" si="2"/>
        <v>Agotnes [NOAGO]</v>
      </c>
      <c r="AN161" t="s">
        <v>23827</v>
      </c>
      <c r="AO161" t="s">
        <v>36114</v>
      </c>
      <c r="AP161" t="s">
        <v>33147</v>
      </c>
      <c r="AQ161" t="s">
        <v>33265</v>
      </c>
      <c r="AS161" t="s">
        <v>13509</v>
      </c>
      <c r="AT161" t="s">
        <v>32812</v>
      </c>
    </row>
    <row r="162" spans="39:46" ht="12" customHeight="1" x14ac:dyDescent="0.2">
      <c r="AM162" t="str">
        <f t="shared" si="2"/>
        <v>Agrelo [ARGEO]</v>
      </c>
      <c r="AN162" t="s">
        <v>975</v>
      </c>
      <c r="AO162" t="s">
        <v>976</v>
      </c>
      <c r="AP162" t="s">
        <v>33148</v>
      </c>
      <c r="AQ162" t="s">
        <v>32970</v>
      </c>
      <c r="AS162" t="s">
        <v>13517</v>
      </c>
      <c r="AT162" t="s">
        <v>13518</v>
      </c>
    </row>
    <row r="163" spans="39:46" ht="12" customHeight="1" x14ac:dyDescent="0.2">
      <c r="AM163" t="str">
        <f t="shared" si="2"/>
        <v>Agria [GRAGA]</v>
      </c>
      <c r="AN163" t="s">
        <v>15120</v>
      </c>
      <c r="AO163" t="s">
        <v>35877</v>
      </c>
      <c r="AP163" t="s">
        <v>33149</v>
      </c>
      <c r="AQ163" t="s">
        <v>32978</v>
      </c>
      <c r="AS163" t="s">
        <v>13525</v>
      </c>
      <c r="AT163" t="s">
        <v>13526</v>
      </c>
    </row>
    <row r="164" spans="39:46" ht="12" customHeight="1" x14ac:dyDescent="0.2">
      <c r="AM164" t="str">
        <f t="shared" si="2"/>
        <v>Agropoli [ITAGP]</v>
      </c>
      <c r="AN164" t="s">
        <v>17791</v>
      </c>
      <c r="AO164" t="s">
        <v>17792</v>
      </c>
      <c r="AP164" t="s">
        <v>33150</v>
      </c>
      <c r="AQ164" t="s">
        <v>32972</v>
      </c>
      <c r="AS164" t="s">
        <v>13533</v>
      </c>
      <c r="AT164" t="s">
        <v>13534</v>
      </c>
    </row>
    <row r="165" spans="39:46" ht="12" customHeight="1" x14ac:dyDescent="0.2">
      <c r="AM165" t="str">
        <f t="shared" si="2"/>
        <v>Agskardet [NOAGK]</v>
      </c>
      <c r="AN165" t="s">
        <v>23828</v>
      </c>
      <c r="AO165" t="s">
        <v>36115</v>
      </c>
      <c r="AP165" t="s">
        <v>33151</v>
      </c>
      <c r="AQ165" t="s">
        <v>32975</v>
      </c>
      <c r="AS165" t="s">
        <v>13541</v>
      </c>
      <c r="AT165" t="s">
        <v>13542</v>
      </c>
    </row>
    <row r="166" spans="39:46" ht="12" customHeight="1" x14ac:dyDescent="0.2">
      <c r="AM166" t="str">
        <f t="shared" si="2"/>
        <v>Agua Prieta [MXAPR]</v>
      </c>
      <c r="AN166" t="s">
        <v>22303</v>
      </c>
      <c r="AO166" t="s">
        <v>22304</v>
      </c>
      <c r="AP166" t="s">
        <v>33152</v>
      </c>
      <c r="AQ166" t="s">
        <v>33266</v>
      </c>
      <c r="AS166" t="s">
        <v>13549</v>
      </c>
      <c r="AT166" t="s">
        <v>32813</v>
      </c>
    </row>
    <row r="167" spans="39:46" ht="12" customHeight="1" x14ac:dyDescent="0.2">
      <c r="AM167" t="str">
        <f t="shared" si="2"/>
        <v>Aguadilla [PRBQN]</v>
      </c>
      <c r="AN167" t="s">
        <v>26415</v>
      </c>
      <c r="AO167" t="s">
        <v>26416</v>
      </c>
      <c r="AP167" t="s">
        <v>33153</v>
      </c>
      <c r="AQ167" t="s">
        <v>33267</v>
      </c>
      <c r="AS167" t="s">
        <v>13553</v>
      </c>
      <c r="AT167" t="s">
        <v>32814</v>
      </c>
    </row>
    <row r="168" spans="39:46" ht="12" customHeight="1" x14ac:dyDescent="0.2">
      <c r="AM168" t="str">
        <f t="shared" si="2"/>
        <v>Aguadulce [PAAGD]</v>
      </c>
      <c r="AN168" t="s">
        <v>25169</v>
      </c>
      <c r="AO168" t="s">
        <v>25170</v>
      </c>
      <c r="AP168" t="s">
        <v>33154</v>
      </c>
      <c r="AQ168" t="s">
        <v>21761</v>
      </c>
      <c r="AS168" t="s">
        <v>13557</v>
      </c>
      <c r="AT168" t="s">
        <v>32815</v>
      </c>
    </row>
    <row r="169" spans="39:46" ht="12" customHeight="1" x14ac:dyDescent="0.2">
      <c r="AM169" t="str">
        <f t="shared" si="2"/>
        <v>Aguathuna [CAAGU]</v>
      </c>
      <c r="AN169" t="s">
        <v>3514</v>
      </c>
      <c r="AO169" t="s">
        <v>3515</v>
      </c>
      <c r="AP169" t="s">
        <v>78</v>
      </c>
      <c r="AQ169" t="s">
        <v>32973</v>
      </c>
      <c r="AS169" t="s">
        <v>13559</v>
      </c>
      <c r="AT169" t="s">
        <v>13560</v>
      </c>
    </row>
    <row r="170" spans="39:46" ht="12" customHeight="1" x14ac:dyDescent="0.2">
      <c r="AM170" t="str">
        <f t="shared" si="2"/>
        <v>Aguda [PTAGD]</v>
      </c>
      <c r="AN170" t="s">
        <v>26437</v>
      </c>
      <c r="AO170" t="s">
        <v>26438</v>
      </c>
      <c r="AP170" t="s">
        <v>33155</v>
      </c>
      <c r="AQ170" t="s">
        <v>33268</v>
      </c>
      <c r="AS170" t="s">
        <v>13569</v>
      </c>
      <c r="AT170" t="s">
        <v>13570</v>
      </c>
    </row>
    <row r="171" spans="39:46" ht="12" customHeight="1" x14ac:dyDescent="0.2">
      <c r="AM171" t="str">
        <f t="shared" si="2"/>
        <v>Aguilas [ESAGU]</v>
      </c>
      <c r="AN171" t="s">
        <v>9562</v>
      </c>
      <c r="AO171" t="s">
        <v>9563</v>
      </c>
      <c r="AP171" t="s">
        <v>33156</v>
      </c>
      <c r="AQ171" t="s">
        <v>32986</v>
      </c>
      <c r="AS171" t="s">
        <v>13573</v>
      </c>
      <c r="AT171" t="s">
        <v>13574</v>
      </c>
    </row>
    <row r="172" spans="39:46" ht="12" customHeight="1" x14ac:dyDescent="0.2">
      <c r="AM172" t="str">
        <f t="shared" si="2"/>
        <v>Aguni [JPAGJ]</v>
      </c>
      <c r="AN172" t="s">
        <v>18485</v>
      </c>
      <c r="AO172" t="s">
        <v>18486</v>
      </c>
      <c r="AP172" t="s">
        <v>33157</v>
      </c>
      <c r="AQ172" t="s">
        <v>32979</v>
      </c>
      <c r="AS172" t="s">
        <v>13579</v>
      </c>
      <c r="AT172" t="s">
        <v>32816</v>
      </c>
    </row>
    <row r="173" spans="39:46" ht="12" customHeight="1" x14ac:dyDescent="0.2">
      <c r="AM173" t="str">
        <f t="shared" si="2"/>
        <v>Aheim [NOAHM]</v>
      </c>
      <c r="AN173" t="s">
        <v>23829</v>
      </c>
      <c r="AO173" t="s">
        <v>36116</v>
      </c>
      <c r="AP173" t="s">
        <v>33158</v>
      </c>
      <c r="AQ173" t="s">
        <v>32984</v>
      </c>
      <c r="AS173" t="s">
        <v>13583</v>
      </c>
      <c r="AT173" t="s">
        <v>13584</v>
      </c>
    </row>
    <row r="174" spans="39:46" ht="12" customHeight="1" x14ac:dyDescent="0.2">
      <c r="AM174" t="str">
        <f t="shared" si="2"/>
        <v>Aheron/Ozamis [PHAHE]</v>
      </c>
      <c r="AN174" t="s">
        <v>25508</v>
      </c>
      <c r="AO174" t="s">
        <v>25509</v>
      </c>
      <c r="AP174" t="s">
        <v>33159</v>
      </c>
      <c r="AQ174" t="s">
        <v>32983</v>
      </c>
      <c r="AS174" t="s">
        <v>13587</v>
      </c>
      <c r="AT174" t="s">
        <v>13588</v>
      </c>
    </row>
    <row r="175" spans="39:46" ht="12" customHeight="1" x14ac:dyDescent="0.2">
      <c r="AM175" t="str">
        <f t="shared" si="2"/>
        <v>Ahioma [PGAHO]</v>
      </c>
      <c r="AN175" t="s">
        <v>25346</v>
      </c>
      <c r="AO175" t="s">
        <v>25347</v>
      </c>
      <c r="AP175" t="s">
        <v>33160</v>
      </c>
      <c r="AQ175" t="s">
        <v>32987</v>
      </c>
      <c r="AS175" t="s">
        <v>13603</v>
      </c>
      <c r="AT175" t="s">
        <v>13604</v>
      </c>
    </row>
    <row r="176" spans="39:46" ht="12" customHeight="1" x14ac:dyDescent="0.2">
      <c r="AM176" t="str">
        <f t="shared" si="2"/>
        <v>Ahlbeck [DEAHC]</v>
      </c>
      <c r="AN176" t="s">
        <v>36852</v>
      </c>
      <c r="AO176" t="s">
        <v>36853</v>
      </c>
      <c r="AP176" t="s">
        <v>33161</v>
      </c>
      <c r="AQ176" t="s">
        <v>32981</v>
      </c>
      <c r="AS176" t="s">
        <v>13609</v>
      </c>
      <c r="AT176" t="s">
        <v>32817</v>
      </c>
    </row>
    <row r="177" spans="39:46" ht="12" customHeight="1" x14ac:dyDescent="0.2">
      <c r="AM177" t="str">
        <f t="shared" si="2"/>
        <v>Ahlhorn [DEAHO]</v>
      </c>
      <c r="AN177" t="s">
        <v>6980</v>
      </c>
      <c r="AO177" t="s">
        <v>6981</v>
      </c>
      <c r="AP177" t="s">
        <v>33162</v>
      </c>
      <c r="AQ177" t="s">
        <v>32985</v>
      </c>
      <c r="AS177" t="s">
        <v>13613</v>
      </c>
      <c r="AT177" t="s">
        <v>13614</v>
      </c>
    </row>
    <row r="178" spans="39:46" ht="12" customHeight="1" x14ac:dyDescent="0.2">
      <c r="AM178" t="str">
        <f t="shared" si="2"/>
        <v>Ahmed Bin Rashid Port [AEARP]</v>
      </c>
      <c r="AN178" t="s">
        <v>707</v>
      </c>
      <c r="AO178" t="s">
        <v>708</v>
      </c>
      <c r="AP178" t="s">
        <v>33163</v>
      </c>
      <c r="AQ178" t="s">
        <v>21909</v>
      </c>
      <c r="AS178" t="s">
        <v>13615</v>
      </c>
      <c r="AT178" t="s">
        <v>13616</v>
      </c>
    </row>
    <row r="179" spans="39:46" ht="12" customHeight="1" x14ac:dyDescent="0.2">
      <c r="AM179" t="str">
        <f t="shared" si="2"/>
        <v>Ahoi Joesadam [EEAHO]</v>
      </c>
      <c r="AN179" t="s">
        <v>34927</v>
      </c>
      <c r="AO179" t="s">
        <v>34928</v>
      </c>
      <c r="AP179" t="s">
        <v>33164</v>
      </c>
      <c r="AQ179" t="s">
        <v>33269</v>
      </c>
      <c r="AS179" t="s">
        <v>13621</v>
      </c>
      <c r="AT179" t="s">
        <v>32818</v>
      </c>
    </row>
    <row r="180" spans="39:46" ht="12" customHeight="1" x14ac:dyDescent="0.2">
      <c r="AM180" t="str">
        <f t="shared" si="2"/>
        <v>Ahurei [PFAHU]</v>
      </c>
      <c r="AN180" t="s">
        <v>25314</v>
      </c>
      <c r="AO180" t="s">
        <v>25315</v>
      </c>
      <c r="AP180" t="s">
        <v>33165</v>
      </c>
      <c r="AQ180" t="s">
        <v>33270</v>
      </c>
      <c r="AS180" t="s">
        <v>13633</v>
      </c>
      <c r="AT180" t="s">
        <v>13634</v>
      </c>
    </row>
    <row r="181" spans="39:46" ht="12" customHeight="1" x14ac:dyDescent="0.2">
      <c r="AM181" t="str">
        <f t="shared" si="2"/>
        <v>Ahus [SEAHU]</v>
      </c>
      <c r="AN181" t="s">
        <v>27479</v>
      </c>
      <c r="AO181" t="s">
        <v>36410</v>
      </c>
      <c r="AP181" t="s">
        <v>33166</v>
      </c>
      <c r="AQ181" t="s">
        <v>32989</v>
      </c>
      <c r="AS181" t="s">
        <v>13635</v>
      </c>
      <c r="AT181" t="s">
        <v>32819</v>
      </c>
    </row>
    <row r="182" spans="39:46" ht="12" customHeight="1" x14ac:dyDescent="0.2">
      <c r="AM182" t="str">
        <f t="shared" si="2"/>
        <v>Ahwar [YEAHW]</v>
      </c>
      <c r="AN182" t="s">
        <v>32630</v>
      </c>
      <c r="AO182" t="s">
        <v>32631</v>
      </c>
      <c r="AP182" t="s">
        <v>33167</v>
      </c>
      <c r="AQ182" t="s">
        <v>33000</v>
      </c>
      <c r="AS182" t="s">
        <v>13639</v>
      </c>
      <c r="AT182" t="s">
        <v>32820</v>
      </c>
    </row>
    <row r="183" spans="39:46" ht="12" customHeight="1" x14ac:dyDescent="0.2">
      <c r="AM183" t="str">
        <f t="shared" si="2"/>
        <v>Aiambak [PGAIA]</v>
      </c>
      <c r="AN183" t="s">
        <v>25348</v>
      </c>
      <c r="AO183" t="s">
        <v>25349</v>
      </c>
      <c r="AP183" t="s">
        <v>33168</v>
      </c>
      <c r="AQ183" t="s">
        <v>33001</v>
      </c>
      <c r="AS183" t="s">
        <v>13657</v>
      </c>
      <c r="AT183" t="s">
        <v>13658</v>
      </c>
    </row>
    <row r="184" spans="39:46" ht="12" customHeight="1" x14ac:dyDescent="0.2">
      <c r="AM184" t="str">
        <f t="shared" si="2"/>
        <v>Aidipsou [GRAID]</v>
      </c>
      <c r="AN184" t="s">
        <v>15121</v>
      </c>
      <c r="AO184" t="s">
        <v>15122</v>
      </c>
      <c r="AP184" t="s">
        <v>33169</v>
      </c>
      <c r="AQ184" t="s">
        <v>32999</v>
      </c>
      <c r="AS184" t="s">
        <v>13659</v>
      </c>
      <c r="AT184" t="s">
        <v>13660</v>
      </c>
    </row>
    <row r="185" spans="39:46" ht="12" customHeight="1" x14ac:dyDescent="0.2">
      <c r="AM185" t="str">
        <f t="shared" si="2"/>
        <v>Aigiali Amorgou [GRAIG]</v>
      </c>
      <c r="AN185" t="s">
        <v>15123</v>
      </c>
      <c r="AO185" t="s">
        <v>15124</v>
      </c>
      <c r="AP185" t="s">
        <v>33170</v>
      </c>
      <c r="AQ185" t="s">
        <v>32991</v>
      </c>
      <c r="AS185" t="s">
        <v>13661</v>
      </c>
      <c r="AT185" t="s">
        <v>4042</v>
      </c>
    </row>
    <row r="186" spans="39:46" ht="12" customHeight="1" x14ac:dyDescent="0.2">
      <c r="AM186" t="str">
        <f t="shared" si="2"/>
        <v>Aigion [GRAEN]</v>
      </c>
      <c r="AN186" t="s">
        <v>15125</v>
      </c>
      <c r="AO186" t="s">
        <v>35878</v>
      </c>
      <c r="AP186" t="s">
        <v>271</v>
      </c>
      <c r="AQ186" t="s">
        <v>32997</v>
      </c>
      <c r="AS186" t="s">
        <v>13666</v>
      </c>
      <c r="AT186" t="s">
        <v>32821</v>
      </c>
    </row>
    <row r="187" spans="39:46" ht="12" customHeight="1" x14ac:dyDescent="0.2">
      <c r="AM187" t="str">
        <f t="shared" si="2"/>
        <v>Aika [JPAKZ]</v>
      </c>
      <c r="AN187" t="s">
        <v>18487</v>
      </c>
      <c r="AO187" t="s">
        <v>18488</v>
      </c>
      <c r="AP187" t="s">
        <v>33171</v>
      </c>
      <c r="AQ187" t="s">
        <v>32990</v>
      </c>
      <c r="AS187" t="s">
        <v>13672</v>
      </c>
      <c r="AT187" t="s">
        <v>13673</v>
      </c>
    </row>
    <row r="188" spans="39:46" ht="12" customHeight="1" x14ac:dyDescent="0.2">
      <c r="AM188" t="str">
        <f t="shared" si="2"/>
        <v>Aikakita [JPAKI]</v>
      </c>
      <c r="AN188" t="s">
        <v>18489</v>
      </c>
      <c r="AO188" t="s">
        <v>18490</v>
      </c>
      <c r="AP188" t="s">
        <v>33172</v>
      </c>
      <c r="AQ188" t="s">
        <v>33271</v>
      </c>
      <c r="AS188" t="s">
        <v>13696</v>
      </c>
      <c r="AT188" t="s">
        <v>13697</v>
      </c>
    </row>
    <row r="189" spans="39:46" ht="12" customHeight="1" x14ac:dyDescent="0.2">
      <c r="AM189" t="str">
        <f t="shared" si="2"/>
        <v>Aikawa, Nagasaki [JPAIW]</v>
      </c>
      <c r="AN189" t="s">
        <v>18491</v>
      </c>
      <c r="AO189" t="s">
        <v>18492</v>
      </c>
      <c r="AP189" t="s">
        <v>33173</v>
      </c>
      <c r="AQ189" t="s">
        <v>32995</v>
      </c>
      <c r="AS189" t="s">
        <v>13700</v>
      </c>
      <c r="AT189" t="s">
        <v>13701</v>
      </c>
    </row>
    <row r="190" spans="39:46" ht="12" customHeight="1" x14ac:dyDescent="0.2">
      <c r="AM190" t="str">
        <f t="shared" si="2"/>
        <v>Aikawa, Niigata [JPAIK]</v>
      </c>
      <c r="AN190" t="s">
        <v>18493</v>
      </c>
      <c r="AO190" t="s">
        <v>18494</v>
      </c>
      <c r="AP190" t="s">
        <v>33174</v>
      </c>
      <c r="AQ190" t="s">
        <v>32998</v>
      </c>
      <c r="AS190" t="s">
        <v>13704</v>
      </c>
      <c r="AT190" t="s">
        <v>13705</v>
      </c>
    </row>
    <row r="191" spans="39:46" ht="12" customHeight="1" x14ac:dyDescent="0.2">
      <c r="AM191" t="str">
        <f t="shared" si="2"/>
        <v>Ain Sukhna [EGAIS]</v>
      </c>
      <c r="AN191" t="s">
        <v>9440</v>
      </c>
      <c r="AO191" t="s">
        <v>9441</v>
      </c>
      <c r="AP191" t="s">
        <v>33175</v>
      </c>
      <c r="AQ191" t="s">
        <v>33057</v>
      </c>
      <c r="AS191" t="s">
        <v>13708</v>
      </c>
      <c r="AT191" t="s">
        <v>32822</v>
      </c>
    </row>
    <row r="192" spans="39:46" ht="12" customHeight="1" x14ac:dyDescent="0.2">
      <c r="AM192" t="str">
        <f t="shared" si="2"/>
        <v>Ainazi [LVAIN]</v>
      </c>
      <c r="AN192" t="s">
        <v>21917</v>
      </c>
      <c r="AO192" t="s">
        <v>21918</v>
      </c>
      <c r="AP192" t="s">
        <v>273</v>
      </c>
      <c r="AQ192" t="s">
        <v>30604</v>
      </c>
      <c r="AS192" t="s">
        <v>13714</v>
      </c>
      <c r="AT192" t="s">
        <v>13715</v>
      </c>
    </row>
    <row r="193" spans="39:46" ht="12" customHeight="1" x14ac:dyDescent="0.2">
      <c r="AM193" t="str">
        <f t="shared" si="2"/>
        <v>Ainoura/Sasebo [JPAIN]</v>
      </c>
      <c r="AN193" t="s">
        <v>18495</v>
      </c>
      <c r="AO193" t="s">
        <v>18496</v>
      </c>
      <c r="AP193" t="s">
        <v>33176</v>
      </c>
      <c r="AQ193" t="s">
        <v>33272</v>
      </c>
      <c r="AS193" t="s">
        <v>13716</v>
      </c>
      <c r="AT193" t="s">
        <v>32823</v>
      </c>
    </row>
    <row r="194" spans="39:46" ht="12" customHeight="1" x14ac:dyDescent="0.2">
      <c r="AM194" t="str">
        <f t="shared" si="2"/>
        <v>Ainouraaoki/Naru [JPAIA]</v>
      </c>
      <c r="AN194" t="s">
        <v>18497</v>
      </c>
      <c r="AO194" t="s">
        <v>18498</v>
      </c>
      <c r="AP194" t="s">
        <v>33177</v>
      </c>
      <c r="AQ194" t="s">
        <v>33273</v>
      </c>
      <c r="AS194" t="s">
        <v>13718</v>
      </c>
      <c r="AT194" t="s">
        <v>32824</v>
      </c>
    </row>
    <row r="195" spans="39:46" ht="12" customHeight="1" x14ac:dyDescent="0.2">
      <c r="AM195" t="str">
        <f t="shared" ref="AM195:AM258" si="3">AO195 &amp; " [" &amp; AN195 &amp; "]"</f>
        <v>Aio [JPAII]</v>
      </c>
      <c r="AN195" t="s">
        <v>18499</v>
      </c>
      <c r="AO195" t="s">
        <v>18500</v>
      </c>
      <c r="AP195" t="s">
        <v>267</v>
      </c>
      <c r="AQ195" t="s">
        <v>22071</v>
      </c>
      <c r="AS195" t="s">
        <v>13724</v>
      </c>
      <c r="AT195" t="s">
        <v>13725</v>
      </c>
    </row>
    <row r="196" spans="39:46" ht="12" customHeight="1" x14ac:dyDescent="0.2">
      <c r="AM196" t="str">
        <f t="shared" si="3"/>
        <v>Aioi [JPAIO]</v>
      </c>
      <c r="AN196" t="s">
        <v>18501</v>
      </c>
      <c r="AO196" t="s">
        <v>18502</v>
      </c>
      <c r="AP196" t="s">
        <v>33178</v>
      </c>
      <c r="AQ196" t="s">
        <v>32993</v>
      </c>
      <c r="AS196" t="s">
        <v>14668</v>
      </c>
      <c r="AT196" t="s">
        <v>13729</v>
      </c>
    </row>
    <row r="197" spans="39:46" ht="12" customHeight="1" x14ac:dyDescent="0.2">
      <c r="AM197" t="str">
        <f t="shared" si="3"/>
        <v>Aird Ma Ruibhe [GBAMR]</v>
      </c>
      <c r="AN197" t="s">
        <v>12277</v>
      </c>
      <c r="AO197" t="s">
        <v>12278</v>
      </c>
      <c r="AP197" t="s">
        <v>33179</v>
      </c>
      <c r="AQ197" t="s">
        <v>33274</v>
      </c>
      <c r="AS197" s="35" t="s">
        <v>13730</v>
      </c>
      <c r="AT197" s="35" t="s">
        <v>13731</v>
      </c>
    </row>
    <row r="198" spans="39:46" ht="12" customHeight="1" x14ac:dyDescent="0.2">
      <c r="AM198" t="str">
        <f t="shared" si="3"/>
        <v>Aird Mhor (Ardmhor) [GBADM]</v>
      </c>
      <c r="AN198" t="s">
        <v>12279</v>
      </c>
      <c r="AO198" t="s">
        <v>12280</v>
      </c>
      <c r="AP198" t="s">
        <v>269</v>
      </c>
      <c r="AQ198" t="s">
        <v>32996</v>
      </c>
      <c r="AS198" s="35" t="s">
        <v>13748</v>
      </c>
      <c r="AT198" s="35" t="s">
        <v>13749</v>
      </c>
    </row>
    <row r="199" spans="39:46" ht="12" customHeight="1" x14ac:dyDescent="0.2">
      <c r="AM199" t="str">
        <f t="shared" si="3"/>
        <v>Airlie Terminal [AUAIR]</v>
      </c>
      <c r="AN199" t="s">
        <v>1383</v>
      </c>
      <c r="AO199" t="s">
        <v>1384</v>
      </c>
      <c r="AP199" t="s">
        <v>33180</v>
      </c>
      <c r="AQ199" t="s">
        <v>32988</v>
      </c>
      <c r="AS199" s="35" t="s">
        <v>13772</v>
      </c>
      <c r="AT199" s="35" t="s">
        <v>13773</v>
      </c>
    </row>
    <row r="200" spans="39:46" ht="12" customHeight="1" x14ac:dyDescent="0.2">
      <c r="AM200" t="str">
        <f t="shared" si="3"/>
        <v>Aiserey [FRAWS]</v>
      </c>
      <c r="AN200" t="s">
        <v>10714</v>
      </c>
      <c r="AO200" t="s">
        <v>10715</v>
      </c>
      <c r="AP200" t="s">
        <v>33181</v>
      </c>
      <c r="AQ200" t="s">
        <v>33002</v>
      </c>
      <c r="AS200" s="35" t="s">
        <v>13774</v>
      </c>
      <c r="AT200" s="35" t="s">
        <v>32825</v>
      </c>
    </row>
    <row r="201" spans="39:46" ht="12" customHeight="1" x14ac:dyDescent="0.2">
      <c r="AM201" t="str">
        <f t="shared" si="3"/>
        <v>Aishima [JPAIM]</v>
      </c>
      <c r="AN201" t="s">
        <v>18503</v>
      </c>
      <c r="AO201" t="s">
        <v>18504</v>
      </c>
      <c r="AP201" t="s">
        <v>33182</v>
      </c>
      <c r="AQ201" t="s">
        <v>32992</v>
      </c>
      <c r="AS201" s="35" t="s">
        <v>13776</v>
      </c>
      <c r="AT201" s="35" t="s">
        <v>13777</v>
      </c>
    </row>
    <row r="202" spans="39:46" ht="12" customHeight="1" x14ac:dyDescent="0.2">
      <c r="AM202" t="str">
        <f t="shared" si="3"/>
        <v>Ait Melloul [MASMD]</v>
      </c>
      <c r="AN202" t="s">
        <v>22020</v>
      </c>
      <c r="AO202" t="s">
        <v>36081</v>
      </c>
      <c r="AP202" t="s">
        <v>33183</v>
      </c>
      <c r="AQ202" t="s">
        <v>33003</v>
      </c>
      <c r="AS202" s="35" t="s">
        <v>13786</v>
      </c>
      <c r="AT202" s="35" t="s">
        <v>13787</v>
      </c>
    </row>
    <row r="203" spans="39:46" ht="12" customHeight="1" x14ac:dyDescent="0.2">
      <c r="AM203" t="str">
        <f t="shared" si="3"/>
        <v>Aith [GBAIT]</v>
      </c>
      <c r="AN203" t="s">
        <v>12281</v>
      </c>
      <c r="AO203" t="s">
        <v>12282</v>
      </c>
      <c r="AP203" t="s">
        <v>33184</v>
      </c>
      <c r="AQ203" t="s">
        <v>33011</v>
      </c>
      <c r="AS203" s="35" t="s">
        <v>13802</v>
      </c>
      <c r="AT203" s="35" t="s">
        <v>13803</v>
      </c>
    </row>
    <row r="204" spans="39:46" ht="12" customHeight="1" x14ac:dyDescent="0.2">
      <c r="AM204" t="str">
        <f t="shared" si="3"/>
        <v>Aitrach [DEAIT]</v>
      </c>
      <c r="AN204" t="s">
        <v>6982</v>
      </c>
      <c r="AO204" t="s">
        <v>6983</v>
      </c>
      <c r="AP204" t="s">
        <v>33185</v>
      </c>
      <c r="AQ204" t="s">
        <v>33010</v>
      </c>
      <c r="AS204" s="35" t="s">
        <v>13806</v>
      </c>
      <c r="AT204" s="35" t="s">
        <v>32826</v>
      </c>
    </row>
    <row r="205" spans="39:46" ht="12" customHeight="1" x14ac:dyDescent="0.2">
      <c r="AM205" t="str">
        <f t="shared" si="3"/>
        <v>Aitutaki [CKAIT]</v>
      </c>
      <c r="AN205" t="s">
        <v>4797</v>
      </c>
      <c r="AO205" t="s">
        <v>4798</v>
      </c>
      <c r="AP205" t="s">
        <v>33186</v>
      </c>
      <c r="AQ205" t="s">
        <v>33008</v>
      </c>
      <c r="AS205" s="35" t="s">
        <v>13808</v>
      </c>
      <c r="AT205" s="35" t="s">
        <v>13809</v>
      </c>
    </row>
    <row r="206" spans="39:46" ht="12" customHeight="1" x14ac:dyDescent="0.2">
      <c r="AM206" t="str">
        <f t="shared" si="3"/>
        <v>Aizkraukle [LVAIZ]</v>
      </c>
      <c r="AN206" t="s">
        <v>21919</v>
      </c>
      <c r="AO206" t="s">
        <v>21920</v>
      </c>
      <c r="AP206" t="s">
        <v>33187</v>
      </c>
      <c r="AQ206" t="s">
        <v>33275</v>
      </c>
      <c r="AS206" s="35" t="s">
        <v>13816</v>
      </c>
      <c r="AT206" s="35" t="s">
        <v>32827</v>
      </c>
    </row>
    <row r="207" spans="39:46" ht="12" customHeight="1" x14ac:dyDescent="0.2">
      <c r="AM207" t="str">
        <f t="shared" si="3"/>
        <v>Aizu, Kumamoto [JPAIZ]</v>
      </c>
      <c r="AN207" t="s">
        <v>18505</v>
      </c>
      <c r="AO207" t="s">
        <v>18506</v>
      </c>
      <c r="AP207" t="s">
        <v>33188</v>
      </c>
      <c r="AQ207" t="s">
        <v>33013</v>
      </c>
      <c r="AS207" s="35" t="s">
        <v>13828</v>
      </c>
      <c r="AT207" s="35" t="s">
        <v>13829</v>
      </c>
    </row>
    <row r="208" spans="39:46" ht="12" customHeight="1" x14ac:dyDescent="0.2">
      <c r="AM208" t="str">
        <f t="shared" si="3"/>
        <v>Aja [JPAJX]</v>
      </c>
      <c r="AN208" t="s">
        <v>18507</v>
      </c>
      <c r="AO208" t="s">
        <v>18508</v>
      </c>
      <c r="AP208" t="s">
        <v>33189</v>
      </c>
      <c r="AQ208" t="s">
        <v>33007</v>
      </c>
      <c r="AS208" s="35" t="s">
        <v>13832</v>
      </c>
      <c r="AT208" s="35" t="s">
        <v>13833</v>
      </c>
    </row>
    <row r="209" spans="39:46" ht="12" customHeight="1" x14ac:dyDescent="0.2">
      <c r="AM209" t="str">
        <f t="shared" si="3"/>
        <v>Ajaccio [FRAJA]</v>
      </c>
      <c r="AN209" t="s">
        <v>10716</v>
      </c>
      <c r="AO209" t="s">
        <v>10717</v>
      </c>
      <c r="AP209" t="s">
        <v>275</v>
      </c>
      <c r="AQ209" t="s">
        <v>33004</v>
      </c>
      <c r="AS209" s="35" t="s">
        <v>13838</v>
      </c>
      <c r="AT209" s="35" t="s">
        <v>32828</v>
      </c>
    </row>
    <row r="210" spans="39:46" ht="12" customHeight="1" x14ac:dyDescent="0.2">
      <c r="AM210" t="str">
        <f t="shared" si="3"/>
        <v>Aji [JPAJI]</v>
      </c>
      <c r="AN210" t="s">
        <v>18509</v>
      </c>
      <c r="AO210" t="s">
        <v>18510</v>
      </c>
      <c r="AP210" t="s">
        <v>33190</v>
      </c>
      <c r="AQ210" t="s">
        <v>33006</v>
      </c>
      <c r="AS210" s="35" t="s">
        <v>13846</v>
      </c>
      <c r="AT210" s="35" t="s">
        <v>13847</v>
      </c>
    </row>
    <row r="211" spans="39:46" ht="12" customHeight="1" x14ac:dyDescent="0.2">
      <c r="AM211" t="str">
        <f t="shared" si="3"/>
        <v>Ajigasawa [JPAJK]</v>
      </c>
      <c r="AN211" t="s">
        <v>18511</v>
      </c>
      <c r="AO211" t="s">
        <v>18512</v>
      </c>
      <c r="AP211" t="s">
        <v>33191</v>
      </c>
      <c r="AQ211" t="s">
        <v>33012</v>
      </c>
      <c r="AS211" s="35" t="s">
        <v>13852</v>
      </c>
      <c r="AT211" s="35" t="s">
        <v>32829</v>
      </c>
    </row>
    <row r="212" spans="39:46" ht="12" customHeight="1" x14ac:dyDescent="0.2">
      <c r="AM212" t="str">
        <f t="shared" si="3"/>
        <v>Ajino [JPAJN]</v>
      </c>
      <c r="AN212" t="s">
        <v>18513</v>
      </c>
      <c r="AO212" t="s">
        <v>18514</v>
      </c>
      <c r="AP212" t="s">
        <v>33192</v>
      </c>
      <c r="AQ212" t="s">
        <v>33005</v>
      </c>
      <c r="AS212" s="35" t="s">
        <v>13854</v>
      </c>
      <c r="AT212" s="35" t="s">
        <v>13855</v>
      </c>
    </row>
    <row r="213" spans="39:46" ht="12" customHeight="1" x14ac:dyDescent="0.2">
      <c r="AM213" t="str">
        <f t="shared" si="3"/>
        <v>Ajiro, Okayama [JPAZR]</v>
      </c>
      <c r="AN213" t="s">
        <v>18515</v>
      </c>
      <c r="AO213" t="s">
        <v>18516</v>
      </c>
      <c r="AP213" t="s">
        <v>33193</v>
      </c>
      <c r="AQ213" t="s">
        <v>32994</v>
      </c>
      <c r="AS213" s="35" t="s">
        <v>13858</v>
      </c>
      <c r="AT213" s="35" t="s">
        <v>13859</v>
      </c>
    </row>
    <row r="214" spans="39:46" ht="12" customHeight="1" x14ac:dyDescent="0.2">
      <c r="AM214" t="str">
        <f t="shared" si="3"/>
        <v>Ajiro, Shizuoka [JPAJR]</v>
      </c>
      <c r="AN214" t="s">
        <v>18517</v>
      </c>
      <c r="AO214" t="s">
        <v>18518</v>
      </c>
      <c r="AP214" t="s">
        <v>33194</v>
      </c>
      <c r="AQ214" t="s">
        <v>33009</v>
      </c>
      <c r="AS214" s="35" t="s">
        <v>13864</v>
      </c>
      <c r="AT214" s="35" t="s">
        <v>13865</v>
      </c>
    </row>
    <row r="215" spans="39:46" ht="12" customHeight="1" x14ac:dyDescent="0.2">
      <c r="AM215" t="str">
        <f t="shared" si="3"/>
        <v>Ajiro, Tottori [JPAZJ]</v>
      </c>
      <c r="AN215" t="s">
        <v>18519</v>
      </c>
      <c r="AO215" t="s">
        <v>18520</v>
      </c>
      <c r="AP215" t="s">
        <v>33195</v>
      </c>
      <c r="AQ215" t="s">
        <v>33014</v>
      </c>
      <c r="AS215" s="35" t="s">
        <v>13874</v>
      </c>
      <c r="AT215" s="35" t="s">
        <v>13875</v>
      </c>
    </row>
    <row r="216" spans="39:46" ht="12" customHeight="1" x14ac:dyDescent="0.2">
      <c r="AM216" t="str">
        <f t="shared" si="3"/>
        <v>Ajisu [JPACH]</v>
      </c>
      <c r="AN216" t="s">
        <v>18521</v>
      </c>
      <c r="AO216" t="s">
        <v>18522</v>
      </c>
      <c r="AP216" t="s">
        <v>291</v>
      </c>
      <c r="AQ216" t="s">
        <v>33018</v>
      </c>
      <c r="AS216" s="35" t="s">
        <v>13888</v>
      </c>
      <c r="AT216" s="35" t="s">
        <v>13889</v>
      </c>
    </row>
    <row r="217" spans="39:46" ht="12" customHeight="1" x14ac:dyDescent="0.2">
      <c r="AM217" t="str">
        <f t="shared" si="3"/>
        <v>Ajman [AEAJM]</v>
      </c>
      <c r="AN217" t="s">
        <v>709</v>
      </c>
      <c r="AO217" t="s">
        <v>710</v>
      </c>
      <c r="AP217" t="s">
        <v>33196</v>
      </c>
      <c r="AQ217" t="s">
        <v>18130</v>
      </c>
      <c r="AS217" s="35" t="s">
        <v>13890</v>
      </c>
      <c r="AT217" s="35" t="s">
        <v>33350</v>
      </c>
    </row>
    <row r="218" spans="39:46" ht="12" customHeight="1" x14ac:dyDescent="0.2">
      <c r="AM218" t="str">
        <f t="shared" si="3"/>
        <v>Ajos [FIAJO]</v>
      </c>
      <c r="AN218" t="s">
        <v>10308</v>
      </c>
      <c r="AO218" t="s">
        <v>10309</v>
      </c>
      <c r="AP218" t="s">
        <v>33197</v>
      </c>
      <c r="AQ218" t="s">
        <v>33276</v>
      </c>
      <c r="AS218" s="35" t="s">
        <v>13901</v>
      </c>
      <c r="AT218" s="35" t="s">
        <v>13902</v>
      </c>
    </row>
    <row r="219" spans="39:46" ht="12" customHeight="1" x14ac:dyDescent="0.2">
      <c r="AM219" t="str">
        <f t="shared" si="3"/>
        <v>Ajuy [PHAJU]</v>
      </c>
      <c r="AN219" t="s">
        <v>25510</v>
      </c>
      <c r="AO219" t="s">
        <v>25511</v>
      </c>
      <c r="AP219" t="s">
        <v>281</v>
      </c>
      <c r="AQ219" t="s">
        <v>33015</v>
      </c>
      <c r="AS219" s="35" t="s">
        <v>13914</v>
      </c>
      <c r="AT219" s="35" t="s">
        <v>13915</v>
      </c>
    </row>
    <row r="220" spans="39:46" ht="12" customHeight="1" x14ac:dyDescent="0.2">
      <c r="AM220" t="str">
        <f t="shared" si="3"/>
        <v>Akadomari [JPAKD]</v>
      </c>
      <c r="AN220" t="s">
        <v>18523</v>
      </c>
      <c r="AO220" t="s">
        <v>18524</v>
      </c>
      <c r="AP220" t="s">
        <v>285</v>
      </c>
      <c r="AQ220" t="s">
        <v>33017</v>
      </c>
      <c r="AS220" s="35" t="s">
        <v>13916</v>
      </c>
      <c r="AT220" s="35" t="s">
        <v>32830</v>
      </c>
    </row>
    <row r="221" spans="39:46" ht="12" customHeight="1" x14ac:dyDescent="0.2">
      <c r="AM221" t="str">
        <f t="shared" si="3"/>
        <v>Akakina [JPAKG]</v>
      </c>
      <c r="AN221" t="s">
        <v>18525</v>
      </c>
      <c r="AO221" t="s">
        <v>18526</v>
      </c>
      <c r="AP221" t="s">
        <v>304</v>
      </c>
      <c r="AQ221" t="s">
        <v>33021</v>
      </c>
      <c r="AS221" s="35" t="s">
        <v>13920</v>
      </c>
      <c r="AT221" s="35" t="s">
        <v>13921</v>
      </c>
    </row>
    <row r="222" spans="39:46" ht="12" customHeight="1" x14ac:dyDescent="0.2">
      <c r="AM222" t="str">
        <f t="shared" si="3"/>
        <v>Akaltyn [UZAKT]</v>
      </c>
      <c r="AN222" t="s">
        <v>32129</v>
      </c>
      <c r="AO222" t="s">
        <v>32130</v>
      </c>
      <c r="AP222" t="s">
        <v>33198</v>
      </c>
      <c r="AQ222" t="s">
        <v>33016</v>
      </c>
      <c r="AS222" s="35" t="s">
        <v>13922</v>
      </c>
      <c r="AT222" s="35" t="s">
        <v>32831</v>
      </c>
    </row>
    <row r="223" spans="39:46" ht="12" customHeight="1" x14ac:dyDescent="0.2">
      <c r="AM223" t="str">
        <f t="shared" si="3"/>
        <v>Akamizu [JPAKM]</v>
      </c>
      <c r="AN223" t="s">
        <v>18527</v>
      </c>
      <c r="AO223" t="s">
        <v>18528</v>
      </c>
      <c r="AP223" t="s">
        <v>287</v>
      </c>
      <c r="AQ223" t="s">
        <v>26052</v>
      </c>
      <c r="AS223" s="35" t="s">
        <v>13934</v>
      </c>
      <c r="AT223" s="35" t="s">
        <v>13935</v>
      </c>
    </row>
    <row r="224" spans="39:46" ht="12" customHeight="1" x14ac:dyDescent="0.2">
      <c r="AM224" t="str">
        <f t="shared" si="3"/>
        <v>Akaroa [NZAKA]</v>
      </c>
      <c r="AN224" t="s">
        <v>25051</v>
      </c>
      <c r="AO224" t="s">
        <v>25052</v>
      </c>
      <c r="AP224" t="s">
        <v>295</v>
      </c>
      <c r="AQ224" t="s">
        <v>33277</v>
      </c>
      <c r="AS224" s="35" t="s">
        <v>13950</v>
      </c>
      <c r="AT224" s="35" t="s">
        <v>32832</v>
      </c>
    </row>
    <row r="225" spans="39:46" ht="12" customHeight="1" x14ac:dyDescent="0.2">
      <c r="AM225" t="str">
        <f t="shared" si="3"/>
        <v>Akasaki, Kumamoto [JPAKK]</v>
      </c>
      <c r="AN225" t="s">
        <v>18529</v>
      </c>
      <c r="AO225" t="s">
        <v>18530</v>
      </c>
      <c r="AP225" t="s">
        <v>293</v>
      </c>
      <c r="AQ225" t="s">
        <v>31075</v>
      </c>
      <c r="AS225" s="35" t="s">
        <v>13960</v>
      </c>
      <c r="AT225" s="35" t="s">
        <v>33353</v>
      </c>
    </row>
    <row r="226" spans="39:46" ht="12" customHeight="1" x14ac:dyDescent="0.2">
      <c r="AM226" t="str">
        <f t="shared" si="3"/>
        <v>Akasaki, Tottori [JPASK]</v>
      </c>
      <c r="AN226" t="s">
        <v>18531</v>
      </c>
      <c r="AO226" t="s">
        <v>18532</v>
      </c>
      <c r="AP226" t="s">
        <v>299</v>
      </c>
      <c r="AQ226" t="s">
        <v>33020</v>
      </c>
      <c r="AS226" s="35" t="s">
        <v>13962</v>
      </c>
      <c r="AT226" s="35" t="s">
        <v>13963</v>
      </c>
    </row>
    <row r="227" spans="39:46" ht="12" customHeight="1" x14ac:dyDescent="0.2">
      <c r="AM227" t="str">
        <f t="shared" si="3"/>
        <v>Akashi [JPAKA]</v>
      </c>
      <c r="AN227" t="s">
        <v>18533</v>
      </c>
      <c r="AO227" t="s">
        <v>18534</v>
      </c>
      <c r="AP227" t="s">
        <v>33199</v>
      </c>
      <c r="AQ227" t="s">
        <v>3229</v>
      </c>
      <c r="AS227" s="35" t="s">
        <v>13976</v>
      </c>
      <c r="AT227" s="35" t="s">
        <v>13977</v>
      </c>
    </row>
    <row r="228" spans="39:46" ht="12" customHeight="1" x14ac:dyDescent="0.2">
      <c r="AM228" t="str">
        <f t="shared" si="3"/>
        <v>Akcaabat [TRAKB]</v>
      </c>
      <c r="AN228" t="s">
        <v>28385</v>
      </c>
      <c r="AO228" t="s">
        <v>36562</v>
      </c>
      <c r="AP228" t="s">
        <v>33200</v>
      </c>
      <c r="AQ228" t="s">
        <v>33022</v>
      </c>
      <c r="AS228" s="35" t="s">
        <v>13991</v>
      </c>
      <c r="AT228" s="35" t="s">
        <v>13992</v>
      </c>
    </row>
    <row r="229" spans="39:46" ht="12" customHeight="1" x14ac:dyDescent="0.2">
      <c r="AM229" t="str">
        <f t="shared" si="3"/>
        <v>Akcansa [TRAKC]</v>
      </c>
      <c r="AN229" t="s">
        <v>28386</v>
      </c>
      <c r="AO229" t="s">
        <v>28387</v>
      </c>
      <c r="AP229" t="s">
        <v>33201</v>
      </c>
      <c r="AQ229" t="s">
        <v>26713</v>
      </c>
      <c r="AS229" s="35" t="s">
        <v>13993</v>
      </c>
      <c r="AT229" s="35" t="s">
        <v>13994</v>
      </c>
    </row>
    <row r="230" spans="39:46" ht="12" customHeight="1" x14ac:dyDescent="0.2">
      <c r="AM230" t="str">
        <f t="shared" si="3"/>
        <v>Akcapinar [TRGKV]</v>
      </c>
      <c r="AN230" t="s">
        <v>28388</v>
      </c>
      <c r="AO230" t="s">
        <v>36563</v>
      </c>
      <c r="AP230" t="s">
        <v>315</v>
      </c>
      <c r="AQ230" t="s">
        <v>33023</v>
      </c>
      <c r="AS230" s="35" t="s">
        <v>14011</v>
      </c>
      <c r="AT230" s="35" t="s">
        <v>32833</v>
      </c>
    </row>
    <row r="231" spans="39:46" ht="12" customHeight="1" x14ac:dyDescent="0.2">
      <c r="AM231" t="str">
        <f t="shared" si="3"/>
        <v>Akcay [TRAKY]</v>
      </c>
      <c r="AN231" t="s">
        <v>28389</v>
      </c>
      <c r="AO231" t="s">
        <v>36564</v>
      </c>
      <c r="AP231" t="s">
        <v>33202</v>
      </c>
      <c r="AQ231" t="s">
        <v>33024</v>
      </c>
      <c r="AS231" s="35" t="s">
        <v>14016</v>
      </c>
      <c r="AT231" s="35" t="s">
        <v>1891</v>
      </c>
    </row>
    <row r="232" spans="39:46" ht="12" customHeight="1" x14ac:dyDescent="0.2">
      <c r="AM232" t="str">
        <f t="shared" si="3"/>
        <v>Akdeniz [TRAKD]</v>
      </c>
      <c r="AN232" t="s">
        <v>28390</v>
      </c>
      <c r="AO232" t="s">
        <v>28391</v>
      </c>
      <c r="AP232" t="s">
        <v>33203</v>
      </c>
      <c r="AQ232" t="s">
        <v>33025</v>
      </c>
      <c r="AS232" s="35" t="s">
        <v>14025</v>
      </c>
      <c r="AT232" s="35" t="s">
        <v>32834</v>
      </c>
    </row>
    <row r="233" spans="39:46" ht="12" customHeight="1" x14ac:dyDescent="0.2">
      <c r="AM233" t="str">
        <f t="shared" si="3"/>
        <v>Akehama [JPAKH]</v>
      </c>
      <c r="AN233" t="s">
        <v>18535</v>
      </c>
      <c r="AO233" t="s">
        <v>18536</v>
      </c>
      <c r="AP233" t="s">
        <v>146</v>
      </c>
      <c r="AQ233" t="s">
        <v>33278</v>
      </c>
      <c r="AS233" s="35" t="s">
        <v>14039</v>
      </c>
      <c r="AT233" s="35" t="s">
        <v>14040</v>
      </c>
    </row>
    <row r="234" spans="39:46" ht="12" customHeight="1" x14ac:dyDescent="0.2">
      <c r="AM234" t="str">
        <f t="shared" si="3"/>
        <v>Akersloot [NLAKL]</v>
      </c>
      <c r="AN234" t="s">
        <v>23022</v>
      </c>
      <c r="AO234" t="s">
        <v>23023</v>
      </c>
      <c r="AP234" t="s">
        <v>329</v>
      </c>
      <c r="AQ234" t="s">
        <v>33279</v>
      </c>
      <c r="AS234" s="35" t="s">
        <v>14041</v>
      </c>
      <c r="AT234" s="35" t="s">
        <v>14042</v>
      </c>
    </row>
    <row r="235" spans="39:46" ht="12" customHeight="1" x14ac:dyDescent="0.2">
      <c r="AM235" t="str">
        <f t="shared" si="3"/>
        <v>Akeselaka [IDAKE]</v>
      </c>
      <c r="AN235" t="s">
        <v>16141</v>
      </c>
      <c r="AO235" t="s">
        <v>16142</v>
      </c>
      <c r="AP235" t="s">
        <v>33204</v>
      </c>
      <c r="AQ235" t="s">
        <v>33280</v>
      </c>
      <c r="AS235" s="35" t="s">
        <v>14059</v>
      </c>
      <c r="AT235" s="35" t="s">
        <v>14060</v>
      </c>
    </row>
    <row r="236" spans="39:46" ht="12" customHeight="1" x14ac:dyDescent="0.2">
      <c r="AM236" t="str">
        <f t="shared" si="3"/>
        <v>Akhillion [GRAKH]</v>
      </c>
      <c r="AN236" t="s">
        <v>15126</v>
      </c>
      <c r="AO236" t="s">
        <v>15127</v>
      </c>
      <c r="AP236" t="s">
        <v>33205</v>
      </c>
      <c r="AQ236" t="s">
        <v>32980</v>
      </c>
      <c r="AS236" s="35" t="s">
        <v>14061</v>
      </c>
      <c r="AT236" s="35" t="s">
        <v>1901</v>
      </c>
    </row>
    <row r="237" spans="39:46" ht="12" customHeight="1" x14ac:dyDescent="0.2">
      <c r="AM237" t="str">
        <f t="shared" si="3"/>
        <v>Akhtopol [BGAKH]</v>
      </c>
      <c r="AN237" t="s">
        <v>3132</v>
      </c>
      <c r="AO237" t="s">
        <v>3133</v>
      </c>
      <c r="AP237" t="s">
        <v>33206</v>
      </c>
      <c r="AQ237" t="s">
        <v>33281</v>
      </c>
      <c r="AS237" s="35" t="s">
        <v>14062</v>
      </c>
      <c r="AT237" s="35" t="s">
        <v>14063</v>
      </c>
    </row>
    <row r="238" spans="39:46" ht="12" customHeight="1" x14ac:dyDescent="0.2">
      <c r="AM238" t="str">
        <f t="shared" si="3"/>
        <v>Aki-gun/Hiroshima [JPAIG]</v>
      </c>
      <c r="AN238" t="s">
        <v>18537</v>
      </c>
      <c r="AO238" t="s">
        <v>18538</v>
      </c>
      <c r="AP238" t="s">
        <v>33207</v>
      </c>
      <c r="AQ238" t="s">
        <v>33019</v>
      </c>
      <c r="AS238" s="35" t="s">
        <v>14068</v>
      </c>
      <c r="AT238" s="35" t="s">
        <v>32835</v>
      </c>
    </row>
    <row r="239" spans="39:46" ht="12" customHeight="1" x14ac:dyDescent="0.2">
      <c r="AM239" t="str">
        <f t="shared" si="3"/>
        <v>Akinum [PGAKI]</v>
      </c>
      <c r="AN239" t="s">
        <v>25350</v>
      </c>
      <c r="AO239" t="s">
        <v>25351</v>
      </c>
      <c r="AP239" t="s">
        <v>33208</v>
      </c>
      <c r="AQ239" t="s">
        <v>33282</v>
      </c>
      <c r="AS239" s="35" t="s">
        <v>14078</v>
      </c>
      <c r="AT239" s="35" t="s">
        <v>14079</v>
      </c>
    </row>
    <row r="240" spans="39:46" ht="12" customHeight="1" x14ac:dyDescent="0.2">
      <c r="AM240" t="str">
        <f t="shared" si="3"/>
        <v>Akirkeby [DKAK3]</v>
      </c>
      <c r="AN240" t="s">
        <v>8605</v>
      </c>
      <c r="AO240" t="s">
        <v>35521</v>
      </c>
      <c r="AP240" t="s">
        <v>33209</v>
      </c>
      <c r="AQ240" t="s">
        <v>31390</v>
      </c>
      <c r="AS240" s="35" t="s">
        <v>14090</v>
      </c>
      <c r="AT240" s="35" t="s">
        <v>14091</v>
      </c>
    </row>
    <row r="241" spans="39:46" ht="12" customHeight="1" x14ac:dyDescent="0.2">
      <c r="AM241" t="str">
        <f t="shared" si="3"/>
        <v>Akita [JPAXT]</v>
      </c>
      <c r="AN241" t="s">
        <v>18539</v>
      </c>
      <c r="AO241" t="s">
        <v>18540</v>
      </c>
      <c r="AP241" t="s">
        <v>335</v>
      </c>
      <c r="AQ241" t="s">
        <v>33033</v>
      </c>
      <c r="AS241" s="35" t="s">
        <v>14098</v>
      </c>
      <c r="AT241" s="35" t="s">
        <v>14099</v>
      </c>
    </row>
    <row r="242" spans="39:46" ht="12" customHeight="1" x14ac:dyDescent="0.2">
      <c r="AM242" t="str">
        <f t="shared" si="3"/>
        <v>Akitafunagawa [JPAFG]</v>
      </c>
      <c r="AN242" t="s">
        <v>18541</v>
      </c>
      <c r="AO242" t="s">
        <v>18542</v>
      </c>
      <c r="AP242" t="s">
        <v>337</v>
      </c>
      <c r="AQ242" t="s">
        <v>33283</v>
      </c>
      <c r="AS242" s="35" t="s">
        <v>14106</v>
      </c>
      <c r="AT242" s="35" t="s">
        <v>14107</v>
      </c>
    </row>
    <row r="243" spans="39:46" ht="12" customHeight="1" x14ac:dyDescent="0.2">
      <c r="AM243" t="str">
        <f t="shared" si="3"/>
        <v>Akitsu [JPAKT]</v>
      </c>
      <c r="AN243" t="s">
        <v>18543</v>
      </c>
      <c r="AO243" t="s">
        <v>18544</v>
      </c>
      <c r="AP243" t="s">
        <v>321</v>
      </c>
      <c r="AQ243" t="s">
        <v>33026</v>
      </c>
      <c r="AS243" s="35" t="s">
        <v>14120</v>
      </c>
      <c r="AT243" s="35" t="s">
        <v>32836</v>
      </c>
    </row>
    <row r="244" spans="39:46" ht="12" customHeight="1" x14ac:dyDescent="0.2">
      <c r="AM244" t="str">
        <f t="shared" si="3"/>
        <v>Akkarfjord [NOAKK]</v>
      </c>
      <c r="AN244" t="s">
        <v>23830</v>
      </c>
      <c r="AO244" t="s">
        <v>23831</v>
      </c>
      <c r="AP244" t="s">
        <v>33210</v>
      </c>
      <c r="AQ244" t="s">
        <v>33034</v>
      </c>
      <c r="AS244" s="35" t="s">
        <v>13726</v>
      </c>
      <c r="AT244" s="35" t="s">
        <v>33351</v>
      </c>
    </row>
    <row r="245" spans="39:46" ht="12" customHeight="1" x14ac:dyDescent="0.2">
      <c r="AM245" t="str">
        <f t="shared" si="3"/>
        <v>Akkeshi [JPAKE]</v>
      </c>
      <c r="AN245" t="s">
        <v>18545</v>
      </c>
      <c r="AO245" t="s">
        <v>18546</v>
      </c>
      <c r="AP245" t="s">
        <v>33211</v>
      </c>
      <c r="AQ245" t="s">
        <v>33284</v>
      </c>
      <c r="AS245" s="35" t="s">
        <v>14122</v>
      </c>
      <c r="AT245" s="35" t="s">
        <v>32837</v>
      </c>
    </row>
    <row r="246" spans="39:46" ht="12" customHeight="1" x14ac:dyDescent="0.2">
      <c r="AM246" t="str">
        <f t="shared" si="3"/>
        <v>Akko [ILAKK]</v>
      </c>
      <c r="AN246" t="s">
        <v>16950</v>
      </c>
      <c r="AO246" t="s">
        <v>16951</v>
      </c>
      <c r="AP246" t="s">
        <v>323</v>
      </c>
      <c r="AQ246" t="s">
        <v>33028</v>
      </c>
      <c r="AS246" s="35" t="s">
        <v>14130</v>
      </c>
      <c r="AT246" s="35" t="s">
        <v>14131</v>
      </c>
    </row>
    <row r="247" spans="39:46" ht="12" customHeight="1" x14ac:dyDescent="0.2">
      <c r="AM247" t="str">
        <f t="shared" si="3"/>
        <v>Akoh [JPAKO]</v>
      </c>
      <c r="AN247" t="s">
        <v>18547</v>
      </c>
      <c r="AO247" t="s">
        <v>18548</v>
      </c>
      <c r="AP247" t="s">
        <v>333</v>
      </c>
      <c r="AQ247" t="s">
        <v>33032</v>
      </c>
      <c r="AS247" s="35" t="s">
        <v>14136</v>
      </c>
      <c r="AT247" s="35" t="s">
        <v>14137</v>
      </c>
    </row>
    <row r="248" spans="39:46" ht="12" customHeight="1" x14ac:dyDescent="0.2">
      <c r="AM248" t="str">
        <f t="shared" si="3"/>
        <v>Akohbaru [JPAKB]</v>
      </c>
      <c r="AN248" t="s">
        <v>18549</v>
      </c>
      <c r="AO248" t="s">
        <v>18550</v>
      </c>
      <c r="AP248" t="s">
        <v>33212</v>
      </c>
      <c r="AQ248" t="s">
        <v>27980</v>
      </c>
      <c r="AS248" s="35" t="s">
        <v>14148</v>
      </c>
      <c r="AT248" s="35" t="s">
        <v>14149</v>
      </c>
    </row>
    <row r="249" spans="39:46" ht="12" customHeight="1" x14ac:dyDescent="0.2">
      <c r="AM249" t="str">
        <f t="shared" si="3"/>
        <v>Akpo [NGAKP]</v>
      </c>
      <c r="AN249" t="s">
        <v>22907</v>
      </c>
      <c r="AO249" t="s">
        <v>22908</v>
      </c>
      <c r="AP249" t="s">
        <v>33213</v>
      </c>
      <c r="AQ249" t="s">
        <v>33285</v>
      </c>
      <c r="AS249" s="35" t="s">
        <v>14166</v>
      </c>
      <c r="AT249" s="35" t="s">
        <v>1967</v>
      </c>
    </row>
    <row r="250" spans="39:46" ht="12" customHeight="1" x14ac:dyDescent="0.2">
      <c r="AM250" t="str">
        <f t="shared" si="3"/>
        <v>Akranes [ISAKR]</v>
      </c>
      <c r="AN250" t="s">
        <v>17669</v>
      </c>
      <c r="AO250" t="s">
        <v>17670</v>
      </c>
      <c r="AP250" t="s">
        <v>331</v>
      </c>
      <c r="AQ250" t="s">
        <v>33286</v>
      </c>
      <c r="AS250" s="35" t="s">
        <v>14183</v>
      </c>
      <c r="AT250" s="35" t="s">
        <v>32838</v>
      </c>
    </row>
    <row r="251" spans="39:46" ht="12" customHeight="1" x14ac:dyDescent="0.2">
      <c r="AM251" t="str">
        <f t="shared" si="3"/>
        <v>Akrehamn [NOAKM]</v>
      </c>
      <c r="AN251" t="s">
        <v>23832</v>
      </c>
      <c r="AO251" t="s">
        <v>36117</v>
      </c>
      <c r="AP251" t="s">
        <v>33214</v>
      </c>
      <c r="AQ251" t="s">
        <v>33031</v>
      </c>
      <c r="AS251" s="35" t="s">
        <v>14185</v>
      </c>
      <c r="AT251" s="35" t="s">
        <v>14186</v>
      </c>
    </row>
    <row r="252" spans="39:46" ht="12" customHeight="1" x14ac:dyDescent="0.2">
      <c r="AM252" t="str">
        <f t="shared" si="3"/>
        <v>Akrotiri [CYAKT]</v>
      </c>
      <c r="AN252" t="s">
        <v>6755</v>
      </c>
      <c r="AO252" t="s">
        <v>6756</v>
      </c>
      <c r="AP252" t="s">
        <v>33215</v>
      </c>
      <c r="AQ252" t="s">
        <v>33027</v>
      </c>
      <c r="AS252" s="35" t="s">
        <v>14193</v>
      </c>
      <c r="AT252" s="35" t="s">
        <v>8978</v>
      </c>
    </row>
    <row r="253" spans="39:46" ht="12" customHeight="1" x14ac:dyDescent="0.2">
      <c r="AM253" t="str">
        <f t="shared" si="3"/>
        <v>Aksay [RUAKS]</v>
      </c>
      <c r="AN253" t="s">
        <v>26859</v>
      </c>
      <c r="AO253" t="s">
        <v>26860</v>
      </c>
      <c r="AP253" t="s">
        <v>33216</v>
      </c>
      <c r="AQ253" t="s">
        <v>33035</v>
      </c>
      <c r="AS253" s="35" t="s">
        <v>14206</v>
      </c>
      <c r="AT253" s="35" t="s">
        <v>14207</v>
      </c>
    </row>
    <row r="254" spans="39:46" ht="12" customHeight="1" x14ac:dyDescent="0.2">
      <c r="AM254" t="str">
        <f t="shared" si="3"/>
        <v>Aktau [KZAAU]</v>
      </c>
      <c r="AN254" t="s">
        <v>21774</v>
      </c>
      <c r="AO254" t="s">
        <v>21775</v>
      </c>
      <c r="AP254" t="s">
        <v>33217</v>
      </c>
      <c r="AQ254" t="s">
        <v>33058</v>
      </c>
      <c r="AS254" s="35" t="s">
        <v>14212</v>
      </c>
      <c r="AT254" s="35" t="s">
        <v>32839</v>
      </c>
    </row>
    <row r="255" spans="39:46" ht="12" customHeight="1" x14ac:dyDescent="0.2">
      <c r="AM255" t="str">
        <f t="shared" si="3"/>
        <v>Aktio Vonitsas [GRAKT]</v>
      </c>
      <c r="AN255" t="s">
        <v>15128</v>
      </c>
      <c r="AO255" t="s">
        <v>15129</v>
      </c>
      <c r="AP255" t="s">
        <v>33218</v>
      </c>
      <c r="AQ255" t="s">
        <v>33287</v>
      </c>
      <c r="AS255" s="35" t="s">
        <v>12832</v>
      </c>
      <c r="AT255" s="35" t="s">
        <v>32840</v>
      </c>
    </row>
    <row r="256" spans="39:46" ht="12" customHeight="1" x14ac:dyDescent="0.2">
      <c r="AM256" t="str">
        <f t="shared" si="3"/>
        <v>Akune [JPAKN]</v>
      </c>
      <c r="AN256" t="s">
        <v>18551</v>
      </c>
      <c r="AO256" t="s">
        <v>18552</v>
      </c>
      <c r="AP256" t="s">
        <v>33219</v>
      </c>
      <c r="AQ256" t="s">
        <v>33288</v>
      </c>
      <c r="AS256" s="35" t="s">
        <v>33074</v>
      </c>
      <c r="AT256" s="35" t="s">
        <v>32841</v>
      </c>
    </row>
    <row r="257" spans="39:46" ht="12" customHeight="1" x14ac:dyDescent="0.2">
      <c r="AM257" t="str">
        <f t="shared" si="3"/>
        <v>Akureyri [ISAKU]</v>
      </c>
      <c r="AN257" t="s">
        <v>17671</v>
      </c>
      <c r="AO257" t="s">
        <v>17672</v>
      </c>
      <c r="AP257" t="s">
        <v>33220</v>
      </c>
      <c r="AQ257" t="s">
        <v>32941</v>
      </c>
      <c r="AS257" s="35" t="s">
        <v>14218</v>
      </c>
      <c r="AT257" s="35" t="s">
        <v>14219</v>
      </c>
    </row>
    <row r="258" spans="39:46" ht="12" customHeight="1" x14ac:dyDescent="0.2">
      <c r="AM258" t="str">
        <f t="shared" si="3"/>
        <v>Akureyri Apt [ISAEY]</v>
      </c>
      <c r="AN258" t="s">
        <v>36999</v>
      </c>
      <c r="AO258" t="s">
        <v>37000</v>
      </c>
      <c r="AP258" t="s">
        <v>33221</v>
      </c>
      <c r="AQ258" t="s">
        <v>32982</v>
      </c>
      <c r="AS258" s="35" t="s">
        <v>14246</v>
      </c>
      <c r="AT258" s="35" t="s">
        <v>14247</v>
      </c>
    </row>
    <row r="259" spans="39:46" ht="12" customHeight="1" x14ac:dyDescent="0.2">
      <c r="AM259" t="str">
        <f t="shared" ref="AM259:AM322" si="4">AO259 &amp; " [" &amp; AN259 &amp; "]"</f>
        <v>Akyab (Sittwe) [MMAKY]</v>
      </c>
      <c r="AN259" t="s">
        <v>22176</v>
      </c>
      <c r="AO259" t="s">
        <v>22177</v>
      </c>
      <c r="AP259" t="s">
        <v>325</v>
      </c>
      <c r="AQ259" t="s">
        <v>33029</v>
      </c>
      <c r="AS259" s="35" t="s">
        <v>14257</v>
      </c>
      <c r="AT259" s="35" t="s">
        <v>32842</v>
      </c>
    </row>
    <row r="260" spans="39:46" ht="12" customHeight="1" x14ac:dyDescent="0.2">
      <c r="AM260" t="str">
        <f t="shared" si="4"/>
        <v>Al Adabiyah [EGADA]</v>
      </c>
      <c r="AN260" t="s">
        <v>9442</v>
      </c>
      <c r="AO260" t="s">
        <v>9443</v>
      </c>
      <c r="AP260" t="s">
        <v>33222</v>
      </c>
      <c r="AQ260" t="s">
        <v>33036</v>
      </c>
      <c r="AS260" s="35" t="s">
        <v>14263</v>
      </c>
      <c r="AT260" s="35" t="s">
        <v>32843</v>
      </c>
    </row>
    <row r="261" spans="39:46" ht="12" customHeight="1" x14ac:dyDescent="0.2">
      <c r="AM261" t="str">
        <f t="shared" si="4"/>
        <v>Al 'Aqabah [JOAQJ]</v>
      </c>
      <c r="AN261" t="s">
        <v>18461</v>
      </c>
      <c r="AO261" t="s">
        <v>18462</v>
      </c>
      <c r="AP261" t="s">
        <v>33223</v>
      </c>
      <c r="AQ261" t="s">
        <v>33289</v>
      </c>
      <c r="AS261" s="35" t="s">
        <v>14271</v>
      </c>
      <c r="AT261" s="35" t="s">
        <v>14272</v>
      </c>
    </row>
    <row r="262" spans="39:46" ht="12" customHeight="1" x14ac:dyDescent="0.2">
      <c r="AM262" t="str">
        <f t="shared" si="4"/>
        <v>Al Asad [IQASD]</v>
      </c>
      <c r="AN262" t="s">
        <v>17549</v>
      </c>
      <c r="AO262" t="s">
        <v>17550</v>
      </c>
      <c r="AP262" t="s">
        <v>343</v>
      </c>
      <c r="AQ262" t="s">
        <v>33038</v>
      </c>
      <c r="AS262" s="35" t="s">
        <v>14289</v>
      </c>
      <c r="AT262" s="35" t="s">
        <v>14290</v>
      </c>
    </row>
    <row r="263" spans="39:46" ht="12" customHeight="1" x14ac:dyDescent="0.2">
      <c r="AM263" t="str">
        <f t="shared" si="4"/>
        <v>Al Bayda [LYABA]</v>
      </c>
      <c r="AN263" t="s">
        <v>21965</v>
      </c>
      <c r="AO263" t="s">
        <v>21966</v>
      </c>
      <c r="AP263" t="s">
        <v>327</v>
      </c>
      <c r="AQ263" t="s">
        <v>33030</v>
      </c>
      <c r="AS263" s="35" t="s">
        <v>14293</v>
      </c>
      <c r="AT263" s="35" t="s">
        <v>32844</v>
      </c>
    </row>
    <row r="264" spans="39:46" ht="12" customHeight="1" x14ac:dyDescent="0.2">
      <c r="AM264" t="str">
        <f t="shared" si="4"/>
        <v>Al Fujayrah [AEFJR]</v>
      </c>
      <c r="AN264" t="s">
        <v>711</v>
      </c>
      <c r="AO264" t="s">
        <v>712</v>
      </c>
      <c r="AP264" t="s">
        <v>184</v>
      </c>
      <c r="AQ264" t="s">
        <v>32920</v>
      </c>
      <c r="AS264" s="35" t="s">
        <v>14142</v>
      </c>
      <c r="AT264" s="35" t="s">
        <v>32845</v>
      </c>
    </row>
    <row r="265" spans="39:46" ht="12" customHeight="1" x14ac:dyDescent="0.2">
      <c r="AM265" t="str">
        <f t="shared" si="4"/>
        <v>Al Hada [SAAHA]</v>
      </c>
      <c r="AN265" t="s">
        <v>27368</v>
      </c>
      <c r="AO265" t="s">
        <v>27369</v>
      </c>
      <c r="AP265" t="s">
        <v>33224</v>
      </c>
      <c r="AQ265" t="s">
        <v>33290</v>
      </c>
      <c r="AS265" s="35" t="s">
        <v>14307</v>
      </c>
      <c r="AT265" s="35" t="s">
        <v>14308</v>
      </c>
    </row>
    <row r="266" spans="39:46" ht="12" customHeight="1" x14ac:dyDescent="0.2">
      <c r="AM266" t="str">
        <f t="shared" si="4"/>
        <v>Al Hammamat [TNHMM]</v>
      </c>
      <c r="AN266" t="s">
        <v>28327</v>
      </c>
      <c r="AO266" t="s">
        <v>28328</v>
      </c>
      <c r="AP266" t="s">
        <v>33225</v>
      </c>
      <c r="AQ266" t="s">
        <v>33291</v>
      </c>
      <c r="AS266" s="35" t="s">
        <v>14362</v>
      </c>
      <c r="AT266" s="35" t="s">
        <v>14363</v>
      </c>
    </row>
    <row r="267" spans="39:46" ht="12" customHeight="1" x14ac:dyDescent="0.2">
      <c r="AM267" t="str">
        <f t="shared" si="4"/>
        <v>Al Hidd [BHAHD]</v>
      </c>
      <c r="AN267" t="s">
        <v>3177</v>
      </c>
      <c r="AO267" t="s">
        <v>3178</v>
      </c>
      <c r="AP267" t="s">
        <v>33226</v>
      </c>
      <c r="AQ267" t="s">
        <v>33292</v>
      </c>
      <c r="AS267" s="35" t="s">
        <v>13692</v>
      </c>
      <c r="AT267" s="35" t="s">
        <v>34843</v>
      </c>
    </row>
    <row r="268" spans="39:46" ht="12" customHeight="1" x14ac:dyDescent="0.2">
      <c r="AM268" t="str">
        <f t="shared" si="4"/>
        <v>Al Hillah [IQHIL]</v>
      </c>
      <c r="AN268" t="s">
        <v>17551</v>
      </c>
      <c r="AO268" t="s">
        <v>17552</v>
      </c>
      <c r="AP268" t="s">
        <v>366</v>
      </c>
      <c r="AQ268" t="s">
        <v>33293</v>
      </c>
      <c r="AS268" s="35" t="s">
        <v>14396</v>
      </c>
      <c r="AT268" s="35" t="s">
        <v>32846</v>
      </c>
    </row>
    <row r="269" spans="39:46" ht="12" customHeight="1" x14ac:dyDescent="0.2">
      <c r="AM269" t="str">
        <f t="shared" si="4"/>
        <v>Al Hoceima [MAAHU]</v>
      </c>
      <c r="AN269" t="s">
        <v>22021</v>
      </c>
      <c r="AO269" t="s">
        <v>36082</v>
      </c>
      <c r="AP269" t="s">
        <v>33227</v>
      </c>
      <c r="AQ269" t="s">
        <v>33042</v>
      </c>
      <c r="AS269" s="35" t="s">
        <v>14398</v>
      </c>
      <c r="AT269" s="35" t="s">
        <v>32847</v>
      </c>
    </row>
    <row r="270" spans="39:46" ht="12" customHeight="1" x14ac:dyDescent="0.2">
      <c r="AM270" t="str">
        <f t="shared" si="4"/>
        <v>Al Jazeera Port [AEJAZ]</v>
      </c>
      <c r="AN270" t="s">
        <v>713</v>
      </c>
      <c r="AO270" t="s">
        <v>714</v>
      </c>
      <c r="AP270" t="s">
        <v>33228</v>
      </c>
      <c r="AQ270" t="s">
        <v>33294</v>
      </c>
      <c r="AS270" s="35" t="s">
        <v>14402</v>
      </c>
      <c r="AT270" s="35" t="s">
        <v>32848</v>
      </c>
    </row>
    <row r="271" spans="39:46" ht="12" customHeight="1" x14ac:dyDescent="0.2">
      <c r="AM271" t="str">
        <f t="shared" si="4"/>
        <v>Al Jeer Port [AEAJP]</v>
      </c>
      <c r="AN271" t="s">
        <v>715</v>
      </c>
      <c r="AO271" t="s">
        <v>716</v>
      </c>
      <c r="AP271" t="s">
        <v>33229</v>
      </c>
      <c r="AQ271" t="s">
        <v>4630</v>
      </c>
      <c r="AS271" s="35" t="s">
        <v>14404</v>
      </c>
      <c r="AT271" s="35" t="s">
        <v>32849</v>
      </c>
    </row>
    <row r="272" spans="39:46" ht="12" customHeight="1" x14ac:dyDescent="0.2">
      <c r="AM272" t="str">
        <f t="shared" si="4"/>
        <v>Al Jizah (Giza) [EGAGZ]</v>
      </c>
      <c r="AN272" t="s">
        <v>9444</v>
      </c>
      <c r="AO272" t="s">
        <v>9445</v>
      </c>
      <c r="AP272" t="s">
        <v>352</v>
      </c>
      <c r="AQ272" t="s">
        <v>33043</v>
      </c>
      <c r="AS272" s="35" t="s">
        <v>14406</v>
      </c>
      <c r="AT272" s="35" t="s">
        <v>14407</v>
      </c>
    </row>
    <row r="273" spans="39:46" ht="12" customHeight="1" x14ac:dyDescent="0.2">
      <c r="AM273" t="str">
        <f t="shared" si="4"/>
        <v>Al Jubayl Industrial City [SAJBI]</v>
      </c>
      <c r="AN273" t="s">
        <v>27370</v>
      </c>
      <c r="AO273" t="s">
        <v>27371</v>
      </c>
      <c r="AP273" t="s">
        <v>356</v>
      </c>
      <c r="AQ273" t="s">
        <v>33046</v>
      </c>
      <c r="AS273" s="35" t="s">
        <v>14412</v>
      </c>
      <c r="AT273" s="35" t="s">
        <v>32850</v>
      </c>
    </row>
    <row r="274" spans="39:46" ht="12" customHeight="1" x14ac:dyDescent="0.2">
      <c r="AM274" t="str">
        <f t="shared" si="4"/>
        <v>Al Khobar [SAALK]</v>
      </c>
      <c r="AN274" t="s">
        <v>27372</v>
      </c>
      <c r="AO274" t="s">
        <v>27373</v>
      </c>
      <c r="AP274" t="s">
        <v>33230</v>
      </c>
      <c r="AQ274" t="s">
        <v>33048</v>
      </c>
      <c r="AS274" s="35" t="s">
        <v>14414</v>
      </c>
      <c r="AT274" s="35" t="s">
        <v>32851</v>
      </c>
    </row>
    <row r="275" spans="39:46" ht="12" customHeight="1" x14ac:dyDescent="0.2">
      <c r="AM275" t="str">
        <f t="shared" si="4"/>
        <v>Al Khobar [SAAQK]</v>
      </c>
      <c r="AN275" t="s">
        <v>34191</v>
      </c>
      <c r="AO275" t="s">
        <v>27373</v>
      </c>
      <c r="AP275" t="s">
        <v>354</v>
      </c>
      <c r="AQ275" t="s">
        <v>33045</v>
      </c>
      <c r="AS275" s="35" t="s">
        <v>14418</v>
      </c>
      <c r="AT275" s="35" t="s">
        <v>14419</v>
      </c>
    </row>
    <row r="276" spans="39:46" ht="12" customHeight="1" x14ac:dyDescent="0.2">
      <c r="AM276" t="str">
        <f t="shared" si="4"/>
        <v>Al Khums [LYKHO]</v>
      </c>
      <c r="AN276" t="s">
        <v>21967</v>
      </c>
      <c r="AO276" t="s">
        <v>21968</v>
      </c>
      <c r="AP276" t="s">
        <v>358</v>
      </c>
      <c r="AQ276" t="s">
        <v>33047</v>
      </c>
      <c r="AS276" s="35" t="s">
        <v>14426</v>
      </c>
      <c r="AT276" s="35" t="s">
        <v>14427</v>
      </c>
    </row>
    <row r="277" spans="39:46" ht="12" customHeight="1" x14ac:dyDescent="0.2">
      <c r="AM277" t="str">
        <f t="shared" si="4"/>
        <v>Al Khuraibah [SAKHU]</v>
      </c>
      <c r="AN277" t="s">
        <v>27374</v>
      </c>
      <c r="AO277" t="s">
        <v>27375</v>
      </c>
      <c r="AP277" t="s">
        <v>33231</v>
      </c>
      <c r="AQ277" t="s">
        <v>33044</v>
      </c>
      <c r="AS277" s="35" t="s">
        <v>14436</v>
      </c>
      <c r="AT277" s="35" t="s">
        <v>14437</v>
      </c>
    </row>
    <row r="278" spans="39:46" ht="12" customHeight="1" x14ac:dyDescent="0.2">
      <c r="AM278" t="str">
        <f t="shared" si="4"/>
        <v>Al Ladhiqiyah [SYALD]</v>
      </c>
      <c r="AN278" t="s">
        <v>28162</v>
      </c>
      <c r="AO278" t="s">
        <v>28163</v>
      </c>
      <c r="AP278" t="s">
        <v>347</v>
      </c>
      <c r="AQ278" t="s">
        <v>33039</v>
      </c>
      <c r="AS278" s="35" t="s">
        <v>14450</v>
      </c>
      <c r="AT278" s="35" t="s">
        <v>14451</v>
      </c>
    </row>
    <row r="279" spans="39:46" ht="12" customHeight="1" x14ac:dyDescent="0.2">
      <c r="AM279" t="str">
        <f t="shared" si="4"/>
        <v>Al Marsa [TNTZE]</v>
      </c>
      <c r="AN279" t="s">
        <v>28329</v>
      </c>
      <c r="AO279" t="s">
        <v>36558</v>
      </c>
      <c r="AP279" t="s">
        <v>33232</v>
      </c>
      <c r="AQ279" t="s">
        <v>33049</v>
      </c>
      <c r="AS279" s="35" t="s">
        <v>14454</v>
      </c>
      <c r="AT279" s="35" t="s">
        <v>14455</v>
      </c>
    </row>
    <row r="280" spans="39:46" ht="12" customHeight="1" x14ac:dyDescent="0.2">
      <c r="AM280" t="str">
        <f t="shared" si="4"/>
        <v>Al Minya [EGMIN]</v>
      </c>
      <c r="AN280" t="s">
        <v>9446</v>
      </c>
      <c r="AO280" t="s">
        <v>9447</v>
      </c>
      <c r="AP280" t="s">
        <v>33233</v>
      </c>
      <c r="AQ280" t="s">
        <v>33051</v>
      </c>
      <c r="AS280" s="35" t="s">
        <v>14480</v>
      </c>
      <c r="AT280" s="35" t="s">
        <v>32852</v>
      </c>
    </row>
    <row r="281" spans="39:46" ht="12" customHeight="1" x14ac:dyDescent="0.2">
      <c r="AM281" t="str">
        <f t="shared" si="4"/>
        <v>Al Muajjiz [SAAMU]</v>
      </c>
      <c r="AN281" t="s">
        <v>27376</v>
      </c>
      <c r="AO281" t="s">
        <v>27377</v>
      </c>
      <c r="AP281" t="s">
        <v>33234</v>
      </c>
      <c r="AQ281" t="s">
        <v>33050</v>
      </c>
      <c r="AS281" s="35" t="s">
        <v>14490</v>
      </c>
      <c r="AT281" s="35" t="s">
        <v>14491</v>
      </c>
    </row>
    <row r="282" spans="39:46" ht="12" customHeight="1" x14ac:dyDescent="0.2">
      <c r="AM282" t="str">
        <f t="shared" si="4"/>
        <v>Al Muharraq [BHGBQ]</v>
      </c>
      <c r="AN282" t="s">
        <v>3179</v>
      </c>
      <c r="AO282" t="s">
        <v>3180</v>
      </c>
      <c r="AP282" t="s">
        <v>117</v>
      </c>
      <c r="AQ282" t="s">
        <v>32889</v>
      </c>
      <c r="AS282" s="35" t="s">
        <v>14492</v>
      </c>
      <c r="AT282" s="35" t="s">
        <v>14493</v>
      </c>
    </row>
    <row r="283" spans="39:46" ht="12" customHeight="1" x14ac:dyDescent="0.2">
      <c r="AM283" t="str">
        <f t="shared" si="4"/>
        <v>Al Qahmah [SAQAH]</v>
      </c>
      <c r="AN283" t="s">
        <v>27378</v>
      </c>
      <c r="AO283" t="s">
        <v>27379</v>
      </c>
      <c r="AP283" t="s">
        <v>236</v>
      </c>
      <c r="AQ283" t="s">
        <v>33511</v>
      </c>
      <c r="AS283" s="35" t="s">
        <v>14532</v>
      </c>
      <c r="AT283" s="35" t="s">
        <v>14533</v>
      </c>
    </row>
    <row r="284" spans="39:46" ht="12" customHeight="1" x14ac:dyDescent="0.2">
      <c r="AM284" t="str">
        <f t="shared" si="4"/>
        <v>Al Qunfudah [SAQUN]</v>
      </c>
      <c r="AN284" t="s">
        <v>27380</v>
      </c>
      <c r="AO284" t="s">
        <v>27381</v>
      </c>
      <c r="AP284" t="s">
        <v>33235</v>
      </c>
      <c r="AQ284" t="s">
        <v>33295</v>
      </c>
      <c r="AS284" s="35" t="s">
        <v>14538</v>
      </c>
      <c r="AT284" s="35" t="s">
        <v>3209</v>
      </c>
    </row>
    <row r="285" spans="39:46" ht="12" customHeight="1" x14ac:dyDescent="0.2">
      <c r="AM285" t="str">
        <f t="shared" si="4"/>
        <v>Al Qusayr [EGAQU]</v>
      </c>
      <c r="AN285" t="s">
        <v>9448</v>
      </c>
      <c r="AO285" t="s">
        <v>9449</v>
      </c>
      <c r="AP285" t="s">
        <v>33236</v>
      </c>
      <c r="AQ285" t="s">
        <v>33296</v>
      </c>
      <c r="AS285" s="35" t="s">
        <v>14541</v>
      </c>
      <c r="AT285" s="35" t="s">
        <v>14543</v>
      </c>
    </row>
    <row r="286" spans="39:46" ht="12" customHeight="1" x14ac:dyDescent="0.2">
      <c r="AM286" t="str">
        <f t="shared" si="4"/>
        <v>Al Ruwais Qatar [QARUS]</v>
      </c>
      <c r="AN286" t="s">
        <v>34929</v>
      </c>
      <c r="AO286" t="s">
        <v>34930</v>
      </c>
      <c r="AP286" t="s">
        <v>33237</v>
      </c>
      <c r="AQ286" t="s">
        <v>33052</v>
      </c>
      <c r="AS286" s="35" t="s">
        <v>14336</v>
      </c>
      <c r="AT286" s="35" t="s">
        <v>32853</v>
      </c>
    </row>
    <row r="287" spans="39:46" ht="12" customHeight="1" x14ac:dyDescent="0.2">
      <c r="AM287" t="str">
        <f t="shared" si="4"/>
        <v>Al Shaheen [QAASN]</v>
      </c>
      <c r="AN287" t="s">
        <v>26687</v>
      </c>
      <c r="AO287" t="s">
        <v>26688</v>
      </c>
      <c r="AP287" t="s">
        <v>33238</v>
      </c>
      <c r="AQ287" t="s">
        <v>33053</v>
      </c>
      <c r="AS287" s="35" t="s">
        <v>14591</v>
      </c>
      <c r="AT287" s="35" t="s">
        <v>14592</v>
      </c>
    </row>
    <row r="288" spans="39:46" ht="12" customHeight="1" x14ac:dyDescent="0.2">
      <c r="AM288" t="str">
        <f t="shared" si="4"/>
        <v>Al Shaheen terminal [XZSHA]</v>
      </c>
      <c r="AN288" t="s">
        <v>32544</v>
      </c>
      <c r="AO288" t="s">
        <v>32545</v>
      </c>
      <c r="AP288" t="s">
        <v>33239</v>
      </c>
      <c r="AQ288" t="s">
        <v>33055</v>
      </c>
      <c r="AS288" s="35" t="s">
        <v>14597</v>
      </c>
      <c r="AT288" s="35" t="s">
        <v>14598</v>
      </c>
    </row>
    <row r="289" spans="39:46" ht="12" customHeight="1" x14ac:dyDescent="0.2">
      <c r="AM289" t="str">
        <f t="shared" si="4"/>
        <v>Al Taqaddum [IQTQD]</v>
      </c>
      <c r="AN289" t="s">
        <v>17553</v>
      </c>
      <c r="AO289" t="s">
        <v>17554</v>
      </c>
      <c r="AP289" t="s">
        <v>33240</v>
      </c>
      <c r="AQ289" t="s">
        <v>33297</v>
      </c>
      <c r="AS289" s="35" t="s">
        <v>14611</v>
      </c>
      <c r="AT289" s="35" t="s">
        <v>32854</v>
      </c>
    </row>
    <row r="290" spans="39:46" ht="12" customHeight="1" x14ac:dyDescent="0.2">
      <c r="AM290" t="str">
        <f t="shared" si="4"/>
        <v>Ala [SEALA]</v>
      </c>
      <c r="AN290" t="s">
        <v>27480</v>
      </c>
      <c r="AO290" t="s">
        <v>27481</v>
      </c>
      <c r="AP290" t="s">
        <v>33241</v>
      </c>
      <c r="AQ290" t="s">
        <v>33298</v>
      </c>
      <c r="AS290" s="35" t="s">
        <v>14619</v>
      </c>
      <c r="AT290" s="35" t="s">
        <v>32855</v>
      </c>
    </row>
    <row r="291" spans="39:46" ht="12" customHeight="1" x14ac:dyDescent="0.2">
      <c r="AM291" t="str">
        <f t="shared" si="4"/>
        <v>Alabama Pt. [USAA2]</v>
      </c>
      <c r="AN291" t="s">
        <v>28801</v>
      </c>
      <c r="AO291" t="s">
        <v>28802</v>
      </c>
      <c r="AP291" t="s">
        <v>370</v>
      </c>
      <c r="AQ291" t="s">
        <v>33054</v>
      </c>
      <c r="AS291" s="35" t="s">
        <v>14623</v>
      </c>
      <c r="AT291" s="35" t="s">
        <v>14624</v>
      </c>
    </row>
    <row r="292" spans="39:46" ht="12" customHeight="1" x14ac:dyDescent="0.2">
      <c r="AM292" t="str">
        <f t="shared" si="4"/>
        <v>Alachua [USAHU]</v>
      </c>
      <c r="AN292" t="s">
        <v>28803</v>
      </c>
      <c r="AO292" t="s">
        <v>28804</v>
      </c>
      <c r="AP292" t="s">
        <v>372</v>
      </c>
      <c r="AQ292" t="s">
        <v>33299</v>
      </c>
      <c r="AS292" s="35" t="s">
        <v>14625</v>
      </c>
      <c r="AT292" s="35" t="s">
        <v>14626</v>
      </c>
    </row>
    <row r="293" spans="39:46" ht="12" customHeight="1" x14ac:dyDescent="0.2">
      <c r="AM293" t="str">
        <f t="shared" si="4"/>
        <v>Alagoinhas [BRAGS]</v>
      </c>
      <c r="AN293" t="s">
        <v>3253</v>
      </c>
      <c r="AO293" t="s">
        <v>3254</v>
      </c>
      <c r="AP293" t="s">
        <v>33242</v>
      </c>
      <c r="AQ293" t="s">
        <v>33300</v>
      </c>
      <c r="AS293" s="35" t="s">
        <v>14629</v>
      </c>
      <c r="AT293" s="35" t="s">
        <v>14630</v>
      </c>
    </row>
    <row r="294" spans="39:46" ht="12" customHeight="1" x14ac:dyDescent="0.2">
      <c r="AM294" t="str">
        <f t="shared" si="4"/>
        <v>Alajoe [EEALJ]</v>
      </c>
      <c r="AN294" t="s">
        <v>9135</v>
      </c>
      <c r="AO294" t="s">
        <v>35614</v>
      </c>
      <c r="AP294" t="s">
        <v>33243</v>
      </c>
      <c r="AQ294" t="s">
        <v>32939</v>
      </c>
      <c r="AS294" s="35" t="s">
        <v>14633</v>
      </c>
      <c r="AT294" s="35" t="s">
        <v>32856</v>
      </c>
    </row>
    <row r="295" spans="39:46" ht="12" customHeight="1" x14ac:dyDescent="0.2">
      <c r="AM295" t="str">
        <f t="shared" si="4"/>
        <v>Alajoe Joesadam [EEAJS]</v>
      </c>
      <c r="AN295" t="s">
        <v>9136</v>
      </c>
      <c r="AO295" t="s">
        <v>35615</v>
      </c>
      <c r="AP295" t="s">
        <v>33244</v>
      </c>
      <c r="AQ295" t="s">
        <v>33056</v>
      </c>
      <c r="AS295" s="35" t="s">
        <v>14643</v>
      </c>
      <c r="AT295" s="35" t="s">
        <v>32857</v>
      </c>
    </row>
    <row r="296" spans="39:46" ht="12" customHeight="1" x14ac:dyDescent="0.2">
      <c r="AM296" t="str">
        <f t="shared" si="4"/>
        <v>Alajoe Kalasadam [EEAKS]</v>
      </c>
      <c r="AN296" t="s">
        <v>9137</v>
      </c>
      <c r="AO296" t="s">
        <v>35616</v>
      </c>
      <c r="AP296" t="s">
        <v>33245</v>
      </c>
      <c r="AQ296" t="s">
        <v>33059</v>
      </c>
      <c r="AS296" s="35" t="s">
        <v>14645</v>
      </c>
      <c r="AT296" s="35" t="s">
        <v>32858</v>
      </c>
    </row>
    <row r="297" spans="39:46" ht="12" customHeight="1" x14ac:dyDescent="0.2">
      <c r="AM297" t="str">
        <f t="shared" si="4"/>
        <v>Alameda [USNGZ]</v>
      </c>
      <c r="AN297" t="s">
        <v>28805</v>
      </c>
      <c r="AO297" t="s">
        <v>28806</v>
      </c>
      <c r="AP297" t="s">
        <v>33246</v>
      </c>
      <c r="AQ297" t="s">
        <v>32759</v>
      </c>
      <c r="AS297" s="35" t="s">
        <v>14646</v>
      </c>
      <c r="AT297" s="35" t="s">
        <v>14647</v>
      </c>
    </row>
    <row r="298" spans="39:46" ht="12" customHeight="1" x14ac:dyDescent="0.2">
      <c r="AM298" t="str">
        <f t="shared" si="4"/>
        <v>Alameda de La Sagra [ESADS]</v>
      </c>
      <c r="AN298" t="s">
        <v>9564</v>
      </c>
      <c r="AO298" t="s">
        <v>9565</v>
      </c>
      <c r="AS298" s="35" t="s">
        <v>14652</v>
      </c>
      <c r="AT298" s="35" t="s">
        <v>14653</v>
      </c>
    </row>
    <row r="299" spans="39:46" ht="12" customHeight="1" x14ac:dyDescent="0.2">
      <c r="AM299" t="str">
        <f t="shared" si="4"/>
        <v>Alang SBY [INALA]</v>
      </c>
      <c r="AN299" t="s">
        <v>16996</v>
      </c>
      <c r="AO299" t="s">
        <v>16997</v>
      </c>
      <c r="AS299" s="35" t="s">
        <v>14654</v>
      </c>
      <c r="AT299" s="35" t="s">
        <v>14655</v>
      </c>
    </row>
    <row r="300" spans="39:46" ht="12" customHeight="1" x14ac:dyDescent="0.2">
      <c r="AM300" t="str">
        <f t="shared" si="4"/>
        <v>Alanson [USYAN]</v>
      </c>
      <c r="AN300" t="s">
        <v>28807</v>
      </c>
      <c r="AO300" t="s">
        <v>28808</v>
      </c>
      <c r="AS300" s="35" t="s">
        <v>14662</v>
      </c>
      <c r="AT300" s="35" t="s">
        <v>32859</v>
      </c>
    </row>
    <row r="301" spans="39:46" ht="12" customHeight="1" x14ac:dyDescent="0.2">
      <c r="AM301" t="str">
        <f t="shared" si="4"/>
        <v>Alanya [TRALA]</v>
      </c>
      <c r="AN301" t="s">
        <v>28392</v>
      </c>
      <c r="AO301" t="s">
        <v>28393</v>
      </c>
      <c r="AS301" s="35" t="s">
        <v>14666</v>
      </c>
      <c r="AT301" s="35" t="s">
        <v>32860</v>
      </c>
    </row>
    <row r="302" spans="39:46" ht="12" customHeight="1" x14ac:dyDescent="0.2">
      <c r="AM302" t="str">
        <f t="shared" si="4"/>
        <v>Alasang/Siain [PHALA]</v>
      </c>
      <c r="AN302" t="s">
        <v>25512</v>
      </c>
      <c r="AO302" t="s">
        <v>25513</v>
      </c>
      <c r="AS302" s="35" t="s">
        <v>14687</v>
      </c>
      <c r="AT302" s="35" t="s">
        <v>14688</v>
      </c>
    </row>
    <row r="303" spans="39:46" ht="12" customHeight="1" x14ac:dyDescent="0.2">
      <c r="AM303" t="str">
        <f t="shared" si="4"/>
        <v>Alassio [ITALS]</v>
      </c>
      <c r="AN303" t="s">
        <v>17793</v>
      </c>
      <c r="AO303" t="s">
        <v>17794</v>
      </c>
      <c r="AS303" s="35" t="s">
        <v>14689</v>
      </c>
      <c r="AT303" s="35" t="s">
        <v>14690</v>
      </c>
    </row>
    <row r="304" spans="39:46" ht="12" customHeight="1" x14ac:dyDescent="0.2">
      <c r="AM304" t="str">
        <f t="shared" si="4"/>
        <v>Alba Oil Field [GBAOF]</v>
      </c>
      <c r="AN304" t="s">
        <v>12283</v>
      </c>
      <c r="AO304" t="s">
        <v>12284</v>
      </c>
      <c r="AS304" s="35" t="s">
        <v>14698</v>
      </c>
      <c r="AT304" s="35" t="s">
        <v>14699</v>
      </c>
    </row>
    <row r="305" spans="39:46" ht="12" customHeight="1" x14ac:dyDescent="0.2">
      <c r="AM305" t="str">
        <f t="shared" si="4"/>
        <v>Albany [AUALH]</v>
      </c>
      <c r="AN305" t="s">
        <v>1385</v>
      </c>
      <c r="AO305" t="s">
        <v>1386</v>
      </c>
      <c r="AS305" s="35" t="s">
        <v>14702</v>
      </c>
      <c r="AT305" s="35" t="s">
        <v>33075</v>
      </c>
    </row>
    <row r="306" spans="39:46" ht="12" customHeight="1" x14ac:dyDescent="0.2">
      <c r="AM306" t="str">
        <f t="shared" si="4"/>
        <v>Albany [USALB]</v>
      </c>
      <c r="AN306" t="s">
        <v>28809</v>
      </c>
      <c r="AO306" t="s">
        <v>1386</v>
      </c>
      <c r="AS306" s="35" t="s">
        <v>14708</v>
      </c>
      <c r="AT306" s="35" t="s">
        <v>14709</v>
      </c>
    </row>
    <row r="307" spans="39:46" ht="12" customHeight="1" x14ac:dyDescent="0.2">
      <c r="AM307" t="str">
        <f t="shared" si="4"/>
        <v>Albersweiler [DEILE]</v>
      </c>
      <c r="AN307" t="s">
        <v>6984</v>
      </c>
      <c r="AO307" t="s">
        <v>6985</v>
      </c>
      <c r="AS307" s="35" t="s">
        <v>14710</v>
      </c>
      <c r="AT307" s="35" t="s">
        <v>32861</v>
      </c>
    </row>
    <row r="308" spans="39:46" ht="12" customHeight="1" x14ac:dyDescent="0.2">
      <c r="AM308" t="str">
        <f t="shared" si="4"/>
        <v>Albertkanaal ports [BEABK]</v>
      </c>
      <c r="AN308" t="s">
        <v>2216</v>
      </c>
      <c r="AO308" t="s">
        <v>2217</v>
      </c>
      <c r="AS308" s="35" t="s">
        <v>14714</v>
      </c>
      <c r="AT308" s="35" t="s">
        <v>14715</v>
      </c>
    </row>
    <row r="309" spans="39:46" ht="12" customHeight="1" x14ac:dyDescent="0.2">
      <c r="AM309" t="str">
        <f t="shared" si="4"/>
        <v>Albertshofen [DETSH]</v>
      </c>
      <c r="AN309" t="s">
        <v>6986</v>
      </c>
      <c r="AO309" t="s">
        <v>6987</v>
      </c>
      <c r="AS309" s="35" t="s">
        <v>14718</v>
      </c>
      <c r="AT309" s="35" t="s">
        <v>14719</v>
      </c>
    </row>
    <row r="310" spans="39:46" ht="12" customHeight="1" x14ac:dyDescent="0.2">
      <c r="AM310" t="str">
        <f t="shared" si="4"/>
        <v>Albina [SRABN]</v>
      </c>
      <c r="AN310" t="s">
        <v>28116</v>
      </c>
      <c r="AO310" t="s">
        <v>28117</v>
      </c>
      <c r="AS310" s="35" t="s">
        <v>14730</v>
      </c>
      <c r="AT310" s="35" t="s">
        <v>14731</v>
      </c>
    </row>
    <row r="311" spans="39:46" ht="12" customHeight="1" x14ac:dyDescent="0.2">
      <c r="AM311" t="str">
        <f t="shared" si="4"/>
        <v>Albion [MUABN]</v>
      </c>
      <c r="AN311" t="s">
        <v>34931</v>
      </c>
      <c r="AO311" t="s">
        <v>34932</v>
      </c>
      <c r="AS311" s="35" t="s">
        <v>14732</v>
      </c>
      <c r="AT311" s="35" t="s">
        <v>14733</v>
      </c>
    </row>
    <row r="312" spans="39:46" ht="12" customHeight="1" x14ac:dyDescent="0.2">
      <c r="AM312" t="str">
        <f t="shared" si="4"/>
        <v>Alblasserdam [NLABL]</v>
      </c>
      <c r="AN312" t="s">
        <v>23024</v>
      </c>
      <c r="AO312" t="s">
        <v>23025</v>
      </c>
      <c r="AS312" s="35" t="s">
        <v>14738</v>
      </c>
      <c r="AT312" s="35" t="s">
        <v>14739</v>
      </c>
    </row>
    <row r="313" spans="39:46" ht="12" customHeight="1" x14ac:dyDescent="0.2">
      <c r="AM313" t="str">
        <f t="shared" si="4"/>
        <v>Albrandswaard [NLAWD]</v>
      </c>
      <c r="AN313" t="s">
        <v>23026</v>
      </c>
      <c r="AO313" t="s">
        <v>23027</v>
      </c>
      <c r="AS313" s="35" t="s">
        <v>14742</v>
      </c>
      <c r="AT313" s="35" t="s">
        <v>32862</v>
      </c>
    </row>
    <row r="314" spans="39:46" ht="12" customHeight="1" x14ac:dyDescent="0.2">
      <c r="AM314" t="str">
        <f t="shared" si="4"/>
        <v>Albuera [PHALB]</v>
      </c>
      <c r="AN314" t="s">
        <v>25514</v>
      </c>
      <c r="AO314" t="s">
        <v>25515</v>
      </c>
      <c r="AS314" s="35" t="s">
        <v>14744</v>
      </c>
      <c r="AT314" s="35" t="s">
        <v>14745</v>
      </c>
    </row>
    <row r="315" spans="39:46" ht="12" customHeight="1" x14ac:dyDescent="0.2">
      <c r="AM315" t="str">
        <f t="shared" si="4"/>
        <v>Albufeira [PTABF]</v>
      </c>
      <c r="AN315" t="s">
        <v>26439</v>
      </c>
      <c r="AO315" t="s">
        <v>26440</v>
      </c>
      <c r="AS315" s="35" t="s">
        <v>14746</v>
      </c>
      <c r="AT315" s="35" t="s">
        <v>32863</v>
      </c>
    </row>
    <row r="316" spans="39:46" ht="12" customHeight="1" x14ac:dyDescent="0.2">
      <c r="AM316" t="str">
        <f t="shared" si="4"/>
        <v>Alcala del Rio [ESRDA]</v>
      </c>
      <c r="AN316" t="s">
        <v>9566</v>
      </c>
      <c r="AO316" t="s">
        <v>9567</v>
      </c>
      <c r="AS316" s="35" t="s">
        <v>14758</v>
      </c>
      <c r="AT316" s="35" t="s">
        <v>32864</v>
      </c>
    </row>
    <row r="317" spans="39:46" ht="12" customHeight="1" x14ac:dyDescent="0.2">
      <c r="AM317" t="str">
        <f t="shared" si="4"/>
        <v>Alcanar [ESACA]</v>
      </c>
      <c r="AN317" t="s">
        <v>9568</v>
      </c>
      <c r="AO317" t="s">
        <v>9569</v>
      </c>
      <c r="AS317" s="35" t="s">
        <v>14764</v>
      </c>
      <c r="AT317" s="35" t="s">
        <v>32865</v>
      </c>
    </row>
    <row r="318" spans="39:46" ht="12" customHeight="1" x14ac:dyDescent="0.2">
      <c r="AM318" t="str">
        <f t="shared" si="4"/>
        <v>Alcaudete de la Jaya [ESADT]</v>
      </c>
      <c r="AN318" t="s">
        <v>9570</v>
      </c>
      <c r="AO318" t="s">
        <v>9571</v>
      </c>
      <c r="AS318" s="35" t="s">
        <v>14780</v>
      </c>
      <c r="AT318" s="35" t="s">
        <v>32866</v>
      </c>
    </row>
    <row r="319" spans="39:46" ht="12" customHeight="1" x14ac:dyDescent="0.2">
      <c r="AM319" t="str">
        <f t="shared" si="4"/>
        <v>Alcester Island [PGALC]</v>
      </c>
      <c r="AN319" t="s">
        <v>25352</v>
      </c>
      <c r="AO319" t="s">
        <v>25353</v>
      </c>
      <c r="AS319" s="35" t="s">
        <v>14797</v>
      </c>
      <c r="AT319" s="35" t="s">
        <v>14798</v>
      </c>
    </row>
    <row r="320" spans="39:46" ht="12" customHeight="1" x14ac:dyDescent="0.2">
      <c r="AM320" t="str">
        <f t="shared" si="4"/>
        <v>Alcoy [PHALC]</v>
      </c>
      <c r="AN320" t="s">
        <v>25516</v>
      </c>
      <c r="AO320" t="s">
        <v>25517</v>
      </c>
      <c r="AS320" s="35" t="s">
        <v>14801</v>
      </c>
      <c r="AT320" s="35" t="s">
        <v>14802</v>
      </c>
    </row>
    <row r="321" spans="39:46" ht="12" customHeight="1" x14ac:dyDescent="0.2">
      <c r="AM321" t="str">
        <f t="shared" si="4"/>
        <v>Alcudia [ESALD]</v>
      </c>
      <c r="AN321" t="s">
        <v>9572</v>
      </c>
      <c r="AO321" t="s">
        <v>9573</v>
      </c>
      <c r="AS321" s="35" t="s">
        <v>14813</v>
      </c>
      <c r="AT321" s="35" t="s">
        <v>14814</v>
      </c>
    </row>
    <row r="322" spans="39:46" ht="12" customHeight="1" x14ac:dyDescent="0.2">
      <c r="AM322" t="str">
        <f t="shared" si="4"/>
        <v>Aldeburgh [GBALB]</v>
      </c>
      <c r="AN322" t="s">
        <v>12285</v>
      </c>
      <c r="AO322" t="s">
        <v>12286</v>
      </c>
      <c r="AS322" s="35" t="s">
        <v>14819</v>
      </c>
      <c r="AT322" s="35" t="s">
        <v>32867</v>
      </c>
    </row>
    <row r="323" spans="39:46" ht="12" customHeight="1" x14ac:dyDescent="0.2">
      <c r="AM323" t="str">
        <f t="shared" ref="AM323:AM386" si="5">AO323 &amp; " [" &amp; AN323 &amp; "]"</f>
        <v>Alderney [GGACI]</v>
      </c>
      <c r="AN323" t="s">
        <v>14945</v>
      </c>
      <c r="AO323" t="s">
        <v>14946</v>
      </c>
      <c r="AS323" s="35" t="s">
        <v>14855</v>
      </c>
      <c r="AT323" s="35" t="s">
        <v>4586</v>
      </c>
    </row>
    <row r="324" spans="39:46" ht="12" customHeight="1" x14ac:dyDescent="0.2">
      <c r="AM324" t="str">
        <f t="shared" si="5"/>
        <v>Aldersgate [GBGSR]</v>
      </c>
      <c r="AN324" t="s">
        <v>12287</v>
      </c>
      <c r="AO324" t="s">
        <v>12288</v>
      </c>
      <c r="AS324" s="35" t="s">
        <v>14860</v>
      </c>
      <c r="AT324" s="35" t="s">
        <v>4592</v>
      </c>
    </row>
    <row r="325" spans="39:46" ht="12" customHeight="1" x14ac:dyDescent="0.2">
      <c r="AM325" t="str">
        <f t="shared" si="5"/>
        <v>Aldgate [AUALD]</v>
      </c>
      <c r="AN325" t="s">
        <v>1387</v>
      </c>
      <c r="AO325" t="s">
        <v>1388</v>
      </c>
      <c r="AS325" s="35" t="s">
        <v>14867</v>
      </c>
      <c r="AT325" s="35" t="s">
        <v>14868</v>
      </c>
    </row>
    <row r="326" spans="39:46" ht="12" customHeight="1" x14ac:dyDescent="0.2">
      <c r="AM326" t="str">
        <f t="shared" si="5"/>
        <v>Aldie [USAL7]</v>
      </c>
      <c r="AN326" t="s">
        <v>28810</v>
      </c>
      <c r="AO326" t="s">
        <v>28811</v>
      </c>
      <c r="AS326" s="35" t="s">
        <v>14875</v>
      </c>
      <c r="AT326" s="35" t="s">
        <v>14876</v>
      </c>
    </row>
    <row r="327" spans="39:46" ht="12" customHeight="1" x14ac:dyDescent="0.2">
      <c r="AM327" t="str">
        <f t="shared" si="5"/>
        <v>Alefjar [NOALE]</v>
      </c>
      <c r="AN327" t="s">
        <v>23833</v>
      </c>
      <c r="AO327" t="s">
        <v>36118</v>
      </c>
      <c r="AS327" s="35" t="s">
        <v>14877</v>
      </c>
      <c r="AT327" s="35" t="s">
        <v>14878</v>
      </c>
    </row>
    <row r="328" spans="39:46" ht="12" customHeight="1" x14ac:dyDescent="0.2">
      <c r="AM328" t="str">
        <f t="shared" si="5"/>
        <v>Aleksandrovsk-Sakhalinskiy [RUSAK]</v>
      </c>
      <c r="AN328" t="s">
        <v>26861</v>
      </c>
      <c r="AO328" t="s">
        <v>26862</v>
      </c>
      <c r="AS328" s="35" t="s">
        <v>14893</v>
      </c>
      <c r="AT328" s="35" t="s">
        <v>14894</v>
      </c>
    </row>
    <row r="329" spans="39:46" ht="12" customHeight="1" x14ac:dyDescent="0.2">
      <c r="AM329" t="str">
        <f t="shared" si="5"/>
        <v>Aleran/Ozamis [PHALE]</v>
      </c>
      <c r="AN329" t="s">
        <v>25518</v>
      </c>
      <c r="AO329" t="s">
        <v>25519</v>
      </c>
      <c r="AS329" s="35" t="s">
        <v>14901</v>
      </c>
      <c r="AT329" s="35" t="s">
        <v>14902</v>
      </c>
    </row>
    <row r="330" spans="39:46" ht="12" customHeight="1" x14ac:dyDescent="0.2">
      <c r="AM330" t="str">
        <f t="shared" si="5"/>
        <v>Alert Bay [CAAAL]</v>
      </c>
      <c r="AN330" t="s">
        <v>3516</v>
      </c>
      <c r="AO330" t="s">
        <v>3517</v>
      </c>
      <c r="AS330" s="35" t="s">
        <v>14913</v>
      </c>
      <c r="AT330" s="35" t="s">
        <v>32868</v>
      </c>
    </row>
    <row r="331" spans="39:46" ht="12" customHeight="1" x14ac:dyDescent="0.2">
      <c r="AM331" t="str">
        <f t="shared" si="5"/>
        <v>Alesund [NOAES]</v>
      </c>
      <c r="AN331" t="s">
        <v>23834</v>
      </c>
      <c r="AO331" t="s">
        <v>36119</v>
      </c>
      <c r="AS331" s="35" t="s">
        <v>14916</v>
      </c>
      <c r="AT331" s="35" t="s">
        <v>14917</v>
      </c>
    </row>
    <row r="332" spans="39:46" ht="12" customHeight="1" x14ac:dyDescent="0.2">
      <c r="AM332" t="str">
        <f t="shared" si="5"/>
        <v>Alexandra Quay [IEALQ]</v>
      </c>
      <c r="AN332" t="s">
        <v>16709</v>
      </c>
      <c r="AO332" t="s">
        <v>16710</v>
      </c>
    </row>
    <row r="333" spans="39:46" ht="12" customHeight="1" x14ac:dyDescent="0.2">
      <c r="AM333" t="str">
        <f t="shared" si="5"/>
        <v>Alexandra Road Oil [IEARO]</v>
      </c>
      <c r="AN333" t="s">
        <v>16711</v>
      </c>
      <c r="AO333" t="s">
        <v>16712</v>
      </c>
    </row>
    <row r="334" spans="39:46" ht="12" customHeight="1" x14ac:dyDescent="0.2">
      <c r="AM334" t="str">
        <f t="shared" si="5"/>
        <v>Alexandria [USAXR]</v>
      </c>
      <c r="AN334" t="s">
        <v>28812</v>
      </c>
      <c r="AO334" t="s">
        <v>28813</v>
      </c>
    </row>
    <row r="335" spans="39:46" ht="12" customHeight="1" x14ac:dyDescent="0.2">
      <c r="AM335" t="str">
        <f t="shared" si="5"/>
        <v>Alexandroupolis [GRAXD]</v>
      </c>
      <c r="AN335" t="s">
        <v>15130</v>
      </c>
      <c r="AO335" t="s">
        <v>35879</v>
      </c>
    </row>
    <row r="336" spans="39:46" ht="12" customHeight="1" x14ac:dyDescent="0.2">
      <c r="AM336" t="str">
        <f t="shared" si="5"/>
        <v>Alf [DEAQF]</v>
      </c>
      <c r="AN336" t="s">
        <v>6988</v>
      </c>
      <c r="AO336" t="s">
        <v>6989</v>
      </c>
    </row>
    <row r="337" spans="39:41" ht="12" customHeight="1" x14ac:dyDescent="0.2">
      <c r="AM337" t="str">
        <f t="shared" si="5"/>
        <v>Alfeld/Leine [DEALF]</v>
      </c>
      <c r="AN337" t="s">
        <v>6990</v>
      </c>
      <c r="AO337" t="s">
        <v>6991</v>
      </c>
    </row>
    <row r="338" spans="39:41" ht="12" customHeight="1" x14ac:dyDescent="0.2">
      <c r="AM338" t="str">
        <f t="shared" si="5"/>
        <v>Alfredshem [SEALF]</v>
      </c>
      <c r="AN338" t="s">
        <v>27482</v>
      </c>
      <c r="AO338" t="s">
        <v>27483</v>
      </c>
    </row>
    <row r="339" spans="39:41" ht="12" customHeight="1" x14ac:dyDescent="0.2">
      <c r="AM339" t="str">
        <f t="shared" si="5"/>
        <v>Algeciras [ESALG]</v>
      </c>
      <c r="AN339" t="s">
        <v>9574</v>
      </c>
      <c r="AO339" t="s">
        <v>9575</v>
      </c>
    </row>
    <row r="340" spans="39:41" ht="12" customHeight="1" x14ac:dyDescent="0.2">
      <c r="AM340" t="str">
        <f t="shared" si="5"/>
        <v>Alger (Algiers) [DZALG]</v>
      </c>
      <c r="AN340" t="s">
        <v>9033</v>
      </c>
      <c r="AO340" t="s">
        <v>9034</v>
      </c>
    </row>
    <row r="341" spans="39:41" ht="12" customHeight="1" x14ac:dyDescent="0.2">
      <c r="AM341" t="str">
        <f t="shared" si="5"/>
        <v>Alghero [ITAHO]</v>
      </c>
      <c r="AN341" t="s">
        <v>17795</v>
      </c>
      <c r="AO341" t="s">
        <v>17796</v>
      </c>
    </row>
    <row r="342" spans="39:41" ht="12" customHeight="1" x14ac:dyDescent="0.2">
      <c r="AM342" t="str">
        <f t="shared" si="5"/>
        <v>Algoa Bay [ZAAOB]</v>
      </c>
      <c r="AN342" t="s">
        <v>32667</v>
      </c>
      <c r="AO342" t="s">
        <v>32668</v>
      </c>
    </row>
    <row r="343" spans="39:41" ht="12" customHeight="1" x14ac:dyDescent="0.2">
      <c r="AM343" t="str">
        <f t="shared" si="5"/>
        <v>Algonquin [USAGQ]</v>
      </c>
      <c r="AN343" t="s">
        <v>28814</v>
      </c>
      <c r="AO343" t="s">
        <v>28815</v>
      </c>
    </row>
    <row r="344" spans="39:41" ht="12" customHeight="1" x14ac:dyDescent="0.2">
      <c r="AM344" t="str">
        <f t="shared" si="5"/>
        <v>Algorta [ESALT]</v>
      </c>
      <c r="AN344" t="s">
        <v>9576</v>
      </c>
      <c r="AO344" t="s">
        <v>9577</v>
      </c>
    </row>
    <row r="345" spans="39:41" ht="12" customHeight="1" x14ac:dyDescent="0.2">
      <c r="AM345" t="str">
        <f t="shared" si="5"/>
        <v>Alhandra [BRALH]</v>
      </c>
      <c r="AN345" t="s">
        <v>3255</v>
      </c>
      <c r="AO345" t="s">
        <v>3256</v>
      </c>
    </row>
    <row r="346" spans="39:41" ht="12" customHeight="1" x14ac:dyDescent="0.2">
      <c r="AM346" t="str">
        <f t="shared" si="5"/>
        <v>Alholmen [FIAHL]</v>
      </c>
      <c r="AN346" t="s">
        <v>10310</v>
      </c>
      <c r="AO346" t="s">
        <v>10311</v>
      </c>
    </row>
    <row r="347" spans="39:41" ht="12" customHeight="1" x14ac:dyDescent="0.2">
      <c r="AM347" t="str">
        <f t="shared" si="5"/>
        <v>Aliaga [TRALI]</v>
      </c>
      <c r="AN347" t="s">
        <v>28394</v>
      </c>
      <c r="AO347" t="s">
        <v>28395</v>
      </c>
    </row>
    <row r="348" spans="39:41" ht="12" customHeight="1" x14ac:dyDescent="0.2">
      <c r="AM348" t="str">
        <f t="shared" si="5"/>
        <v>Alibag [INABG]</v>
      </c>
      <c r="AN348" t="s">
        <v>16998</v>
      </c>
      <c r="AO348" t="s">
        <v>16999</v>
      </c>
    </row>
    <row r="349" spans="39:41" ht="12" customHeight="1" x14ac:dyDescent="0.2">
      <c r="AM349" t="str">
        <f t="shared" si="5"/>
        <v>Alicante [ESALC]</v>
      </c>
      <c r="AN349" t="s">
        <v>9578</v>
      </c>
      <c r="AO349" t="s">
        <v>9579</v>
      </c>
    </row>
    <row r="350" spans="39:41" ht="12" customHeight="1" x14ac:dyDescent="0.2">
      <c r="AM350" t="str">
        <f t="shared" si="5"/>
        <v>Alicudi [ITALI]</v>
      </c>
      <c r="AN350" t="s">
        <v>17797</v>
      </c>
      <c r="AO350" t="s">
        <v>17798</v>
      </c>
    </row>
    <row r="351" spans="39:41" ht="12" customHeight="1" x14ac:dyDescent="0.2">
      <c r="AM351" t="str">
        <f t="shared" si="5"/>
        <v>Alimos [GRAIO]</v>
      </c>
      <c r="AN351" t="s">
        <v>34084</v>
      </c>
      <c r="AO351" t="s">
        <v>34130</v>
      </c>
    </row>
    <row r="352" spans="39:41" ht="12" customHeight="1" x14ac:dyDescent="0.2">
      <c r="AM352" t="str">
        <f t="shared" si="5"/>
        <v>Aliverio [GRLVR]</v>
      </c>
      <c r="AN352" t="s">
        <v>15131</v>
      </c>
      <c r="AO352" t="s">
        <v>15132</v>
      </c>
    </row>
    <row r="353" spans="39:41" ht="12" customHeight="1" x14ac:dyDescent="0.2">
      <c r="AM353" t="str">
        <f t="shared" si="5"/>
        <v>Aljmas [HRALJ]</v>
      </c>
      <c r="AN353" t="s">
        <v>15692</v>
      </c>
      <c r="AO353" t="s">
        <v>15693</v>
      </c>
    </row>
    <row r="354" spans="39:41" ht="12" customHeight="1" x14ac:dyDescent="0.2">
      <c r="AM354" t="str">
        <f t="shared" si="5"/>
        <v>Alkmaar [NLALK]</v>
      </c>
      <c r="AN354" t="s">
        <v>34329</v>
      </c>
      <c r="AO354" t="s">
        <v>34318</v>
      </c>
    </row>
    <row r="355" spans="39:41" ht="12" customHeight="1" x14ac:dyDescent="0.2">
      <c r="AM355" t="str">
        <f t="shared" si="5"/>
        <v>Allamps [FRTKU]</v>
      </c>
      <c r="AN355" t="s">
        <v>10718</v>
      </c>
      <c r="AO355" t="s">
        <v>10719</v>
      </c>
    </row>
    <row r="356" spans="39:41" ht="12" customHeight="1" x14ac:dyDescent="0.2">
      <c r="AM356" t="str">
        <f t="shared" si="5"/>
        <v>Allardyce Harbour, Sta Isabel Is [SBALB]</v>
      </c>
      <c r="AN356" t="s">
        <v>27431</v>
      </c>
      <c r="AO356" t="s">
        <v>27432</v>
      </c>
    </row>
    <row r="357" spans="39:41" ht="12" customHeight="1" x14ac:dyDescent="0.2">
      <c r="AM357" t="str">
        <f t="shared" si="5"/>
        <v>Allariz [ESARZ]</v>
      </c>
      <c r="AN357" t="s">
        <v>9580</v>
      </c>
      <c r="AO357" t="s">
        <v>35658</v>
      </c>
    </row>
    <row r="358" spans="39:41" ht="12" customHeight="1" x14ac:dyDescent="0.2">
      <c r="AM358" t="str">
        <f t="shared" si="5"/>
        <v>Allendale [USEDL]</v>
      </c>
      <c r="AN358" t="s">
        <v>28816</v>
      </c>
      <c r="AO358" t="s">
        <v>28817</v>
      </c>
    </row>
    <row r="359" spans="39:41" ht="12" customHeight="1" x14ac:dyDescent="0.2">
      <c r="AM359" t="str">
        <f t="shared" si="5"/>
        <v>Allenstown [USATX]</v>
      </c>
      <c r="AN359" t="s">
        <v>28818</v>
      </c>
      <c r="AO359" t="s">
        <v>28819</v>
      </c>
    </row>
    <row r="360" spans="39:41" ht="12" customHeight="1" x14ac:dyDescent="0.2">
      <c r="AM360" t="str">
        <f t="shared" si="5"/>
        <v>Alleppey [INALF]</v>
      </c>
      <c r="AN360" t="s">
        <v>17000</v>
      </c>
      <c r="AO360" t="s">
        <v>17001</v>
      </c>
    </row>
    <row r="361" spans="39:41" ht="12" customHeight="1" x14ac:dyDescent="0.2">
      <c r="AM361" t="str">
        <f t="shared" si="5"/>
        <v>Alliance [USAL3]</v>
      </c>
      <c r="AN361" t="s">
        <v>28820</v>
      </c>
      <c r="AO361" t="s">
        <v>28821</v>
      </c>
    </row>
    <row r="362" spans="39:41" ht="12" customHeight="1" x14ac:dyDescent="0.2">
      <c r="AM362" t="str">
        <f t="shared" si="5"/>
        <v>Alligator Pond [JMALP]</v>
      </c>
      <c r="AN362" t="s">
        <v>18422</v>
      </c>
      <c r="AO362" t="s">
        <v>18423</v>
      </c>
    </row>
    <row r="363" spans="39:41" ht="12" customHeight="1" x14ac:dyDescent="0.2">
      <c r="AM363" t="str">
        <f t="shared" si="5"/>
        <v>Allinge [DKAGE]</v>
      </c>
      <c r="AN363" t="s">
        <v>8606</v>
      </c>
      <c r="AO363" t="s">
        <v>8607</v>
      </c>
    </row>
    <row r="364" spans="39:41" ht="12" customHeight="1" x14ac:dyDescent="0.2">
      <c r="AM364" t="str">
        <f t="shared" si="5"/>
        <v>Alloa [GBALL]</v>
      </c>
      <c r="AN364" t="s">
        <v>12289</v>
      </c>
      <c r="AO364" t="s">
        <v>12290</v>
      </c>
    </row>
    <row r="365" spans="39:41" ht="12" customHeight="1" x14ac:dyDescent="0.2">
      <c r="AM365" t="str">
        <f t="shared" si="5"/>
        <v>Alma [USXAM]</v>
      </c>
      <c r="AN365" t="s">
        <v>28822</v>
      </c>
      <c r="AO365" t="s">
        <v>28823</v>
      </c>
    </row>
    <row r="366" spans="39:41" ht="12" customHeight="1" x14ac:dyDescent="0.2">
      <c r="AM366" t="str">
        <f t="shared" si="5"/>
        <v>Almasfuzito [HUAFU]</v>
      </c>
      <c r="AN366" t="s">
        <v>16048</v>
      </c>
      <c r="AO366" t="s">
        <v>36006</v>
      </c>
    </row>
    <row r="367" spans="39:41" ht="12" customHeight="1" x14ac:dyDescent="0.2">
      <c r="AM367" t="str">
        <f t="shared" si="5"/>
        <v>Almelo [NLALM]</v>
      </c>
      <c r="AN367" t="s">
        <v>34330</v>
      </c>
      <c r="AO367" t="s">
        <v>34319</v>
      </c>
    </row>
    <row r="368" spans="39:41" ht="12" customHeight="1" x14ac:dyDescent="0.2">
      <c r="AM368" t="str">
        <f t="shared" si="5"/>
        <v>Almendricos [ESALX]</v>
      </c>
      <c r="AN368" t="s">
        <v>9581</v>
      </c>
      <c r="AO368" t="s">
        <v>9582</v>
      </c>
    </row>
    <row r="369" spans="39:41" ht="12" customHeight="1" x14ac:dyDescent="0.2">
      <c r="AM369" t="str">
        <f t="shared" si="5"/>
        <v>Almere [NLAER]</v>
      </c>
      <c r="AN369" t="s">
        <v>34188</v>
      </c>
      <c r="AO369" t="s">
        <v>34262</v>
      </c>
    </row>
    <row r="370" spans="39:41" ht="12" customHeight="1" x14ac:dyDescent="0.2">
      <c r="AM370" t="str">
        <f t="shared" si="5"/>
        <v>Almeria [ESLEI]</v>
      </c>
      <c r="AN370" t="s">
        <v>9583</v>
      </c>
      <c r="AO370" t="s">
        <v>35659</v>
      </c>
    </row>
    <row r="371" spans="39:41" ht="12" customHeight="1" x14ac:dyDescent="0.2">
      <c r="AM371" t="str">
        <f t="shared" si="5"/>
        <v>Almirante [PAPAM]</v>
      </c>
      <c r="AN371" t="s">
        <v>25171</v>
      </c>
      <c r="AO371" t="s">
        <v>25172</v>
      </c>
    </row>
    <row r="372" spans="39:41" ht="12" customHeight="1" x14ac:dyDescent="0.2">
      <c r="AM372" t="str">
        <f t="shared" si="5"/>
        <v>Almograve [PTAGR]</v>
      </c>
      <c r="AN372" t="s">
        <v>26441</v>
      </c>
      <c r="AO372" t="s">
        <v>26442</v>
      </c>
    </row>
    <row r="373" spans="39:41" ht="12" customHeight="1" x14ac:dyDescent="0.2">
      <c r="AM373" t="str">
        <f t="shared" si="5"/>
        <v>Almorox [ESAMX]</v>
      </c>
      <c r="AN373" t="s">
        <v>9584</v>
      </c>
      <c r="AO373" t="s">
        <v>9585</v>
      </c>
    </row>
    <row r="374" spans="39:41" ht="12" customHeight="1" x14ac:dyDescent="0.2">
      <c r="AM374" t="str">
        <f t="shared" si="5"/>
        <v>Alnmouth [GBALM]</v>
      </c>
      <c r="AN374" t="s">
        <v>12291</v>
      </c>
      <c r="AO374" t="s">
        <v>12292</v>
      </c>
    </row>
    <row r="375" spans="39:41" ht="12" customHeight="1" x14ac:dyDescent="0.2">
      <c r="AM375" t="str">
        <f t="shared" si="5"/>
        <v>Alofi [NUALO]</v>
      </c>
      <c r="AN375" t="s">
        <v>25047</v>
      </c>
      <c r="AO375" t="s">
        <v>25048</v>
      </c>
    </row>
    <row r="376" spans="39:41" ht="12" customHeight="1" x14ac:dyDescent="0.2">
      <c r="AM376" t="str">
        <f t="shared" si="5"/>
        <v>Alonnisos [GRALO]</v>
      </c>
      <c r="AN376" t="s">
        <v>15133</v>
      </c>
      <c r="AO376" t="s">
        <v>35880</v>
      </c>
    </row>
    <row r="377" spans="39:41" ht="12" customHeight="1" x14ac:dyDescent="0.2">
      <c r="AM377" t="str">
        <f t="shared" si="5"/>
        <v>Alotau [PGGUR]</v>
      </c>
      <c r="AN377" t="s">
        <v>25354</v>
      </c>
      <c r="AO377" t="s">
        <v>25355</v>
      </c>
    </row>
    <row r="378" spans="39:41" ht="12" customHeight="1" x14ac:dyDescent="0.2">
      <c r="AM378" t="str">
        <f t="shared" si="5"/>
        <v>Alphen aan den Rijn [NLAPN]</v>
      </c>
      <c r="AN378" t="s">
        <v>33857</v>
      </c>
      <c r="AO378" t="s">
        <v>33979</v>
      </c>
    </row>
    <row r="379" spans="39:41" ht="12" customHeight="1" x14ac:dyDescent="0.2">
      <c r="AM379" t="str">
        <f t="shared" si="5"/>
        <v>Alpine [USAPY]</v>
      </c>
      <c r="AN379" t="s">
        <v>28824</v>
      </c>
      <c r="AO379" t="s">
        <v>28825</v>
      </c>
    </row>
    <row r="380" spans="39:41" ht="12" customHeight="1" x14ac:dyDescent="0.2">
      <c r="AM380" t="str">
        <f t="shared" si="5"/>
        <v>Alpinopolis [BRALP]</v>
      </c>
      <c r="AN380" t="s">
        <v>3257</v>
      </c>
      <c r="AO380" t="s">
        <v>35288</v>
      </c>
    </row>
    <row r="381" spans="39:41" ht="12" customHeight="1" x14ac:dyDescent="0.2">
      <c r="AM381" t="str">
        <f t="shared" si="5"/>
        <v>Alsleben [DEAXB]</v>
      </c>
      <c r="AN381" t="s">
        <v>6992</v>
      </c>
      <c r="AO381" t="s">
        <v>6993</v>
      </c>
    </row>
    <row r="382" spans="39:41" ht="12" customHeight="1" x14ac:dyDescent="0.2">
      <c r="AM382" t="str">
        <f t="shared" si="5"/>
        <v>Alsoors [HUALS]</v>
      </c>
      <c r="AN382" t="s">
        <v>16049</v>
      </c>
      <c r="AO382" t="s">
        <v>36007</v>
      </c>
    </row>
    <row r="383" spans="39:41" ht="12" customHeight="1" x14ac:dyDescent="0.2">
      <c r="AM383" t="str">
        <f t="shared" si="5"/>
        <v>Alsozsolca [HUASZ]</v>
      </c>
      <c r="AN383" t="s">
        <v>16050</v>
      </c>
      <c r="AO383" t="s">
        <v>16051</v>
      </c>
    </row>
    <row r="384" spans="39:41" ht="12" customHeight="1" x14ac:dyDescent="0.2">
      <c r="AM384" t="str">
        <f t="shared" si="5"/>
        <v>Alstahaug [NOALS]</v>
      </c>
      <c r="AN384" t="s">
        <v>23835</v>
      </c>
      <c r="AO384" t="s">
        <v>23836</v>
      </c>
    </row>
    <row r="385" spans="39:41" ht="12" customHeight="1" x14ac:dyDescent="0.2">
      <c r="AM385" t="str">
        <f t="shared" si="5"/>
        <v>Alstead [USAFA]</v>
      </c>
      <c r="AN385" t="s">
        <v>28826</v>
      </c>
      <c r="AO385" t="s">
        <v>28827</v>
      </c>
    </row>
    <row r="386" spans="39:41" ht="12" customHeight="1" x14ac:dyDescent="0.2">
      <c r="AM386" t="str">
        <f t="shared" si="5"/>
        <v>Alt Bork [DEABO]</v>
      </c>
      <c r="AN386" t="s">
        <v>6994</v>
      </c>
      <c r="AO386" t="s">
        <v>6995</v>
      </c>
    </row>
    <row r="387" spans="39:41" ht="12" customHeight="1" x14ac:dyDescent="0.2">
      <c r="AM387" t="str">
        <f t="shared" ref="AM387:AM450" si="6">AO387 &amp; " [" &amp; AN387 &amp; "]"</f>
        <v>Alta [NOALF]</v>
      </c>
      <c r="AN387" t="s">
        <v>23837</v>
      </c>
      <c r="AO387" t="s">
        <v>23838</v>
      </c>
    </row>
    <row r="388" spans="39:41" ht="12" customHeight="1" x14ac:dyDescent="0.2">
      <c r="AM388" t="str">
        <f t="shared" si="6"/>
        <v>Alta Loma [USTAJ]</v>
      </c>
      <c r="AN388" t="s">
        <v>28828</v>
      </c>
      <c r="AO388" t="s">
        <v>28829</v>
      </c>
    </row>
    <row r="389" spans="39:41" ht="12" customHeight="1" x14ac:dyDescent="0.2">
      <c r="AM389" t="str">
        <f t="shared" si="6"/>
        <v>Altamira [MXATM]</v>
      </c>
      <c r="AN389" t="s">
        <v>22305</v>
      </c>
      <c r="AO389" t="s">
        <v>22306</v>
      </c>
    </row>
    <row r="390" spans="39:41" ht="12" customHeight="1" x14ac:dyDescent="0.2">
      <c r="AM390" t="str">
        <f t="shared" si="6"/>
        <v>Altena [DEALT]</v>
      </c>
      <c r="AN390" t="s">
        <v>6996</v>
      </c>
      <c r="AO390" t="s">
        <v>6997</v>
      </c>
    </row>
    <row r="391" spans="39:41" ht="12" customHeight="1" x14ac:dyDescent="0.2">
      <c r="AM391" t="str">
        <f t="shared" si="6"/>
        <v>Altenbruch Reede [DEANR]</v>
      </c>
      <c r="AN391" t="s">
        <v>6998</v>
      </c>
      <c r="AO391" t="s">
        <v>6999</v>
      </c>
    </row>
    <row r="392" spans="39:41" ht="12" customHeight="1" x14ac:dyDescent="0.2">
      <c r="AM392" t="str">
        <f t="shared" si="6"/>
        <v>Altengors [DESH4]</v>
      </c>
      <c r="AN392" t="s">
        <v>7000</v>
      </c>
      <c r="AO392" t="s">
        <v>35411</v>
      </c>
    </row>
    <row r="393" spans="39:41" ht="12" customHeight="1" x14ac:dyDescent="0.2">
      <c r="AM393" t="str">
        <f t="shared" si="6"/>
        <v>Altenlingen [DEATL]</v>
      </c>
      <c r="AN393" t="s">
        <v>7001</v>
      </c>
      <c r="AO393" t="s">
        <v>7002</v>
      </c>
    </row>
    <row r="394" spans="39:41" ht="12" customHeight="1" x14ac:dyDescent="0.2">
      <c r="AM394" t="str">
        <f t="shared" si="6"/>
        <v>Altenwerder [DEHHV]</v>
      </c>
      <c r="AN394" t="s">
        <v>7003</v>
      </c>
      <c r="AO394" t="s">
        <v>7004</v>
      </c>
    </row>
    <row r="395" spans="39:41" ht="12" customHeight="1" x14ac:dyDescent="0.2">
      <c r="AM395" t="str">
        <f t="shared" si="6"/>
        <v>Altenworth [ATAWH]</v>
      </c>
      <c r="AN395" t="s">
        <v>1163</v>
      </c>
      <c r="AO395" t="s">
        <v>35255</v>
      </c>
    </row>
    <row r="396" spans="39:41" ht="12" customHeight="1" x14ac:dyDescent="0.2">
      <c r="AM396" t="str">
        <f t="shared" si="6"/>
        <v>Althorpe [GBALP]</v>
      </c>
      <c r="AN396" t="s">
        <v>12293</v>
      </c>
      <c r="AO396" t="s">
        <v>12294</v>
      </c>
    </row>
    <row r="397" spans="39:41" ht="12" customHeight="1" x14ac:dyDescent="0.2">
      <c r="AM397" t="str">
        <f t="shared" si="6"/>
        <v>Altinkum [TRAYD]</v>
      </c>
      <c r="AN397" t="s">
        <v>28396</v>
      </c>
      <c r="AO397" t="s">
        <v>28397</v>
      </c>
    </row>
    <row r="398" spans="39:41" ht="12" customHeight="1" x14ac:dyDescent="0.2">
      <c r="AM398" t="str">
        <f t="shared" si="6"/>
        <v>Altsi [GRATS]</v>
      </c>
      <c r="AN398" t="s">
        <v>15134</v>
      </c>
      <c r="AO398" t="s">
        <v>15135</v>
      </c>
    </row>
    <row r="399" spans="39:41" ht="12" customHeight="1" x14ac:dyDescent="0.2">
      <c r="AM399" t="str">
        <f t="shared" si="6"/>
        <v>Altyn Asyr [TMALT]</v>
      </c>
      <c r="AN399" t="s">
        <v>28316</v>
      </c>
      <c r="AO399" t="s">
        <v>28317</v>
      </c>
    </row>
    <row r="400" spans="39:41" ht="12" customHeight="1" x14ac:dyDescent="0.2">
      <c r="AM400" t="str">
        <f t="shared" si="6"/>
        <v>Alumar [BRALU]</v>
      </c>
      <c r="AN400" t="s">
        <v>3258</v>
      </c>
      <c r="AO400" t="s">
        <v>3259</v>
      </c>
    </row>
    <row r="401" spans="39:41" ht="12" customHeight="1" x14ac:dyDescent="0.2">
      <c r="AM401" t="str">
        <f t="shared" si="6"/>
        <v>Alva [USXAK]</v>
      </c>
      <c r="AN401" t="s">
        <v>28830</v>
      </c>
      <c r="AO401" t="s">
        <v>28831</v>
      </c>
    </row>
    <row r="402" spans="39:41" ht="12" customHeight="1" x14ac:dyDescent="0.2">
      <c r="AM402" t="str">
        <f t="shared" si="6"/>
        <v>Alvangen [SEAGN]</v>
      </c>
      <c r="AN402" t="s">
        <v>27484</v>
      </c>
      <c r="AO402" t="s">
        <v>36411</v>
      </c>
    </row>
    <row r="403" spans="39:41" ht="12" customHeight="1" x14ac:dyDescent="0.2">
      <c r="AM403" t="str">
        <f t="shared" si="6"/>
        <v>Alvarado [MXAVD]</v>
      </c>
      <c r="AN403" t="s">
        <v>22307</v>
      </c>
      <c r="AO403" t="s">
        <v>22308</v>
      </c>
    </row>
    <row r="404" spans="39:41" ht="12" customHeight="1" x14ac:dyDescent="0.2">
      <c r="AM404" t="str">
        <f t="shared" si="6"/>
        <v>Alvarado [USZAD]</v>
      </c>
      <c r="AN404" t="s">
        <v>28832</v>
      </c>
      <c r="AO404" t="s">
        <v>22308</v>
      </c>
    </row>
    <row r="405" spans="39:41" ht="12" customHeight="1" x14ac:dyDescent="0.2">
      <c r="AM405" t="str">
        <f t="shared" si="6"/>
        <v>Alvaro Obregon [MXAOB]</v>
      </c>
      <c r="AN405" t="s">
        <v>22309</v>
      </c>
      <c r="AO405" t="s">
        <v>22310</v>
      </c>
    </row>
    <row r="406" spans="39:41" ht="12" customHeight="1" x14ac:dyDescent="0.2">
      <c r="AM406" t="str">
        <f t="shared" si="6"/>
        <v>Alve [XZALV]</v>
      </c>
      <c r="AN406" t="s">
        <v>32546</v>
      </c>
      <c r="AO406" t="s">
        <v>32547</v>
      </c>
    </row>
    <row r="407" spans="39:41" ht="12" customHeight="1" x14ac:dyDescent="0.2">
      <c r="AM407" t="str">
        <f t="shared" si="6"/>
        <v>Alveley [GBAVL]</v>
      </c>
      <c r="AN407" t="s">
        <v>12295</v>
      </c>
      <c r="AO407" t="s">
        <v>12296</v>
      </c>
    </row>
    <row r="408" spans="39:41" ht="12" customHeight="1" x14ac:dyDescent="0.2">
      <c r="AM408" t="str">
        <f t="shared" si="6"/>
        <v>Alvenas [SEALN]</v>
      </c>
      <c r="AN408" t="s">
        <v>27485</v>
      </c>
      <c r="AO408" t="s">
        <v>36412</v>
      </c>
    </row>
    <row r="409" spans="39:41" ht="12" customHeight="1" x14ac:dyDescent="0.2">
      <c r="AM409" t="str">
        <f t="shared" si="6"/>
        <v>Alvik [NOAAV]</v>
      </c>
      <c r="AN409" t="s">
        <v>23839</v>
      </c>
      <c r="AO409" t="s">
        <v>36120</v>
      </c>
    </row>
    <row r="410" spans="39:41" ht="12" customHeight="1" x14ac:dyDescent="0.2">
      <c r="AM410" t="str">
        <f t="shared" si="6"/>
        <v>Alvika [NOALV]</v>
      </c>
      <c r="AN410" t="s">
        <v>23840</v>
      </c>
      <c r="AO410" t="s">
        <v>23841</v>
      </c>
    </row>
    <row r="411" spans="39:41" ht="12" customHeight="1" x14ac:dyDescent="0.2">
      <c r="AM411" t="str">
        <f t="shared" si="6"/>
        <v>Am Hund [DEAHU]</v>
      </c>
      <c r="AN411" t="s">
        <v>7005</v>
      </c>
      <c r="AO411" t="s">
        <v>7006</v>
      </c>
    </row>
    <row r="412" spans="39:41" ht="12" customHeight="1" x14ac:dyDescent="0.2">
      <c r="AM412" t="str">
        <f t="shared" si="6"/>
        <v>Ama, Hyogo [JPAMM]</v>
      </c>
      <c r="AN412" t="s">
        <v>18553</v>
      </c>
      <c r="AO412" t="s">
        <v>18554</v>
      </c>
    </row>
    <row r="413" spans="39:41" ht="12" customHeight="1" x14ac:dyDescent="0.2">
      <c r="AM413" t="str">
        <f t="shared" si="6"/>
        <v>Ama, Shimane [JPAAM]</v>
      </c>
      <c r="AN413" t="s">
        <v>18555</v>
      </c>
      <c r="AO413" t="s">
        <v>18556</v>
      </c>
    </row>
    <row r="414" spans="39:41" ht="12" customHeight="1" x14ac:dyDescent="0.2">
      <c r="AM414" t="str">
        <f t="shared" si="6"/>
        <v>Amagansett [USAMF]</v>
      </c>
      <c r="AN414" t="s">
        <v>28833</v>
      </c>
      <c r="AO414" t="s">
        <v>28834</v>
      </c>
    </row>
    <row r="415" spans="39:41" ht="12" customHeight="1" x14ac:dyDescent="0.2">
      <c r="AM415" t="str">
        <f t="shared" si="6"/>
        <v>Amagasaki [JPAMA]</v>
      </c>
      <c r="AN415" t="s">
        <v>18557</v>
      </c>
      <c r="AO415" t="s">
        <v>18558</v>
      </c>
    </row>
    <row r="416" spans="39:41" ht="12" customHeight="1" x14ac:dyDescent="0.2">
      <c r="AM416" t="str">
        <f t="shared" si="6"/>
        <v>AmagasakiNishinomiyaAshiya [JPAMX]</v>
      </c>
      <c r="AN416" t="s">
        <v>18559</v>
      </c>
      <c r="AO416" t="s">
        <v>18560</v>
      </c>
    </row>
    <row r="417" spans="39:41" ht="12" customHeight="1" x14ac:dyDescent="0.2">
      <c r="AM417" t="str">
        <f t="shared" si="6"/>
        <v>Amaji [JPAMJ]</v>
      </c>
      <c r="AN417" t="s">
        <v>18561</v>
      </c>
      <c r="AO417" t="s">
        <v>18562</v>
      </c>
    </row>
    <row r="418" spans="39:41" ht="12" customHeight="1" x14ac:dyDescent="0.2">
      <c r="AM418" t="str">
        <f t="shared" si="6"/>
        <v>Amal [SEAMA]</v>
      </c>
      <c r="AN418" t="s">
        <v>27486</v>
      </c>
      <c r="AO418" t="s">
        <v>36413</v>
      </c>
    </row>
    <row r="419" spans="39:41" ht="12" customHeight="1" x14ac:dyDescent="0.2">
      <c r="AM419" t="str">
        <f t="shared" si="6"/>
        <v>Amalfi [ITAMA]</v>
      </c>
      <c r="AN419" t="s">
        <v>17799</v>
      </c>
      <c r="AO419" t="s">
        <v>17800</v>
      </c>
    </row>
    <row r="420" spans="39:41" ht="12" customHeight="1" x14ac:dyDescent="0.2">
      <c r="AM420" t="str">
        <f t="shared" si="6"/>
        <v>Amaliapolis [GRAPL]</v>
      </c>
      <c r="AN420" t="s">
        <v>15136</v>
      </c>
      <c r="AO420" t="s">
        <v>35881</v>
      </c>
    </row>
    <row r="421" spans="39:41" ht="12" customHeight="1" x14ac:dyDescent="0.2">
      <c r="AM421" t="str">
        <f t="shared" si="6"/>
        <v>Amamapare, Ij [IDAMA]</v>
      </c>
      <c r="AN421" t="s">
        <v>16143</v>
      </c>
      <c r="AO421" t="s">
        <v>16144</v>
      </c>
    </row>
    <row r="422" spans="39:41" ht="12" customHeight="1" x14ac:dyDescent="0.2">
      <c r="AM422" t="str">
        <f t="shared" si="6"/>
        <v>Amamioshima [JPASJ]</v>
      </c>
      <c r="AN422" t="s">
        <v>18563</v>
      </c>
      <c r="AO422" t="s">
        <v>18564</v>
      </c>
    </row>
    <row r="423" spans="39:41" ht="12" customHeight="1" x14ac:dyDescent="0.2">
      <c r="AM423" t="str">
        <f t="shared" si="6"/>
        <v>Amantea [ITAMT]</v>
      </c>
      <c r="AN423" t="s">
        <v>17801</v>
      </c>
      <c r="AO423" t="s">
        <v>17802</v>
      </c>
    </row>
    <row r="424" spans="39:41" ht="12" customHeight="1" x14ac:dyDescent="0.2">
      <c r="AM424" t="str">
        <f t="shared" si="6"/>
        <v>Amapala [HNAMP]</v>
      </c>
      <c r="AN424" t="s">
        <v>15669</v>
      </c>
      <c r="AO424" t="s">
        <v>15670</v>
      </c>
    </row>
    <row r="425" spans="39:41" ht="12" customHeight="1" x14ac:dyDescent="0.2">
      <c r="AM425" t="str">
        <f t="shared" si="6"/>
        <v>Amasaki [JPAMS]</v>
      </c>
      <c r="AN425" t="s">
        <v>18565</v>
      </c>
      <c r="AO425" t="s">
        <v>18566</v>
      </c>
    </row>
    <row r="426" spans="39:41" ht="12" customHeight="1" x14ac:dyDescent="0.2">
      <c r="AM426" t="str">
        <f t="shared" si="6"/>
        <v>Amasra [TRAMA]</v>
      </c>
      <c r="AN426" t="s">
        <v>28398</v>
      </c>
      <c r="AO426" t="s">
        <v>28399</v>
      </c>
    </row>
    <row r="427" spans="39:41" ht="12" customHeight="1" x14ac:dyDescent="0.2">
      <c r="AM427" t="str">
        <f t="shared" si="6"/>
        <v>Amatitan [MXATN]</v>
      </c>
      <c r="AN427" t="s">
        <v>22311</v>
      </c>
      <c r="AO427" t="s">
        <v>36085</v>
      </c>
    </row>
    <row r="428" spans="39:41" ht="12" customHeight="1" x14ac:dyDescent="0.2">
      <c r="AM428" t="str">
        <f t="shared" si="6"/>
        <v>Amatsuke [JPAMT]</v>
      </c>
      <c r="AN428" t="s">
        <v>18567</v>
      </c>
      <c r="AO428" t="s">
        <v>18568</v>
      </c>
    </row>
    <row r="429" spans="39:41" ht="12" customHeight="1" x14ac:dyDescent="0.2">
      <c r="AM429" t="str">
        <f t="shared" si="6"/>
        <v>Amay [BEAMY]</v>
      </c>
      <c r="AN429" t="s">
        <v>2218</v>
      </c>
      <c r="AO429" t="s">
        <v>2219</v>
      </c>
    </row>
    <row r="430" spans="39:41" ht="12" customHeight="1" x14ac:dyDescent="0.2">
      <c r="AM430" t="str">
        <f t="shared" si="6"/>
        <v>Ambarchik [RUABC]</v>
      </c>
      <c r="AN430" t="s">
        <v>26863</v>
      </c>
      <c r="AO430" t="s">
        <v>26864</v>
      </c>
    </row>
    <row r="431" spans="39:41" ht="12" customHeight="1" x14ac:dyDescent="0.2">
      <c r="AM431" t="str">
        <f t="shared" si="6"/>
        <v>Ambarli [TRAMR]</v>
      </c>
      <c r="AN431" t="s">
        <v>37167</v>
      </c>
      <c r="AO431" t="s">
        <v>28400</v>
      </c>
    </row>
    <row r="432" spans="39:41" ht="12" customHeight="1" x14ac:dyDescent="0.2">
      <c r="AM432" t="str">
        <f t="shared" si="6"/>
        <v>Amberg [DEAMB]</v>
      </c>
      <c r="AN432" t="s">
        <v>7007</v>
      </c>
      <c r="AO432" t="s">
        <v>7008</v>
      </c>
    </row>
    <row r="433" spans="39:41" ht="12" customHeight="1" x14ac:dyDescent="0.2">
      <c r="AM433" t="str">
        <f t="shared" si="6"/>
        <v>Amberly [CAABL]</v>
      </c>
      <c r="AN433" t="s">
        <v>3518</v>
      </c>
      <c r="AO433" t="s">
        <v>3519</v>
      </c>
    </row>
    <row r="434" spans="39:41" ht="12" customHeight="1" x14ac:dyDescent="0.2">
      <c r="AM434" t="str">
        <f t="shared" si="6"/>
        <v>Ambes [FRAMS]</v>
      </c>
      <c r="AN434" t="s">
        <v>35771</v>
      </c>
      <c r="AO434" t="s">
        <v>35772</v>
      </c>
    </row>
    <row r="435" spans="39:41" ht="12" customHeight="1" x14ac:dyDescent="0.2">
      <c r="AM435" t="str">
        <f t="shared" si="6"/>
        <v>Amble [GBAMB]</v>
      </c>
      <c r="AN435" t="s">
        <v>12297</v>
      </c>
      <c r="AO435" t="s">
        <v>12298</v>
      </c>
    </row>
    <row r="436" spans="39:41" ht="12" customHeight="1" x14ac:dyDescent="0.2">
      <c r="AM436" t="str">
        <f t="shared" si="6"/>
        <v>Ambleside [GBAML]</v>
      </c>
      <c r="AN436" t="s">
        <v>12299</v>
      </c>
      <c r="AO436" t="s">
        <v>12300</v>
      </c>
    </row>
    <row r="437" spans="39:41" ht="12" customHeight="1" x14ac:dyDescent="0.2">
      <c r="AM437" t="str">
        <f t="shared" si="6"/>
        <v>Ambly [FRAXM]</v>
      </c>
      <c r="AN437" t="s">
        <v>10720</v>
      </c>
      <c r="AO437" t="s">
        <v>10721</v>
      </c>
    </row>
    <row r="438" spans="39:41" ht="12" customHeight="1" x14ac:dyDescent="0.2">
      <c r="AM438" t="str">
        <f t="shared" si="6"/>
        <v>Ambly-sur-Meuse [FRYMS]</v>
      </c>
      <c r="AN438" t="s">
        <v>10722</v>
      </c>
      <c r="AO438" t="s">
        <v>10723</v>
      </c>
    </row>
    <row r="439" spans="39:41" ht="12" customHeight="1" x14ac:dyDescent="0.2">
      <c r="AM439" t="str">
        <f t="shared" si="6"/>
        <v>Ambon, Molucas [IDAMQ]</v>
      </c>
      <c r="AN439" t="s">
        <v>16145</v>
      </c>
      <c r="AO439" t="s">
        <v>16146</v>
      </c>
    </row>
    <row r="440" spans="39:41" ht="12" customHeight="1" x14ac:dyDescent="0.2">
      <c r="AM440" t="str">
        <f t="shared" si="6"/>
        <v>Ambriz [AOAZZ]</v>
      </c>
      <c r="AN440" t="s">
        <v>826</v>
      </c>
      <c r="AO440" t="s">
        <v>827</v>
      </c>
    </row>
    <row r="441" spans="39:41" ht="12" customHeight="1" x14ac:dyDescent="0.2">
      <c r="AM441" t="str">
        <f t="shared" si="6"/>
        <v>Ambrose Channel Light [USQHH]</v>
      </c>
      <c r="AN441" t="s">
        <v>28835</v>
      </c>
      <c r="AO441" t="s">
        <v>28836</v>
      </c>
    </row>
    <row r="442" spans="39:41" ht="12" customHeight="1" x14ac:dyDescent="0.2">
      <c r="AM442" t="str">
        <f t="shared" si="6"/>
        <v>Amchit [LBACT]</v>
      </c>
      <c r="AN442" t="s">
        <v>21780</v>
      </c>
      <c r="AO442" t="s">
        <v>21781</v>
      </c>
    </row>
    <row r="443" spans="39:41" ht="12" customHeight="1" x14ac:dyDescent="0.2">
      <c r="AM443" t="str">
        <f t="shared" si="6"/>
        <v>Amderma [RUAMV]</v>
      </c>
      <c r="AN443" t="s">
        <v>26865</v>
      </c>
      <c r="AO443" t="s">
        <v>26866</v>
      </c>
    </row>
    <row r="444" spans="39:41" ht="12" customHeight="1" x14ac:dyDescent="0.2">
      <c r="AM444" t="str">
        <f t="shared" si="6"/>
        <v>Ameland [NLAML]</v>
      </c>
      <c r="AN444" t="s">
        <v>23028</v>
      </c>
      <c r="AO444" t="s">
        <v>23029</v>
      </c>
    </row>
    <row r="445" spans="39:41" ht="12" customHeight="1" x14ac:dyDescent="0.2">
      <c r="AM445" t="str">
        <f t="shared" si="6"/>
        <v>Amelia City [USALC]</v>
      </c>
      <c r="AN445" t="s">
        <v>28837</v>
      </c>
      <c r="AO445" t="s">
        <v>28838</v>
      </c>
    </row>
    <row r="446" spans="39:41" ht="12" customHeight="1" x14ac:dyDescent="0.2">
      <c r="AM446" t="str">
        <f t="shared" si="6"/>
        <v>Amelsburen [DEAML]</v>
      </c>
      <c r="AN446" t="s">
        <v>7009</v>
      </c>
      <c r="AO446" t="s">
        <v>35412</v>
      </c>
    </row>
    <row r="447" spans="39:41" ht="12" customHeight="1" x14ac:dyDescent="0.2">
      <c r="AM447" t="str">
        <f t="shared" si="6"/>
        <v>Amerongen [NLAMR]</v>
      </c>
      <c r="AN447" t="s">
        <v>33858</v>
      </c>
      <c r="AO447" t="s">
        <v>33980</v>
      </c>
    </row>
    <row r="448" spans="39:41" ht="12" customHeight="1" x14ac:dyDescent="0.2">
      <c r="AM448" t="str">
        <f t="shared" si="6"/>
        <v>Amersfoort [NLAME]</v>
      </c>
      <c r="AN448" t="s">
        <v>23030</v>
      </c>
      <c r="AO448" t="s">
        <v>23031</v>
      </c>
    </row>
    <row r="449" spans="39:41" ht="12" customHeight="1" x14ac:dyDescent="0.2">
      <c r="AM449" t="str">
        <f t="shared" si="6"/>
        <v>Ametlla [ES2TT]</v>
      </c>
      <c r="AN449" t="s">
        <v>33842</v>
      </c>
      <c r="AO449" t="s">
        <v>33965</v>
      </c>
    </row>
    <row r="450" spans="39:41" ht="12" customHeight="1" x14ac:dyDescent="0.2">
      <c r="AM450" t="str">
        <f t="shared" si="6"/>
        <v>Amfilochia [GRAMF]</v>
      </c>
      <c r="AN450" t="s">
        <v>15137</v>
      </c>
      <c r="AO450" t="s">
        <v>35882</v>
      </c>
    </row>
    <row r="451" spans="39:41" ht="12" customHeight="1" x14ac:dyDescent="0.2">
      <c r="AM451" t="str">
        <f t="shared" ref="AM451:AM514" si="7">AO451 &amp; " [" &amp; AN451 &amp; "]"</f>
        <v>Amherstburg [CAAMH]</v>
      </c>
      <c r="AN451" t="s">
        <v>3520</v>
      </c>
      <c r="AO451" t="s">
        <v>3521</v>
      </c>
    </row>
    <row r="452" spans="39:41" ht="12" customHeight="1" x14ac:dyDescent="0.2">
      <c r="AM452" t="str">
        <f t="shared" si="7"/>
        <v>Amiens [FRAMI]</v>
      </c>
      <c r="AN452" t="s">
        <v>10724</v>
      </c>
      <c r="AO452" t="s">
        <v>10725</v>
      </c>
    </row>
    <row r="453" spans="39:41" ht="12" customHeight="1" x14ac:dyDescent="0.2">
      <c r="AM453" t="str">
        <f t="shared" si="7"/>
        <v>Amini Island [INAIS]</v>
      </c>
      <c r="AN453" t="s">
        <v>17002</v>
      </c>
      <c r="AO453" t="s">
        <v>17003</v>
      </c>
    </row>
    <row r="454" spans="39:41" ht="12" customHeight="1" x14ac:dyDescent="0.2">
      <c r="AM454" t="str">
        <f t="shared" si="7"/>
        <v>Amio [PGAMI]</v>
      </c>
      <c r="AN454" t="s">
        <v>25356</v>
      </c>
      <c r="AO454" t="s">
        <v>25357</v>
      </c>
    </row>
    <row r="455" spans="39:41" ht="12" customHeight="1" x14ac:dyDescent="0.2">
      <c r="AM455" t="str">
        <f t="shared" si="7"/>
        <v>Amir Abad Pt [IRAMP]</v>
      </c>
      <c r="AN455" t="s">
        <v>17592</v>
      </c>
      <c r="AO455" t="s">
        <v>17593</v>
      </c>
    </row>
    <row r="456" spans="39:41" ht="12" customHeight="1" x14ac:dyDescent="0.2">
      <c r="AM456" t="str">
        <f t="shared" si="7"/>
        <v>Amirabad [IRBAM]</v>
      </c>
      <c r="AN456" t="s">
        <v>17594</v>
      </c>
      <c r="AO456" t="s">
        <v>17595</v>
      </c>
    </row>
    <row r="457" spans="39:41" ht="12" customHeight="1" x14ac:dyDescent="0.2">
      <c r="AM457" t="str">
        <f t="shared" si="7"/>
        <v>Amiya [JPAMY]</v>
      </c>
      <c r="AN457" t="s">
        <v>18569</v>
      </c>
      <c r="AO457" t="s">
        <v>18570</v>
      </c>
    </row>
    <row r="458" spans="39:41" ht="12" customHeight="1" x14ac:dyDescent="0.2">
      <c r="AM458" t="str">
        <f t="shared" si="7"/>
        <v>Amlwch [GBAMW]</v>
      </c>
      <c r="AN458" t="s">
        <v>12301</v>
      </c>
      <c r="AO458" t="s">
        <v>12302</v>
      </c>
    </row>
    <row r="459" spans="39:41" ht="12" customHeight="1" x14ac:dyDescent="0.2">
      <c r="AM459" t="str">
        <f t="shared" si="7"/>
        <v>Ammerland [DEARL]</v>
      </c>
      <c r="AN459" t="s">
        <v>7010</v>
      </c>
      <c r="AO459" t="s">
        <v>7011</v>
      </c>
    </row>
    <row r="460" spans="39:41" ht="12" customHeight="1" x14ac:dyDescent="0.2">
      <c r="AM460" t="str">
        <f t="shared" si="7"/>
        <v>Amoliani [GRAMI]</v>
      </c>
      <c r="AN460" t="s">
        <v>15138</v>
      </c>
      <c r="AO460" t="s">
        <v>35883</v>
      </c>
    </row>
    <row r="461" spans="39:41" ht="12" customHeight="1" x14ac:dyDescent="0.2">
      <c r="AM461" t="str">
        <f t="shared" si="7"/>
        <v>Amoreira da Gandara [PTADG]</v>
      </c>
      <c r="AN461" t="s">
        <v>26443</v>
      </c>
      <c r="AO461" t="s">
        <v>36376</v>
      </c>
    </row>
    <row r="462" spans="39:41" ht="12" customHeight="1" x14ac:dyDescent="0.2">
      <c r="AM462" t="str">
        <f t="shared" si="7"/>
        <v>Ampana [IDAPN]</v>
      </c>
      <c r="AN462" t="s">
        <v>16147</v>
      </c>
      <c r="AO462" t="s">
        <v>16148</v>
      </c>
    </row>
    <row r="463" spans="39:41" ht="12" customHeight="1" x14ac:dyDescent="0.2">
      <c r="AM463" t="str">
        <f t="shared" si="7"/>
        <v>Ampenan, Bali [IDAMP]</v>
      </c>
      <c r="AN463" t="s">
        <v>16149</v>
      </c>
      <c r="AO463" t="s">
        <v>16150</v>
      </c>
    </row>
    <row r="464" spans="39:41" ht="12" customHeight="1" x14ac:dyDescent="0.2">
      <c r="AM464" t="str">
        <f t="shared" si="7"/>
        <v>Ampsin [BEAPS]</v>
      </c>
      <c r="AN464" t="s">
        <v>2220</v>
      </c>
      <c r="AO464" t="s">
        <v>2221</v>
      </c>
    </row>
    <row r="465" spans="39:41" ht="12" customHeight="1" x14ac:dyDescent="0.2">
      <c r="AM465" t="str">
        <f t="shared" si="7"/>
        <v>Ampuero [ESAMP]</v>
      </c>
      <c r="AN465" t="s">
        <v>9586</v>
      </c>
      <c r="AO465" t="s">
        <v>9587</v>
      </c>
    </row>
    <row r="466" spans="39:41" ht="12" customHeight="1" x14ac:dyDescent="0.2">
      <c r="AM466" t="str">
        <f t="shared" si="7"/>
        <v>Amrum [DEIAM]</v>
      </c>
      <c r="AN466" t="s">
        <v>7012</v>
      </c>
      <c r="AO466" t="s">
        <v>7013</v>
      </c>
    </row>
    <row r="467" spans="39:41" ht="12" customHeight="1" x14ac:dyDescent="0.2">
      <c r="AM467" t="str">
        <f t="shared" si="7"/>
        <v>Amrun [AUAMR]</v>
      </c>
      <c r="AN467" t="s">
        <v>34933</v>
      </c>
      <c r="AO467" t="s">
        <v>34934</v>
      </c>
    </row>
    <row r="468" spans="39:41" ht="12" customHeight="1" x14ac:dyDescent="0.2">
      <c r="AM468" t="str">
        <f t="shared" si="7"/>
        <v>Amsterdam [NLAMS]</v>
      </c>
      <c r="AN468" t="s">
        <v>23032</v>
      </c>
      <c r="AO468" t="s">
        <v>23033</v>
      </c>
    </row>
    <row r="469" spans="39:41" ht="12" customHeight="1" x14ac:dyDescent="0.2">
      <c r="AM469" t="str">
        <f t="shared" si="7"/>
        <v>Amuay [VEAMY]</v>
      </c>
      <c r="AN469" t="s">
        <v>32148</v>
      </c>
      <c r="AO469" t="s">
        <v>32149</v>
      </c>
    </row>
    <row r="470" spans="39:41" ht="12" customHeight="1" x14ac:dyDescent="0.2">
      <c r="AM470" t="str">
        <f t="shared" si="7"/>
        <v>Amunitan/Aparri [PHAMU]</v>
      </c>
      <c r="AN470" t="s">
        <v>25520</v>
      </c>
      <c r="AO470" t="s">
        <v>25521</v>
      </c>
    </row>
    <row r="471" spans="39:41" ht="12" customHeight="1" x14ac:dyDescent="0.2">
      <c r="AM471" t="str">
        <f t="shared" si="7"/>
        <v>Amura [JPAMU]</v>
      </c>
      <c r="AN471" t="s">
        <v>18571</v>
      </c>
      <c r="AO471" t="s">
        <v>18572</v>
      </c>
    </row>
    <row r="472" spans="39:41" ht="12" customHeight="1" x14ac:dyDescent="0.2">
      <c r="AM472" t="str">
        <f t="shared" si="7"/>
        <v>Amurogama [JPARG]</v>
      </c>
      <c r="AN472" t="s">
        <v>18573</v>
      </c>
      <c r="AO472" t="s">
        <v>18574</v>
      </c>
    </row>
    <row r="473" spans="39:41" ht="12" customHeight="1" x14ac:dyDescent="0.2">
      <c r="AM473" t="str">
        <f t="shared" si="7"/>
        <v>Amursk [RUAMU]</v>
      </c>
      <c r="AN473" t="s">
        <v>26867</v>
      </c>
      <c r="AO473" t="s">
        <v>26868</v>
      </c>
    </row>
    <row r="474" spans="39:41" ht="12" customHeight="1" x14ac:dyDescent="0.2">
      <c r="AM474" t="str">
        <f t="shared" si="7"/>
        <v>An Nukhaylah [EGEEG]</v>
      </c>
      <c r="AN474" t="s">
        <v>9450</v>
      </c>
      <c r="AO474" t="s">
        <v>9451</v>
      </c>
    </row>
    <row r="475" spans="39:41" ht="12" customHeight="1" x14ac:dyDescent="0.2">
      <c r="AM475" t="str">
        <f t="shared" si="7"/>
        <v>An Ping [TWAPG]</v>
      </c>
      <c r="AN475" t="s">
        <v>28662</v>
      </c>
      <c r="AO475" t="s">
        <v>28663</v>
      </c>
    </row>
    <row r="476" spans="39:41" ht="12" customHeight="1" x14ac:dyDescent="0.2">
      <c r="AM476" t="str">
        <f t="shared" si="7"/>
        <v>ANA [HRANA]</v>
      </c>
      <c r="AN476" t="s">
        <v>36727</v>
      </c>
      <c r="AO476" t="s">
        <v>36728</v>
      </c>
    </row>
    <row r="477" spans="39:41" ht="12" customHeight="1" x14ac:dyDescent="0.2">
      <c r="AM477" t="str">
        <f t="shared" si="7"/>
        <v>Anadarko [USNKO]</v>
      </c>
      <c r="AN477" t="s">
        <v>28839</v>
      </c>
      <c r="AO477" t="s">
        <v>28840</v>
      </c>
    </row>
    <row r="478" spans="39:41" ht="12" customHeight="1" x14ac:dyDescent="0.2">
      <c r="AM478" t="str">
        <f t="shared" si="7"/>
        <v>Anadyr [RUDYR]</v>
      </c>
      <c r="AN478" t="s">
        <v>26869</v>
      </c>
      <c r="AO478" t="s">
        <v>26870</v>
      </c>
    </row>
    <row r="479" spans="39:41" ht="12" customHeight="1" x14ac:dyDescent="0.2">
      <c r="AM479" t="str">
        <f t="shared" si="7"/>
        <v>Anafi [GRANA]</v>
      </c>
      <c r="AN479" t="s">
        <v>15139</v>
      </c>
      <c r="AO479" t="s">
        <v>35884</v>
      </c>
    </row>
    <row r="480" spans="39:41" ht="12" customHeight="1" x14ac:dyDescent="0.2">
      <c r="AM480" t="str">
        <f t="shared" si="7"/>
        <v>Anakan/Masao [PHANA]</v>
      </c>
      <c r="AN480" t="s">
        <v>25522</v>
      </c>
      <c r="AO480" t="s">
        <v>25523</v>
      </c>
    </row>
    <row r="481" spans="39:41" ht="12" customHeight="1" x14ac:dyDescent="0.2">
      <c r="AM481" t="str">
        <f t="shared" si="7"/>
        <v>Anambra [NGANB]</v>
      </c>
      <c r="AN481" t="s">
        <v>22909</v>
      </c>
      <c r="AO481" t="s">
        <v>22910</v>
      </c>
    </row>
    <row r="482" spans="39:41" ht="12" customHeight="1" x14ac:dyDescent="0.2">
      <c r="AM482" t="str">
        <f t="shared" si="7"/>
        <v>Anamizu [JPANM]</v>
      </c>
      <c r="AN482" t="s">
        <v>18575</v>
      </c>
      <c r="AO482" t="s">
        <v>18576</v>
      </c>
    </row>
    <row r="483" spans="39:41" ht="12" customHeight="1" x14ac:dyDescent="0.2">
      <c r="AM483" t="str">
        <f t="shared" si="7"/>
        <v>Anamur [TRANA]</v>
      </c>
      <c r="AN483" t="s">
        <v>28401</v>
      </c>
      <c r="AO483" t="s">
        <v>28402</v>
      </c>
    </row>
    <row r="484" spans="39:41" ht="12" customHeight="1" x14ac:dyDescent="0.2">
      <c r="AM484" t="str">
        <f t="shared" si="7"/>
        <v>Anan [JPANA]</v>
      </c>
      <c r="AN484" t="s">
        <v>18577</v>
      </c>
      <c r="AO484" t="s">
        <v>18578</v>
      </c>
    </row>
    <row r="485" spans="39:41" ht="12" customHeight="1" x14ac:dyDescent="0.2">
      <c r="AM485" t="str">
        <f t="shared" si="7"/>
        <v>Anasuria [GBANA]</v>
      </c>
      <c r="AN485" t="s">
        <v>12303</v>
      </c>
      <c r="AO485" t="s">
        <v>12304</v>
      </c>
    </row>
    <row r="486" spans="39:41" ht="12" customHeight="1" x14ac:dyDescent="0.2">
      <c r="AM486" t="str">
        <f t="shared" si="7"/>
        <v>Anbo [JPANB]</v>
      </c>
      <c r="AN486" t="s">
        <v>18579</v>
      </c>
      <c r="AO486" t="s">
        <v>18580</v>
      </c>
    </row>
    <row r="487" spans="39:41" ht="12" customHeight="1" x14ac:dyDescent="0.2">
      <c r="AM487" t="str">
        <f t="shared" si="7"/>
        <v>Anchorage [USANC]</v>
      </c>
      <c r="AN487" t="s">
        <v>28841</v>
      </c>
      <c r="AO487" t="s">
        <v>56</v>
      </c>
    </row>
    <row r="488" spans="39:41" ht="12" customHeight="1" x14ac:dyDescent="0.2">
      <c r="AM488" t="str">
        <f t="shared" si="7"/>
        <v>Ancon [PAACO]</v>
      </c>
      <c r="AN488" t="s">
        <v>25173</v>
      </c>
      <c r="AO488" t="s">
        <v>25174</v>
      </c>
    </row>
    <row r="489" spans="39:41" ht="12" customHeight="1" x14ac:dyDescent="0.2">
      <c r="AM489" t="str">
        <f t="shared" si="7"/>
        <v>Ancon [PEANC]</v>
      </c>
      <c r="AN489" t="s">
        <v>25233</v>
      </c>
      <c r="AO489" t="s">
        <v>25174</v>
      </c>
    </row>
    <row r="490" spans="39:41" ht="12" customHeight="1" x14ac:dyDescent="0.2">
      <c r="AM490" t="str">
        <f t="shared" si="7"/>
        <v>Ancona [ITAOI]</v>
      </c>
      <c r="AN490" t="s">
        <v>17803</v>
      </c>
      <c r="AO490" t="s">
        <v>17804</v>
      </c>
    </row>
    <row r="491" spans="39:41" ht="12" customHeight="1" x14ac:dyDescent="0.2">
      <c r="AM491" t="str">
        <f t="shared" si="7"/>
        <v>Ancram [USACQ]</v>
      </c>
      <c r="AN491" t="s">
        <v>28842</v>
      </c>
      <c r="AO491" t="s">
        <v>28843</v>
      </c>
    </row>
    <row r="492" spans="39:41" ht="12" customHeight="1" x14ac:dyDescent="0.2">
      <c r="AM492" t="str">
        <f t="shared" si="7"/>
        <v>Ancud [CLZUD]</v>
      </c>
      <c r="AN492" t="s">
        <v>4811</v>
      </c>
      <c r="AO492" t="s">
        <v>4812</v>
      </c>
    </row>
    <row r="493" spans="39:41" ht="12" customHeight="1" x14ac:dyDescent="0.2">
      <c r="AM493" t="str">
        <f t="shared" si="7"/>
        <v>Andalsnes [NOAND]</v>
      </c>
      <c r="AN493" t="s">
        <v>23842</v>
      </c>
      <c r="AO493" t="s">
        <v>36121</v>
      </c>
    </row>
    <row r="494" spans="39:41" ht="12" customHeight="1" x14ac:dyDescent="0.2">
      <c r="AM494" t="str">
        <f t="shared" si="7"/>
        <v>Andenes [NOADN]</v>
      </c>
      <c r="AN494" t="s">
        <v>23843</v>
      </c>
      <c r="AO494" t="s">
        <v>23844</v>
      </c>
    </row>
    <row r="495" spans="39:41" ht="12" customHeight="1" x14ac:dyDescent="0.2">
      <c r="AM495" t="str">
        <f t="shared" si="7"/>
        <v>Andenne [BEAND]</v>
      </c>
      <c r="AN495" t="s">
        <v>2222</v>
      </c>
      <c r="AO495" t="s">
        <v>2223</v>
      </c>
    </row>
    <row r="496" spans="39:41" ht="12" customHeight="1" x14ac:dyDescent="0.2">
      <c r="AM496" t="str">
        <f t="shared" si="7"/>
        <v>Anderlecht/Brussel (Bruxelles) [BEANL]</v>
      </c>
      <c r="AN496" t="s">
        <v>36751</v>
      </c>
      <c r="AO496" t="s">
        <v>36752</v>
      </c>
    </row>
    <row r="497" spans="39:41" ht="12" customHeight="1" x14ac:dyDescent="0.2">
      <c r="AM497" t="str">
        <f t="shared" si="7"/>
        <v>Andernach [DEAND]</v>
      </c>
      <c r="AN497" t="s">
        <v>7014</v>
      </c>
      <c r="AO497" t="s">
        <v>7015</v>
      </c>
    </row>
    <row r="498" spans="39:41" ht="12" customHeight="1" x14ac:dyDescent="0.2">
      <c r="AM498" t="str">
        <f t="shared" si="7"/>
        <v>Andernos-les-Bains [FRADB]</v>
      </c>
      <c r="AN498" t="s">
        <v>10726</v>
      </c>
      <c r="AO498" t="s">
        <v>10727</v>
      </c>
    </row>
    <row r="499" spans="39:41" ht="12" customHeight="1" x14ac:dyDescent="0.2">
      <c r="AM499" t="str">
        <f t="shared" si="7"/>
        <v>Andirrion [GRANT]</v>
      </c>
      <c r="AN499" t="s">
        <v>15140</v>
      </c>
      <c r="AO499" t="s">
        <v>35885</v>
      </c>
    </row>
    <row r="500" spans="39:41" ht="12" customHeight="1" x14ac:dyDescent="0.2">
      <c r="AM500" t="str">
        <f t="shared" si="7"/>
        <v>Andora [ITADA]</v>
      </c>
      <c r="AN500" t="s">
        <v>17805</v>
      </c>
      <c r="AO500" t="s">
        <v>17806</v>
      </c>
    </row>
    <row r="501" spans="39:41" ht="12" customHeight="1" x14ac:dyDescent="0.2">
      <c r="AM501" t="str">
        <f t="shared" si="7"/>
        <v>Andornaktalya [HUAKT]</v>
      </c>
      <c r="AN501" t="s">
        <v>16052</v>
      </c>
      <c r="AO501" t="s">
        <v>36008</v>
      </c>
    </row>
    <row r="502" spans="39:41" ht="12" customHeight="1" x14ac:dyDescent="0.2">
      <c r="AM502" t="str">
        <f t="shared" si="7"/>
        <v>Andorth Is [INAMI]</v>
      </c>
      <c r="AN502" t="s">
        <v>17004</v>
      </c>
      <c r="AO502" t="s">
        <v>17005</v>
      </c>
    </row>
    <row r="503" spans="39:41" ht="12" customHeight="1" x14ac:dyDescent="0.2">
      <c r="AM503" t="str">
        <f t="shared" si="7"/>
        <v>Andosilla [ESASL]</v>
      </c>
      <c r="AN503" t="s">
        <v>9588</v>
      </c>
      <c r="AO503" t="s">
        <v>9589</v>
      </c>
    </row>
    <row r="504" spans="39:41" ht="12" customHeight="1" x14ac:dyDescent="0.2">
      <c r="AM504" t="str">
        <f t="shared" si="7"/>
        <v>Andover [USAXZ]</v>
      </c>
      <c r="AN504" t="s">
        <v>28844</v>
      </c>
      <c r="AO504" t="s">
        <v>28845</v>
      </c>
    </row>
    <row r="505" spans="39:41" ht="12" customHeight="1" x14ac:dyDescent="0.2">
      <c r="AM505" t="str">
        <f t="shared" si="7"/>
        <v>Andoy [NOADY]</v>
      </c>
      <c r="AN505" t="s">
        <v>23845</v>
      </c>
      <c r="AO505" t="s">
        <v>36122</v>
      </c>
    </row>
    <row r="506" spans="39:41" ht="12" customHeight="1" x14ac:dyDescent="0.2">
      <c r="AM506" t="str">
        <f t="shared" si="7"/>
        <v>Androka [MGADK]</v>
      </c>
      <c r="AN506" t="s">
        <v>22102</v>
      </c>
      <c r="AO506" t="s">
        <v>22103</v>
      </c>
    </row>
    <row r="507" spans="39:41" ht="12" customHeight="1" x14ac:dyDescent="0.2">
      <c r="AM507" t="str">
        <f t="shared" si="7"/>
        <v>Andros [GRAND]</v>
      </c>
      <c r="AN507" t="s">
        <v>15141</v>
      </c>
      <c r="AO507" t="s">
        <v>15142</v>
      </c>
    </row>
    <row r="508" spans="39:41" ht="12" customHeight="1" x14ac:dyDescent="0.2">
      <c r="AM508" t="str">
        <f t="shared" si="7"/>
        <v>Andros Town, Andros Island [BSASD]</v>
      </c>
      <c r="AN508" t="s">
        <v>3415</v>
      </c>
      <c r="AO508" t="s">
        <v>3416</v>
      </c>
    </row>
    <row r="509" spans="39:41" ht="12" customHeight="1" x14ac:dyDescent="0.2">
      <c r="AM509" t="str">
        <f t="shared" si="7"/>
        <v>Androth Is [INADI]</v>
      </c>
      <c r="AN509" t="s">
        <v>17006</v>
      </c>
      <c r="AO509" t="s">
        <v>17007</v>
      </c>
    </row>
    <row r="510" spans="39:41" ht="12" customHeight="1" x14ac:dyDescent="0.2">
      <c r="AM510" t="str">
        <f t="shared" si="7"/>
        <v>Andys Bay [CAANB]</v>
      </c>
      <c r="AN510" t="s">
        <v>3522</v>
      </c>
      <c r="AO510" t="s">
        <v>3523</v>
      </c>
    </row>
    <row r="511" spans="39:41" ht="12" customHeight="1" x14ac:dyDescent="0.2">
      <c r="AM511" t="str">
        <f t="shared" si="7"/>
        <v>Anegasaki [JPANE]</v>
      </c>
      <c r="AN511" t="s">
        <v>18581</v>
      </c>
      <c r="AO511" t="s">
        <v>18582</v>
      </c>
    </row>
    <row r="512" spans="39:41" ht="12" customHeight="1" x14ac:dyDescent="0.2">
      <c r="AM512" t="str">
        <f t="shared" si="7"/>
        <v>Aneho [TGANE]</v>
      </c>
      <c r="AN512" t="s">
        <v>28195</v>
      </c>
      <c r="AO512" t="s">
        <v>36557</v>
      </c>
    </row>
    <row r="513" spans="39:41" ht="12" customHeight="1" x14ac:dyDescent="0.2">
      <c r="AM513" t="str">
        <f t="shared" si="7"/>
        <v>Anewa Bay [PGANB]</v>
      </c>
      <c r="AN513" t="s">
        <v>25358</v>
      </c>
      <c r="AO513" t="s">
        <v>25359</v>
      </c>
    </row>
    <row r="514" spans="39:41" ht="12" customHeight="1" x14ac:dyDescent="0.2">
      <c r="AM514" t="str">
        <f t="shared" si="7"/>
        <v>Anfinnsletta [NOAFS]</v>
      </c>
      <c r="AN514" t="s">
        <v>23846</v>
      </c>
      <c r="AO514" t="s">
        <v>23847</v>
      </c>
    </row>
    <row r="515" spans="39:41" ht="12" customHeight="1" x14ac:dyDescent="0.2">
      <c r="AM515" t="str">
        <f t="shared" ref="AM515:AM578" si="8">AO515 &amp; " [" &amp; AN515 &amp; "]"</f>
        <v>Angar [IDANG]</v>
      </c>
      <c r="AN515" t="s">
        <v>16151</v>
      </c>
      <c r="AO515" t="s">
        <v>16152</v>
      </c>
    </row>
    <row r="516" spans="39:41" ht="12" customHeight="1" x14ac:dyDescent="0.2">
      <c r="AM516" t="str">
        <f t="shared" si="8"/>
        <v>Angarsk [RUAGK]</v>
      </c>
      <c r="AN516" t="s">
        <v>26871</v>
      </c>
      <c r="AO516" t="s">
        <v>26872</v>
      </c>
    </row>
    <row r="517" spans="39:41" ht="12" customHeight="1" x14ac:dyDescent="0.2">
      <c r="AM517" t="str">
        <f t="shared" si="8"/>
        <v>Angaur [PWANG]</v>
      </c>
      <c r="AN517" t="s">
        <v>26653</v>
      </c>
      <c r="AO517" t="s">
        <v>26654</v>
      </c>
    </row>
    <row r="518" spans="39:41" ht="12" customHeight="1" x14ac:dyDescent="0.2">
      <c r="AM518" t="str">
        <f t="shared" si="8"/>
        <v>Ange [SEAGE]</v>
      </c>
      <c r="AN518" t="s">
        <v>27487</v>
      </c>
      <c r="AO518" t="s">
        <v>10728</v>
      </c>
    </row>
    <row r="519" spans="39:41" ht="12" customHeight="1" x14ac:dyDescent="0.2">
      <c r="AM519" t="str">
        <f t="shared" si="8"/>
        <v>Angeiras [PTANG]</v>
      </c>
      <c r="AN519" t="s">
        <v>26444</v>
      </c>
      <c r="AO519" t="s">
        <v>26445</v>
      </c>
    </row>
    <row r="520" spans="39:41" ht="12" customHeight="1" x14ac:dyDescent="0.2">
      <c r="AM520" t="str">
        <f t="shared" si="8"/>
        <v>Angleur [BEANB]</v>
      </c>
      <c r="AN520" t="s">
        <v>2224</v>
      </c>
      <c r="AO520" t="s">
        <v>2225</v>
      </c>
    </row>
    <row r="521" spans="39:41" ht="12" customHeight="1" x14ac:dyDescent="0.2">
      <c r="AM521" t="str">
        <f t="shared" si="8"/>
        <v>Angoche [MZANO]</v>
      </c>
      <c r="AN521" t="s">
        <v>22831</v>
      </c>
      <c r="AO521" t="s">
        <v>22832</v>
      </c>
    </row>
    <row r="522" spans="39:41" ht="12" customHeight="1" x14ac:dyDescent="0.2">
      <c r="AM522" t="str">
        <f t="shared" si="8"/>
        <v>Angra do Heroismo [PTADH]</v>
      </c>
      <c r="AN522" t="s">
        <v>26446</v>
      </c>
      <c r="AO522" t="s">
        <v>36377</v>
      </c>
    </row>
    <row r="523" spans="39:41" ht="12" customHeight="1" x14ac:dyDescent="0.2">
      <c r="AM523" t="str">
        <f t="shared" si="8"/>
        <v>Angra dos Reis [BRADR]</v>
      </c>
      <c r="AN523" t="s">
        <v>3260</v>
      </c>
      <c r="AO523" t="s">
        <v>3261</v>
      </c>
    </row>
    <row r="524" spans="39:41" ht="12" customHeight="1" x14ac:dyDescent="0.2">
      <c r="AM524" t="str">
        <f t="shared" si="8"/>
        <v>Angsi [MYANG]</v>
      </c>
      <c r="AN524" t="s">
        <v>22492</v>
      </c>
      <c r="AO524" t="s">
        <v>22493</v>
      </c>
    </row>
    <row r="525" spans="39:41" ht="12" customHeight="1" x14ac:dyDescent="0.2">
      <c r="AM525" t="str">
        <f t="shared" si="8"/>
        <v>Anhee [BEANH]</v>
      </c>
      <c r="AN525" t="s">
        <v>2226</v>
      </c>
      <c r="AO525" t="s">
        <v>35261</v>
      </c>
    </row>
    <row r="526" spans="39:41" ht="12" customHeight="1" x14ac:dyDescent="0.2">
      <c r="AM526" t="str">
        <f t="shared" si="8"/>
        <v>Anholt [DKANH]</v>
      </c>
      <c r="AN526" t="s">
        <v>8608</v>
      </c>
      <c r="AO526" t="s">
        <v>8609</v>
      </c>
    </row>
    <row r="527" spans="39:41" ht="12" customHeight="1" x14ac:dyDescent="0.2">
      <c r="AM527" t="str">
        <f t="shared" si="8"/>
        <v>Anijengo [INANG]</v>
      </c>
      <c r="AN527" t="s">
        <v>17008</v>
      </c>
      <c r="AO527" t="s">
        <v>17009</v>
      </c>
    </row>
    <row r="528" spans="39:41" ht="12" customHeight="1" x14ac:dyDescent="0.2">
      <c r="AM528" t="str">
        <f t="shared" si="8"/>
        <v>Anjeong [KRANJ]</v>
      </c>
      <c r="AN528" t="s">
        <v>21602</v>
      </c>
      <c r="AO528" t="s">
        <v>21603</v>
      </c>
    </row>
    <row r="529" spans="39:41" ht="12" customHeight="1" x14ac:dyDescent="0.2">
      <c r="AM529" t="str">
        <f t="shared" si="8"/>
        <v>Anjouan Apt [KMAJN]</v>
      </c>
      <c r="AN529" t="s">
        <v>21565</v>
      </c>
      <c r="AO529" t="s">
        <v>21566</v>
      </c>
    </row>
    <row r="530" spans="39:41" ht="12" customHeight="1" x14ac:dyDescent="0.2">
      <c r="AM530" t="str">
        <f t="shared" si="8"/>
        <v>Ankarsvik [SEANK]</v>
      </c>
      <c r="AN530" t="s">
        <v>27488</v>
      </c>
      <c r="AO530" t="s">
        <v>27489</v>
      </c>
    </row>
    <row r="531" spans="39:41" ht="12" customHeight="1" x14ac:dyDescent="0.2">
      <c r="AM531" t="str">
        <f t="shared" si="8"/>
        <v>Anklam [DEANK]</v>
      </c>
      <c r="AN531" t="s">
        <v>7016</v>
      </c>
      <c r="AO531" t="s">
        <v>7017</v>
      </c>
    </row>
    <row r="532" spans="39:41" ht="12" customHeight="1" x14ac:dyDescent="0.2">
      <c r="AM532" t="str">
        <f t="shared" si="8"/>
        <v>Ann [SEANN]</v>
      </c>
      <c r="AN532" t="s">
        <v>27490</v>
      </c>
      <c r="AO532" t="s">
        <v>36414</v>
      </c>
    </row>
    <row r="533" spans="39:41" ht="12" customHeight="1" x14ac:dyDescent="0.2">
      <c r="AM533" t="str">
        <f t="shared" si="8"/>
        <v>Ann Arbor [USARB]</v>
      </c>
      <c r="AN533" t="s">
        <v>28846</v>
      </c>
      <c r="AO533" t="s">
        <v>28847</v>
      </c>
    </row>
    <row r="534" spans="39:41" ht="12" customHeight="1" x14ac:dyDescent="0.2">
      <c r="AM534" t="str">
        <f t="shared" si="8"/>
        <v>Anna Paulowna [NLANP]</v>
      </c>
      <c r="AN534" t="s">
        <v>33859</v>
      </c>
      <c r="AO534" t="s">
        <v>33981</v>
      </c>
    </row>
    <row r="535" spans="39:41" ht="12" customHeight="1" x14ac:dyDescent="0.2">
      <c r="AM535" t="str">
        <f t="shared" si="8"/>
        <v>Annaba (ex Bone) [DZAAE]</v>
      </c>
      <c r="AN535" t="s">
        <v>9035</v>
      </c>
      <c r="AO535" t="s">
        <v>9036</v>
      </c>
    </row>
    <row r="536" spans="39:41" ht="12" customHeight="1" x14ac:dyDescent="0.2">
      <c r="AM536" t="str">
        <f t="shared" si="8"/>
        <v>Annacotty [IEATN]</v>
      </c>
      <c r="AN536" t="s">
        <v>16713</v>
      </c>
      <c r="AO536" t="s">
        <v>16714</v>
      </c>
    </row>
    <row r="537" spans="39:41" ht="12" customHeight="1" x14ac:dyDescent="0.2">
      <c r="AM537" t="str">
        <f t="shared" si="8"/>
        <v>Annalong [GBANG]</v>
      </c>
      <c r="AN537" t="s">
        <v>12305</v>
      </c>
      <c r="AO537" t="s">
        <v>12306</v>
      </c>
    </row>
    <row r="538" spans="39:41" ht="12" customHeight="1" x14ac:dyDescent="0.2">
      <c r="AM538" t="str">
        <f t="shared" si="8"/>
        <v>ANNAMARIA A [HRANN]</v>
      </c>
      <c r="AN538" t="s">
        <v>36725</v>
      </c>
      <c r="AO538" t="s">
        <v>36726</v>
      </c>
    </row>
    <row r="539" spans="39:41" ht="12" customHeight="1" x14ac:dyDescent="0.2">
      <c r="AM539" t="str">
        <f t="shared" si="8"/>
        <v>Annan [GBANN]</v>
      </c>
      <c r="AN539" t="s">
        <v>12307</v>
      </c>
      <c r="AO539" t="s">
        <v>12308</v>
      </c>
    </row>
    <row r="540" spans="39:41" ht="12" customHeight="1" x14ac:dyDescent="0.2">
      <c r="AM540" t="str">
        <f t="shared" si="8"/>
        <v>Annandale [AUANN]</v>
      </c>
      <c r="AN540" t="s">
        <v>1389</v>
      </c>
      <c r="AO540" t="s">
        <v>1390</v>
      </c>
    </row>
    <row r="541" spans="39:41" ht="12" customHeight="1" x14ac:dyDescent="0.2">
      <c r="AM541" t="str">
        <f t="shared" si="8"/>
        <v>Annapolis [USANP]</v>
      </c>
      <c r="AN541" t="s">
        <v>28848</v>
      </c>
      <c r="AO541" t="s">
        <v>28849</v>
      </c>
    </row>
    <row r="542" spans="39:41" ht="12" customHeight="1" x14ac:dyDescent="0.2">
      <c r="AM542" t="str">
        <f t="shared" si="8"/>
        <v>Annevoie [BEAVE]</v>
      </c>
      <c r="AN542" t="s">
        <v>2227</v>
      </c>
      <c r="AO542" t="s">
        <v>2228</v>
      </c>
    </row>
    <row r="543" spans="39:41" ht="12" customHeight="1" x14ac:dyDescent="0.2">
      <c r="AM543" t="str">
        <f t="shared" si="8"/>
        <v>Annisquam Harbour [USNQH]</v>
      </c>
      <c r="AN543" t="s">
        <v>28850</v>
      </c>
      <c r="AO543" t="s">
        <v>28851</v>
      </c>
    </row>
    <row r="544" spans="39:41" ht="12" customHeight="1" x14ac:dyDescent="0.2">
      <c r="AM544" t="str">
        <f t="shared" si="8"/>
        <v>Anoa Natuna [XZANU]</v>
      </c>
      <c r="AN544" t="s">
        <v>32548</v>
      </c>
      <c r="AO544" t="s">
        <v>32549</v>
      </c>
    </row>
    <row r="545" spans="39:41" ht="12" customHeight="1" x14ac:dyDescent="0.2">
      <c r="AM545" t="str">
        <f t="shared" si="8"/>
        <v>Anoa Natuna Pt. [IDANO]</v>
      </c>
      <c r="AN545" t="s">
        <v>16153</v>
      </c>
      <c r="AO545" t="s">
        <v>16154</v>
      </c>
    </row>
    <row r="546" spans="39:41" ht="12" customHeight="1" x14ac:dyDescent="0.2">
      <c r="AM546" t="str">
        <f t="shared" si="8"/>
        <v>Anpu [CNAPP]</v>
      </c>
      <c r="AN546" t="s">
        <v>5016</v>
      </c>
      <c r="AO546" t="s">
        <v>5017</v>
      </c>
    </row>
    <row r="547" spans="39:41" ht="12" customHeight="1" x14ac:dyDescent="0.2">
      <c r="AM547" t="str">
        <f t="shared" si="8"/>
        <v>Anqing Pt [CNAQG]</v>
      </c>
      <c r="AN547" t="s">
        <v>5018</v>
      </c>
      <c r="AO547" t="s">
        <v>5019</v>
      </c>
    </row>
    <row r="548" spans="39:41" ht="12" customHeight="1" x14ac:dyDescent="0.2">
      <c r="AM548" t="str">
        <f t="shared" si="8"/>
        <v>Anqiu [CNANQ]</v>
      </c>
      <c r="AN548" t="s">
        <v>5020</v>
      </c>
      <c r="AO548" t="s">
        <v>5021</v>
      </c>
    </row>
    <row r="549" spans="39:41" ht="12" customHeight="1" x14ac:dyDescent="0.2">
      <c r="AM549" t="str">
        <f t="shared" si="8"/>
        <v>Anse [FRXAN]</v>
      </c>
      <c r="AN549" t="s">
        <v>10729</v>
      </c>
      <c r="AO549" t="s">
        <v>10730</v>
      </c>
    </row>
    <row r="550" spans="39:41" ht="12" customHeight="1" x14ac:dyDescent="0.2">
      <c r="AM550" t="str">
        <f t="shared" si="8"/>
        <v>Anse du Mai [DMADM]</v>
      </c>
      <c r="AN550" t="s">
        <v>8973</v>
      </c>
      <c r="AO550" t="s">
        <v>8974</v>
      </c>
    </row>
    <row r="551" spans="39:41" ht="12" customHeight="1" x14ac:dyDescent="0.2">
      <c r="AM551" t="str">
        <f t="shared" si="8"/>
        <v>Anseremme [BEASR]</v>
      </c>
      <c r="AN551" t="s">
        <v>2229</v>
      </c>
      <c r="AO551" t="s">
        <v>2230</v>
      </c>
    </row>
    <row r="552" spans="39:41" ht="12" customHeight="1" x14ac:dyDescent="0.2">
      <c r="AM552" t="str">
        <f t="shared" si="8"/>
        <v>Ansnes [NOANS]</v>
      </c>
      <c r="AN552" t="s">
        <v>23848</v>
      </c>
      <c r="AO552" t="s">
        <v>23849</v>
      </c>
    </row>
    <row r="553" spans="39:41" ht="12" customHeight="1" x14ac:dyDescent="0.2">
      <c r="AM553" t="str">
        <f t="shared" si="8"/>
        <v>Ansonville [USVFR]</v>
      </c>
      <c r="AN553" t="s">
        <v>28852</v>
      </c>
      <c r="AO553" t="s">
        <v>28853</v>
      </c>
    </row>
    <row r="554" spans="39:41" ht="12" customHeight="1" x14ac:dyDescent="0.2">
      <c r="AM554" t="str">
        <f t="shared" si="8"/>
        <v>Anstruther [GBANS]</v>
      </c>
      <c r="AN554" t="s">
        <v>12309</v>
      </c>
      <c r="AO554" t="s">
        <v>12310</v>
      </c>
    </row>
    <row r="555" spans="39:41" ht="12" customHeight="1" x14ac:dyDescent="0.2">
      <c r="AM555" t="str">
        <f t="shared" si="8"/>
        <v>Anta [NGANT]</v>
      </c>
      <c r="AN555" t="s">
        <v>22911</v>
      </c>
      <c r="AO555" t="s">
        <v>22912</v>
      </c>
    </row>
    <row r="556" spans="39:41" ht="12" customHeight="1" x14ac:dyDescent="0.2">
      <c r="AM556" t="str">
        <f t="shared" si="8"/>
        <v>Antalaha [MGANM]</v>
      </c>
      <c r="AN556" t="s">
        <v>22104</v>
      </c>
      <c r="AO556" t="s">
        <v>22105</v>
      </c>
    </row>
    <row r="557" spans="39:41" ht="12" customHeight="1" x14ac:dyDescent="0.2">
      <c r="AM557" t="str">
        <f t="shared" si="8"/>
        <v>Antalya [TRAYT]</v>
      </c>
      <c r="AN557" t="s">
        <v>28403</v>
      </c>
      <c r="AO557" t="s">
        <v>28404</v>
      </c>
    </row>
    <row r="558" spans="39:41" ht="12" customHeight="1" x14ac:dyDescent="0.2">
      <c r="AM558" t="str">
        <f t="shared" si="8"/>
        <v>Antan [NGANA]</v>
      </c>
      <c r="AN558" t="s">
        <v>22913</v>
      </c>
      <c r="AO558" t="s">
        <v>22914</v>
      </c>
    </row>
    <row r="559" spans="39:41" ht="12" customHeight="1" x14ac:dyDescent="0.2">
      <c r="AM559" t="str">
        <f t="shared" si="8"/>
        <v>Antenal [HRATL]</v>
      </c>
      <c r="AN559" t="s">
        <v>15694</v>
      </c>
      <c r="AO559" t="s">
        <v>15695</v>
      </c>
    </row>
    <row r="560" spans="39:41" ht="12" customHeight="1" x14ac:dyDescent="0.2">
      <c r="AM560" t="str">
        <f t="shared" si="8"/>
        <v>Antheit [BEAHE]</v>
      </c>
      <c r="AN560" t="s">
        <v>2231</v>
      </c>
      <c r="AO560" t="s">
        <v>2232</v>
      </c>
    </row>
    <row r="561" spans="39:41" ht="12" customHeight="1" x14ac:dyDescent="0.2">
      <c r="AM561" t="str">
        <f t="shared" si="8"/>
        <v>Anthy-Sechex [FRAHH]</v>
      </c>
      <c r="AN561" t="s">
        <v>10731</v>
      </c>
      <c r="AO561" t="s">
        <v>10732</v>
      </c>
    </row>
    <row r="562" spans="39:41" ht="12" customHeight="1" x14ac:dyDescent="0.2">
      <c r="AM562" t="str">
        <f t="shared" si="8"/>
        <v>Antibes [FRANT]</v>
      </c>
      <c r="AN562" t="s">
        <v>10733</v>
      </c>
      <c r="AO562" t="s">
        <v>10734</v>
      </c>
    </row>
    <row r="563" spans="39:41" ht="12" customHeight="1" x14ac:dyDescent="0.2">
      <c r="AM563" t="str">
        <f t="shared" si="8"/>
        <v>Antigua [AGANU]</v>
      </c>
      <c r="AN563" t="s">
        <v>794</v>
      </c>
      <c r="AO563" t="s">
        <v>795</v>
      </c>
    </row>
    <row r="564" spans="39:41" ht="12" customHeight="1" x14ac:dyDescent="0.2">
      <c r="AM564" t="str">
        <f t="shared" si="8"/>
        <v>Antikyra [GRATK]</v>
      </c>
      <c r="AN564" t="s">
        <v>15143</v>
      </c>
      <c r="AO564" t="s">
        <v>15144</v>
      </c>
    </row>
    <row r="565" spans="39:41" ht="12" customHeight="1" x14ac:dyDescent="0.2">
      <c r="AM565" t="str">
        <f t="shared" si="8"/>
        <v>Anting [CNANT]</v>
      </c>
      <c r="AN565" t="s">
        <v>5022</v>
      </c>
      <c r="AO565" t="s">
        <v>5023</v>
      </c>
    </row>
    <row r="566" spans="39:41" ht="12" customHeight="1" x14ac:dyDescent="0.2">
      <c r="AM566" t="str">
        <f t="shared" si="8"/>
        <v>Antiparos [GRANP]</v>
      </c>
      <c r="AN566" t="s">
        <v>15145</v>
      </c>
      <c r="AO566" t="s">
        <v>15146</v>
      </c>
    </row>
    <row r="567" spans="39:41" ht="12" customHeight="1" x14ac:dyDescent="0.2">
      <c r="AM567" t="str">
        <f t="shared" si="8"/>
        <v>Antipolo [PHANT]</v>
      </c>
      <c r="AN567" t="s">
        <v>25524</v>
      </c>
      <c r="AO567" t="s">
        <v>25525</v>
      </c>
    </row>
    <row r="568" spans="39:41" ht="12" customHeight="1" x14ac:dyDescent="0.2">
      <c r="AM568" t="str">
        <f t="shared" si="8"/>
        <v>Antofagasta [CLANF]</v>
      </c>
      <c r="AN568" t="s">
        <v>4813</v>
      </c>
      <c r="AO568" t="s">
        <v>4814</v>
      </c>
    </row>
    <row r="569" spans="39:41" ht="12" customHeight="1" x14ac:dyDescent="0.2">
      <c r="AM569" t="str">
        <f t="shared" si="8"/>
        <v>Antoing [BEATO]</v>
      </c>
      <c r="AN569" t="s">
        <v>2233</v>
      </c>
      <c r="AO569" t="s">
        <v>2234</v>
      </c>
    </row>
    <row r="570" spans="39:41" ht="12" customHeight="1" x14ac:dyDescent="0.2">
      <c r="AM570" t="str">
        <f t="shared" si="8"/>
        <v>Antonina [BRANT]</v>
      </c>
      <c r="AN570" t="s">
        <v>3262</v>
      </c>
      <c r="AO570" t="s">
        <v>3263</v>
      </c>
    </row>
    <row r="571" spans="39:41" ht="12" customHeight="1" x14ac:dyDescent="0.2">
      <c r="AM571" t="str">
        <f t="shared" si="8"/>
        <v>Antsiranana [MGDIE]</v>
      </c>
      <c r="AN571" t="s">
        <v>22106</v>
      </c>
      <c r="AO571" t="s">
        <v>22107</v>
      </c>
    </row>
    <row r="572" spans="39:41" ht="12" customHeight="1" x14ac:dyDescent="0.2">
      <c r="AM572" t="str">
        <f t="shared" si="8"/>
        <v>Antwerpen [BEANR]</v>
      </c>
      <c r="AN572" t="s">
        <v>2235</v>
      </c>
      <c r="AO572" t="s">
        <v>2236</v>
      </c>
    </row>
    <row r="573" spans="39:41" ht="12" customHeight="1" x14ac:dyDescent="0.2">
      <c r="AM573" t="str">
        <f t="shared" si="8"/>
        <v>Anvaing [BEAVG]</v>
      </c>
      <c r="AN573" t="s">
        <v>2237</v>
      </c>
      <c r="AO573" t="s">
        <v>2238</v>
      </c>
    </row>
    <row r="574" spans="39:41" ht="12" customHeight="1" x14ac:dyDescent="0.2">
      <c r="AM574" t="str">
        <f t="shared" si="8"/>
        <v>Anyer Kidul [IDANR]</v>
      </c>
      <c r="AN574" t="s">
        <v>16155</v>
      </c>
      <c r="AO574" t="s">
        <v>16156</v>
      </c>
    </row>
    <row r="575" spans="39:41" ht="12" customHeight="1" x14ac:dyDescent="0.2">
      <c r="AM575" t="str">
        <f t="shared" si="8"/>
        <v>Anza [MAANZ]</v>
      </c>
      <c r="AN575" t="s">
        <v>22022</v>
      </c>
      <c r="AO575" t="s">
        <v>22023</v>
      </c>
    </row>
    <row r="576" spans="39:41" ht="12" customHeight="1" x14ac:dyDescent="0.2">
      <c r="AM576" t="str">
        <f t="shared" si="8"/>
        <v>Anzac [CAANZ]</v>
      </c>
      <c r="AN576" t="s">
        <v>3524</v>
      </c>
      <c r="AO576" t="s">
        <v>3525</v>
      </c>
    </row>
    <row r="577" spans="39:41" ht="12" customHeight="1" x14ac:dyDescent="0.2">
      <c r="AM577" t="str">
        <f t="shared" si="8"/>
        <v>Anzio [ITANZ]</v>
      </c>
      <c r="AN577" t="s">
        <v>17807</v>
      </c>
      <c r="AO577" t="s">
        <v>17808</v>
      </c>
    </row>
    <row r="578" spans="39:41" ht="12" customHeight="1" x14ac:dyDescent="0.2">
      <c r="AM578" t="str">
        <f t="shared" si="8"/>
        <v>Aoe [JPAOE]</v>
      </c>
      <c r="AN578" t="s">
        <v>18583</v>
      </c>
      <c r="AO578" t="s">
        <v>18584</v>
      </c>
    </row>
    <row r="579" spans="39:41" ht="12" customHeight="1" x14ac:dyDescent="0.2">
      <c r="AM579" t="str">
        <f t="shared" ref="AM579:AM642" si="9">AO579 &amp; " [" &amp; AN579 &amp; "]"</f>
        <v>Aogashima [JPAOG]</v>
      </c>
      <c r="AN579" t="s">
        <v>18585</v>
      </c>
      <c r="AO579" t="s">
        <v>18586</v>
      </c>
    </row>
    <row r="580" spans="39:41" ht="12" customHeight="1" x14ac:dyDescent="0.2">
      <c r="AM580" t="str">
        <f t="shared" si="9"/>
        <v>Aojiang Pt [CNAJG]</v>
      </c>
      <c r="AN580" t="s">
        <v>5024</v>
      </c>
      <c r="AO580" t="s">
        <v>5025</v>
      </c>
    </row>
    <row r="581" spans="39:41" ht="12" customHeight="1" x14ac:dyDescent="0.2">
      <c r="AM581" t="str">
        <f t="shared" si="9"/>
        <v>Aokata [JPAOK]</v>
      </c>
      <c r="AN581" t="s">
        <v>18587</v>
      </c>
      <c r="AO581" t="s">
        <v>18588</v>
      </c>
    </row>
    <row r="582" spans="39:41" ht="12" customHeight="1" x14ac:dyDescent="0.2">
      <c r="AM582" t="str">
        <f t="shared" si="9"/>
        <v>Aoki [JPAOI]</v>
      </c>
      <c r="AN582" t="s">
        <v>18589</v>
      </c>
      <c r="AO582" t="s">
        <v>18590</v>
      </c>
    </row>
    <row r="583" spans="39:41" ht="12" customHeight="1" x14ac:dyDescent="0.2">
      <c r="AM583" t="str">
        <f t="shared" si="9"/>
        <v>Aola Bay [SBAOB]</v>
      </c>
      <c r="AN583" t="s">
        <v>27433</v>
      </c>
      <c r="AO583" t="s">
        <v>27434</v>
      </c>
    </row>
    <row r="584" spans="39:41" ht="12" customHeight="1" x14ac:dyDescent="0.2">
      <c r="AM584" t="str">
        <f t="shared" si="9"/>
        <v>Aomi [JPOMA]</v>
      </c>
      <c r="AN584" t="s">
        <v>18591</v>
      </c>
      <c r="AO584" t="s">
        <v>18592</v>
      </c>
    </row>
    <row r="585" spans="39:41" ht="12" customHeight="1" x14ac:dyDescent="0.2">
      <c r="AM585" t="str">
        <f t="shared" si="9"/>
        <v>Aomori [JPAOJ]</v>
      </c>
      <c r="AN585" t="s">
        <v>18593</v>
      </c>
      <c r="AO585" t="s">
        <v>18594</v>
      </c>
    </row>
    <row r="586" spans="39:41" ht="12" customHeight="1" x14ac:dyDescent="0.2">
      <c r="AM586" t="str">
        <f t="shared" si="9"/>
        <v>Aonae [JPAON]</v>
      </c>
      <c r="AN586" t="s">
        <v>18595</v>
      </c>
      <c r="AO586" t="s">
        <v>18596</v>
      </c>
    </row>
    <row r="587" spans="39:41" ht="12" customHeight="1" x14ac:dyDescent="0.2">
      <c r="AM587" t="str">
        <f t="shared" si="9"/>
        <v>Aoshanwei [CNASW]</v>
      </c>
      <c r="AN587" t="s">
        <v>5026</v>
      </c>
      <c r="AO587" t="s">
        <v>5027</v>
      </c>
    </row>
    <row r="588" spans="39:41" ht="12" customHeight="1" x14ac:dyDescent="0.2">
      <c r="AM588" t="str">
        <f t="shared" si="9"/>
        <v>Aoshima [JPAOS]</v>
      </c>
      <c r="AN588" t="s">
        <v>18597</v>
      </c>
      <c r="AO588" t="s">
        <v>18598</v>
      </c>
    </row>
    <row r="589" spans="39:41" ht="12" customHeight="1" x14ac:dyDescent="0.2">
      <c r="AM589" t="str">
        <f t="shared" si="9"/>
        <v>Ap Lei Chau [HKALC]</v>
      </c>
      <c r="AN589" t="s">
        <v>15644</v>
      </c>
      <c r="AO589" t="s">
        <v>15645</v>
      </c>
    </row>
    <row r="590" spans="39:41" ht="12" customHeight="1" x14ac:dyDescent="0.2">
      <c r="AM590" t="str">
        <f t="shared" si="9"/>
        <v>Apach [FRAAH]</v>
      </c>
      <c r="AN590" t="s">
        <v>10735</v>
      </c>
      <c r="AO590" t="s">
        <v>10736</v>
      </c>
    </row>
    <row r="591" spans="39:41" ht="12" customHeight="1" x14ac:dyDescent="0.2">
      <c r="AM591" t="str">
        <f t="shared" si="9"/>
        <v>Apalachicola [USAAF]</v>
      </c>
      <c r="AN591" t="s">
        <v>28854</v>
      </c>
      <c r="AO591" t="s">
        <v>28855</v>
      </c>
    </row>
    <row r="592" spans="39:41" ht="12" customHeight="1" x14ac:dyDescent="0.2">
      <c r="AM592" t="str">
        <f t="shared" si="9"/>
        <v>Apapa [NGAPP]</v>
      </c>
      <c r="AN592" t="s">
        <v>22915</v>
      </c>
      <c r="AO592" t="s">
        <v>22916</v>
      </c>
    </row>
    <row r="593" spans="39:41" ht="12" customHeight="1" x14ac:dyDescent="0.2">
      <c r="AM593" t="str">
        <f t="shared" si="9"/>
        <v>Aparri, Luzon [PHAPR]</v>
      </c>
      <c r="AN593" t="s">
        <v>25526</v>
      </c>
      <c r="AO593" t="s">
        <v>25527</v>
      </c>
    </row>
    <row r="594" spans="39:41" ht="12" customHeight="1" x14ac:dyDescent="0.2">
      <c r="AM594" t="str">
        <f t="shared" si="9"/>
        <v>Apatin [RSAPT]</v>
      </c>
      <c r="AN594" t="s">
        <v>26832</v>
      </c>
      <c r="AO594" t="s">
        <v>26833</v>
      </c>
    </row>
    <row r="595" spans="39:41" ht="12" customHeight="1" x14ac:dyDescent="0.2">
      <c r="AM595" t="str">
        <f t="shared" si="9"/>
        <v>Apen [DEAPE]</v>
      </c>
      <c r="AN595" t="s">
        <v>7018</v>
      </c>
      <c r="AO595" t="s">
        <v>7019</v>
      </c>
    </row>
    <row r="596" spans="39:41" ht="12" customHeight="1" x14ac:dyDescent="0.2">
      <c r="AM596" t="str">
        <f t="shared" si="9"/>
        <v>Apensen [DEAPN]</v>
      </c>
      <c r="AN596" t="s">
        <v>7020</v>
      </c>
      <c r="AO596" t="s">
        <v>7021</v>
      </c>
    </row>
    <row r="597" spans="39:41" ht="12" customHeight="1" x14ac:dyDescent="0.2">
      <c r="AM597" t="str">
        <f t="shared" si="9"/>
        <v>Apia [WSAPW]</v>
      </c>
      <c r="AN597" t="s">
        <v>32538</v>
      </c>
      <c r="AO597" t="s">
        <v>32539</v>
      </c>
    </row>
    <row r="598" spans="39:41" ht="12" customHeight="1" x14ac:dyDescent="0.2">
      <c r="AM598" t="str">
        <f t="shared" si="9"/>
        <v>Apollonia [LYAPO]</v>
      </c>
      <c r="AN598" t="s">
        <v>21969</v>
      </c>
      <c r="AO598" t="s">
        <v>21970</v>
      </c>
    </row>
    <row r="599" spans="39:41" ht="12" customHeight="1" x14ac:dyDescent="0.2">
      <c r="AM599" t="str">
        <f t="shared" si="9"/>
        <v>Apopa [SVAPO]</v>
      </c>
      <c r="AN599" t="s">
        <v>28137</v>
      </c>
      <c r="AO599" t="s">
        <v>28138</v>
      </c>
    </row>
    <row r="600" spans="39:41" ht="12" customHeight="1" x14ac:dyDescent="0.2">
      <c r="AM600" t="str">
        <f t="shared" si="9"/>
        <v>Appels [BEAPL]</v>
      </c>
      <c r="AN600" t="s">
        <v>2239</v>
      </c>
      <c r="AO600" t="s">
        <v>2240</v>
      </c>
    </row>
    <row r="601" spans="39:41" ht="12" customHeight="1" x14ac:dyDescent="0.2">
      <c r="AM601" t="str">
        <f t="shared" si="9"/>
        <v>Appelterre-Eichem [BEAPT]</v>
      </c>
      <c r="AN601" t="s">
        <v>2241</v>
      </c>
      <c r="AO601" t="s">
        <v>2242</v>
      </c>
    </row>
    <row r="602" spans="39:41" ht="12" customHeight="1" x14ac:dyDescent="0.2">
      <c r="AM602" t="str">
        <f t="shared" si="9"/>
        <v>Appin [GBAPI]</v>
      </c>
      <c r="AN602" t="s">
        <v>12311</v>
      </c>
      <c r="AO602" t="s">
        <v>12312</v>
      </c>
    </row>
    <row r="603" spans="39:41" ht="12" customHeight="1" x14ac:dyDescent="0.2">
      <c r="AM603" t="str">
        <f t="shared" si="9"/>
        <v>Appingedam [NLAPP]</v>
      </c>
      <c r="AN603" t="s">
        <v>34095</v>
      </c>
      <c r="AO603" t="s">
        <v>34141</v>
      </c>
    </row>
    <row r="604" spans="39:41" ht="12" customHeight="1" x14ac:dyDescent="0.2">
      <c r="AM604" t="str">
        <f t="shared" si="9"/>
        <v>Apple Hill [CAAHL]</v>
      </c>
      <c r="AN604" t="s">
        <v>3526</v>
      </c>
      <c r="AO604" t="s">
        <v>3527</v>
      </c>
    </row>
    <row r="605" spans="39:41" ht="12" customHeight="1" x14ac:dyDescent="0.2">
      <c r="AM605" t="str">
        <f t="shared" si="9"/>
        <v>Applecross [AUAPP]</v>
      </c>
      <c r="AN605" t="s">
        <v>1391</v>
      </c>
      <c r="AO605" t="s">
        <v>1392</v>
      </c>
    </row>
    <row r="606" spans="39:41" ht="12" customHeight="1" x14ac:dyDescent="0.2">
      <c r="AM606" t="str">
        <f t="shared" si="9"/>
        <v>Applecross [GBAPS]</v>
      </c>
      <c r="AN606" t="s">
        <v>12313</v>
      </c>
      <c r="AO606" t="s">
        <v>1392</v>
      </c>
    </row>
    <row r="607" spans="39:41" ht="12" customHeight="1" x14ac:dyDescent="0.2">
      <c r="AM607" t="str">
        <f t="shared" si="9"/>
        <v>Appledore [GBAPP]</v>
      </c>
      <c r="AN607" t="s">
        <v>12314</v>
      </c>
      <c r="AO607" t="s">
        <v>12315</v>
      </c>
    </row>
    <row r="608" spans="39:41" ht="12" customHeight="1" x14ac:dyDescent="0.2">
      <c r="AM608" t="str">
        <f t="shared" si="9"/>
        <v>Appleton [USATW]</v>
      </c>
      <c r="AN608" t="s">
        <v>28856</v>
      </c>
      <c r="AO608" t="s">
        <v>28857</v>
      </c>
    </row>
    <row r="609" spans="39:41" ht="12" customHeight="1" x14ac:dyDescent="0.2">
      <c r="AM609" t="str">
        <f t="shared" si="9"/>
        <v>Apra (Agana) [GUAPR]</v>
      </c>
      <c r="AN609" t="s">
        <v>15611</v>
      </c>
      <c r="AO609" t="s">
        <v>15612</v>
      </c>
    </row>
    <row r="610" spans="39:41" ht="12" customHeight="1" x14ac:dyDescent="0.2">
      <c r="AM610" t="str">
        <f t="shared" si="9"/>
        <v>'Aqaba [JOAQB]</v>
      </c>
      <c r="AN610" t="s">
        <v>18463</v>
      </c>
      <c r="AO610" t="s">
        <v>18464</v>
      </c>
    </row>
    <row r="611" spans="39:41" ht="12" customHeight="1" x14ac:dyDescent="0.2">
      <c r="AM611" t="str">
        <f t="shared" si="9"/>
        <v>Ar [SEAAR]</v>
      </c>
      <c r="AN611" t="s">
        <v>27491</v>
      </c>
      <c r="AO611" t="s">
        <v>27492</v>
      </c>
    </row>
    <row r="612" spans="39:41" ht="12" customHeight="1" x14ac:dyDescent="0.2">
      <c r="AM612" t="str">
        <f t="shared" si="9"/>
        <v>Ar Rommani [MAD2V]</v>
      </c>
      <c r="AN612" t="s">
        <v>22024</v>
      </c>
      <c r="AO612" t="s">
        <v>22025</v>
      </c>
    </row>
    <row r="613" spans="39:41" ht="12" customHeight="1" x14ac:dyDescent="0.2">
      <c r="AM613" t="str">
        <f t="shared" si="9"/>
        <v>Ar Ruways [AERUW]</v>
      </c>
      <c r="AN613" t="s">
        <v>717</v>
      </c>
      <c r="AO613" t="s">
        <v>718</v>
      </c>
    </row>
    <row r="614" spans="39:41" ht="12" customHeight="1" x14ac:dyDescent="0.2">
      <c r="AM614" t="str">
        <f t="shared" si="9"/>
        <v>Aracaju [BRAJU]</v>
      </c>
      <c r="AN614" t="s">
        <v>3264</v>
      </c>
      <c r="AO614" t="s">
        <v>3265</v>
      </c>
    </row>
    <row r="615" spans="39:41" ht="12" customHeight="1" x14ac:dyDescent="0.2">
      <c r="AM615" t="str">
        <f t="shared" si="9"/>
        <v>Aramon [FRAAO]</v>
      </c>
      <c r="AN615" t="s">
        <v>10737</v>
      </c>
      <c r="AO615" t="s">
        <v>10738</v>
      </c>
    </row>
    <row r="616" spans="39:41" ht="12" customHeight="1" x14ac:dyDescent="0.2">
      <c r="AM616" t="str">
        <f t="shared" si="9"/>
        <v>Aransas Pass [USYAS]</v>
      </c>
      <c r="AN616" t="s">
        <v>28858</v>
      </c>
      <c r="AO616" t="s">
        <v>28859</v>
      </c>
    </row>
    <row r="617" spans="39:41" ht="12" customHeight="1" x14ac:dyDescent="0.2">
      <c r="AM617" t="str">
        <f t="shared" si="9"/>
        <v>Arao [JPARO]</v>
      </c>
      <c r="AN617" t="s">
        <v>18599</v>
      </c>
      <c r="AO617" t="s">
        <v>18600</v>
      </c>
    </row>
    <row r="618" spans="39:41" ht="12" customHeight="1" x14ac:dyDescent="0.2">
      <c r="AM618" t="str">
        <f t="shared" si="9"/>
        <v>Arari [JPARA]</v>
      </c>
      <c r="AN618" t="s">
        <v>18601</v>
      </c>
      <c r="AO618" t="s">
        <v>18602</v>
      </c>
    </row>
    <row r="619" spans="39:41" ht="12" customHeight="1" x14ac:dyDescent="0.2">
      <c r="AM619" t="str">
        <f t="shared" si="9"/>
        <v>Aras Asan/Bislig [PHARA]</v>
      </c>
      <c r="AN619" t="s">
        <v>25528</v>
      </c>
      <c r="AO619" t="s">
        <v>25529</v>
      </c>
    </row>
    <row r="620" spans="39:41" ht="12" customHeight="1" x14ac:dyDescent="0.2">
      <c r="AM620" t="str">
        <f t="shared" si="9"/>
        <v>Aratu [BRARB]</v>
      </c>
      <c r="AN620" t="s">
        <v>3266</v>
      </c>
      <c r="AO620" t="s">
        <v>3267</v>
      </c>
    </row>
    <row r="621" spans="39:41" ht="12" customHeight="1" x14ac:dyDescent="0.2">
      <c r="AM621" t="str">
        <f t="shared" si="9"/>
        <v>Arauco [CLARA]</v>
      </c>
      <c r="AN621" t="s">
        <v>4815</v>
      </c>
      <c r="AO621" t="s">
        <v>4816</v>
      </c>
    </row>
    <row r="622" spans="39:41" ht="12" customHeight="1" x14ac:dyDescent="0.2">
      <c r="AM622" t="str">
        <f t="shared" si="9"/>
        <v>Araxos [GRARX]</v>
      </c>
      <c r="AN622" t="s">
        <v>15147</v>
      </c>
      <c r="AO622" t="s">
        <v>15148</v>
      </c>
    </row>
    <row r="623" spans="39:41" ht="12" customHeight="1" x14ac:dyDescent="0.2">
      <c r="AM623" t="str">
        <f t="shared" si="9"/>
        <v>Araya [VEARA]</v>
      </c>
      <c r="AN623" t="s">
        <v>32150</v>
      </c>
      <c r="AO623" t="s">
        <v>32151</v>
      </c>
    </row>
    <row r="624" spans="39:41" ht="12" customHeight="1" x14ac:dyDescent="0.2">
      <c r="AM624" t="str">
        <f t="shared" si="9"/>
        <v>Arbatax [ITATX]</v>
      </c>
      <c r="AN624" t="s">
        <v>17809</v>
      </c>
      <c r="AO624" t="s">
        <v>17810</v>
      </c>
    </row>
    <row r="625" spans="39:41" ht="12" customHeight="1" x14ac:dyDescent="0.2">
      <c r="AM625" t="str">
        <f t="shared" si="9"/>
        <v>Arboga [SEARA]</v>
      </c>
      <c r="AN625" t="s">
        <v>27493</v>
      </c>
      <c r="AO625" t="s">
        <v>27494</v>
      </c>
    </row>
    <row r="626" spans="39:41" ht="12" customHeight="1" x14ac:dyDescent="0.2">
      <c r="AM626" t="str">
        <f t="shared" si="9"/>
        <v>Arbra [SEARB]</v>
      </c>
      <c r="AN626" t="s">
        <v>27495</v>
      </c>
      <c r="AO626" t="s">
        <v>36415</v>
      </c>
    </row>
    <row r="627" spans="39:41" ht="12" customHeight="1" x14ac:dyDescent="0.2">
      <c r="AM627" t="str">
        <f t="shared" si="9"/>
        <v>Arbroath [GBARB]</v>
      </c>
      <c r="AN627" t="s">
        <v>12316</v>
      </c>
      <c r="AO627" t="s">
        <v>12317</v>
      </c>
    </row>
    <row r="628" spans="39:41" ht="12" customHeight="1" x14ac:dyDescent="0.2">
      <c r="AM628" t="str">
        <f t="shared" si="9"/>
        <v>Arcachon [FRARC]</v>
      </c>
      <c r="AN628" t="s">
        <v>10739</v>
      </c>
      <c r="AO628" t="s">
        <v>10740</v>
      </c>
    </row>
    <row r="629" spans="39:41" ht="12" customHeight="1" x14ac:dyDescent="0.2">
      <c r="AM629" t="str">
        <f t="shared" si="9"/>
        <v>Arcadia [ZATHR]</v>
      </c>
      <c r="AN629" t="s">
        <v>32669</v>
      </c>
      <c r="AO629" t="s">
        <v>32670</v>
      </c>
    </row>
    <row r="630" spans="39:41" ht="12" customHeight="1" x14ac:dyDescent="0.2">
      <c r="AM630" t="str">
        <f t="shared" si="9"/>
        <v>Arcen [NLARC]</v>
      </c>
      <c r="AN630" t="s">
        <v>33860</v>
      </c>
      <c r="AO630" t="s">
        <v>33982</v>
      </c>
    </row>
    <row r="631" spans="39:41" ht="12" customHeight="1" x14ac:dyDescent="0.2">
      <c r="AM631" t="str">
        <f t="shared" si="9"/>
        <v>Arctic Bay [CAARB]</v>
      </c>
      <c r="AN631" t="s">
        <v>3528</v>
      </c>
      <c r="AO631" t="s">
        <v>3529</v>
      </c>
    </row>
    <row r="632" spans="39:41" ht="12" customHeight="1" x14ac:dyDescent="0.2">
      <c r="AM632" t="str">
        <f t="shared" si="9"/>
        <v>Arctowski [AQARC]</v>
      </c>
      <c r="AN632" t="s">
        <v>906</v>
      </c>
      <c r="AO632" t="s">
        <v>907</v>
      </c>
    </row>
    <row r="633" spans="39:41" ht="12" customHeight="1" x14ac:dyDescent="0.2">
      <c r="AM633" t="str">
        <f t="shared" si="9"/>
        <v>Ardal [NOAAN]</v>
      </c>
      <c r="AN633" t="s">
        <v>23850</v>
      </c>
      <c r="AO633" t="s">
        <v>36123</v>
      </c>
    </row>
    <row r="634" spans="39:41" ht="12" customHeight="1" x14ac:dyDescent="0.2">
      <c r="AM634" t="str">
        <f t="shared" si="9"/>
        <v>Ardal - Hjelmeland [NOARH]</v>
      </c>
      <c r="AN634" t="s">
        <v>23851</v>
      </c>
      <c r="AO634" t="s">
        <v>36124</v>
      </c>
    </row>
    <row r="635" spans="39:41" ht="12" customHeight="1" x14ac:dyDescent="0.2">
      <c r="AM635" t="str">
        <f t="shared" si="9"/>
        <v>Ardalstangen [NOARD]</v>
      </c>
      <c r="AN635" t="s">
        <v>23852</v>
      </c>
      <c r="AO635" t="s">
        <v>36125</v>
      </c>
    </row>
    <row r="636" spans="39:41" ht="12" customHeight="1" x14ac:dyDescent="0.2">
      <c r="AM636" t="str">
        <f t="shared" si="9"/>
        <v>Ardbeg [GBDBG]</v>
      </c>
      <c r="AN636" t="s">
        <v>12318</v>
      </c>
      <c r="AO636" t="s">
        <v>12319</v>
      </c>
    </row>
    <row r="637" spans="39:41" ht="12" customHeight="1" x14ac:dyDescent="0.2">
      <c r="AM637" t="str">
        <f t="shared" si="9"/>
        <v>Ardentinny [GBAET]</v>
      </c>
      <c r="AN637" t="s">
        <v>12320</v>
      </c>
      <c r="AO637" t="s">
        <v>12321</v>
      </c>
    </row>
    <row r="638" spans="39:41" ht="12" customHeight="1" x14ac:dyDescent="0.2">
      <c r="AM638" t="str">
        <f t="shared" si="9"/>
        <v>Ardfern [GBADF]</v>
      </c>
      <c r="AN638" t="s">
        <v>12322</v>
      </c>
      <c r="AO638" t="s">
        <v>12323</v>
      </c>
    </row>
    <row r="639" spans="39:41" ht="12" customHeight="1" x14ac:dyDescent="0.2">
      <c r="AM639" t="str">
        <f t="shared" si="9"/>
        <v>Ardglass [GBAGL]</v>
      </c>
      <c r="AN639" t="s">
        <v>12324</v>
      </c>
      <c r="AO639" t="s">
        <v>12325</v>
      </c>
    </row>
    <row r="640" spans="39:41" ht="12" customHeight="1" x14ac:dyDescent="0.2">
      <c r="AM640" t="str">
        <f t="shared" si="9"/>
        <v>Ardgour [GBAGU]</v>
      </c>
      <c r="AN640" t="s">
        <v>12326</v>
      </c>
      <c r="AO640" t="s">
        <v>12327</v>
      </c>
    </row>
    <row r="641" spans="39:41" ht="12" customHeight="1" x14ac:dyDescent="0.2">
      <c r="AM641" t="str">
        <f t="shared" si="9"/>
        <v>Ardjuna [XZANT]</v>
      </c>
      <c r="AN641" t="s">
        <v>32550</v>
      </c>
      <c r="AO641" t="s">
        <v>32551</v>
      </c>
    </row>
    <row r="642" spans="39:41" ht="12" customHeight="1" x14ac:dyDescent="0.2">
      <c r="AM642" t="str">
        <f t="shared" si="9"/>
        <v>Ardkeen [GBADK]</v>
      </c>
      <c r="AN642" t="s">
        <v>12328</v>
      </c>
      <c r="AO642" t="s">
        <v>12329</v>
      </c>
    </row>
    <row r="643" spans="39:41" ht="12" customHeight="1" x14ac:dyDescent="0.2">
      <c r="AM643" t="str">
        <f t="shared" ref="AM643:AM705" si="10">AO643 &amp; " [" &amp; AN643 &amp; "]"</f>
        <v>Ardmaleish [GBAMH]</v>
      </c>
      <c r="AN643" t="s">
        <v>12330</v>
      </c>
      <c r="AO643" t="s">
        <v>12331</v>
      </c>
    </row>
    <row r="644" spans="39:41" ht="12" customHeight="1" x14ac:dyDescent="0.2">
      <c r="AM644" t="str">
        <f t="shared" si="10"/>
        <v>Ardminish, Gigha Island [GBGIG]</v>
      </c>
      <c r="AN644" t="s">
        <v>12332</v>
      </c>
      <c r="AO644" t="s">
        <v>12333</v>
      </c>
    </row>
    <row r="645" spans="39:41" ht="12" customHeight="1" x14ac:dyDescent="0.2">
      <c r="AM645" t="str">
        <f t="shared" si="10"/>
        <v>Ardmore [IEARD]</v>
      </c>
      <c r="AN645" t="s">
        <v>16715</v>
      </c>
      <c r="AO645" t="s">
        <v>16716</v>
      </c>
    </row>
    <row r="646" spans="39:41" ht="12" customHeight="1" x14ac:dyDescent="0.2">
      <c r="AM646" t="str">
        <f t="shared" si="10"/>
        <v>Ardnamurchan [GBAMN]</v>
      </c>
      <c r="AN646" t="s">
        <v>12334</v>
      </c>
      <c r="AO646" t="s">
        <v>12335</v>
      </c>
    </row>
    <row r="647" spans="39:41" ht="12" customHeight="1" x14ac:dyDescent="0.2">
      <c r="AM647" t="str">
        <f t="shared" si="10"/>
        <v>Ardres [FRARD]</v>
      </c>
      <c r="AN647" t="s">
        <v>10741</v>
      </c>
      <c r="AO647" t="s">
        <v>10742</v>
      </c>
    </row>
    <row r="648" spans="39:41" ht="12" customHeight="1" x14ac:dyDescent="0.2">
      <c r="AM648" t="str">
        <f t="shared" si="10"/>
        <v>Ardrishaig [GBASG]</v>
      </c>
      <c r="AN648" t="s">
        <v>12336</v>
      </c>
      <c r="AO648" t="s">
        <v>12337</v>
      </c>
    </row>
    <row r="649" spans="39:41" ht="12" customHeight="1" x14ac:dyDescent="0.2">
      <c r="AM649" t="str">
        <f t="shared" si="10"/>
        <v>Ardrossan [AUARD]</v>
      </c>
      <c r="AN649" t="s">
        <v>1393</v>
      </c>
      <c r="AO649" t="s">
        <v>1394</v>
      </c>
    </row>
    <row r="650" spans="39:41" ht="12" customHeight="1" x14ac:dyDescent="0.2">
      <c r="AM650" t="str">
        <f t="shared" si="10"/>
        <v>Ardrossan [GBARD]</v>
      </c>
      <c r="AN650" t="s">
        <v>12338</v>
      </c>
      <c r="AO650" t="s">
        <v>1394</v>
      </c>
    </row>
    <row r="651" spans="39:41" ht="12" customHeight="1" x14ac:dyDescent="0.2">
      <c r="AM651" t="str">
        <f t="shared" si="10"/>
        <v>Ardveenish [GBARV]</v>
      </c>
      <c r="AN651" t="s">
        <v>12339</v>
      </c>
      <c r="AO651" t="s">
        <v>12340</v>
      </c>
    </row>
    <row r="652" spans="39:41" ht="12" customHeight="1" x14ac:dyDescent="0.2">
      <c r="AM652" t="str">
        <f t="shared" si="10"/>
        <v>Ardwick [GBMDI]</v>
      </c>
      <c r="AN652" t="s">
        <v>12341</v>
      </c>
      <c r="AO652" t="s">
        <v>12342</v>
      </c>
    </row>
    <row r="653" spans="39:41" ht="12" customHeight="1" x14ac:dyDescent="0.2">
      <c r="AM653" t="str">
        <f t="shared" si="10"/>
        <v>Ardyne [GBDYN]</v>
      </c>
      <c r="AN653" t="s">
        <v>12343</v>
      </c>
      <c r="AO653" t="s">
        <v>12344</v>
      </c>
    </row>
    <row r="654" spans="39:41" ht="12" customHeight="1" x14ac:dyDescent="0.2">
      <c r="AM654" t="str">
        <f t="shared" si="10"/>
        <v>Arecibo [PRARE]</v>
      </c>
      <c r="AN654" t="s">
        <v>26417</v>
      </c>
      <c r="AO654" t="s">
        <v>26418</v>
      </c>
    </row>
    <row r="655" spans="39:41" ht="12" customHeight="1" x14ac:dyDescent="0.2">
      <c r="AM655" t="str">
        <f t="shared" si="10"/>
        <v>Areia Branca [BRARE]</v>
      </c>
      <c r="AN655" t="s">
        <v>36822</v>
      </c>
      <c r="AO655" t="s">
        <v>36823</v>
      </c>
    </row>
    <row r="656" spans="39:41" ht="12" customHeight="1" x14ac:dyDescent="0.2">
      <c r="AM656" t="str">
        <f t="shared" si="10"/>
        <v>Arendal [NOARE]</v>
      </c>
      <c r="AN656" t="s">
        <v>23853</v>
      </c>
      <c r="AO656" t="s">
        <v>23854</v>
      </c>
    </row>
    <row r="657" spans="39:41" ht="12" customHeight="1" x14ac:dyDescent="0.2">
      <c r="AM657" t="str">
        <f t="shared" si="10"/>
        <v>Arendonk [BEAEJ]</v>
      </c>
      <c r="AN657" t="s">
        <v>2243</v>
      </c>
      <c r="AO657" t="s">
        <v>2244</v>
      </c>
    </row>
    <row r="658" spans="39:41" ht="12" customHeight="1" x14ac:dyDescent="0.2">
      <c r="AM658" t="str">
        <f t="shared" si="10"/>
        <v>Arendsee [DEASE]</v>
      </c>
      <c r="AN658" t="s">
        <v>7022</v>
      </c>
      <c r="AO658" t="s">
        <v>7023</v>
      </c>
    </row>
    <row r="659" spans="39:41" ht="12" customHeight="1" x14ac:dyDescent="0.2">
      <c r="AM659" t="str">
        <f t="shared" si="10"/>
        <v>Arenys de Mar [ESARN]</v>
      </c>
      <c r="AN659" t="s">
        <v>9590</v>
      </c>
      <c r="AO659" t="s">
        <v>9591</v>
      </c>
    </row>
    <row r="660" spans="39:41" ht="12" customHeight="1" x14ac:dyDescent="0.2">
      <c r="AM660" t="str">
        <f t="shared" si="10"/>
        <v>Arenzano [ITAZA]</v>
      </c>
      <c r="AN660" t="s">
        <v>17811</v>
      </c>
      <c r="AO660" t="s">
        <v>17812</v>
      </c>
    </row>
    <row r="661" spans="39:41" ht="12" customHeight="1" x14ac:dyDescent="0.2">
      <c r="AM661" t="str">
        <f t="shared" si="10"/>
        <v>Ares [FRTWA]</v>
      </c>
      <c r="AN661" t="s">
        <v>10743</v>
      </c>
      <c r="AO661" t="s">
        <v>35773</v>
      </c>
    </row>
    <row r="662" spans="39:41" ht="12" customHeight="1" x14ac:dyDescent="0.2">
      <c r="AM662" t="str">
        <f t="shared" si="10"/>
        <v>Argancy [FRAXY]</v>
      </c>
      <c r="AN662" t="s">
        <v>10744</v>
      </c>
      <c r="AO662" t="s">
        <v>10745</v>
      </c>
    </row>
    <row r="663" spans="39:41" ht="12" customHeight="1" x14ac:dyDescent="0.2">
      <c r="AM663" t="str">
        <f t="shared" si="10"/>
        <v>Argelaguer [ESAGG]</v>
      </c>
      <c r="AN663" t="s">
        <v>9592</v>
      </c>
      <c r="AO663" t="s">
        <v>9593</v>
      </c>
    </row>
    <row r="664" spans="39:41" ht="12" customHeight="1" x14ac:dyDescent="0.2">
      <c r="AM664" t="str">
        <f t="shared" si="10"/>
        <v>Argeliers [FRAJR]</v>
      </c>
      <c r="AN664" t="s">
        <v>10746</v>
      </c>
      <c r="AO664" t="s">
        <v>10747</v>
      </c>
    </row>
    <row r="665" spans="39:41" ht="12" customHeight="1" x14ac:dyDescent="0.2">
      <c r="AM665" t="str">
        <f t="shared" si="10"/>
        <v>Argenteau [BEAGT]</v>
      </c>
      <c r="AN665" t="s">
        <v>2245</v>
      </c>
      <c r="AO665" t="s">
        <v>2246</v>
      </c>
    </row>
    <row r="666" spans="39:41" ht="12" customHeight="1" x14ac:dyDescent="0.2">
      <c r="AM666" t="str">
        <f t="shared" si="10"/>
        <v>Argentia [CANWP]</v>
      </c>
      <c r="AN666" t="s">
        <v>3530</v>
      </c>
      <c r="AO666" t="s">
        <v>3531</v>
      </c>
    </row>
    <row r="667" spans="39:41" ht="12" customHeight="1" x14ac:dyDescent="0.2">
      <c r="AM667" t="str">
        <f t="shared" si="10"/>
        <v>Argenton [FRAR5]</v>
      </c>
      <c r="AN667" t="s">
        <v>10748</v>
      </c>
      <c r="AO667" t="s">
        <v>10749</v>
      </c>
    </row>
    <row r="668" spans="39:41" ht="12" customHeight="1" x14ac:dyDescent="0.2">
      <c r="AM668" t="str">
        <f t="shared" si="10"/>
        <v>Argeriz [PTGER]</v>
      </c>
      <c r="AN668" t="s">
        <v>26447</v>
      </c>
      <c r="AO668" t="s">
        <v>26448</v>
      </c>
    </row>
    <row r="669" spans="39:41" ht="12" customHeight="1" x14ac:dyDescent="0.2">
      <c r="AM669" t="str">
        <f t="shared" si="10"/>
        <v>Argoeuvres [FRAS8]</v>
      </c>
      <c r="AN669" t="s">
        <v>10750</v>
      </c>
      <c r="AO669" t="s">
        <v>10751</v>
      </c>
    </row>
    <row r="670" spans="39:41" ht="12" customHeight="1" x14ac:dyDescent="0.2">
      <c r="AM670" t="str">
        <f t="shared" si="10"/>
        <v>Argostolion [GRARM]</v>
      </c>
      <c r="AN670" t="s">
        <v>15149</v>
      </c>
      <c r="AO670" t="s">
        <v>35886</v>
      </c>
    </row>
    <row r="671" spans="39:41" ht="12" customHeight="1" x14ac:dyDescent="0.2">
      <c r="AM671" t="str">
        <f t="shared" si="10"/>
        <v>Arguineguin [ESARI]</v>
      </c>
      <c r="AN671" t="s">
        <v>9594</v>
      </c>
      <c r="AO671" t="s">
        <v>9595</v>
      </c>
    </row>
    <row r="672" spans="39:41" ht="12" customHeight="1" x14ac:dyDescent="0.2">
      <c r="AM672" t="str">
        <f t="shared" si="10"/>
        <v>Argyle [USJYR]</v>
      </c>
      <c r="AN672" t="s">
        <v>28860</v>
      </c>
      <c r="AO672" t="s">
        <v>28861</v>
      </c>
    </row>
    <row r="673" spans="39:41" ht="12" customHeight="1" x14ac:dyDescent="0.2">
      <c r="AM673" t="str">
        <f t="shared" si="10"/>
        <v>Argyll [GBGYL]</v>
      </c>
      <c r="AN673" t="s">
        <v>12345</v>
      </c>
      <c r="AO673" t="s">
        <v>12346</v>
      </c>
    </row>
    <row r="674" spans="39:41" ht="12" customHeight="1" x14ac:dyDescent="0.2">
      <c r="AM674" t="str">
        <f t="shared" si="10"/>
        <v>Ariake, Tokyo [JPARI]</v>
      </c>
      <c r="AN674" t="s">
        <v>34179</v>
      </c>
      <c r="AO674" t="s">
        <v>34253</v>
      </c>
    </row>
    <row r="675" spans="39:41" ht="12" customHeight="1" x14ac:dyDescent="0.2">
      <c r="AM675" t="str">
        <f t="shared" si="10"/>
        <v>Ariana [TNARI]</v>
      </c>
      <c r="AN675" t="s">
        <v>28330</v>
      </c>
      <c r="AO675" t="s">
        <v>28331</v>
      </c>
    </row>
    <row r="676" spans="39:41" ht="12" customHeight="1" x14ac:dyDescent="0.2">
      <c r="AM676" t="str">
        <f t="shared" si="10"/>
        <v>Arica [CLARI]</v>
      </c>
      <c r="AN676" t="s">
        <v>4817</v>
      </c>
      <c r="AO676" t="s">
        <v>4818</v>
      </c>
    </row>
    <row r="677" spans="39:41" ht="12" customHeight="1" x14ac:dyDescent="0.2">
      <c r="AM677" t="str">
        <f t="shared" si="10"/>
        <v>Arica [COACM]</v>
      </c>
      <c r="AN677" t="s">
        <v>6502</v>
      </c>
      <c r="AO677" t="s">
        <v>4818</v>
      </c>
    </row>
    <row r="678" spans="39:41" ht="12" customHeight="1" x14ac:dyDescent="0.2">
      <c r="AM678" t="str">
        <f t="shared" si="10"/>
        <v>Arichat [CAARI]</v>
      </c>
      <c r="AN678" t="s">
        <v>3532</v>
      </c>
      <c r="AO678" t="s">
        <v>3533</v>
      </c>
    </row>
    <row r="679" spans="39:41" ht="12" customHeight="1" x14ac:dyDescent="0.2">
      <c r="AM679" t="str">
        <f t="shared" si="10"/>
        <v>Arikawa [JPARK]</v>
      </c>
      <c r="AN679" t="s">
        <v>18603</v>
      </c>
      <c r="AO679" t="s">
        <v>18604</v>
      </c>
    </row>
    <row r="680" spans="39:41" ht="12" customHeight="1" x14ac:dyDescent="0.2">
      <c r="AM680" t="str">
        <f t="shared" si="10"/>
        <v>Arildslage [SEADG]</v>
      </c>
      <c r="AN680" t="s">
        <v>27496</v>
      </c>
      <c r="AO680" t="s">
        <v>36416</v>
      </c>
    </row>
    <row r="681" spans="39:41" ht="12" customHeight="1" x14ac:dyDescent="0.2">
      <c r="AM681" t="str">
        <f t="shared" si="10"/>
        <v>Arimura [JPAMR]</v>
      </c>
      <c r="AN681" t="s">
        <v>18605</v>
      </c>
      <c r="AO681" t="s">
        <v>18606</v>
      </c>
    </row>
    <row r="682" spans="39:41" ht="12" customHeight="1" x14ac:dyDescent="0.2">
      <c r="AM682" t="str">
        <f t="shared" si="10"/>
        <v>Arinaga [ESRGA]</v>
      </c>
      <c r="AN682" t="s">
        <v>36899</v>
      </c>
      <c r="AO682" t="s">
        <v>36900</v>
      </c>
    </row>
    <row r="683" spans="39:41" ht="12" customHeight="1" x14ac:dyDescent="0.2">
      <c r="AM683" t="str">
        <f t="shared" si="10"/>
        <v>Arinagour [GBAGO]</v>
      </c>
      <c r="AN683" t="s">
        <v>12347</v>
      </c>
      <c r="AO683" t="s">
        <v>12348</v>
      </c>
    </row>
    <row r="684" spans="39:41" ht="12" customHeight="1" x14ac:dyDescent="0.2">
      <c r="AM684" t="str">
        <f t="shared" si="10"/>
        <v>Arion [USIOA]</v>
      </c>
      <c r="AN684" t="s">
        <v>28862</v>
      </c>
      <c r="AO684" t="s">
        <v>28863</v>
      </c>
    </row>
    <row r="685" spans="39:41" ht="12" customHeight="1" x14ac:dyDescent="0.2">
      <c r="AM685" t="str">
        <f t="shared" si="10"/>
        <v>Arisaig [GBARG]</v>
      </c>
      <c r="AN685" t="s">
        <v>12349</v>
      </c>
      <c r="AO685" t="s">
        <v>12350</v>
      </c>
    </row>
    <row r="686" spans="39:41" ht="12" customHeight="1" x14ac:dyDescent="0.2">
      <c r="AM686" t="str">
        <f t="shared" si="10"/>
        <v>Arizpe [MXARZ]</v>
      </c>
      <c r="AN686" t="s">
        <v>22312</v>
      </c>
      <c r="AO686" t="s">
        <v>22313</v>
      </c>
    </row>
    <row r="687" spans="39:41" ht="12" customHeight="1" x14ac:dyDescent="0.2">
      <c r="AM687" t="str">
        <f t="shared" si="10"/>
        <v>Arjuna, Java [IDAJN]</v>
      </c>
      <c r="AN687" t="s">
        <v>16157</v>
      </c>
      <c r="AO687" t="s">
        <v>16158</v>
      </c>
    </row>
    <row r="688" spans="39:41" ht="12" customHeight="1" x14ac:dyDescent="0.2">
      <c r="AM688" t="str">
        <f t="shared" si="10"/>
        <v>Arkhangelsk [RUARH]</v>
      </c>
      <c r="AN688" t="s">
        <v>26873</v>
      </c>
      <c r="AO688" t="s">
        <v>26874</v>
      </c>
    </row>
    <row r="689" spans="39:41" ht="12" customHeight="1" x14ac:dyDescent="0.2">
      <c r="AM689" t="str">
        <f t="shared" si="10"/>
        <v>Arkioi Dodekanissou [GRARD]</v>
      </c>
      <c r="AN689" t="s">
        <v>15150</v>
      </c>
      <c r="AO689" t="s">
        <v>15151</v>
      </c>
    </row>
    <row r="690" spans="39:41" ht="12" customHeight="1" x14ac:dyDescent="0.2">
      <c r="AM690" t="str">
        <f t="shared" si="10"/>
        <v>Arkitsa [GRARK]</v>
      </c>
      <c r="AN690" t="s">
        <v>15152</v>
      </c>
      <c r="AO690" t="s">
        <v>35887</v>
      </c>
    </row>
    <row r="691" spans="39:41" ht="12" customHeight="1" x14ac:dyDescent="0.2">
      <c r="AM691" t="str">
        <f t="shared" si="10"/>
        <v>Arklow [IEARK]</v>
      </c>
      <c r="AN691" t="s">
        <v>16717</v>
      </c>
      <c r="AO691" t="s">
        <v>16718</v>
      </c>
    </row>
    <row r="692" spans="39:41" ht="12" customHeight="1" x14ac:dyDescent="0.2">
      <c r="AM692" t="str">
        <f t="shared" si="10"/>
        <v>Arklow Head (Ie009) [IEARH]</v>
      </c>
      <c r="AN692" t="s">
        <v>16719</v>
      </c>
      <c r="AO692" t="s">
        <v>16720</v>
      </c>
    </row>
    <row r="693" spans="39:41" ht="12" customHeight="1" x14ac:dyDescent="0.2">
      <c r="AM693" t="str">
        <f t="shared" si="10"/>
        <v>Arkosund [SEASU]</v>
      </c>
      <c r="AN693" t="s">
        <v>27497</v>
      </c>
      <c r="AO693" t="s">
        <v>36417</v>
      </c>
    </row>
    <row r="694" spans="39:41" ht="12" customHeight="1" x14ac:dyDescent="0.2">
      <c r="AM694" t="str">
        <f t="shared" si="10"/>
        <v>Arles [FRARL]</v>
      </c>
      <c r="AN694" t="s">
        <v>36938</v>
      </c>
      <c r="AO694" t="s">
        <v>36939</v>
      </c>
    </row>
    <row r="695" spans="39:41" ht="12" customHeight="1" x14ac:dyDescent="0.2">
      <c r="AM695" t="str">
        <f t="shared" si="10"/>
        <v>Arlington [GBALI]</v>
      </c>
      <c r="AN695" t="s">
        <v>12351</v>
      </c>
      <c r="AO695" t="s">
        <v>12352</v>
      </c>
    </row>
    <row r="696" spans="39:41" ht="12" customHeight="1" x14ac:dyDescent="0.2">
      <c r="AM696" t="str">
        <f t="shared" si="10"/>
        <v>Arma di Taggia [ITATA]</v>
      </c>
      <c r="AN696" t="s">
        <v>17813</v>
      </c>
      <c r="AO696" t="s">
        <v>17814</v>
      </c>
    </row>
    <row r="697" spans="39:41" ht="12" customHeight="1" x14ac:dyDescent="0.2">
      <c r="AM697" t="str">
        <f t="shared" si="10"/>
        <v>Armacao de Pera [PTARP]</v>
      </c>
      <c r="AN697" t="s">
        <v>26449</v>
      </c>
      <c r="AO697" t="s">
        <v>36378</v>
      </c>
    </row>
    <row r="698" spans="39:41" ht="12" customHeight="1" x14ac:dyDescent="0.2">
      <c r="AM698" t="str">
        <f t="shared" si="10"/>
        <v>Armada Olombendo FPSO [AOARO]</v>
      </c>
      <c r="AN698" t="s">
        <v>34935</v>
      </c>
      <c r="AO698" t="s">
        <v>34936</v>
      </c>
    </row>
    <row r="699" spans="39:41" ht="12" customHeight="1" x14ac:dyDescent="0.2">
      <c r="AM699" t="str">
        <f t="shared" si="10"/>
        <v>Armadale [AUAUA]</v>
      </c>
      <c r="AN699" t="s">
        <v>1395</v>
      </c>
      <c r="AO699" t="s">
        <v>1396</v>
      </c>
    </row>
    <row r="700" spans="39:41" ht="12" customHeight="1" x14ac:dyDescent="0.2">
      <c r="AM700" t="str">
        <f t="shared" si="10"/>
        <v>Armadale, Isle of Skye [GBAMD]</v>
      </c>
      <c r="AN700" t="s">
        <v>12353</v>
      </c>
      <c r="AO700" t="s">
        <v>12354</v>
      </c>
    </row>
    <row r="701" spans="39:41" ht="12" customHeight="1" x14ac:dyDescent="0.2">
      <c r="AM701" t="str">
        <f t="shared" si="10"/>
        <v>Arman (Magadan) [RUARM]</v>
      </c>
      <c r="AN701" t="s">
        <v>26875</v>
      </c>
      <c r="AO701" t="s">
        <v>26876</v>
      </c>
    </row>
    <row r="702" spans="39:41" ht="12" customHeight="1" x14ac:dyDescent="0.2">
      <c r="AM702" t="str">
        <f t="shared" si="10"/>
        <v>Armenia [SVSSO]</v>
      </c>
      <c r="AN702" t="s">
        <v>28139</v>
      </c>
      <c r="AO702" t="s">
        <v>28140</v>
      </c>
    </row>
    <row r="703" spans="39:41" ht="12" customHeight="1" x14ac:dyDescent="0.2">
      <c r="AM703" t="str">
        <f t="shared" si="10"/>
        <v>Armentieres [FRRME]</v>
      </c>
      <c r="AN703" t="s">
        <v>10752</v>
      </c>
      <c r="AO703" t="s">
        <v>35774</v>
      </c>
    </row>
    <row r="704" spans="39:41" ht="12" customHeight="1" x14ac:dyDescent="0.2">
      <c r="AM704" t="str">
        <f t="shared" si="10"/>
        <v>Armstrong [USAEZ]</v>
      </c>
      <c r="AN704" t="s">
        <v>28864</v>
      </c>
      <c r="AO704" t="s">
        <v>28865</v>
      </c>
    </row>
    <row r="705" spans="39:41" ht="12" customHeight="1" x14ac:dyDescent="0.2">
      <c r="AM705" t="str">
        <f t="shared" si="10"/>
        <v>Arnafjord [NOARF]</v>
      </c>
      <c r="AN705" t="s">
        <v>23855</v>
      </c>
      <c r="AO705" t="s">
        <v>23856</v>
      </c>
    </row>
    <row r="706" spans="39:41" ht="12" customHeight="1" x14ac:dyDescent="0.2">
      <c r="AM706" t="str">
        <f t="shared" ref="AM706:AM769" si="11">AO706 &amp; " [" &amp; AN706 &amp; "]"</f>
        <v>Arnala [INANL]</v>
      </c>
      <c r="AN706" t="s">
        <v>17010</v>
      </c>
      <c r="AO706" t="s">
        <v>17011</v>
      </c>
    </row>
    <row r="707" spans="39:41" ht="12" customHeight="1" x14ac:dyDescent="0.2">
      <c r="AM707" t="str">
        <f t="shared" si="11"/>
        <v>Arndell Park [AUDLP]</v>
      </c>
      <c r="AN707" t="s">
        <v>1397</v>
      </c>
      <c r="AO707" t="s">
        <v>1398</v>
      </c>
    </row>
    <row r="708" spans="39:41" ht="12" customHeight="1" x14ac:dyDescent="0.2">
      <c r="AM708" t="str">
        <f t="shared" si="11"/>
        <v>Arnold's Cove [CAARC]</v>
      </c>
      <c r="AN708" t="s">
        <v>3534</v>
      </c>
      <c r="AO708" t="s">
        <v>3535</v>
      </c>
    </row>
    <row r="709" spans="39:41" ht="12" customHeight="1" x14ac:dyDescent="0.2">
      <c r="AM709" t="str">
        <f t="shared" si="11"/>
        <v>Arnoviken [SEARK]</v>
      </c>
      <c r="AN709" t="s">
        <v>27498</v>
      </c>
      <c r="AO709" t="s">
        <v>36418</v>
      </c>
    </row>
    <row r="710" spans="39:41" ht="12" customHeight="1" x14ac:dyDescent="0.2">
      <c r="AM710" t="str">
        <f t="shared" si="11"/>
        <v>Arnoyhamn [NOARM]</v>
      </c>
      <c r="AN710" t="s">
        <v>23857</v>
      </c>
      <c r="AO710" t="s">
        <v>36126</v>
      </c>
    </row>
    <row r="711" spans="39:41" ht="12" customHeight="1" x14ac:dyDescent="0.2">
      <c r="AM711" t="str">
        <f t="shared" si="11"/>
        <v>Arnsberg [DEARN]</v>
      </c>
      <c r="AN711" t="s">
        <v>7024</v>
      </c>
      <c r="AO711" t="s">
        <v>7025</v>
      </c>
    </row>
    <row r="712" spans="39:41" ht="12" customHeight="1" x14ac:dyDescent="0.2">
      <c r="AM712" t="str">
        <f t="shared" si="11"/>
        <v>Aro [DKARO]</v>
      </c>
      <c r="AN712" t="s">
        <v>8610</v>
      </c>
      <c r="AO712" t="s">
        <v>35522</v>
      </c>
    </row>
    <row r="713" spans="39:41" ht="12" customHeight="1" x14ac:dyDescent="0.2">
      <c r="AM713" t="str">
        <f t="shared" si="11"/>
        <v>Aroe Bay [IDARB]</v>
      </c>
      <c r="AN713" t="s">
        <v>16159</v>
      </c>
      <c r="AO713" t="s">
        <v>16160</v>
      </c>
    </row>
    <row r="714" spans="39:41" ht="12" customHeight="1" x14ac:dyDescent="0.2">
      <c r="AM714" t="str">
        <f t="shared" si="11"/>
        <v>Aroskobing [DKARK]</v>
      </c>
      <c r="AN714" t="s">
        <v>8599</v>
      </c>
      <c r="AO714" t="s">
        <v>35519</v>
      </c>
    </row>
    <row r="715" spans="39:41" ht="12" customHeight="1" x14ac:dyDescent="0.2">
      <c r="AM715" t="str">
        <f t="shared" si="11"/>
        <v>Arosund [DKARD]</v>
      </c>
      <c r="AN715" t="s">
        <v>8611</v>
      </c>
      <c r="AO715" t="s">
        <v>35523</v>
      </c>
    </row>
    <row r="716" spans="39:41" ht="12" customHeight="1" x14ac:dyDescent="0.2">
      <c r="AM716" t="str">
        <f t="shared" si="11"/>
        <v>Arouzu [JPARZ]</v>
      </c>
      <c r="AN716" t="s">
        <v>18607</v>
      </c>
      <c r="AO716" t="s">
        <v>18608</v>
      </c>
    </row>
    <row r="717" spans="39:41" ht="12" customHeight="1" x14ac:dyDescent="0.2">
      <c r="AM717" t="str">
        <f t="shared" si="11"/>
        <v>Arran [GBNAR]</v>
      </c>
      <c r="AN717" t="s">
        <v>12355</v>
      </c>
      <c r="AO717" t="s">
        <v>12356</v>
      </c>
    </row>
    <row r="718" spans="39:41" ht="12" customHeight="1" x14ac:dyDescent="0.2">
      <c r="AM718" t="str">
        <f t="shared" si="11"/>
        <v>Arras [FRARR]</v>
      </c>
      <c r="AN718" t="s">
        <v>10753</v>
      </c>
      <c r="AO718" t="s">
        <v>10754</v>
      </c>
    </row>
    <row r="719" spans="39:41" ht="12" customHeight="1" x14ac:dyDescent="0.2">
      <c r="AM719" t="str">
        <f t="shared" si="11"/>
        <v>Arrecifes [ARACF]</v>
      </c>
      <c r="AN719" t="s">
        <v>977</v>
      </c>
      <c r="AO719" t="s">
        <v>978</v>
      </c>
    </row>
    <row r="720" spans="39:41" ht="12" customHeight="1" x14ac:dyDescent="0.2">
      <c r="AM720" t="str">
        <f t="shared" si="11"/>
        <v>Arrington [GBARR]</v>
      </c>
      <c r="AN720" t="s">
        <v>12357</v>
      </c>
      <c r="AO720" t="s">
        <v>12358</v>
      </c>
    </row>
    <row r="721" spans="39:41" ht="12" customHeight="1" x14ac:dyDescent="0.2">
      <c r="AM721" t="str">
        <f t="shared" si="11"/>
        <v>Arroyo Seco [ARASO]</v>
      </c>
      <c r="AN721" t="s">
        <v>979</v>
      </c>
      <c r="AO721" t="s">
        <v>980</v>
      </c>
    </row>
    <row r="722" spans="39:41" ht="12" customHeight="1" x14ac:dyDescent="0.2">
      <c r="AM722" t="str">
        <f t="shared" si="11"/>
        <v>Arroyo/Guayama [PRARR]</v>
      </c>
      <c r="AN722" t="s">
        <v>26419</v>
      </c>
      <c r="AO722" t="s">
        <v>26420</v>
      </c>
    </row>
    <row r="723" spans="39:41" ht="12" customHeight="1" x14ac:dyDescent="0.2">
      <c r="AM723" t="str">
        <f t="shared" si="11"/>
        <v>Arskogssandur [ISASS]</v>
      </c>
      <c r="AN723" t="s">
        <v>17673</v>
      </c>
      <c r="AO723" t="s">
        <v>17674</v>
      </c>
    </row>
    <row r="724" spans="39:41" ht="12" customHeight="1" x14ac:dyDescent="0.2">
      <c r="AM724" t="str">
        <f t="shared" si="11"/>
        <v>Artemis [GRTEM]</v>
      </c>
      <c r="AN724" t="s">
        <v>15153</v>
      </c>
      <c r="AO724" t="s">
        <v>15154</v>
      </c>
    </row>
    <row r="725" spans="39:41" ht="12" customHeight="1" x14ac:dyDescent="0.2">
      <c r="AM725" t="str">
        <f t="shared" si="11"/>
        <v>Artigas [AQART]</v>
      </c>
      <c r="AN725" t="s">
        <v>908</v>
      </c>
      <c r="AO725" t="s">
        <v>909</v>
      </c>
    </row>
    <row r="726" spans="39:41" ht="12" customHeight="1" x14ac:dyDescent="0.2">
      <c r="AM726" t="str">
        <f t="shared" si="11"/>
        <v>Arturo Prat [AQAPT]</v>
      </c>
      <c r="AN726" t="s">
        <v>910</v>
      </c>
      <c r="AO726" t="s">
        <v>911</v>
      </c>
    </row>
    <row r="727" spans="39:41" ht="12" customHeight="1" x14ac:dyDescent="0.2">
      <c r="AM727" t="str">
        <f t="shared" si="11"/>
        <v>Aruba [AWAUA]</v>
      </c>
      <c r="AN727" t="s">
        <v>2140</v>
      </c>
      <c r="AO727" t="s">
        <v>2141</v>
      </c>
    </row>
    <row r="728" spans="39:41" ht="12" customHeight="1" x14ac:dyDescent="0.2">
      <c r="AM728" t="str">
        <f t="shared" si="11"/>
        <v>Arun [IDAUN]</v>
      </c>
      <c r="AN728" t="s">
        <v>16161</v>
      </c>
      <c r="AO728" t="s">
        <v>16162</v>
      </c>
    </row>
    <row r="729" spans="39:41" ht="12" customHeight="1" x14ac:dyDescent="0.2">
      <c r="AM729" t="str">
        <f t="shared" si="11"/>
        <v>Arutunga [CKARU]</v>
      </c>
      <c r="AN729" t="s">
        <v>4799</v>
      </c>
      <c r="AO729" t="s">
        <v>4800</v>
      </c>
    </row>
    <row r="730" spans="39:41" ht="12" customHeight="1" x14ac:dyDescent="0.2">
      <c r="AM730" t="str">
        <f t="shared" si="11"/>
        <v>Arviat [CAYEK]</v>
      </c>
      <c r="AN730" t="s">
        <v>3536</v>
      </c>
      <c r="AO730" t="s">
        <v>3537</v>
      </c>
    </row>
    <row r="731" spans="39:41" ht="12" customHeight="1" x14ac:dyDescent="0.2">
      <c r="AM731" t="str">
        <f t="shared" si="11"/>
        <v>Arvika [SEARV]</v>
      </c>
      <c r="AN731" t="s">
        <v>27499</v>
      </c>
      <c r="AO731" t="s">
        <v>27500</v>
      </c>
    </row>
    <row r="732" spans="39:41" ht="12" customHeight="1" x14ac:dyDescent="0.2">
      <c r="AM732" t="str">
        <f t="shared" si="11"/>
        <v>Arwad [SYARW]</v>
      </c>
      <c r="AN732" t="s">
        <v>28164</v>
      </c>
      <c r="AO732" t="s">
        <v>28165</v>
      </c>
    </row>
    <row r="733" spans="39:41" ht="12" customHeight="1" x14ac:dyDescent="0.2">
      <c r="AM733" t="str">
        <f t="shared" si="11"/>
        <v>Arzew [DZAZW]</v>
      </c>
      <c r="AN733" t="s">
        <v>9037</v>
      </c>
      <c r="AO733" t="s">
        <v>9038</v>
      </c>
    </row>
    <row r="734" spans="39:41" ht="12" customHeight="1" x14ac:dyDescent="0.2">
      <c r="AM734" t="str">
        <f t="shared" si="11"/>
        <v>As Salimiyah [KWSAL]</v>
      </c>
      <c r="AN734" t="s">
        <v>21752</v>
      </c>
      <c r="AO734" t="s">
        <v>21753</v>
      </c>
    </row>
    <row r="735" spans="39:41" ht="12" customHeight="1" x14ac:dyDescent="0.2">
      <c r="AM735" t="str">
        <f t="shared" si="11"/>
        <v>As Salwa [QASLW]</v>
      </c>
      <c r="AN735" t="s">
        <v>26689</v>
      </c>
      <c r="AO735" t="s">
        <v>26690</v>
      </c>
    </row>
    <row r="736" spans="39:41" ht="12" customHeight="1" x14ac:dyDescent="0.2">
      <c r="AM736" t="str">
        <f t="shared" si="11"/>
        <v>As Sidr [LYESI]</v>
      </c>
      <c r="AN736" t="s">
        <v>21971</v>
      </c>
      <c r="AO736" t="s">
        <v>21972</v>
      </c>
    </row>
    <row r="737" spans="39:41" ht="12" customHeight="1" x14ac:dyDescent="0.2">
      <c r="AM737" t="str">
        <f t="shared" si="11"/>
        <v>As Sulaybikhat [KWKHT]</v>
      </c>
      <c r="AN737" t="s">
        <v>21754</v>
      </c>
      <c r="AO737" t="s">
        <v>21755</v>
      </c>
    </row>
    <row r="738" spans="39:41" ht="12" customHeight="1" x14ac:dyDescent="0.2">
      <c r="AM738" t="str">
        <f t="shared" si="11"/>
        <v>As Suways (Suez) [EGSUZ]</v>
      </c>
      <c r="AN738" t="s">
        <v>9452</v>
      </c>
      <c r="AO738" t="s">
        <v>9453</v>
      </c>
    </row>
    <row r="739" spans="39:41" ht="12" customHeight="1" x14ac:dyDescent="0.2">
      <c r="AM739" t="str">
        <f t="shared" si="11"/>
        <v>Asa [JPASA]</v>
      </c>
      <c r="AN739" t="s">
        <v>18609</v>
      </c>
      <c r="AO739" t="s">
        <v>18610</v>
      </c>
    </row>
    <row r="740" spans="39:41" ht="12" customHeight="1" x14ac:dyDescent="0.2">
      <c r="AM740" t="str">
        <f t="shared" si="11"/>
        <v>Asaa [DKASA]</v>
      </c>
      <c r="AN740" t="s">
        <v>8612</v>
      </c>
      <c r="AO740" t="s">
        <v>8613</v>
      </c>
    </row>
    <row r="741" spans="39:41" ht="12" customHeight="1" x14ac:dyDescent="0.2">
      <c r="AM741" t="str">
        <f t="shared" si="11"/>
        <v>Asahimachi [JPASI]</v>
      </c>
      <c r="AN741" t="s">
        <v>18611</v>
      </c>
      <c r="AO741" t="s">
        <v>18612</v>
      </c>
    </row>
    <row r="742" spans="39:41" ht="12" customHeight="1" x14ac:dyDescent="0.2">
      <c r="AM742" t="str">
        <f t="shared" si="11"/>
        <v>Asaka [UZASA]</v>
      </c>
      <c r="AN742" t="s">
        <v>32131</v>
      </c>
      <c r="AO742" t="s">
        <v>32132</v>
      </c>
    </row>
    <row r="743" spans="39:41" ht="12" customHeight="1" x14ac:dyDescent="0.2">
      <c r="AM743" t="str">
        <f t="shared" si="11"/>
        <v>Asakawa [JPASW]</v>
      </c>
      <c r="AN743" t="s">
        <v>18613</v>
      </c>
      <c r="AO743" t="s">
        <v>18614</v>
      </c>
    </row>
    <row r="744" spans="39:41" ht="12" customHeight="1" x14ac:dyDescent="0.2">
      <c r="AM744" t="str">
        <f t="shared" si="11"/>
        <v>Asakuchi [JPAUI]</v>
      </c>
      <c r="AN744" t="s">
        <v>18615</v>
      </c>
      <c r="AO744" t="s">
        <v>18616</v>
      </c>
    </row>
    <row r="745" spans="39:41" ht="12" customHeight="1" x14ac:dyDescent="0.2">
      <c r="AM745" t="str">
        <f t="shared" si="11"/>
        <v>Asaluyeh [IRASA]</v>
      </c>
      <c r="AN745" t="s">
        <v>17596</v>
      </c>
      <c r="AO745" t="s">
        <v>17597</v>
      </c>
    </row>
    <row r="746" spans="39:41" ht="12" customHeight="1" x14ac:dyDescent="0.2">
      <c r="AM746" t="str">
        <f t="shared" si="11"/>
        <v>Asami [JPASM]</v>
      </c>
      <c r="AN746" t="s">
        <v>18617</v>
      </c>
      <c r="AO746" t="s">
        <v>18618</v>
      </c>
    </row>
    <row r="747" spans="39:41" ht="12" customHeight="1" x14ac:dyDescent="0.2">
      <c r="AM747" t="str">
        <f t="shared" si="11"/>
        <v>Asamogawa [JPAMG]</v>
      </c>
      <c r="AN747" t="s">
        <v>18619</v>
      </c>
      <c r="AO747" t="s">
        <v>18620</v>
      </c>
    </row>
    <row r="748" spans="39:41" ht="12" customHeight="1" x14ac:dyDescent="0.2">
      <c r="AM748" t="str">
        <f t="shared" si="11"/>
        <v>Asau [WSAAU]</v>
      </c>
      <c r="AN748" t="s">
        <v>32540</v>
      </c>
      <c r="AO748" t="s">
        <v>32541</v>
      </c>
    </row>
    <row r="749" spans="39:41" ht="12" customHeight="1" x14ac:dyDescent="0.2">
      <c r="AM749" t="str">
        <f t="shared" si="11"/>
        <v>Ascension [SHASC]</v>
      </c>
      <c r="AN749" t="s">
        <v>27991</v>
      </c>
      <c r="AO749" t="s">
        <v>27992</v>
      </c>
    </row>
    <row r="750" spans="39:41" ht="12" customHeight="1" x14ac:dyDescent="0.2">
      <c r="AM750" t="str">
        <f t="shared" si="11"/>
        <v>Aschaffenburg [DEASC]</v>
      </c>
      <c r="AN750" t="s">
        <v>7026</v>
      </c>
      <c r="AO750" t="s">
        <v>7027</v>
      </c>
    </row>
    <row r="751" spans="39:41" ht="12" customHeight="1" x14ac:dyDescent="0.2">
      <c r="AM751" t="str">
        <f t="shared" si="11"/>
        <v>Aseng FPSO [GQATE]</v>
      </c>
      <c r="AN751" t="s">
        <v>15063</v>
      </c>
      <c r="AO751" t="s">
        <v>15064</v>
      </c>
    </row>
    <row r="752" spans="39:41" ht="12" customHeight="1" x14ac:dyDescent="0.2">
      <c r="AM752" t="str">
        <f t="shared" si="11"/>
        <v>Aseri [EEASE]</v>
      </c>
      <c r="AN752" t="s">
        <v>9138</v>
      </c>
      <c r="AO752" t="s">
        <v>9139</v>
      </c>
    </row>
    <row r="753" spans="39:41" ht="12" customHeight="1" x14ac:dyDescent="0.2">
      <c r="AM753" t="str">
        <f t="shared" si="11"/>
        <v>Ashdod [ILASH]</v>
      </c>
      <c r="AN753" t="s">
        <v>16952</v>
      </c>
      <c r="AO753" t="s">
        <v>16953</v>
      </c>
    </row>
    <row r="754" spans="39:41" ht="12" customHeight="1" x14ac:dyDescent="0.2">
      <c r="AM754" t="str">
        <f t="shared" si="11"/>
        <v>Ashibe [JPASB]</v>
      </c>
      <c r="AN754" t="s">
        <v>18621</v>
      </c>
      <c r="AO754" t="s">
        <v>18622</v>
      </c>
    </row>
    <row r="755" spans="39:41" ht="12" customHeight="1" x14ac:dyDescent="0.2">
      <c r="AM755" t="str">
        <f t="shared" si="11"/>
        <v>Ashinoura [JPASH]</v>
      </c>
      <c r="AN755" t="s">
        <v>18623</v>
      </c>
      <c r="AO755" t="s">
        <v>18624</v>
      </c>
    </row>
    <row r="756" spans="39:41" ht="12" customHeight="1" x14ac:dyDescent="0.2">
      <c r="AM756" t="str">
        <f t="shared" si="11"/>
        <v>Ashitoku [JPAST]</v>
      </c>
      <c r="AN756" t="s">
        <v>18625</v>
      </c>
      <c r="AO756" t="s">
        <v>18626</v>
      </c>
    </row>
    <row r="757" spans="39:41" ht="12" customHeight="1" x14ac:dyDescent="0.2">
      <c r="AM757" t="str">
        <f t="shared" si="11"/>
        <v>Ashiya, Fukuoka [JPASZ]</v>
      </c>
      <c r="AN757" t="s">
        <v>18627</v>
      </c>
      <c r="AO757" t="s">
        <v>18628</v>
      </c>
    </row>
    <row r="758" spans="39:41" ht="12" customHeight="1" x14ac:dyDescent="0.2">
      <c r="AM758" t="str">
        <f t="shared" si="11"/>
        <v>Ashizuri [JPASR]</v>
      </c>
      <c r="AN758" t="s">
        <v>18629</v>
      </c>
      <c r="AO758" t="s">
        <v>18630</v>
      </c>
    </row>
    <row r="759" spans="39:41" ht="12" customHeight="1" x14ac:dyDescent="0.2">
      <c r="AM759" t="str">
        <f t="shared" si="11"/>
        <v>Ashkelon [ILAKL]</v>
      </c>
      <c r="AN759" t="s">
        <v>16954</v>
      </c>
      <c r="AO759" t="s">
        <v>16955</v>
      </c>
    </row>
    <row r="760" spans="39:41" ht="12" customHeight="1" x14ac:dyDescent="0.2">
      <c r="AM760" t="str">
        <f t="shared" si="11"/>
        <v>Ashland [USASX]</v>
      </c>
      <c r="AN760" t="s">
        <v>28866</v>
      </c>
      <c r="AO760" t="s">
        <v>28867</v>
      </c>
    </row>
    <row r="761" spans="39:41" ht="12" customHeight="1" x14ac:dyDescent="0.2">
      <c r="AM761" t="str">
        <f t="shared" si="11"/>
        <v>Ashley [GBHA2]</v>
      </c>
      <c r="AN761" t="s">
        <v>12359</v>
      </c>
      <c r="AO761" t="s">
        <v>12360</v>
      </c>
    </row>
    <row r="762" spans="39:41" ht="12" customHeight="1" x14ac:dyDescent="0.2">
      <c r="AM762" t="str">
        <f t="shared" si="11"/>
        <v>Ashtabula [USASF]</v>
      </c>
      <c r="AN762" t="s">
        <v>28868</v>
      </c>
      <c r="AO762" t="s">
        <v>28869</v>
      </c>
    </row>
    <row r="763" spans="39:41" ht="12" customHeight="1" x14ac:dyDescent="0.2">
      <c r="AM763" t="str">
        <f t="shared" si="11"/>
        <v>Ashtart Terminal [TNASH]</v>
      </c>
      <c r="AN763" t="s">
        <v>28332</v>
      </c>
      <c r="AO763" t="s">
        <v>28333</v>
      </c>
    </row>
    <row r="764" spans="39:41" ht="12" customHeight="1" x14ac:dyDescent="0.2">
      <c r="AM764" t="str">
        <f t="shared" si="11"/>
        <v>Ashton [AUASH]</v>
      </c>
      <c r="AN764" t="s">
        <v>1399</v>
      </c>
      <c r="AO764" t="s">
        <v>1400</v>
      </c>
    </row>
    <row r="765" spans="39:41" ht="12" customHeight="1" x14ac:dyDescent="0.2">
      <c r="AM765" t="str">
        <f t="shared" si="11"/>
        <v>Ashuganj [BDASJ]</v>
      </c>
      <c r="AN765" t="s">
        <v>2188</v>
      </c>
      <c r="AO765" t="s">
        <v>2189</v>
      </c>
    </row>
    <row r="766" spans="39:41" ht="12" customHeight="1" x14ac:dyDescent="0.2">
      <c r="AM766" t="str">
        <f t="shared" si="11"/>
        <v>Ashville [USA22]</v>
      </c>
      <c r="AN766" t="s">
        <v>28870</v>
      </c>
      <c r="AO766" t="s">
        <v>28871</v>
      </c>
    </row>
    <row r="767" spans="39:41" ht="12" customHeight="1" x14ac:dyDescent="0.2">
      <c r="AM767" t="str">
        <f t="shared" si="11"/>
        <v>Ashwell [GBASW]</v>
      </c>
      <c r="AN767" t="s">
        <v>12361</v>
      </c>
      <c r="AO767" t="s">
        <v>12362</v>
      </c>
    </row>
    <row r="768" spans="39:41" ht="12" customHeight="1" x14ac:dyDescent="0.2">
      <c r="AM768" t="str">
        <f t="shared" si="11"/>
        <v>Asike [IDASI]</v>
      </c>
      <c r="AN768" t="s">
        <v>16163</v>
      </c>
      <c r="AO768" t="s">
        <v>16164</v>
      </c>
    </row>
    <row r="769" spans="39:41" ht="12" customHeight="1" x14ac:dyDescent="0.2">
      <c r="AM769" t="str">
        <f t="shared" si="11"/>
        <v>Asikkala [FIAKK]</v>
      </c>
      <c r="AN769" t="s">
        <v>10312</v>
      </c>
      <c r="AO769" t="s">
        <v>10313</v>
      </c>
    </row>
    <row r="770" spans="39:41" ht="12" customHeight="1" x14ac:dyDescent="0.2">
      <c r="AM770" t="str">
        <f t="shared" ref="AM770:AM833" si="12">AO770 &amp; " [" &amp; AN770 &amp; "]"</f>
        <v>Asilah [MAASI]</v>
      </c>
      <c r="AN770" t="s">
        <v>22026</v>
      </c>
      <c r="AO770" t="s">
        <v>22027</v>
      </c>
    </row>
    <row r="771" spans="39:41" ht="12" customHeight="1" x14ac:dyDescent="0.2">
      <c r="AM771" t="str">
        <f t="shared" si="12"/>
        <v>Askersund [SEASD]</v>
      </c>
      <c r="AN771" t="s">
        <v>27501</v>
      </c>
      <c r="AO771" t="s">
        <v>27502</v>
      </c>
    </row>
    <row r="772" spans="39:41" ht="12" customHeight="1" x14ac:dyDescent="0.2">
      <c r="AM772" t="str">
        <f t="shared" si="12"/>
        <v>Asko [DKASK]</v>
      </c>
      <c r="AN772" t="s">
        <v>8614</v>
      </c>
      <c r="AO772" t="s">
        <v>35524</v>
      </c>
    </row>
    <row r="773" spans="39:41" ht="12" customHeight="1" x14ac:dyDescent="0.2">
      <c r="AM773" t="str">
        <f t="shared" si="12"/>
        <v>Askoy [NOASY]</v>
      </c>
      <c r="AN773" t="s">
        <v>23858</v>
      </c>
      <c r="AO773" t="s">
        <v>36127</v>
      </c>
    </row>
    <row r="774" spans="39:41" ht="12" customHeight="1" x14ac:dyDescent="0.2">
      <c r="AM774" t="str">
        <f t="shared" si="12"/>
        <v>Askvoll [NOASL]</v>
      </c>
      <c r="AN774" t="s">
        <v>23859</v>
      </c>
      <c r="AO774" t="s">
        <v>23860</v>
      </c>
    </row>
    <row r="775" spans="39:41" ht="12" customHeight="1" x14ac:dyDescent="0.2">
      <c r="AM775" t="str">
        <f t="shared" si="12"/>
        <v>Asnasvarkets Havn [DKASV]</v>
      </c>
      <c r="AN775" t="s">
        <v>8615</v>
      </c>
      <c r="AO775" t="s">
        <v>35525</v>
      </c>
    </row>
    <row r="776" spans="39:41" ht="12" customHeight="1" x14ac:dyDescent="0.2">
      <c r="AM776" t="str">
        <f t="shared" si="12"/>
        <v>Asnieres-sur-Seine [FRAQS]</v>
      </c>
      <c r="AN776" t="s">
        <v>10755</v>
      </c>
      <c r="AO776" t="s">
        <v>35775</v>
      </c>
    </row>
    <row r="777" spans="39:41" ht="12" customHeight="1" x14ac:dyDescent="0.2">
      <c r="AM777" t="str">
        <f t="shared" si="12"/>
        <v>Asotin [USOAX]</v>
      </c>
      <c r="AN777" t="s">
        <v>28872</v>
      </c>
      <c r="AO777" t="s">
        <v>28873</v>
      </c>
    </row>
    <row r="778" spans="39:41" ht="12" customHeight="1" x14ac:dyDescent="0.2">
      <c r="AM778" t="str">
        <f t="shared" si="12"/>
        <v>Aspendale [AUP6D]</v>
      </c>
      <c r="AN778" t="s">
        <v>34166</v>
      </c>
      <c r="AO778" t="s">
        <v>34242</v>
      </c>
    </row>
    <row r="779" spans="39:41" ht="12" customHeight="1" x14ac:dyDescent="0.2">
      <c r="AM779" t="str">
        <f t="shared" si="12"/>
        <v>Asper [BEASP]</v>
      </c>
      <c r="AN779" t="s">
        <v>2247</v>
      </c>
      <c r="AO779" t="s">
        <v>2248</v>
      </c>
    </row>
    <row r="780" spans="39:41" ht="12" customHeight="1" x14ac:dyDescent="0.2">
      <c r="AM780" t="str">
        <f t="shared" si="12"/>
        <v>Aspropirgos [GRASS]</v>
      </c>
      <c r="AN780" t="s">
        <v>15155</v>
      </c>
      <c r="AO780" t="s">
        <v>35888</v>
      </c>
    </row>
    <row r="781" spans="39:41" ht="12" customHeight="1" x14ac:dyDescent="0.2">
      <c r="AM781" t="str">
        <f t="shared" si="12"/>
        <v>Asprovalta [GRAPV]</v>
      </c>
      <c r="AN781" t="s">
        <v>15156</v>
      </c>
      <c r="AO781" t="s">
        <v>35889</v>
      </c>
    </row>
    <row r="782" spans="39:41" ht="12" customHeight="1" x14ac:dyDescent="0.2">
      <c r="AM782" t="str">
        <f t="shared" si="12"/>
        <v>Asquith [CAASQ]</v>
      </c>
      <c r="AN782" t="s">
        <v>3538</v>
      </c>
      <c r="AO782" t="s">
        <v>3539</v>
      </c>
    </row>
    <row r="783" spans="39:41" ht="12" customHeight="1" x14ac:dyDescent="0.2">
      <c r="AM783" t="str">
        <f t="shared" si="12"/>
        <v>Assab [ERASA]</v>
      </c>
      <c r="AN783" t="s">
        <v>9548</v>
      </c>
      <c r="AO783" t="s">
        <v>9549</v>
      </c>
    </row>
    <row r="784" spans="39:41" ht="12" customHeight="1" x14ac:dyDescent="0.2">
      <c r="AM784" t="str">
        <f t="shared" si="12"/>
        <v>Assel [DEASS]</v>
      </c>
      <c r="AN784" t="s">
        <v>7028</v>
      </c>
      <c r="AO784" t="s">
        <v>7029</v>
      </c>
    </row>
    <row r="785" spans="39:41" ht="12" customHeight="1" x14ac:dyDescent="0.2">
      <c r="AM785" t="str">
        <f t="shared" si="12"/>
        <v>Assens [DKASN]</v>
      </c>
      <c r="AN785" t="s">
        <v>8616</v>
      </c>
      <c r="AO785" t="s">
        <v>8617</v>
      </c>
    </row>
    <row r="786" spans="39:41" ht="12" customHeight="1" x14ac:dyDescent="0.2">
      <c r="AM786" t="str">
        <f t="shared" si="12"/>
        <v>Assinie-Mafia [CIASS]</v>
      </c>
      <c r="AN786" t="s">
        <v>4775</v>
      </c>
      <c r="AO786" t="s">
        <v>4776</v>
      </c>
    </row>
    <row r="787" spans="39:41" ht="12" customHeight="1" x14ac:dyDescent="0.2">
      <c r="AM787" t="str">
        <f t="shared" si="12"/>
        <v>Assos [GRSOS]</v>
      </c>
      <c r="AN787" t="s">
        <v>15157</v>
      </c>
      <c r="AO787" t="s">
        <v>15158</v>
      </c>
    </row>
    <row r="788" spans="39:41" ht="12" customHeight="1" x14ac:dyDescent="0.2">
      <c r="AM788" t="str">
        <f t="shared" si="12"/>
        <v>Astakos [GRAST]</v>
      </c>
      <c r="AN788" t="s">
        <v>15159</v>
      </c>
      <c r="AO788" t="s">
        <v>35890</v>
      </c>
    </row>
    <row r="789" spans="39:41" ht="12" customHeight="1" x14ac:dyDescent="0.2">
      <c r="AM789" t="str">
        <f t="shared" si="12"/>
        <v>Asten [ATATN]</v>
      </c>
      <c r="AN789" t="s">
        <v>1164</v>
      </c>
      <c r="AO789" t="s">
        <v>1165</v>
      </c>
    </row>
    <row r="790" spans="39:41" ht="12" customHeight="1" x14ac:dyDescent="0.2">
      <c r="AM790" t="str">
        <f t="shared" si="12"/>
        <v>Astene [BEAST]</v>
      </c>
      <c r="AN790" t="s">
        <v>2249</v>
      </c>
      <c r="AO790" t="s">
        <v>2250</v>
      </c>
    </row>
    <row r="791" spans="39:41" ht="12" customHeight="1" x14ac:dyDescent="0.2">
      <c r="AM791" t="str">
        <f t="shared" si="12"/>
        <v>Astorga [PHAST]</v>
      </c>
      <c r="AN791" t="s">
        <v>25530</v>
      </c>
      <c r="AO791" t="s">
        <v>25531</v>
      </c>
    </row>
    <row r="792" spans="39:41" ht="12" customHeight="1" x14ac:dyDescent="0.2">
      <c r="AM792" t="str">
        <f t="shared" si="12"/>
        <v>Astoria [USAST]</v>
      </c>
      <c r="AN792" t="s">
        <v>28874</v>
      </c>
      <c r="AO792" t="s">
        <v>28875</v>
      </c>
    </row>
    <row r="793" spans="39:41" ht="12" customHeight="1" x14ac:dyDescent="0.2">
      <c r="AM793" t="str">
        <f t="shared" si="12"/>
        <v>Astrakhan [RUASF]</v>
      </c>
      <c r="AN793" t="s">
        <v>26877</v>
      </c>
      <c r="AO793" t="s">
        <v>26878</v>
      </c>
    </row>
    <row r="794" spans="39:41" ht="12" customHeight="1" x14ac:dyDescent="0.2">
      <c r="AM794" t="str">
        <f t="shared" si="12"/>
        <v>Astros [GRARS]</v>
      </c>
      <c r="AN794" t="s">
        <v>15160</v>
      </c>
      <c r="AO794" t="s">
        <v>35891</v>
      </c>
    </row>
    <row r="795" spans="39:41" ht="12" customHeight="1" x14ac:dyDescent="0.2">
      <c r="AM795" t="str">
        <f t="shared" si="12"/>
        <v>Astypalaia [GRJTY]</v>
      </c>
      <c r="AN795" t="s">
        <v>15161</v>
      </c>
      <c r="AO795" t="s">
        <v>35892</v>
      </c>
    </row>
    <row r="796" spans="39:41" ht="12" customHeight="1" x14ac:dyDescent="0.2">
      <c r="AM796" t="str">
        <f t="shared" si="12"/>
        <v>Asuncion [PYASU]</v>
      </c>
      <c r="AN796" t="s">
        <v>26657</v>
      </c>
      <c r="AO796" t="s">
        <v>36401</v>
      </c>
    </row>
    <row r="797" spans="39:41" ht="12" customHeight="1" x14ac:dyDescent="0.2">
      <c r="AM797" t="str">
        <f t="shared" si="12"/>
        <v>Aswan [EGASW]</v>
      </c>
      <c r="AN797" t="s">
        <v>9454</v>
      </c>
      <c r="AO797" t="s">
        <v>9455</v>
      </c>
    </row>
    <row r="798" spans="39:41" ht="12" customHeight="1" x14ac:dyDescent="0.2">
      <c r="AM798" t="str">
        <f t="shared" si="12"/>
        <v>Asyut [EGAST]</v>
      </c>
      <c r="AN798" t="s">
        <v>9456</v>
      </c>
      <c r="AO798" t="s">
        <v>9457</v>
      </c>
    </row>
    <row r="799" spans="39:41" ht="12" customHeight="1" x14ac:dyDescent="0.2">
      <c r="AM799" t="str">
        <f t="shared" si="12"/>
        <v>Aszar [HUZAR]</v>
      </c>
      <c r="AN799" t="s">
        <v>16053</v>
      </c>
      <c r="AO799" t="s">
        <v>16054</v>
      </c>
    </row>
    <row r="800" spans="39:41" ht="12" customHeight="1" x14ac:dyDescent="0.2">
      <c r="AM800" t="str">
        <f t="shared" si="12"/>
        <v>Atafu [TKAFU]</v>
      </c>
      <c r="AN800" t="s">
        <v>28304</v>
      </c>
      <c r="AO800" t="s">
        <v>28305</v>
      </c>
    </row>
    <row r="801" spans="39:41" ht="12" customHeight="1" x14ac:dyDescent="0.2">
      <c r="AM801" t="str">
        <f t="shared" si="12"/>
        <v>Ataka [JPATA]</v>
      </c>
      <c r="AN801" t="s">
        <v>18631</v>
      </c>
      <c r="AO801" t="s">
        <v>18632</v>
      </c>
    </row>
    <row r="802" spans="39:41" ht="12" customHeight="1" x14ac:dyDescent="0.2">
      <c r="AM802" t="str">
        <f t="shared" si="12"/>
        <v>Atakka Dry Port [EGBGB]</v>
      </c>
      <c r="AN802" t="s">
        <v>9458</v>
      </c>
      <c r="AO802" t="s">
        <v>9459</v>
      </c>
    </row>
    <row r="803" spans="39:41" ht="12" customHeight="1" x14ac:dyDescent="0.2">
      <c r="AM803" t="str">
        <f t="shared" si="12"/>
        <v>Atalandi [GRATA]</v>
      </c>
      <c r="AN803" t="s">
        <v>15162</v>
      </c>
      <c r="AO803" t="s">
        <v>35893</v>
      </c>
    </row>
    <row r="804" spans="39:41" ht="12" customHeight="1" x14ac:dyDescent="0.2">
      <c r="AM804" t="str">
        <f t="shared" si="12"/>
        <v>Atami [JPAMI]</v>
      </c>
      <c r="AN804" t="s">
        <v>18633</v>
      </c>
      <c r="AO804" t="s">
        <v>18634</v>
      </c>
    </row>
    <row r="805" spans="39:41" ht="12" customHeight="1" x14ac:dyDescent="0.2">
      <c r="AM805" t="str">
        <f t="shared" si="12"/>
        <v>Atangen [NOATA]</v>
      </c>
      <c r="AN805" t="s">
        <v>23861</v>
      </c>
      <c r="AO805" t="s">
        <v>36128</v>
      </c>
    </row>
    <row r="806" spans="39:41" ht="12" customHeight="1" x14ac:dyDescent="0.2">
      <c r="AM806" t="str">
        <f t="shared" si="12"/>
        <v>Ataquines [ESATQ]</v>
      </c>
      <c r="AN806" t="s">
        <v>9596</v>
      </c>
      <c r="AO806" t="s">
        <v>9597</v>
      </c>
    </row>
    <row r="807" spans="39:41" ht="12" customHeight="1" x14ac:dyDescent="0.2">
      <c r="AM807" t="str">
        <f t="shared" si="12"/>
        <v>Atatajima [JPATT]</v>
      </c>
      <c r="AN807" t="s">
        <v>18635</v>
      </c>
      <c r="AO807" t="s">
        <v>18636</v>
      </c>
    </row>
    <row r="808" spans="39:41" ht="12" customHeight="1" x14ac:dyDescent="0.2">
      <c r="AM808" t="str">
        <f t="shared" si="12"/>
        <v>Ath [BEATH]</v>
      </c>
      <c r="AN808" t="s">
        <v>2251</v>
      </c>
      <c r="AO808" t="s">
        <v>2252</v>
      </c>
    </row>
    <row r="809" spans="39:41" ht="12" customHeight="1" x14ac:dyDescent="0.2">
      <c r="AM809" t="str">
        <f t="shared" si="12"/>
        <v>Athena [USTHN]</v>
      </c>
      <c r="AN809" t="s">
        <v>28876</v>
      </c>
      <c r="AO809" t="s">
        <v>28877</v>
      </c>
    </row>
    <row r="810" spans="39:41" ht="12" customHeight="1" x14ac:dyDescent="0.2">
      <c r="AM810" t="str">
        <f t="shared" si="12"/>
        <v>Athena FPSO [GBATA]</v>
      </c>
      <c r="AN810" t="s">
        <v>12363</v>
      </c>
      <c r="AO810" t="s">
        <v>12364</v>
      </c>
    </row>
    <row r="811" spans="39:41" ht="12" customHeight="1" x14ac:dyDescent="0.2">
      <c r="AM811" t="str">
        <f t="shared" si="12"/>
        <v>Athinios Thira Santorini [GRATN]</v>
      </c>
      <c r="AN811" t="s">
        <v>15163</v>
      </c>
      <c r="AO811" t="s">
        <v>15164</v>
      </c>
    </row>
    <row r="812" spans="39:41" ht="12" customHeight="1" x14ac:dyDescent="0.2">
      <c r="AM812" t="str">
        <f t="shared" si="12"/>
        <v>Athis [BE7PD]</v>
      </c>
      <c r="AN812" t="s">
        <v>2253</v>
      </c>
      <c r="AO812" t="s">
        <v>2254</v>
      </c>
    </row>
    <row r="813" spans="39:41" ht="12" customHeight="1" x14ac:dyDescent="0.2">
      <c r="AM813" t="str">
        <f t="shared" si="12"/>
        <v>Atholville [CAALV]</v>
      </c>
      <c r="AN813" t="s">
        <v>3540</v>
      </c>
      <c r="AO813" t="s">
        <v>3541</v>
      </c>
    </row>
    <row r="814" spans="39:41" ht="12" customHeight="1" x14ac:dyDescent="0.2">
      <c r="AM814" t="str">
        <f t="shared" si="12"/>
        <v>Atico [PEATI]</v>
      </c>
      <c r="AN814" t="s">
        <v>25234</v>
      </c>
      <c r="AO814" t="s">
        <v>25235</v>
      </c>
    </row>
    <row r="815" spans="39:41" ht="12" customHeight="1" x14ac:dyDescent="0.2">
      <c r="AM815" t="str">
        <f t="shared" si="12"/>
        <v>Atimonan/Siain [PHATI]</v>
      </c>
      <c r="AN815" t="s">
        <v>25532</v>
      </c>
      <c r="AO815" t="s">
        <v>25533</v>
      </c>
    </row>
    <row r="816" spans="39:41" ht="12" customHeight="1" x14ac:dyDescent="0.2">
      <c r="AM816" t="str">
        <f t="shared" si="12"/>
        <v>Atiu [CKAIU]</v>
      </c>
      <c r="AN816" t="s">
        <v>4801</v>
      </c>
      <c r="AO816" t="s">
        <v>4802</v>
      </c>
    </row>
    <row r="817" spans="39:41" ht="12" customHeight="1" x14ac:dyDescent="0.2">
      <c r="AM817" t="str">
        <f t="shared" si="12"/>
        <v>Atla [EEATL]</v>
      </c>
      <c r="AN817" t="s">
        <v>9140</v>
      </c>
      <c r="AO817" t="s">
        <v>9141</v>
      </c>
    </row>
    <row r="818" spans="39:41" ht="12" customHeight="1" x14ac:dyDescent="0.2">
      <c r="AM818" t="str">
        <f t="shared" si="12"/>
        <v>Atlantic Beach [USTBH]</v>
      </c>
      <c r="AN818" t="s">
        <v>28878</v>
      </c>
      <c r="AO818" t="s">
        <v>28879</v>
      </c>
    </row>
    <row r="819" spans="39:41" ht="12" customHeight="1" x14ac:dyDescent="0.2">
      <c r="AM819" t="str">
        <f t="shared" si="12"/>
        <v>Atlantic Highlands [USAHZ]</v>
      </c>
      <c r="AN819" t="s">
        <v>28880</v>
      </c>
      <c r="AO819" t="s">
        <v>28881</v>
      </c>
    </row>
    <row r="820" spans="39:41" ht="12" customHeight="1" x14ac:dyDescent="0.2">
      <c r="AM820" t="str">
        <f t="shared" si="12"/>
        <v>Atloy [NOATL]</v>
      </c>
      <c r="AN820" t="s">
        <v>23862</v>
      </c>
      <c r="AO820" t="s">
        <v>36129</v>
      </c>
    </row>
    <row r="821" spans="39:41" ht="12" customHeight="1" x14ac:dyDescent="0.2">
      <c r="AM821" t="str">
        <f t="shared" si="12"/>
        <v>Atoll Hereheretue [PFHHT]</v>
      </c>
      <c r="AN821" t="s">
        <v>25316</v>
      </c>
      <c r="AO821" t="s">
        <v>25317</v>
      </c>
    </row>
    <row r="822" spans="39:41" ht="12" customHeight="1" x14ac:dyDescent="0.2">
      <c r="AM822" t="str">
        <f t="shared" si="12"/>
        <v>Atreco [USATR]</v>
      </c>
      <c r="AN822" t="s">
        <v>28882</v>
      </c>
      <c r="AO822" t="s">
        <v>28883</v>
      </c>
    </row>
    <row r="823" spans="39:41" ht="12" customHeight="1" x14ac:dyDescent="0.2">
      <c r="AM823" t="str">
        <f t="shared" si="12"/>
        <v>Atsuki [JPATK]</v>
      </c>
      <c r="AN823" t="s">
        <v>18637</v>
      </c>
      <c r="AO823" t="s">
        <v>18638</v>
      </c>
    </row>
    <row r="824" spans="39:41" ht="12" customHeight="1" x14ac:dyDescent="0.2">
      <c r="AM824" t="str">
        <f t="shared" si="12"/>
        <v>Atsumi [JPATM]</v>
      </c>
      <c r="AN824" t="s">
        <v>18639</v>
      </c>
      <c r="AO824" t="s">
        <v>18640</v>
      </c>
    </row>
    <row r="825" spans="39:41" ht="12" customHeight="1" x14ac:dyDescent="0.2">
      <c r="AM825" t="str">
        <f t="shared" si="12"/>
        <v>Attadale [AUATT]</v>
      </c>
      <c r="AN825" t="s">
        <v>1401</v>
      </c>
      <c r="AO825" t="s">
        <v>1402</v>
      </c>
    </row>
    <row r="826" spans="39:41" ht="12" customHeight="1" x14ac:dyDescent="0.2">
      <c r="AM826" t="str">
        <f t="shared" si="12"/>
        <v>Atunes [MXABB]</v>
      </c>
      <c r="AN826" t="s">
        <v>22314</v>
      </c>
      <c r="AO826" t="s">
        <v>22315</v>
      </c>
    </row>
    <row r="827" spans="39:41" ht="12" customHeight="1" x14ac:dyDescent="0.2">
      <c r="AM827" t="str">
        <f t="shared" si="12"/>
        <v>Aubais [FRA84]</v>
      </c>
      <c r="AN827" t="s">
        <v>10756</v>
      </c>
      <c r="AO827" t="s">
        <v>10757</v>
      </c>
    </row>
    <row r="828" spans="39:41" ht="12" customHeight="1" x14ac:dyDescent="0.2">
      <c r="AM828" t="str">
        <f t="shared" si="12"/>
        <v>Auchterhouse [GBAHH]</v>
      </c>
      <c r="AN828" t="s">
        <v>12365</v>
      </c>
      <c r="AO828" t="s">
        <v>12366</v>
      </c>
    </row>
    <row r="829" spans="39:41" ht="12" customHeight="1" x14ac:dyDescent="0.2">
      <c r="AM829" t="str">
        <f t="shared" si="12"/>
        <v>Auckengill [GBAKL]</v>
      </c>
      <c r="AN829" t="s">
        <v>12367</v>
      </c>
      <c r="AO829" t="s">
        <v>12368</v>
      </c>
    </row>
    <row r="830" spans="39:41" ht="12" customHeight="1" x14ac:dyDescent="0.2">
      <c r="AM830" t="str">
        <f t="shared" si="12"/>
        <v>Auckland [NZAKL]</v>
      </c>
      <c r="AN830" t="s">
        <v>25053</v>
      </c>
      <c r="AO830" t="s">
        <v>25054</v>
      </c>
    </row>
    <row r="831" spans="39:41" ht="12" customHeight="1" x14ac:dyDescent="0.2">
      <c r="AM831" t="str">
        <f t="shared" si="12"/>
        <v>Auderghem (Oudergem)/Brussel (Bruxelles) [BEODE]</v>
      </c>
      <c r="AN831" t="s">
        <v>2255</v>
      </c>
      <c r="AO831" t="s">
        <v>2256</v>
      </c>
    </row>
    <row r="832" spans="39:41" ht="12" customHeight="1" x14ac:dyDescent="0.2">
      <c r="AM832" t="str">
        <f t="shared" si="12"/>
        <v>Audierne [FRAUD]</v>
      </c>
      <c r="AN832" t="s">
        <v>10758</v>
      </c>
      <c r="AO832" t="s">
        <v>10759</v>
      </c>
    </row>
    <row r="833" spans="39:41" ht="12" customHeight="1" x14ac:dyDescent="0.2">
      <c r="AM833" t="str">
        <f t="shared" si="12"/>
        <v>Audorf [DEAUO]</v>
      </c>
      <c r="AN833" t="s">
        <v>7030</v>
      </c>
      <c r="AO833" t="s">
        <v>7031</v>
      </c>
    </row>
    <row r="834" spans="39:41" ht="12" customHeight="1" x14ac:dyDescent="0.2">
      <c r="AM834" t="str">
        <f t="shared" ref="AM834:AM896" si="13">AO834 &amp; " [" &amp; AN834 &amp; "]"</f>
        <v>Audru [EEAUD]</v>
      </c>
      <c r="AN834" t="s">
        <v>36882</v>
      </c>
      <c r="AO834" t="s">
        <v>36883</v>
      </c>
    </row>
    <row r="835" spans="39:41" ht="12" customHeight="1" x14ac:dyDescent="0.2">
      <c r="AM835" t="str">
        <f t="shared" si="13"/>
        <v>Audruicq [FRAIQ]</v>
      </c>
      <c r="AN835" t="s">
        <v>10760</v>
      </c>
      <c r="AO835" t="s">
        <v>10761</v>
      </c>
    </row>
    <row r="836" spans="39:41" ht="12" customHeight="1" x14ac:dyDescent="0.2">
      <c r="AM836" t="str">
        <f t="shared" si="13"/>
        <v>Aughinish Island [IEAUG]</v>
      </c>
      <c r="AN836" t="s">
        <v>16721</v>
      </c>
      <c r="AO836" t="s">
        <v>16722</v>
      </c>
    </row>
    <row r="837" spans="39:41" ht="12" customHeight="1" x14ac:dyDescent="0.2">
      <c r="AM837" t="str">
        <f t="shared" si="13"/>
        <v>Augsburg [DEAGB]</v>
      </c>
      <c r="AN837" t="s">
        <v>7032</v>
      </c>
      <c r="AO837" t="s">
        <v>7033</v>
      </c>
    </row>
    <row r="838" spans="39:41" ht="12" customHeight="1" x14ac:dyDescent="0.2">
      <c r="AM838" t="str">
        <f t="shared" si="13"/>
        <v>Augusta [AUAGS]</v>
      </c>
      <c r="AN838" t="s">
        <v>1403</v>
      </c>
      <c r="AO838" t="s">
        <v>1404</v>
      </c>
    </row>
    <row r="839" spans="39:41" ht="12" customHeight="1" x14ac:dyDescent="0.2">
      <c r="AM839" t="str">
        <f t="shared" si="13"/>
        <v>Augusta [ITAUG]</v>
      </c>
      <c r="AN839" t="s">
        <v>17815</v>
      </c>
      <c r="AO839" t="s">
        <v>1404</v>
      </c>
    </row>
    <row r="840" spans="39:41" ht="12" customHeight="1" x14ac:dyDescent="0.2">
      <c r="AM840" t="str">
        <f t="shared" si="13"/>
        <v>Augusta [USVR9]</v>
      </c>
      <c r="AN840" t="s">
        <v>28884</v>
      </c>
      <c r="AO840" t="s">
        <v>1404</v>
      </c>
    </row>
    <row r="841" spans="39:41" ht="12" customHeight="1" x14ac:dyDescent="0.2">
      <c r="AM841" t="str">
        <f t="shared" si="13"/>
        <v>Augusta Springs [USVAU]</v>
      </c>
      <c r="AN841" t="s">
        <v>28885</v>
      </c>
      <c r="AO841" t="s">
        <v>28886</v>
      </c>
    </row>
    <row r="842" spans="39:41" ht="12" customHeight="1" x14ac:dyDescent="0.2">
      <c r="AM842" t="str">
        <f t="shared" si="13"/>
        <v>Augustenborg [DKAUB]</v>
      </c>
      <c r="AN842" t="s">
        <v>8618</v>
      </c>
      <c r="AO842" t="s">
        <v>8619</v>
      </c>
    </row>
    <row r="843" spans="39:41" ht="12" customHeight="1" x14ac:dyDescent="0.2">
      <c r="AM843" t="str">
        <f t="shared" si="13"/>
        <v>Augustfehn [DEAUG]</v>
      </c>
      <c r="AN843" t="s">
        <v>7034</v>
      </c>
      <c r="AO843" t="s">
        <v>7035</v>
      </c>
    </row>
    <row r="844" spans="39:41" ht="12" customHeight="1" x14ac:dyDescent="0.2">
      <c r="AM844" t="str">
        <f t="shared" si="13"/>
        <v>Auki, Malaita Is [SBAKS]</v>
      </c>
      <c r="AN844" t="s">
        <v>27435</v>
      </c>
      <c r="AO844" t="s">
        <v>27436</v>
      </c>
    </row>
    <row r="845" spans="39:41" ht="12" customHeight="1" x14ac:dyDescent="0.2">
      <c r="AM845" t="str">
        <f t="shared" si="13"/>
        <v>Aukra [NOAUK]</v>
      </c>
      <c r="AN845" t="s">
        <v>23863</v>
      </c>
      <c r="AO845" t="s">
        <v>23864</v>
      </c>
    </row>
    <row r="846" spans="39:41" ht="12" customHeight="1" x14ac:dyDescent="0.2">
      <c r="AM846" t="str">
        <f t="shared" si="13"/>
        <v>Aulendorf [DEAUL]</v>
      </c>
      <c r="AN846" t="s">
        <v>7036</v>
      </c>
      <c r="AO846" t="s">
        <v>7037</v>
      </c>
    </row>
    <row r="847" spans="39:41" ht="12" customHeight="1" x14ac:dyDescent="0.2">
      <c r="AM847" t="str">
        <f t="shared" si="13"/>
        <v>Aultbea [GBAUL]</v>
      </c>
      <c r="AN847" t="s">
        <v>12369</v>
      </c>
      <c r="AO847" t="s">
        <v>12370</v>
      </c>
    </row>
    <row r="848" spans="39:41" ht="12" customHeight="1" x14ac:dyDescent="0.2">
      <c r="AM848" t="str">
        <f t="shared" si="13"/>
        <v>Aura [GHAUR]</v>
      </c>
      <c r="AN848" t="s">
        <v>14952</v>
      </c>
      <c r="AO848" t="s">
        <v>14953</v>
      </c>
    </row>
    <row r="849" spans="39:41" ht="12" customHeight="1" x14ac:dyDescent="0.2">
      <c r="AM849" t="str">
        <f t="shared" si="13"/>
        <v>Aure [NOAUE]</v>
      </c>
      <c r="AN849" t="s">
        <v>23865</v>
      </c>
      <c r="AO849" t="s">
        <v>23866</v>
      </c>
    </row>
    <row r="850" spans="39:41" ht="12" customHeight="1" x14ac:dyDescent="0.2">
      <c r="AM850" t="str">
        <f t="shared" si="13"/>
        <v>Aurich [DEAUR]</v>
      </c>
      <c r="AN850" t="s">
        <v>7038</v>
      </c>
      <c r="AO850" t="s">
        <v>7039</v>
      </c>
    </row>
    <row r="851" spans="39:41" ht="12" customHeight="1" x14ac:dyDescent="0.2">
      <c r="AM851" t="str">
        <f t="shared" si="13"/>
        <v>Aurland [NOAUL]</v>
      </c>
      <c r="AN851" t="s">
        <v>23867</v>
      </c>
      <c r="AO851" t="s">
        <v>23868</v>
      </c>
    </row>
    <row r="852" spans="39:41" ht="12" customHeight="1" x14ac:dyDescent="0.2">
      <c r="AM852" t="str">
        <f t="shared" si="13"/>
        <v>Aurora [USYAO]</v>
      </c>
      <c r="AN852" t="s">
        <v>28887</v>
      </c>
      <c r="AO852" t="s">
        <v>28888</v>
      </c>
    </row>
    <row r="853" spans="39:41" ht="12" customHeight="1" x14ac:dyDescent="0.2">
      <c r="AM853" t="str">
        <f t="shared" si="13"/>
        <v>Austevoll [NOASV]</v>
      </c>
      <c r="AN853" t="s">
        <v>23869</v>
      </c>
      <c r="AO853" t="s">
        <v>23870</v>
      </c>
    </row>
    <row r="854" spans="39:41" ht="12" customHeight="1" x14ac:dyDescent="0.2">
      <c r="AM854" t="str">
        <f t="shared" si="13"/>
        <v>Australind [AUALI]</v>
      </c>
      <c r="AN854" t="s">
        <v>1405</v>
      </c>
      <c r="AO854" t="s">
        <v>1406</v>
      </c>
    </row>
    <row r="855" spans="39:41" ht="12" customHeight="1" x14ac:dyDescent="0.2">
      <c r="AM855" t="str">
        <f t="shared" si="13"/>
        <v>Austrheim [NOASH]</v>
      </c>
      <c r="AN855" t="s">
        <v>23871</v>
      </c>
      <c r="AO855" t="s">
        <v>23872</v>
      </c>
    </row>
    <row r="856" spans="39:41" ht="12" customHeight="1" x14ac:dyDescent="0.2">
      <c r="AM856" t="str">
        <f t="shared" si="13"/>
        <v>Austvika [NOAUS]</v>
      </c>
      <c r="AN856" t="s">
        <v>23873</v>
      </c>
      <c r="AO856" t="s">
        <v>23874</v>
      </c>
    </row>
    <row r="857" spans="39:41" ht="12" customHeight="1" x14ac:dyDescent="0.2">
      <c r="AM857" t="str">
        <f t="shared" si="13"/>
        <v>Autaugaville [USAGV]</v>
      </c>
      <c r="AN857" t="s">
        <v>28889</v>
      </c>
      <c r="AO857" t="s">
        <v>28890</v>
      </c>
    </row>
    <row r="858" spans="39:41" ht="12" customHeight="1" x14ac:dyDescent="0.2">
      <c r="AM858" t="str">
        <f t="shared" si="13"/>
        <v>Auti [PFAUT]</v>
      </c>
      <c r="AN858" t="s">
        <v>25318</v>
      </c>
      <c r="AO858" t="s">
        <v>25319</v>
      </c>
    </row>
    <row r="859" spans="39:41" ht="12" customHeight="1" x14ac:dyDescent="0.2">
      <c r="AM859" t="str">
        <f t="shared" si="13"/>
        <v>Auvelais [BEAVS]</v>
      </c>
      <c r="AN859" t="s">
        <v>2257</v>
      </c>
      <c r="AO859" t="s">
        <v>2258</v>
      </c>
    </row>
    <row r="860" spans="39:41" ht="12" customHeight="1" x14ac:dyDescent="0.2">
      <c r="AM860" t="str">
        <f t="shared" si="13"/>
        <v>Auvers-sur-Oise [FRAEO]</v>
      </c>
      <c r="AN860" t="s">
        <v>10762</v>
      </c>
      <c r="AO860" t="s">
        <v>10763</v>
      </c>
    </row>
    <row r="861" spans="39:41" ht="12" customHeight="1" x14ac:dyDescent="0.2">
      <c r="AM861" t="str">
        <f t="shared" si="13"/>
        <v>Auxerre [FRAUF]</v>
      </c>
      <c r="AN861" t="s">
        <v>10764</v>
      </c>
      <c r="AO861" t="s">
        <v>10765</v>
      </c>
    </row>
    <row r="862" spans="39:41" ht="12" customHeight="1" x14ac:dyDescent="0.2">
      <c r="AM862" t="str">
        <f t="shared" si="13"/>
        <v>Avaldsnes [NOAVA]</v>
      </c>
      <c r="AN862" t="s">
        <v>23875</v>
      </c>
      <c r="AO862" t="s">
        <v>23876</v>
      </c>
    </row>
    <row r="863" spans="39:41" ht="12" customHeight="1" x14ac:dyDescent="0.2">
      <c r="AM863" t="str">
        <f t="shared" si="13"/>
        <v>Avalon [USAOU]</v>
      </c>
      <c r="AN863" t="s">
        <v>28891</v>
      </c>
      <c r="AO863" t="s">
        <v>28892</v>
      </c>
    </row>
    <row r="864" spans="39:41" ht="12" customHeight="1" x14ac:dyDescent="0.2">
      <c r="AM864" t="str">
        <f t="shared" si="13"/>
        <v>Avedore [DKVRE]</v>
      </c>
      <c r="AN864" t="s">
        <v>8620</v>
      </c>
      <c r="AO864" t="s">
        <v>8621</v>
      </c>
    </row>
    <row r="865" spans="39:41" ht="12" customHeight="1" x14ac:dyDescent="0.2">
      <c r="AM865" t="str">
        <f t="shared" si="13"/>
        <v>Avedorevarkets Havn [DKAVE]</v>
      </c>
      <c r="AN865" t="s">
        <v>8622</v>
      </c>
      <c r="AO865" t="s">
        <v>35526</v>
      </c>
    </row>
    <row r="866" spans="39:41" ht="12" customHeight="1" x14ac:dyDescent="0.2">
      <c r="AM866" t="str">
        <f t="shared" si="13"/>
        <v>Aveiro [PTAVE]</v>
      </c>
      <c r="AN866" t="s">
        <v>26450</v>
      </c>
      <c r="AO866" t="s">
        <v>26451</v>
      </c>
    </row>
    <row r="867" spans="39:41" ht="12" customHeight="1" x14ac:dyDescent="0.2">
      <c r="AM867" t="str">
        <f t="shared" si="13"/>
        <v>Avelgem [BEAVL]</v>
      </c>
      <c r="AN867" t="s">
        <v>2259</v>
      </c>
      <c r="AO867" t="s">
        <v>2260</v>
      </c>
    </row>
    <row r="868" spans="39:41" ht="12" customHeight="1" x14ac:dyDescent="0.2">
      <c r="AM868" t="str">
        <f t="shared" si="13"/>
        <v>Averill Park [USAV9]</v>
      </c>
      <c r="AN868" t="s">
        <v>28893</v>
      </c>
      <c r="AO868" t="s">
        <v>28894</v>
      </c>
    </row>
    <row r="869" spans="39:41" ht="12" customHeight="1" x14ac:dyDescent="0.2">
      <c r="AM869" t="str">
        <f t="shared" si="13"/>
        <v>Avernak By [DKAVK]</v>
      </c>
      <c r="AN869" t="s">
        <v>8623</v>
      </c>
      <c r="AO869" t="s">
        <v>8624</v>
      </c>
    </row>
    <row r="870" spans="39:41" ht="12" customHeight="1" x14ac:dyDescent="0.2">
      <c r="AM870" t="str">
        <f t="shared" si="13"/>
        <v>Avernakke Havn [DKAVN]</v>
      </c>
      <c r="AN870" t="s">
        <v>8625</v>
      </c>
      <c r="AO870" t="s">
        <v>8626</v>
      </c>
    </row>
    <row r="871" spans="39:41" ht="12" customHeight="1" x14ac:dyDescent="0.2">
      <c r="AM871" t="str">
        <f t="shared" si="13"/>
        <v>Averoy [NOAVE]</v>
      </c>
      <c r="AN871" t="s">
        <v>23877</v>
      </c>
      <c r="AO871" t="s">
        <v>36130</v>
      </c>
    </row>
    <row r="872" spans="39:41" ht="12" customHeight="1" x14ac:dyDescent="0.2">
      <c r="AM872" t="str">
        <f t="shared" si="13"/>
        <v>Avignon [FRAVN]</v>
      </c>
      <c r="AN872" t="s">
        <v>10766</v>
      </c>
      <c r="AO872" t="s">
        <v>10767</v>
      </c>
    </row>
    <row r="873" spans="39:41" ht="12" customHeight="1" x14ac:dyDescent="0.2">
      <c r="AM873" t="str">
        <f t="shared" si="13"/>
        <v>Aviles [ESAVS]</v>
      </c>
      <c r="AN873" t="s">
        <v>9598</v>
      </c>
      <c r="AO873" t="s">
        <v>9599</v>
      </c>
    </row>
    <row r="874" spans="39:41" ht="12" customHeight="1" x14ac:dyDescent="0.2">
      <c r="AM874" t="str">
        <f t="shared" si="13"/>
        <v>Avinyo [ESUNY]</v>
      </c>
      <c r="AN874" t="s">
        <v>9600</v>
      </c>
      <c r="AO874" t="s">
        <v>35660</v>
      </c>
    </row>
    <row r="875" spans="39:41" ht="12" customHeight="1" x14ac:dyDescent="0.2">
      <c r="AM875" t="str">
        <f t="shared" si="13"/>
        <v>Avlida [GRAVA]</v>
      </c>
      <c r="AN875" t="s">
        <v>34085</v>
      </c>
      <c r="AO875" t="s">
        <v>34131</v>
      </c>
    </row>
    <row r="876" spans="39:41" ht="12" customHeight="1" x14ac:dyDescent="0.2">
      <c r="AM876" t="str">
        <f t="shared" si="13"/>
        <v>Avoch [GBAVC]</v>
      </c>
      <c r="AN876" t="s">
        <v>12371</v>
      </c>
      <c r="AO876" t="s">
        <v>12372</v>
      </c>
    </row>
    <row r="877" spans="39:41" ht="12" customHeight="1" x14ac:dyDescent="0.2">
      <c r="AM877" t="str">
        <f t="shared" si="13"/>
        <v>Avola [ITAVO]</v>
      </c>
      <c r="AN877" t="s">
        <v>17816</v>
      </c>
      <c r="AO877" t="s">
        <v>17817</v>
      </c>
    </row>
    <row r="878" spans="39:41" ht="12" customHeight="1" x14ac:dyDescent="0.2">
      <c r="AM878" t="str">
        <f t="shared" si="13"/>
        <v>Avon [USANW]</v>
      </c>
      <c r="AN878" t="s">
        <v>28895</v>
      </c>
      <c r="AO878" t="s">
        <v>28896</v>
      </c>
    </row>
    <row r="879" spans="39:41" ht="12" customHeight="1" x14ac:dyDescent="0.2">
      <c r="AM879" t="str">
        <f t="shared" si="13"/>
        <v>Avondale [CAAVO]</v>
      </c>
      <c r="AN879" t="s">
        <v>3542</v>
      </c>
      <c r="AO879" t="s">
        <v>3543</v>
      </c>
    </row>
    <row r="880" spans="39:41" ht="12" customHeight="1" x14ac:dyDescent="0.2">
      <c r="AM880" t="str">
        <f t="shared" si="13"/>
        <v>Avondale [USAVD]</v>
      </c>
      <c r="AN880" t="s">
        <v>28897</v>
      </c>
      <c r="AO880" t="s">
        <v>3543</v>
      </c>
    </row>
    <row r="881" spans="39:41" ht="12" customHeight="1" x14ac:dyDescent="0.2">
      <c r="AM881" t="str">
        <f t="shared" si="13"/>
        <v>Avonmouth [GBAVO]</v>
      </c>
      <c r="AN881" t="s">
        <v>12373</v>
      </c>
      <c r="AO881" t="s">
        <v>12374</v>
      </c>
    </row>
    <row r="882" spans="39:41" ht="12" customHeight="1" x14ac:dyDescent="0.2">
      <c r="AM882" t="str">
        <f t="shared" si="13"/>
        <v>Avonport [CAAVP]</v>
      </c>
      <c r="AN882" t="s">
        <v>3544</v>
      </c>
      <c r="AO882" t="s">
        <v>3545</v>
      </c>
    </row>
    <row r="883" spans="39:41" ht="12" customHeight="1" x14ac:dyDescent="0.2">
      <c r="AM883" t="str">
        <f t="shared" si="13"/>
        <v>Awa [JPAWA]</v>
      </c>
      <c r="AN883" t="s">
        <v>18641</v>
      </c>
      <c r="AO883" t="s">
        <v>18642</v>
      </c>
    </row>
    <row r="884" spans="39:41" ht="12" customHeight="1" x14ac:dyDescent="0.2">
      <c r="AM884" t="str">
        <f t="shared" si="13"/>
        <v>Awajikoryunotsubasa [JPTBS]</v>
      </c>
      <c r="AN884" t="s">
        <v>18643</v>
      </c>
      <c r="AO884" t="s">
        <v>18644</v>
      </c>
    </row>
    <row r="885" spans="39:41" ht="12" customHeight="1" x14ac:dyDescent="0.2">
      <c r="AM885" t="str">
        <f t="shared" si="13"/>
        <v>Awano [JPYYA]</v>
      </c>
      <c r="AN885" t="s">
        <v>18645</v>
      </c>
      <c r="AO885" t="s">
        <v>18646</v>
      </c>
    </row>
    <row r="886" spans="39:41" ht="12" customHeight="1" x14ac:dyDescent="0.2">
      <c r="AM886" t="str">
        <f t="shared" si="13"/>
        <v>Awashima [JPAWS]</v>
      </c>
      <c r="AN886" t="s">
        <v>18647</v>
      </c>
      <c r="AO886" t="s">
        <v>18648</v>
      </c>
    </row>
    <row r="887" spans="39:41" ht="12" customHeight="1" x14ac:dyDescent="0.2">
      <c r="AM887" t="str">
        <f t="shared" si="13"/>
        <v>Awashimanishi [JPAWM]</v>
      </c>
      <c r="AN887" t="s">
        <v>18649</v>
      </c>
      <c r="AO887" t="s">
        <v>18650</v>
      </c>
    </row>
    <row r="888" spans="39:41" ht="12" customHeight="1" x14ac:dyDescent="0.2">
      <c r="AM888" t="str">
        <f t="shared" si="13"/>
        <v>Awazu [JPAWZ]</v>
      </c>
      <c r="AN888" t="s">
        <v>18651</v>
      </c>
      <c r="AO888" t="s">
        <v>18652</v>
      </c>
    </row>
    <row r="889" spans="39:41" ht="12" customHeight="1" x14ac:dyDescent="0.2">
      <c r="AM889" t="str">
        <f t="shared" si="13"/>
        <v>Awirs [BEW5R]</v>
      </c>
      <c r="AN889" t="s">
        <v>2261</v>
      </c>
      <c r="AO889" t="s">
        <v>2262</v>
      </c>
    </row>
    <row r="890" spans="39:41" ht="12" customHeight="1" x14ac:dyDescent="0.2">
      <c r="AM890" t="str">
        <f t="shared" si="13"/>
        <v>Axim [GHAXI]</v>
      </c>
      <c r="AN890" t="s">
        <v>14954</v>
      </c>
      <c r="AO890" t="s">
        <v>14955</v>
      </c>
    </row>
    <row r="891" spans="39:41" ht="12" customHeight="1" x14ac:dyDescent="0.2">
      <c r="AM891" t="str">
        <f t="shared" si="13"/>
        <v>Axmouth [GBAXO]</v>
      </c>
      <c r="AN891" t="s">
        <v>12375</v>
      </c>
      <c r="AO891" t="s">
        <v>12376</v>
      </c>
    </row>
    <row r="892" spans="39:41" ht="12" customHeight="1" x14ac:dyDescent="0.2">
      <c r="AM892" t="str">
        <f t="shared" si="13"/>
        <v>Ay [FRAYW]</v>
      </c>
      <c r="AN892" t="s">
        <v>10768</v>
      </c>
      <c r="AO892" t="s">
        <v>10769</v>
      </c>
    </row>
    <row r="893" spans="39:41" ht="12" customHeight="1" x14ac:dyDescent="0.2">
      <c r="AM893" t="str">
        <f t="shared" si="13"/>
        <v>Ayacara [CLAYA]</v>
      </c>
      <c r="AN893" t="s">
        <v>4819</v>
      </c>
      <c r="AO893" t="s">
        <v>4820</v>
      </c>
    </row>
    <row r="894" spans="39:41" ht="12" customHeight="1" x14ac:dyDescent="0.2">
      <c r="AM894" t="str">
        <f t="shared" si="13"/>
        <v>Ayamonte [ESAYA]</v>
      </c>
      <c r="AN894" t="s">
        <v>9601</v>
      </c>
      <c r="AO894" t="s">
        <v>9602</v>
      </c>
    </row>
    <row r="895" spans="39:41" ht="12" customHeight="1" x14ac:dyDescent="0.2">
      <c r="AM895" t="str">
        <f t="shared" si="13"/>
        <v>Ayancik [TRAYA]</v>
      </c>
      <c r="AN895" t="s">
        <v>28405</v>
      </c>
      <c r="AO895" t="s">
        <v>28406</v>
      </c>
    </row>
    <row r="896" spans="39:41" ht="12" customHeight="1" x14ac:dyDescent="0.2">
      <c r="AM896" t="str">
        <f t="shared" si="13"/>
        <v>Aycliffe [GBAYF]</v>
      </c>
      <c r="AN896" t="s">
        <v>12377</v>
      </c>
      <c r="AO896" t="s">
        <v>12378</v>
      </c>
    </row>
    <row r="897" spans="39:41" ht="12" customHeight="1" x14ac:dyDescent="0.2">
      <c r="AM897" t="str">
        <f t="shared" ref="AM897:AM960" si="14">AO897 &amp; " [" &amp; AN897 &amp; "]"</f>
        <v>Ayegui [ESNAA]</v>
      </c>
      <c r="AN897" t="s">
        <v>9603</v>
      </c>
      <c r="AO897" t="s">
        <v>9604</v>
      </c>
    </row>
    <row r="898" spans="39:41" ht="12" customHeight="1" x14ac:dyDescent="0.2">
      <c r="AM898" t="str">
        <f t="shared" si="14"/>
        <v>Ayora [ESAYR]</v>
      </c>
      <c r="AN898" t="s">
        <v>9605</v>
      </c>
      <c r="AO898" t="s">
        <v>9606</v>
      </c>
    </row>
    <row r="899" spans="39:41" ht="12" customHeight="1" x14ac:dyDescent="0.2">
      <c r="AM899" t="str">
        <f t="shared" si="14"/>
        <v>Ayr [GBAYR]</v>
      </c>
      <c r="AN899" t="s">
        <v>12379</v>
      </c>
      <c r="AO899" t="s">
        <v>12380</v>
      </c>
    </row>
    <row r="900" spans="39:41" ht="12" customHeight="1" x14ac:dyDescent="0.2">
      <c r="AM900" t="str">
        <f t="shared" si="14"/>
        <v>Aytre [FRAYT]</v>
      </c>
      <c r="AN900" t="s">
        <v>10770</v>
      </c>
      <c r="AO900" t="s">
        <v>35776</v>
      </c>
    </row>
    <row r="901" spans="39:41" ht="12" customHeight="1" x14ac:dyDescent="0.2">
      <c r="AM901" t="str">
        <f t="shared" si="14"/>
        <v>Ayukawa [JPAYU]</v>
      </c>
      <c r="AN901" t="s">
        <v>18653</v>
      </c>
      <c r="AO901" t="s">
        <v>18654</v>
      </c>
    </row>
    <row r="902" spans="39:41" ht="12" customHeight="1" x14ac:dyDescent="0.2">
      <c r="AM902" t="str">
        <f t="shared" si="14"/>
        <v>Ayvalik [TRAYV]</v>
      </c>
      <c r="AN902" t="s">
        <v>28407</v>
      </c>
      <c r="AO902" t="s">
        <v>28408</v>
      </c>
    </row>
    <row r="903" spans="39:41" ht="12" customHeight="1" x14ac:dyDescent="0.2">
      <c r="AM903" t="str">
        <f t="shared" si="14"/>
        <v>Az Zawiyah [LYZAW]</v>
      </c>
      <c r="AN903" t="s">
        <v>21973</v>
      </c>
      <c r="AO903" t="s">
        <v>21974</v>
      </c>
    </row>
    <row r="904" spans="39:41" ht="12" customHeight="1" x14ac:dyDescent="0.2">
      <c r="AM904" t="str">
        <f t="shared" si="14"/>
        <v>Azako [JPAKW]</v>
      </c>
      <c r="AN904" t="s">
        <v>18655</v>
      </c>
      <c r="AO904" t="s">
        <v>18656</v>
      </c>
    </row>
    <row r="905" spans="39:41" ht="12" customHeight="1" x14ac:dyDescent="0.2">
      <c r="AM905" t="str">
        <f t="shared" si="14"/>
        <v>Azemmour [MAAZE]</v>
      </c>
      <c r="AN905" t="s">
        <v>22028</v>
      </c>
      <c r="AO905" t="s">
        <v>22029</v>
      </c>
    </row>
    <row r="906" spans="39:41" ht="12" customHeight="1" x14ac:dyDescent="0.2">
      <c r="AM906" t="str">
        <f t="shared" si="14"/>
        <v>Azenhas do Mar [PTAZM]</v>
      </c>
      <c r="AN906" t="s">
        <v>26452</v>
      </c>
      <c r="AO906" t="s">
        <v>26453</v>
      </c>
    </row>
    <row r="907" spans="39:41" ht="12" customHeight="1" x14ac:dyDescent="0.2">
      <c r="AM907" t="str">
        <f t="shared" si="14"/>
        <v>Azhikkal [INAZK]</v>
      </c>
      <c r="AN907" t="s">
        <v>17012</v>
      </c>
      <c r="AO907" t="s">
        <v>17013</v>
      </c>
    </row>
    <row r="908" spans="39:41" ht="12" customHeight="1" x14ac:dyDescent="0.2">
      <c r="AM908" t="str">
        <f t="shared" si="14"/>
        <v>Azille [FRZLE]</v>
      </c>
      <c r="AN908" t="s">
        <v>10771</v>
      </c>
      <c r="AO908" t="s">
        <v>10772</v>
      </c>
    </row>
    <row r="909" spans="39:41" ht="12" customHeight="1" x14ac:dyDescent="0.2">
      <c r="AM909" t="str">
        <f t="shared" si="14"/>
        <v>Azle [USAZL]</v>
      </c>
      <c r="AN909" t="s">
        <v>28898</v>
      </c>
      <c r="AO909" t="s">
        <v>28899</v>
      </c>
    </row>
    <row r="910" spans="39:41" ht="12" customHeight="1" x14ac:dyDescent="0.2">
      <c r="AM910" t="str">
        <f t="shared" si="14"/>
        <v>Azov [RUAZO]</v>
      </c>
      <c r="AN910" t="s">
        <v>26879</v>
      </c>
      <c r="AO910" t="s">
        <v>26880</v>
      </c>
    </row>
    <row r="911" spans="39:41" ht="12" customHeight="1" x14ac:dyDescent="0.2">
      <c r="AM911" t="str">
        <f t="shared" si="14"/>
        <v>Azu [JPAZU]</v>
      </c>
      <c r="AN911" t="s">
        <v>18657</v>
      </c>
      <c r="AO911" t="s">
        <v>18658</v>
      </c>
    </row>
    <row r="912" spans="39:41" ht="12" customHeight="1" x14ac:dyDescent="0.2">
      <c r="AM912" t="str">
        <f t="shared" si="14"/>
        <v>Azua [DOAZU]</v>
      </c>
      <c r="AN912" t="s">
        <v>8981</v>
      </c>
      <c r="AO912" t="s">
        <v>8982</v>
      </c>
    </row>
    <row r="913" spans="39:41" ht="12" customHeight="1" x14ac:dyDescent="0.2">
      <c r="AM913" t="str">
        <f t="shared" si="14"/>
        <v>Azurite [CGAZR]</v>
      </c>
      <c r="AN913" t="s">
        <v>4631</v>
      </c>
      <c r="AO913" t="s">
        <v>4632</v>
      </c>
    </row>
    <row r="914" spans="39:41" ht="12" customHeight="1" x14ac:dyDescent="0.2">
      <c r="AM914" t="str">
        <f t="shared" si="14"/>
        <v>B &amp; I Ferryport [IEBIF]</v>
      </c>
      <c r="AN914" t="s">
        <v>16723</v>
      </c>
      <c r="AO914" t="s">
        <v>16724</v>
      </c>
    </row>
    <row r="915" spans="39:41" ht="12" customHeight="1" x14ac:dyDescent="0.2">
      <c r="AM915" t="str">
        <f t="shared" si="14"/>
        <v>B &amp; I Terminal [IEBIT]</v>
      </c>
      <c r="AN915" t="s">
        <v>16725</v>
      </c>
      <c r="AO915" t="s">
        <v>16726</v>
      </c>
    </row>
    <row r="916" spans="39:41" ht="12" customHeight="1" x14ac:dyDescent="0.2">
      <c r="AM916" t="str">
        <f t="shared" si="14"/>
        <v>B12 Oil Terminal [VNOTW]</v>
      </c>
      <c r="AN916" t="s">
        <v>32295</v>
      </c>
      <c r="AO916" t="s">
        <v>32296</v>
      </c>
    </row>
    <row r="917" spans="39:41" ht="12" customHeight="1" x14ac:dyDescent="0.2">
      <c r="AM917" t="str">
        <f t="shared" si="14"/>
        <v>Ba Ngoi [VNBNO]</v>
      </c>
      <c r="AN917" t="s">
        <v>32297</v>
      </c>
      <c r="AO917" t="s">
        <v>32298</v>
      </c>
    </row>
    <row r="918" spans="39:41" ht="12" customHeight="1" x14ac:dyDescent="0.2">
      <c r="AM918" t="str">
        <f t="shared" si="14"/>
        <v>Baa Atoll [MVBAL]</v>
      </c>
      <c r="AN918" t="s">
        <v>34182</v>
      </c>
      <c r="AO918" t="s">
        <v>34256</v>
      </c>
    </row>
    <row r="919" spans="39:41" ht="12" customHeight="1" x14ac:dyDescent="0.2">
      <c r="AM919" t="str">
        <f t="shared" si="14"/>
        <v>Baago [DKBGO]</v>
      </c>
      <c r="AN919" t="s">
        <v>8627</v>
      </c>
      <c r="AO919" t="s">
        <v>35527</v>
      </c>
    </row>
    <row r="920" spans="39:41" ht="12" customHeight="1" x14ac:dyDescent="0.2">
      <c r="AM920" t="str">
        <f t="shared" si="14"/>
        <v>Baambrugge [NLBGE]</v>
      </c>
      <c r="AN920" t="s">
        <v>23034</v>
      </c>
      <c r="AO920" t="s">
        <v>23035</v>
      </c>
    </row>
    <row r="921" spans="39:41" ht="12" customHeight="1" x14ac:dyDescent="0.2">
      <c r="AM921" t="str">
        <f t="shared" si="14"/>
        <v>Baarland [NLBRA]</v>
      </c>
      <c r="AN921" t="s">
        <v>23036</v>
      </c>
      <c r="AO921" t="s">
        <v>23037</v>
      </c>
    </row>
    <row r="922" spans="39:41" ht="12" customHeight="1" x14ac:dyDescent="0.2">
      <c r="AM922" t="str">
        <f t="shared" si="14"/>
        <v>Baasrode [BEBSR]</v>
      </c>
      <c r="AN922" t="s">
        <v>2263</v>
      </c>
      <c r="AO922" t="s">
        <v>2264</v>
      </c>
    </row>
    <row r="923" spans="39:41" ht="12" customHeight="1" x14ac:dyDescent="0.2">
      <c r="AM923" t="str">
        <f t="shared" si="14"/>
        <v>Baba [AOBAB]</v>
      </c>
      <c r="AN923" t="s">
        <v>828</v>
      </c>
      <c r="AO923" t="s">
        <v>829</v>
      </c>
    </row>
    <row r="924" spans="39:41" ht="12" customHeight="1" x14ac:dyDescent="0.2">
      <c r="AM924" t="str">
        <f t="shared" si="14"/>
        <v>Baba Point [TRBBP]</v>
      </c>
      <c r="AN924" t="s">
        <v>28409</v>
      </c>
      <c r="AO924" t="s">
        <v>28410</v>
      </c>
    </row>
    <row r="925" spans="39:41" ht="12" customHeight="1" x14ac:dyDescent="0.2">
      <c r="AM925" t="str">
        <f t="shared" si="14"/>
        <v>Babato/Dadiangas [PHBAB]</v>
      </c>
      <c r="AN925" t="s">
        <v>25534</v>
      </c>
      <c r="AO925" t="s">
        <v>25535</v>
      </c>
    </row>
    <row r="926" spans="39:41" ht="12" customHeight="1" x14ac:dyDescent="0.2">
      <c r="AM926" t="str">
        <f t="shared" si="14"/>
        <v>Babelsberg [DEAEB]</v>
      </c>
      <c r="AN926" t="s">
        <v>7040</v>
      </c>
      <c r="AO926" t="s">
        <v>7041</v>
      </c>
    </row>
    <row r="927" spans="39:41" ht="12" customHeight="1" x14ac:dyDescent="0.2">
      <c r="AM927" t="str">
        <f t="shared" si="14"/>
        <v>Babelsberg [DEASR]</v>
      </c>
      <c r="AN927" t="s">
        <v>7042</v>
      </c>
      <c r="AO927" t="s">
        <v>7041</v>
      </c>
    </row>
    <row r="928" spans="39:41" ht="12" customHeight="1" x14ac:dyDescent="0.2">
      <c r="AM928" t="str">
        <f t="shared" si="14"/>
        <v>Babice [CZBBC]</v>
      </c>
      <c r="AN928" t="s">
        <v>6777</v>
      </c>
      <c r="AO928" t="s">
        <v>6778</v>
      </c>
    </row>
    <row r="929" spans="39:41" ht="12" customHeight="1" x14ac:dyDescent="0.2">
      <c r="AM929" t="str">
        <f t="shared" si="14"/>
        <v>Bacaicoa [ESB8C]</v>
      </c>
      <c r="AN929" t="s">
        <v>9607</v>
      </c>
      <c r="AO929" t="s">
        <v>35661</v>
      </c>
    </row>
    <row r="930" spans="39:41" ht="12" customHeight="1" x14ac:dyDescent="0.2">
      <c r="AM930" t="str">
        <f t="shared" si="14"/>
        <v>Bacao [CNBCO]</v>
      </c>
      <c r="AN930" t="s">
        <v>5028</v>
      </c>
      <c r="AO930" t="s">
        <v>5029</v>
      </c>
    </row>
    <row r="931" spans="39:41" ht="12" customHeight="1" x14ac:dyDescent="0.2">
      <c r="AM931" t="str">
        <f t="shared" si="14"/>
        <v>Bach Ho [VNBHO]</v>
      </c>
      <c r="AN931" t="s">
        <v>32299</v>
      </c>
      <c r="AO931" t="s">
        <v>32300</v>
      </c>
    </row>
    <row r="932" spans="39:41" ht="12" customHeight="1" x14ac:dyDescent="0.2">
      <c r="AM932" t="str">
        <f t="shared" si="14"/>
        <v>Bachaquero/Maracaibo L [VEBAV]</v>
      </c>
      <c r="AN932" t="s">
        <v>32152</v>
      </c>
      <c r="AO932" t="s">
        <v>32153</v>
      </c>
    </row>
    <row r="933" spans="39:41" ht="12" customHeight="1" x14ac:dyDescent="0.2">
      <c r="AM933" t="str">
        <f t="shared" si="14"/>
        <v>Bacharach [DEDCH]</v>
      </c>
      <c r="AN933" t="s">
        <v>7043</v>
      </c>
      <c r="AO933" t="s">
        <v>7044</v>
      </c>
    </row>
    <row r="934" spans="39:41" ht="12" customHeight="1" x14ac:dyDescent="0.2">
      <c r="AM934" t="str">
        <f t="shared" si="14"/>
        <v>Back [GBACB]</v>
      </c>
      <c r="AN934" t="s">
        <v>12381</v>
      </c>
      <c r="AO934" t="s">
        <v>12382</v>
      </c>
    </row>
    <row r="935" spans="39:41" ht="12" customHeight="1" x14ac:dyDescent="0.2">
      <c r="AM935" t="str">
        <f t="shared" si="14"/>
        <v>Backa Palanka [RSBPA]</v>
      </c>
      <c r="AN935" t="s">
        <v>26834</v>
      </c>
      <c r="AO935" t="s">
        <v>26835</v>
      </c>
    </row>
    <row r="936" spans="39:41" ht="12" customHeight="1" x14ac:dyDescent="0.2">
      <c r="AM936" t="str">
        <f t="shared" si="14"/>
        <v>Backaland, Eday [GBBKC]</v>
      </c>
      <c r="AN936" t="s">
        <v>12383</v>
      </c>
      <c r="AO936" t="s">
        <v>12384</v>
      </c>
    </row>
    <row r="937" spans="39:41" ht="12" customHeight="1" x14ac:dyDescent="0.2">
      <c r="AM937" t="str">
        <f t="shared" si="14"/>
        <v>Backviken [SEBAC]</v>
      </c>
      <c r="AN937" t="s">
        <v>27503</v>
      </c>
      <c r="AO937" t="s">
        <v>36419</v>
      </c>
    </row>
    <row r="938" spans="39:41" ht="12" customHeight="1" x14ac:dyDescent="0.2">
      <c r="AM938" t="str">
        <f t="shared" si="14"/>
        <v>Bacolod, Negros [PHBCD]</v>
      </c>
      <c r="AN938" t="s">
        <v>25536</v>
      </c>
      <c r="AO938" t="s">
        <v>25537</v>
      </c>
    </row>
    <row r="939" spans="39:41" ht="12" customHeight="1" x14ac:dyDescent="0.2">
      <c r="AM939" t="str">
        <f t="shared" si="14"/>
        <v>Bacon/Legaspi [PHBCO]</v>
      </c>
      <c r="AN939" t="s">
        <v>25538</v>
      </c>
      <c r="AO939" t="s">
        <v>25539</v>
      </c>
    </row>
    <row r="940" spans="39:41" ht="12" customHeight="1" x14ac:dyDescent="0.2">
      <c r="AM940" t="str">
        <f t="shared" si="14"/>
        <v>Bacong [PHBAC]</v>
      </c>
      <c r="AN940" t="s">
        <v>25540</v>
      </c>
      <c r="AO940" t="s">
        <v>25541</v>
      </c>
    </row>
    <row r="941" spans="39:41" ht="12" customHeight="1" x14ac:dyDescent="0.2">
      <c r="AM941" t="str">
        <f t="shared" si="14"/>
        <v>Baculin/Mati [PHBCU]</v>
      </c>
      <c r="AN941" t="s">
        <v>25542</v>
      </c>
      <c r="AO941" t="s">
        <v>25543</v>
      </c>
    </row>
    <row r="942" spans="39:41" ht="12" customHeight="1" x14ac:dyDescent="0.2">
      <c r="AM942" t="str">
        <f t="shared" si="14"/>
        <v>Bad Bevensen [DEBBV]</v>
      </c>
      <c r="AN942" t="s">
        <v>7045</v>
      </c>
      <c r="AO942" t="s">
        <v>7046</v>
      </c>
    </row>
    <row r="943" spans="39:41" ht="12" customHeight="1" x14ac:dyDescent="0.2">
      <c r="AM943" t="str">
        <f t="shared" si="14"/>
        <v>Bad Durrenberg [DEUBG]</v>
      </c>
      <c r="AN943" t="s">
        <v>7047</v>
      </c>
      <c r="AO943" t="s">
        <v>35413</v>
      </c>
    </row>
    <row r="944" spans="39:41" ht="12" customHeight="1" x14ac:dyDescent="0.2">
      <c r="AM944" t="str">
        <f t="shared" si="14"/>
        <v>Bad Durrheim [DERHX]</v>
      </c>
      <c r="AN944" t="s">
        <v>7048</v>
      </c>
      <c r="AO944" t="s">
        <v>7049</v>
      </c>
    </row>
    <row r="945" spans="39:41" ht="12" customHeight="1" x14ac:dyDescent="0.2">
      <c r="AM945" t="str">
        <f t="shared" si="14"/>
        <v>Bad Essen [DEBES]</v>
      </c>
      <c r="AN945" t="s">
        <v>7050</v>
      </c>
      <c r="AO945" t="s">
        <v>7051</v>
      </c>
    </row>
    <row r="946" spans="39:41" ht="12" customHeight="1" x14ac:dyDescent="0.2">
      <c r="AM946" t="str">
        <f t="shared" si="14"/>
        <v>Bad Friedrichshall [DEBFH]</v>
      </c>
      <c r="AN946" t="s">
        <v>7052</v>
      </c>
      <c r="AO946" t="s">
        <v>7053</v>
      </c>
    </row>
    <row r="947" spans="39:41" ht="12" customHeight="1" x14ac:dyDescent="0.2">
      <c r="AM947" t="str">
        <f t="shared" si="14"/>
        <v>Bad Godesberg [DEBGO]</v>
      </c>
      <c r="AN947" t="s">
        <v>7054</v>
      </c>
      <c r="AO947" t="s">
        <v>7055</v>
      </c>
    </row>
    <row r="948" spans="39:41" ht="12" customHeight="1" x14ac:dyDescent="0.2">
      <c r="AM948" t="str">
        <f t="shared" si="14"/>
        <v>Bad Hersfeld [DEBHE]</v>
      </c>
      <c r="AN948" t="s">
        <v>7056</v>
      </c>
      <c r="AO948" t="s">
        <v>7057</v>
      </c>
    </row>
    <row r="949" spans="39:41" ht="12" customHeight="1" x14ac:dyDescent="0.2">
      <c r="AM949" t="str">
        <f t="shared" si="14"/>
        <v>Bad Oeynhausen [DEBOY]</v>
      </c>
      <c r="AN949" t="s">
        <v>7058</v>
      </c>
      <c r="AO949" t="s">
        <v>7059</v>
      </c>
    </row>
    <row r="950" spans="39:41" ht="12" customHeight="1" x14ac:dyDescent="0.2">
      <c r="AM950" t="str">
        <f t="shared" si="14"/>
        <v>Bad Ragaz [CHBRZ]</v>
      </c>
      <c r="AN950" t="s">
        <v>4648</v>
      </c>
      <c r="AO950" t="s">
        <v>4649</v>
      </c>
    </row>
    <row r="951" spans="39:41" ht="12" customHeight="1" x14ac:dyDescent="0.2">
      <c r="AM951" t="str">
        <f t="shared" si="14"/>
        <v>Bad Sackingen [DEBSA]</v>
      </c>
      <c r="AN951" t="s">
        <v>7060</v>
      </c>
      <c r="AO951" t="s">
        <v>35414</v>
      </c>
    </row>
    <row r="952" spans="39:41" ht="12" customHeight="1" x14ac:dyDescent="0.2">
      <c r="AM952" t="str">
        <f t="shared" si="14"/>
        <v>Bad Schandau [DEBDS]</v>
      </c>
      <c r="AN952" t="s">
        <v>7061</v>
      </c>
      <c r="AO952" t="s">
        <v>7062</v>
      </c>
    </row>
    <row r="953" spans="39:41" ht="12" customHeight="1" x14ac:dyDescent="0.2">
      <c r="AM953" t="str">
        <f t="shared" si="14"/>
        <v>Badacsonyors [HUBRS]</v>
      </c>
      <c r="AN953" t="s">
        <v>16055</v>
      </c>
      <c r="AO953" t="s">
        <v>36009</v>
      </c>
    </row>
    <row r="954" spans="39:41" ht="12" customHeight="1" x14ac:dyDescent="0.2">
      <c r="AM954" t="str">
        <f t="shared" si="14"/>
        <v>Badagara [INBDG]</v>
      </c>
      <c r="AN954" t="s">
        <v>17014</v>
      </c>
      <c r="AO954" t="s">
        <v>17015</v>
      </c>
    </row>
    <row r="955" spans="39:41" ht="12" customHeight="1" x14ac:dyDescent="0.2">
      <c r="AM955" t="str">
        <f t="shared" si="14"/>
        <v>Badagri [NGBAD]</v>
      </c>
      <c r="AN955" t="s">
        <v>22917</v>
      </c>
      <c r="AO955" t="s">
        <v>22918</v>
      </c>
    </row>
    <row r="956" spans="39:41" ht="12" customHeight="1" x14ac:dyDescent="0.2">
      <c r="AM956" t="str">
        <f t="shared" si="14"/>
        <v>Baddeck [CABAD]</v>
      </c>
      <c r="AN956" t="s">
        <v>3546</v>
      </c>
      <c r="AO956" t="s">
        <v>3547</v>
      </c>
    </row>
    <row r="957" spans="39:41" ht="12" customHeight="1" x14ac:dyDescent="0.2">
      <c r="AM957" t="str">
        <f t="shared" si="14"/>
        <v>Baden [FRNOP]</v>
      </c>
      <c r="AN957" t="s">
        <v>10773</v>
      </c>
      <c r="AO957" t="s">
        <v>10774</v>
      </c>
    </row>
    <row r="958" spans="39:41" ht="12" customHeight="1" x14ac:dyDescent="0.2">
      <c r="AM958" t="str">
        <f t="shared" si="14"/>
        <v>Badminton [GBSGC]</v>
      </c>
      <c r="AN958" t="s">
        <v>12385</v>
      </c>
      <c r="AO958" t="s">
        <v>12386</v>
      </c>
    </row>
    <row r="959" spans="39:41" ht="12" customHeight="1" x14ac:dyDescent="0.2">
      <c r="AM959" t="str">
        <f t="shared" si="14"/>
        <v>Badong [CNBDG]</v>
      </c>
      <c r="AN959" t="s">
        <v>5030</v>
      </c>
      <c r="AO959" t="s">
        <v>5031</v>
      </c>
    </row>
    <row r="960" spans="39:41" ht="12" customHeight="1" x14ac:dyDescent="0.2">
      <c r="AM960" t="str">
        <f t="shared" si="14"/>
        <v>Baelum [DKBLU]</v>
      </c>
      <c r="AN960" t="s">
        <v>8628</v>
      </c>
      <c r="AO960" t="s">
        <v>8629</v>
      </c>
    </row>
    <row r="961" spans="39:41" ht="12" customHeight="1" x14ac:dyDescent="0.2">
      <c r="AM961" t="str">
        <f t="shared" ref="AM961:AM1024" si="15">AO961 &amp; " [" &amp; AN961 &amp; "]"</f>
        <v>Baerami [AUBAE]</v>
      </c>
      <c r="AN961" t="s">
        <v>1407</v>
      </c>
      <c r="AO961" t="s">
        <v>1408</v>
      </c>
    </row>
    <row r="962" spans="39:41" ht="12" customHeight="1" x14ac:dyDescent="0.2">
      <c r="AM962" t="str">
        <f t="shared" si="15"/>
        <v>Bagac [PHBGC]</v>
      </c>
      <c r="AN962" t="s">
        <v>25544</v>
      </c>
      <c r="AO962" t="s">
        <v>25545</v>
      </c>
    </row>
    <row r="963" spans="39:41" ht="12" customHeight="1" x14ac:dyDescent="0.2">
      <c r="AM963" t="str">
        <f t="shared" si="15"/>
        <v>Bagaevskaya [RUBGV]</v>
      </c>
      <c r="AN963" t="s">
        <v>26881</v>
      </c>
      <c r="AO963" t="s">
        <v>26882</v>
      </c>
    </row>
    <row r="964" spans="39:41" ht="12" customHeight="1" x14ac:dyDescent="0.2">
      <c r="AM964" t="str">
        <f t="shared" si="15"/>
        <v>Bagan Datok [MYBAG]</v>
      </c>
      <c r="AN964" t="s">
        <v>22494</v>
      </c>
      <c r="AO964" t="s">
        <v>22495</v>
      </c>
    </row>
    <row r="965" spans="39:41" ht="12" customHeight="1" x14ac:dyDescent="0.2">
      <c r="AM965" t="str">
        <f t="shared" si="15"/>
        <v>Bagan Luar (Butterworth) [MYBWH]</v>
      </c>
      <c r="AN965" t="s">
        <v>22496</v>
      </c>
      <c r="AO965" t="s">
        <v>22497</v>
      </c>
    </row>
    <row r="966" spans="39:41" ht="12" customHeight="1" x14ac:dyDescent="0.2">
      <c r="AM966" t="str">
        <f t="shared" si="15"/>
        <v>Baganga/Mati [PHBNQ]</v>
      </c>
      <c r="AN966" t="s">
        <v>25546</v>
      </c>
      <c r="AO966" t="s">
        <v>25547</v>
      </c>
    </row>
    <row r="967" spans="39:41" ht="12" customHeight="1" x14ac:dyDescent="0.2">
      <c r="AM967" t="str">
        <f t="shared" si="15"/>
        <v>Bagenkop [DKBAG]</v>
      </c>
      <c r="AN967" t="s">
        <v>8630</v>
      </c>
      <c r="AO967" t="s">
        <v>8631</v>
      </c>
    </row>
    <row r="968" spans="39:41" ht="12" customHeight="1" x14ac:dyDescent="0.2">
      <c r="AM968" t="str">
        <f t="shared" si="15"/>
        <v>Baghdad [IQBGW]</v>
      </c>
      <c r="AN968" t="s">
        <v>17555</v>
      </c>
      <c r="AO968" t="s">
        <v>36035</v>
      </c>
    </row>
    <row r="969" spans="39:41" ht="12" customHeight="1" x14ac:dyDescent="0.2">
      <c r="AM969" t="str">
        <f t="shared" si="15"/>
        <v>Bagley [USGAJ]</v>
      </c>
      <c r="AN969" t="s">
        <v>28900</v>
      </c>
      <c r="AO969" t="s">
        <v>28901</v>
      </c>
    </row>
    <row r="970" spans="39:41" ht="12" customHeight="1" x14ac:dyDescent="0.2">
      <c r="AM970" t="str">
        <f t="shared" si="15"/>
        <v>Bagnara Calabra [ITBCB]</v>
      </c>
      <c r="AN970" t="s">
        <v>17818</v>
      </c>
      <c r="AO970" t="s">
        <v>17819</v>
      </c>
    </row>
    <row r="971" spans="39:41" ht="12" customHeight="1" x14ac:dyDescent="0.2">
      <c r="AM971" t="str">
        <f t="shared" si="15"/>
        <v>Bagnoli [ITBLN]</v>
      </c>
      <c r="AN971" t="s">
        <v>17820</v>
      </c>
      <c r="AO971" t="s">
        <v>17821</v>
      </c>
    </row>
    <row r="972" spans="39:41" ht="12" customHeight="1" x14ac:dyDescent="0.2">
      <c r="AM972" t="str">
        <f t="shared" si="15"/>
        <v>Bagotville [CABGT]</v>
      </c>
      <c r="AN972" t="s">
        <v>3548</v>
      </c>
      <c r="AO972" t="s">
        <v>3549</v>
      </c>
    </row>
    <row r="973" spans="39:41" ht="12" customHeight="1" x14ac:dyDescent="0.2">
      <c r="AM973" t="str">
        <f t="shared" si="15"/>
        <v>Bagui Bay/San Fernando [PHBGI]</v>
      </c>
      <c r="AN973" t="s">
        <v>25548</v>
      </c>
      <c r="AO973" t="s">
        <v>25549</v>
      </c>
    </row>
    <row r="974" spans="39:41" ht="12" customHeight="1" x14ac:dyDescent="0.2">
      <c r="AM974" t="str">
        <f t="shared" si="15"/>
        <v>Baguio [PHBAG]</v>
      </c>
      <c r="AN974" t="s">
        <v>25550</v>
      </c>
      <c r="AO974" t="s">
        <v>25551</v>
      </c>
    </row>
    <row r="975" spans="39:41" ht="12" customHeight="1" x14ac:dyDescent="0.2">
      <c r="AM975" t="str">
        <f t="shared" si="15"/>
        <v>Bahabal Pur [INBBP]</v>
      </c>
      <c r="AN975" t="s">
        <v>17016</v>
      </c>
      <c r="AO975" t="s">
        <v>17017</v>
      </c>
    </row>
    <row r="976" spans="39:41" ht="12" customHeight="1" x14ac:dyDescent="0.2">
      <c r="AM976" t="str">
        <f t="shared" si="15"/>
        <v>Bahe [CNBAH]</v>
      </c>
      <c r="AN976" t="s">
        <v>5032</v>
      </c>
      <c r="AO976" t="s">
        <v>5033</v>
      </c>
    </row>
    <row r="977" spans="39:41" ht="12" customHeight="1" x14ac:dyDescent="0.2">
      <c r="AM977" t="str">
        <f t="shared" si="15"/>
        <v>Bahia Blanca [ARBHI]</v>
      </c>
      <c r="AN977" t="s">
        <v>981</v>
      </c>
      <c r="AO977" t="s">
        <v>35240</v>
      </c>
    </row>
    <row r="978" spans="39:41" ht="12" customHeight="1" x14ac:dyDescent="0.2">
      <c r="AM978" t="str">
        <f t="shared" si="15"/>
        <v>Bahia de Caraquez [ECBHA]</v>
      </c>
      <c r="AN978" t="s">
        <v>9077</v>
      </c>
      <c r="AO978" t="s">
        <v>35610</v>
      </c>
    </row>
    <row r="979" spans="39:41" ht="12" customHeight="1" x14ac:dyDescent="0.2">
      <c r="AM979" t="str">
        <f t="shared" si="15"/>
        <v>Bahia Honda [CUBHO]</v>
      </c>
      <c r="AN979" t="s">
        <v>6663</v>
      </c>
      <c r="AO979" t="s">
        <v>35384</v>
      </c>
    </row>
    <row r="980" spans="39:41" ht="12" customHeight="1" x14ac:dyDescent="0.2">
      <c r="AM980" t="str">
        <f t="shared" si="15"/>
        <v>Bahia Las Minas [PAPBM]</v>
      </c>
      <c r="AN980" t="s">
        <v>25175</v>
      </c>
      <c r="AO980" t="s">
        <v>36353</v>
      </c>
    </row>
    <row r="981" spans="39:41" ht="12" customHeight="1" x14ac:dyDescent="0.2">
      <c r="AM981" t="str">
        <f t="shared" si="15"/>
        <v>Bahia San Gregorio [CLBAG]</v>
      </c>
      <c r="AN981" t="s">
        <v>4821</v>
      </c>
      <c r="AO981" t="s">
        <v>35348</v>
      </c>
    </row>
    <row r="982" spans="39:41" ht="12" customHeight="1" x14ac:dyDescent="0.2">
      <c r="AM982" t="str">
        <f t="shared" si="15"/>
        <v>Bahlingen [DEBEZ]</v>
      </c>
      <c r="AN982" t="s">
        <v>7063</v>
      </c>
      <c r="AO982" t="s">
        <v>7064</v>
      </c>
    </row>
    <row r="983" spans="39:41" ht="12" customHeight="1" x14ac:dyDescent="0.2">
      <c r="AM983" t="str">
        <f t="shared" si="15"/>
        <v>Baia [ITBAI]</v>
      </c>
      <c r="AN983" t="s">
        <v>17822</v>
      </c>
      <c r="AO983" t="s">
        <v>17823</v>
      </c>
    </row>
    <row r="984" spans="39:41" ht="12" customHeight="1" x14ac:dyDescent="0.2">
      <c r="AM984" t="str">
        <f t="shared" si="15"/>
        <v>Baia dos Tigres [AOBDT]</v>
      </c>
      <c r="AN984" t="s">
        <v>830</v>
      </c>
      <c r="AO984" t="s">
        <v>35238</v>
      </c>
    </row>
    <row r="985" spans="39:41" ht="12" customHeight="1" x14ac:dyDescent="0.2">
      <c r="AM985" t="str">
        <f t="shared" si="15"/>
        <v>Baiceng [CNBCG]</v>
      </c>
      <c r="AN985" t="s">
        <v>5034</v>
      </c>
      <c r="AO985" t="s">
        <v>5035</v>
      </c>
    </row>
    <row r="986" spans="39:41" ht="12" customHeight="1" x14ac:dyDescent="0.2">
      <c r="AM986" t="str">
        <f t="shared" si="15"/>
        <v>Baie Comeau [CABCO]</v>
      </c>
      <c r="AN986" t="s">
        <v>3550</v>
      </c>
      <c r="AO986" t="s">
        <v>3551</v>
      </c>
    </row>
    <row r="987" spans="39:41" ht="12" customHeight="1" x14ac:dyDescent="0.2">
      <c r="AM987" t="str">
        <f t="shared" si="15"/>
        <v>Baie de Saint-Marc [HTSMC]</v>
      </c>
      <c r="AN987" t="s">
        <v>16024</v>
      </c>
      <c r="AO987" t="s">
        <v>16025</v>
      </c>
    </row>
    <row r="988" spans="39:41" ht="12" customHeight="1" x14ac:dyDescent="0.2">
      <c r="AM988" t="str">
        <f t="shared" si="15"/>
        <v>Baie Ugue [NCBUG]</v>
      </c>
      <c r="AN988" t="s">
        <v>22877</v>
      </c>
      <c r="AO988" t="s">
        <v>22878</v>
      </c>
    </row>
    <row r="989" spans="39:41" ht="12" customHeight="1" x14ac:dyDescent="0.2">
      <c r="AM989" t="str">
        <f t="shared" si="15"/>
        <v>Baie Verte [CABVE]</v>
      </c>
      <c r="AN989" t="s">
        <v>3552</v>
      </c>
      <c r="AO989" t="s">
        <v>3553</v>
      </c>
    </row>
    <row r="990" spans="39:41" ht="12" customHeight="1" x14ac:dyDescent="0.2">
      <c r="AM990" t="str">
        <f t="shared" si="15"/>
        <v>Baie-Johan-Beetz [CABJO]</v>
      </c>
      <c r="AN990" t="s">
        <v>3554</v>
      </c>
      <c r="AO990" t="s">
        <v>3555</v>
      </c>
    </row>
    <row r="991" spans="39:41" ht="12" customHeight="1" x14ac:dyDescent="0.2">
      <c r="AM991" t="str">
        <f t="shared" si="15"/>
        <v>Baie-Mahault [GPBMH]</v>
      </c>
      <c r="AN991" t="s">
        <v>15045</v>
      </c>
      <c r="AO991" t="s">
        <v>15046</v>
      </c>
    </row>
    <row r="992" spans="39:41" ht="12" customHeight="1" x14ac:dyDescent="0.2">
      <c r="AM992" t="str">
        <f t="shared" si="15"/>
        <v>Baile Mor, Iona [GBION]</v>
      </c>
      <c r="AN992" t="s">
        <v>12387</v>
      </c>
      <c r="AO992" t="s">
        <v>12388</v>
      </c>
    </row>
    <row r="993" spans="39:41" ht="12" customHeight="1" x14ac:dyDescent="0.2">
      <c r="AM993" t="str">
        <f t="shared" si="15"/>
        <v>Baillonville [BEBAI]</v>
      </c>
      <c r="AN993" t="s">
        <v>2265</v>
      </c>
      <c r="AO993" t="s">
        <v>2266</v>
      </c>
    </row>
    <row r="994" spans="39:41" ht="12" customHeight="1" x14ac:dyDescent="0.2">
      <c r="AM994" t="str">
        <f t="shared" si="15"/>
        <v>Bailuo [CNBLO]</v>
      </c>
      <c r="AN994" t="s">
        <v>5036</v>
      </c>
      <c r="AO994" t="s">
        <v>5037</v>
      </c>
    </row>
    <row r="995" spans="39:41" ht="12" customHeight="1" x14ac:dyDescent="0.2">
      <c r="AM995" t="str">
        <f t="shared" si="15"/>
        <v>Baimajing [CNBMJ]</v>
      </c>
      <c r="AN995" t="s">
        <v>5038</v>
      </c>
      <c r="AO995" t="s">
        <v>5039</v>
      </c>
    </row>
    <row r="996" spans="39:41" ht="12" customHeight="1" x14ac:dyDescent="0.2">
      <c r="AM996" t="str">
        <f t="shared" si="15"/>
        <v>Baimao [CNIMA]</v>
      </c>
      <c r="AN996" t="s">
        <v>5040</v>
      </c>
      <c r="AO996" t="s">
        <v>5041</v>
      </c>
    </row>
    <row r="997" spans="39:41" ht="12" customHeight="1" x14ac:dyDescent="0.2">
      <c r="AM997" t="str">
        <f t="shared" si="15"/>
        <v>Baindur [INBDR]</v>
      </c>
      <c r="AN997" t="s">
        <v>17018</v>
      </c>
      <c r="AO997" t="s">
        <v>17019</v>
      </c>
    </row>
    <row r="998" spans="39:41" ht="12" customHeight="1" x14ac:dyDescent="0.2">
      <c r="AM998" t="str">
        <f t="shared" si="15"/>
        <v>Bains-les-Bains [FRIBA]</v>
      </c>
      <c r="AN998" t="s">
        <v>10775</v>
      </c>
      <c r="AO998" t="s">
        <v>10776</v>
      </c>
    </row>
    <row r="999" spans="39:41" ht="12" customHeight="1" x14ac:dyDescent="0.2">
      <c r="AM999" t="str">
        <f t="shared" si="15"/>
        <v>Bais/Dumaguete [PHBAI]</v>
      </c>
      <c r="AN999" t="s">
        <v>25552</v>
      </c>
      <c r="AO999" t="s">
        <v>25553</v>
      </c>
    </row>
    <row r="1000" spans="39:41" ht="12" customHeight="1" x14ac:dyDescent="0.2">
      <c r="AM1000" t="str">
        <f t="shared" si="15"/>
        <v>Baise [CNBSE]</v>
      </c>
      <c r="AN1000" t="s">
        <v>5042</v>
      </c>
      <c r="AO1000" t="s">
        <v>5043</v>
      </c>
    </row>
    <row r="1001" spans="39:41" ht="12" customHeight="1" x14ac:dyDescent="0.2">
      <c r="AM1001" t="str">
        <f t="shared" si="15"/>
        <v>Baishi [CNBSI]</v>
      </c>
      <c r="AN1001" t="s">
        <v>5044</v>
      </c>
      <c r="AO1001" t="s">
        <v>5045</v>
      </c>
    </row>
    <row r="1002" spans="39:41" ht="12" customHeight="1" x14ac:dyDescent="0.2">
      <c r="AM1002" t="str">
        <f t="shared" si="15"/>
        <v>Baiyang [CNBYG]</v>
      </c>
      <c r="AN1002" t="s">
        <v>5046</v>
      </c>
      <c r="AO1002" t="s">
        <v>5047</v>
      </c>
    </row>
    <row r="1003" spans="39:41" ht="12" customHeight="1" x14ac:dyDescent="0.2">
      <c r="AM1003" t="str">
        <f t="shared" si="15"/>
        <v>Bajo Grande/Maracaibo L [VEBJV]</v>
      </c>
      <c r="AN1003" t="s">
        <v>32154</v>
      </c>
      <c r="AO1003" t="s">
        <v>32155</v>
      </c>
    </row>
    <row r="1004" spans="39:41" ht="12" customHeight="1" x14ac:dyDescent="0.2">
      <c r="AM1004" t="str">
        <f t="shared" si="15"/>
        <v>Bakapit [MYBKP]</v>
      </c>
      <c r="AN1004" t="s">
        <v>22498</v>
      </c>
      <c r="AO1004" t="s">
        <v>22499</v>
      </c>
    </row>
    <row r="1005" spans="39:41" ht="12" customHeight="1" x14ac:dyDescent="0.2">
      <c r="AM1005" t="str">
        <f t="shared" si="15"/>
        <v>Bakar [HRBAK]</v>
      </c>
      <c r="AN1005" t="s">
        <v>15696</v>
      </c>
      <c r="AO1005" t="s">
        <v>15697</v>
      </c>
    </row>
    <row r="1006" spans="39:41" ht="12" customHeight="1" x14ac:dyDescent="0.2">
      <c r="AM1006" t="str">
        <f t="shared" si="15"/>
        <v>Baker Lake [CABLK]</v>
      </c>
      <c r="AN1006" t="s">
        <v>3556</v>
      </c>
      <c r="AO1006" t="s">
        <v>3557</v>
      </c>
    </row>
    <row r="1007" spans="39:41" ht="12" customHeight="1" x14ac:dyDescent="0.2">
      <c r="AM1007" t="str">
        <f t="shared" si="15"/>
        <v>Bakkafjordur [ISBAK]</v>
      </c>
      <c r="AN1007" t="s">
        <v>17675</v>
      </c>
      <c r="AO1007" t="s">
        <v>36037</v>
      </c>
    </row>
    <row r="1008" spans="39:41" ht="12" customHeight="1" x14ac:dyDescent="0.2">
      <c r="AM1008" t="str">
        <f t="shared" si="15"/>
        <v>Baku [AZBAK]</v>
      </c>
      <c r="AN1008" t="s">
        <v>2154</v>
      </c>
      <c r="AO1008" t="s">
        <v>2155</v>
      </c>
    </row>
    <row r="1009" spans="39:41" ht="12" customHeight="1" x14ac:dyDescent="0.2">
      <c r="AM1009" t="str">
        <f t="shared" si="15"/>
        <v>Bal Harbour [USFL8]</v>
      </c>
      <c r="AN1009" t="s">
        <v>28902</v>
      </c>
      <c r="AO1009" t="s">
        <v>28903</v>
      </c>
    </row>
    <row r="1010" spans="39:41" ht="12" customHeight="1" x14ac:dyDescent="0.2">
      <c r="AM1010" t="str">
        <f t="shared" si="15"/>
        <v>Bala [CABAA]</v>
      </c>
      <c r="AN1010" t="s">
        <v>3558</v>
      </c>
      <c r="AO1010" t="s">
        <v>3559</v>
      </c>
    </row>
    <row r="1011" spans="39:41" ht="12" customHeight="1" x14ac:dyDescent="0.2">
      <c r="AM1011" t="str">
        <f t="shared" si="15"/>
        <v>Balabac, Palawan [PHBLC]</v>
      </c>
      <c r="AN1011" t="s">
        <v>25554</v>
      </c>
      <c r="AO1011" t="s">
        <v>25555</v>
      </c>
    </row>
    <row r="1012" spans="39:41" ht="12" customHeight="1" x14ac:dyDescent="0.2">
      <c r="AM1012" t="str">
        <f t="shared" si="15"/>
        <v>Balaboe [PHBAL]</v>
      </c>
      <c r="AN1012" t="s">
        <v>25556</v>
      </c>
      <c r="AO1012" t="s">
        <v>25557</v>
      </c>
    </row>
    <row r="1013" spans="39:41" ht="12" customHeight="1" x14ac:dyDescent="0.2">
      <c r="AM1013" t="str">
        <f t="shared" si="15"/>
        <v>Balakhna [RUBLK]</v>
      </c>
      <c r="AN1013" t="s">
        <v>26883</v>
      </c>
      <c r="AO1013" t="s">
        <v>26884</v>
      </c>
    </row>
    <row r="1014" spans="39:41" ht="12" customHeight="1" x14ac:dyDescent="0.2">
      <c r="AM1014" t="str">
        <f t="shared" si="15"/>
        <v>Balakhnya [RUBLN]</v>
      </c>
      <c r="AN1014" t="s">
        <v>26885</v>
      </c>
      <c r="AO1014" t="s">
        <v>26886</v>
      </c>
    </row>
    <row r="1015" spans="39:41" ht="12" customHeight="1" x14ac:dyDescent="0.2">
      <c r="AM1015" t="str">
        <f t="shared" si="15"/>
        <v>Balanga/Batan [PHBLA]</v>
      </c>
      <c r="AN1015" t="s">
        <v>25558</v>
      </c>
      <c r="AO1015" t="s">
        <v>25559</v>
      </c>
    </row>
    <row r="1016" spans="39:41" ht="12" customHeight="1" x14ac:dyDescent="0.2">
      <c r="AM1016" t="str">
        <f t="shared" si="15"/>
        <v>Balao [ECEBL]</v>
      </c>
      <c r="AN1016" t="s">
        <v>9078</v>
      </c>
      <c r="AO1016" t="s">
        <v>9079</v>
      </c>
    </row>
    <row r="1017" spans="39:41" ht="12" customHeight="1" x14ac:dyDescent="0.2">
      <c r="AM1017" t="str">
        <f t="shared" si="15"/>
        <v>Balaruc-les-Bains [FRBLF]</v>
      </c>
      <c r="AN1017" t="s">
        <v>10777</v>
      </c>
      <c r="AO1017" t="s">
        <v>10778</v>
      </c>
    </row>
    <row r="1018" spans="39:41" ht="12" customHeight="1" x14ac:dyDescent="0.2">
      <c r="AM1018" t="str">
        <f t="shared" si="15"/>
        <v>Balatonszarszo [HUBZO]</v>
      </c>
      <c r="AN1018" t="s">
        <v>16056</v>
      </c>
      <c r="AO1018" t="s">
        <v>36010</v>
      </c>
    </row>
    <row r="1019" spans="39:41" ht="12" customHeight="1" x14ac:dyDescent="0.2">
      <c r="AM1019" t="str">
        <f t="shared" si="15"/>
        <v>Balboa [COBAL]</v>
      </c>
      <c r="AN1019" t="s">
        <v>6503</v>
      </c>
      <c r="AO1019" t="s">
        <v>6504</v>
      </c>
    </row>
    <row r="1020" spans="39:41" ht="12" customHeight="1" x14ac:dyDescent="0.2">
      <c r="AM1020" t="str">
        <f t="shared" si="15"/>
        <v>Balboa [PABLB]</v>
      </c>
      <c r="AN1020" t="s">
        <v>25176</v>
      </c>
      <c r="AO1020" t="s">
        <v>6504</v>
      </c>
    </row>
    <row r="1021" spans="39:41" ht="12" customHeight="1" x14ac:dyDescent="0.2">
      <c r="AM1021" t="str">
        <f t="shared" si="15"/>
        <v>Balbriggan [GBBBN]</v>
      </c>
      <c r="AN1021" t="s">
        <v>12389</v>
      </c>
      <c r="AO1021" t="s">
        <v>12390</v>
      </c>
    </row>
    <row r="1022" spans="39:41" ht="12" customHeight="1" x14ac:dyDescent="0.2">
      <c r="AM1022" t="str">
        <f t="shared" si="15"/>
        <v>Balbriggan [IEBBG]</v>
      </c>
      <c r="AN1022" t="s">
        <v>16727</v>
      </c>
      <c r="AO1022" t="s">
        <v>12390</v>
      </c>
    </row>
    <row r="1023" spans="39:41" ht="12" customHeight="1" x14ac:dyDescent="0.2">
      <c r="AM1023" t="str">
        <f t="shared" si="15"/>
        <v>Balchik [BGBAL]</v>
      </c>
      <c r="AN1023" t="s">
        <v>3134</v>
      </c>
      <c r="AO1023" t="s">
        <v>3135</v>
      </c>
    </row>
    <row r="1024" spans="39:41" ht="12" customHeight="1" x14ac:dyDescent="0.2">
      <c r="AM1024" t="str">
        <f t="shared" si="15"/>
        <v>Bald Rock [CABDR]</v>
      </c>
      <c r="AN1024" t="s">
        <v>3560</v>
      </c>
      <c r="AO1024" t="s">
        <v>3561</v>
      </c>
    </row>
    <row r="1025" spans="39:41" ht="12" customHeight="1" x14ac:dyDescent="0.2">
      <c r="AM1025" t="str">
        <f t="shared" ref="AM1025:AM1088" si="16">AO1025 &amp; " [" &amp; AN1025 &amp; "]"</f>
        <v>Baldirton [GBBDX]</v>
      </c>
      <c r="AN1025" t="s">
        <v>12391</v>
      </c>
      <c r="AO1025" t="s">
        <v>12392</v>
      </c>
    </row>
    <row r="1026" spans="39:41" ht="12" customHeight="1" x14ac:dyDescent="0.2">
      <c r="AM1026" t="str">
        <f t="shared" si="16"/>
        <v>Baldone [LVB9G]</v>
      </c>
      <c r="AN1026" t="s">
        <v>21921</v>
      </c>
      <c r="AO1026" t="s">
        <v>21922</v>
      </c>
    </row>
    <row r="1027" spans="39:41" ht="12" customHeight="1" x14ac:dyDescent="0.2">
      <c r="AM1027" t="str">
        <f t="shared" si="16"/>
        <v>Baldwin [USLDK]</v>
      </c>
      <c r="AN1027" t="s">
        <v>28904</v>
      </c>
      <c r="AO1027" t="s">
        <v>28905</v>
      </c>
    </row>
    <row r="1028" spans="39:41" ht="12" customHeight="1" x14ac:dyDescent="0.2">
      <c r="AM1028" t="str">
        <f t="shared" si="16"/>
        <v>Balen [BEBLE]</v>
      </c>
      <c r="AN1028" t="s">
        <v>2267</v>
      </c>
      <c r="AO1028" t="s">
        <v>2268</v>
      </c>
    </row>
    <row r="1029" spans="39:41" ht="12" customHeight="1" x14ac:dyDescent="0.2">
      <c r="AM1029" t="str">
        <f t="shared" si="16"/>
        <v>Balengan/Siain [PHBLN]</v>
      </c>
      <c r="AN1029" t="s">
        <v>25560</v>
      </c>
      <c r="AO1029" t="s">
        <v>25561</v>
      </c>
    </row>
    <row r="1030" spans="39:41" ht="12" customHeight="1" x14ac:dyDescent="0.2">
      <c r="AM1030" t="str">
        <f t="shared" si="16"/>
        <v>Baler/Siain [PHBQA]</v>
      </c>
      <c r="AN1030" t="s">
        <v>25562</v>
      </c>
      <c r="AO1030" t="s">
        <v>25563</v>
      </c>
    </row>
    <row r="1031" spans="39:41" ht="12" customHeight="1" x14ac:dyDescent="0.2">
      <c r="AM1031" t="str">
        <f t="shared" si="16"/>
        <v>Balestrand [NOBLS]</v>
      </c>
      <c r="AN1031" t="s">
        <v>23878</v>
      </c>
      <c r="AO1031" t="s">
        <v>23879</v>
      </c>
    </row>
    <row r="1032" spans="39:41" ht="12" customHeight="1" x14ac:dyDescent="0.2">
      <c r="AM1032" t="str">
        <f t="shared" si="16"/>
        <v>Balgerhoek [BEBGK]</v>
      </c>
      <c r="AN1032" t="s">
        <v>2269</v>
      </c>
      <c r="AO1032" t="s">
        <v>2270</v>
      </c>
    </row>
    <row r="1033" spans="39:41" ht="12" customHeight="1" x14ac:dyDescent="0.2">
      <c r="AM1033" t="str">
        <f t="shared" si="16"/>
        <v>Balhannah [AUBAA]</v>
      </c>
      <c r="AN1033" t="s">
        <v>1409</v>
      </c>
      <c r="AO1033" t="s">
        <v>1410</v>
      </c>
    </row>
    <row r="1034" spans="39:41" ht="12" customHeight="1" x14ac:dyDescent="0.2">
      <c r="AM1034" t="str">
        <f t="shared" si="16"/>
        <v>Bali [CNBLI]</v>
      </c>
      <c r="AN1034" t="s">
        <v>5048</v>
      </c>
      <c r="AO1034" t="s">
        <v>5049</v>
      </c>
    </row>
    <row r="1035" spans="39:41" ht="12" customHeight="1" x14ac:dyDescent="0.2">
      <c r="AM1035" t="str">
        <f t="shared" si="16"/>
        <v>Bali [TWBAL]</v>
      </c>
      <c r="AN1035" t="s">
        <v>28664</v>
      </c>
      <c r="AO1035" t="s">
        <v>5049</v>
      </c>
    </row>
    <row r="1036" spans="39:41" ht="12" customHeight="1" x14ac:dyDescent="0.2">
      <c r="AM1036" t="str">
        <f t="shared" si="16"/>
        <v>Balikesir [TRBZI]</v>
      </c>
      <c r="AN1036" t="s">
        <v>28411</v>
      </c>
      <c r="AO1036" t="s">
        <v>28412</v>
      </c>
    </row>
    <row r="1037" spans="39:41" ht="12" customHeight="1" x14ac:dyDescent="0.2">
      <c r="AM1037" t="str">
        <f t="shared" si="16"/>
        <v>Balikpapan [IDBPN]</v>
      </c>
      <c r="AN1037" t="s">
        <v>16165</v>
      </c>
      <c r="AO1037" t="s">
        <v>16166</v>
      </c>
    </row>
    <row r="1038" spans="39:41" ht="12" customHeight="1" x14ac:dyDescent="0.2">
      <c r="AM1038" t="str">
        <f t="shared" si="16"/>
        <v>Balingasag [PHBGS]</v>
      </c>
      <c r="AN1038" t="s">
        <v>25564</v>
      </c>
      <c r="AO1038" t="s">
        <v>25565</v>
      </c>
    </row>
    <row r="1039" spans="39:41" ht="12" customHeight="1" x14ac:dyDescent="0.2">
      <c r="AM1039" t="str">
        <f t="shared" si="16"/>
        <v>Balintang/Puerto Princesa [PHBLT]</v>
      </c>
      <c r="AN1039" t="s">
        <v>25566</v>
      </c>
      <c r="AO1039" t="s">
        <v>25567</v>
      </c>
    </row>
    <row r="1040" spans="39:41" ht="12" customHeight="1" x14ac:dyDescent="0.2">
      <c r="AM1040" t="str">
        <f t="shared" si="16"/>
        <v>Balintore [GBBLI]</v>
      </c>
      <c r="AN1040" t="s">
        <v>12393</v>
      </c>
      <c r="AO1040" t="s">
        <v>12394</v>
      </c>
    </row>
    <row r="1041" spans="39:41" ht="12" customHeight="1" x14ac:dyDescent="0.2">
      <c r="AM1041" t="str">
        <f t="shared" si="16"/>
        <v>Ballangen [NOBLL]</v>
      </c>
      <c r="AN1041" t="s">
        <v>23880</v>
      </c>
      <c r="AO1041" t="s">
        <v>23881</v>
      </c>
    </row>
    <row r="1042" spans="39:41" ht="12" customHeight="1" x14ac:dyDescent="0.2">
      <c r="AM1042" t="str">
        <f t="shared" si="16"/>
        <v>Ballantrae [GBBNR]</v>
      </c>
      <c r="AN1042" t="s">
        <v>12395</v>
      </c>
      <c r="AO1042" t="s">
        <v>12396</v>
      </c>
    </row>
    <row r="1043" spans="39:41" ht="12" customHeight="1" x14ac:dyDescent="0.2">
      <c r="AM1043" t="str">
        <f t="shared" si="16"/>
        <v>Ballast Head [AUBAH]</v>
      </c>
      <c r="AN1043" t="s">
        <v>1411</v>
      </c>
      <c r="AO1043" t="s">
        <v>1412</v>
      </c>
    </row>
    <row r="1044" spans="39:41" ht="12" customHeight="1" x14ac:dyDescent="0.2">
      <c r="AM1044" t="str">
        <f t="shared" si="16"/>
        <v>Ballebro [DKBLB]</v>
      </c>
      <c r="AN1044" t="s">
        <v>8632</v>
      </c>
      <c r="AO1044" t="s">
        <v>8633</v>
      </c>
    </row>
    <row r="1045" spans="39:41" ht="12" customHeight="1" x14ac:dyDescent="0.2">
      <c r="AM1045" t="str">
        <f t="shared" si="16"/>
        <v>Ballen [DKBAL]</v>
      </c>
      <c r="AN1045" t="s">
        <v>8634</v>
      </c>
      <c r="AO1045" t="s">
        <v>8635</v>
      </c>
    </row>
    <row r="1046" spans="39:41" ht="12" customHeight="1" x14ac:dyDescent="0.2">
      <c r="AM1046" t="str">
        <f t="shared" si="16"/>
        <v>Ballina [AUBNK]</v>
      </c>
      <c r="AN1046" t="s">
        <v>1413</v>
      </c>
      <c r="AO1046" t="s">
        <v>1414</v>
      </c>
    </row>
    <row r="1047" spans="39:41" ht="12" customHeight="1" x14ac:dyDescent="0.2">
      <c r="AM1047" t="str">
        <f t="shared" si="16"/>
        <v>Ballina [IEBLL]</v>
      </c>
      <c r="AN1047" t="s">
        <v>16728</v>
      </c>
      <c r="AO1047" t="s">
        <v>1414</v>
      </c>
    </row>
    <row r="1048" spans="39:41" ht="12" customHeight="1" x14ac:dyDescent="0.2">
      <c r="AM1048" t="str">
        <f t="shared" si="16"/>
        <v>Ballina [IEBNA]</v>
      </c>
      <c r="AN1048" t="s">
        <v>16729</v>
      </c>
      <c r="AO1048" t="s">
        <v>1414</v>
      </c>
    </row>
    <row r="1049" spans="39:41" ht="12" customHeight="1" x14ac:dyDescent="0.2">
      <c r="AM1049" t="str">
        <f t="shared" si="16"/>
        <v>Ballintoy [GBBYP]</v>
      </c>
      <c r="AN1049" t="s">
        <v>12397</v>
      </c>
      <c r="AO1049" t="s">
        <v>12398</v>
      </c>
    </row>
    <row r="1050" spans="39:41" ht="12" customHeight="1" x14ac:dyDescent="0.2">
      <c r="AM1050" t="str">
        <f t="shared" si="16"/>
        <v>Ballrechten [DETEJ]</v>
      </c>
      <c r="AN1050" t="s">
        <v>7065</v>
      </c>
      <c r="AO1050" t="s">
        <v>7066</v>
      </c>
    </row>
    <row r="1051" spans="39:41" ht="12" customHeight="1" x14ac:dyDescent="0.2">
      <c r="AM1051" t="str">
        <f t="shared" si="16"/>
        <v>Ballstad [NOBSD]</v>
      </c>
      <c r="AN1051" t="s">
        <v>23882</v>
      </c>
      <c r="AO1051" t="s">
        <v>23883</v>
      </c>
    </row>
    <row r="1052" spans="39:41" ht="12" customHeight="1" x14ac:dyDescent="0.2">
      <c r="AM1052" t="str">
        <f t="shared" si="16"/>
        <v>Ballston Lake [US2BY]</v>
      </c>
      <c r="AN1052" t="s">
        <v>28906</v>
      </c>
      <c r="AO1052" t="s">
        <v>28907</v>
      </c>
    </row>
    <row r="1053" spans="39:41" ht="12" customHeight="1" x14ac:dyDescent="0.2">
      <c r="AM1053" t="str">
        <f t="shared" si="16"/>
        <v>Ballwil [CHBA8]</v>
      </c>
      <c r="AN1053" t="s">
        <v>4650</v>
      </c>
      <c r="AO1053" t="s">
        <v>4651</v>
      </c>
    </row>
    <row r="1054" spans="39:41" ht="12" customHeight="1" x14ac:dyDescent="0.2">
      <c r="AM1054" t="str">
        <f t="shared" si="16"/>
        <v>Ballycastle [GBBYC]</v>
      </c>
      <c r="AN1054" t="s">
        <v>12399</v>
      </c>
      <c r="AO1054" t="s">
        <v>12400</v>
      </c>
    </row>
    <row r="1055" spans="39:41" ht="12" customHeight="1" x14ac:dyDescent="0.2">
      <c r="AM1055" t="str">
        <f t="shared" si="16"/>
        <v>Ballydavid [IEBVD]</v>
      </c>
      <c r="AN1055" t="s">
        <v>16730</v>
      </c>
      <c r="AO1055" t="s">
        <v>16731</v>
      </c>
    </row>
    <row r="1056" spans="39:41" ht="12" customHeight="1" x14ac:dyDescent="0.2">
      <c r="AM1056" t="str">
        <f t="shared" si="16"/>
        <v>Ballydorn [GBDOR]</v>
      </c>
      <c r="AN1056" t="s">
        <v>12401</v>
      </c>
      <c r="AO1056" t="s">
        <v>12402</v>
      </c>
    </row>
    <row r="1057" spans="39:41" ht="12" customHeight="1" x14ac:dyDescent="0.2">
      <c r="AM1057" t="str">
        <f t="shared" si="16"/>
        <v>Ballyhalbert [GBBHB]</v>
      </c>
      <c r="AN1057" t="s">
        <v>12403</v>
      </c>
      <c r="AO1057" t="s">
        <v>12404</v>
      </c>
    </row>
    <row r="1058" spans="39:41" ht="12" customHeight="1" x14ac:dyDescent="0.2">
      <c r="AM1058" t="str">
        <f t="shared" si="16"/>
        <v>Ballylumford [GBBLR]</v>
      </c>
      <c r="AN1058" t="s">
        <v>12405</v>
      </c>
      <c r="AO1058" t="s">
        <v>12406</v>
      </c>
    </row>
    <row r="1059" spans="39:41" ht="12" customHeight="1" x14ac:dyDescent="0.2">
      <c r="AM1059" t="str">
        <f t="shared" si="16"/>
        <v>Ballymartin [GBLMN]</v>
      </c>
      <c r="AN1059" t="s">
        <v>12407</v>
      </c>
      <c r="AO1059" t="s">
        <v>12408</v>
      </c>
    </row>
    <row r="1060" spans="39:41" ht="12" customHeight="1" x14ac:dyDescent="0.2">
      <c r="AM1060" t="str">
        <f t="shared" si="16"/>
        <v>Ballynacargy [IEBGY]</v>
      </c>
      <c r="AN1060" t="s">
        <v>16732</v>
      </c>
      <c r="AO1060" t="s">
        <v>16733</v>
      </c>
    </row>
    <row r="1061" spans="39:41" ht="12" customHeight="1" x14ac:dyDescent="0.2">
      <c r="AM1061" t="str">
        <f t="shared" si="16"/>
        <v>Ballywalter [GBLYW]</v>
      </c>
      <c r="AN1061" t="s">
        <v>12409</v>
      </c>
      <c r="AO1061" t="s">
        <v>12410</v>
      </c>
    </row>
    <row r="1062" spans="39:41" ht="12" customHeight="1" x14ac:dyDescent="0.2">
      <c r="AM1062" t="str">
        <f t="shared" si="16"/>
        <v>Balmacara [GBBMC]</v>
      </c>
      <c r="AN1062" t="s">
        <v>12411</v>
      </c>
      <c r="AO1062" t="s">
        <v>12412</v>
      </c>
    </row>
    <row r="1063" spans="39:41" ht="12" customHeight="1" x14ac:dyDescent="0.2">
      <c r="AM1063" t="str">
        <f t="shared" si="16"/>
        <v>Balmorhea [USBA7]</v>
      </c>
      <c r="AN1063" t="s">
        <v>28908</v>
      </c>
      <c r="AO1063" t="s">
        <v>28909</v>
      </c>
    </row>
    <row r="1064" spans="39:41" ht="12" customHeight="1" x14ac:dyDescent="0.2">
      <c r="AM1064" t="str">
        <f t="shared" si="16"/>
        <v>Balnarring [AUBAL]</v>
      </c>
      <c r="AN1064" t="s">
        <v>1415</v>
      </c>
      <c r="AO1064" t="s">
        <v>1416</v>
      </c>
    </row>
    <row r="1065" spans="39:41" ht="12" customHeight="1" x14ac:dyDescent="0.2">
      <c r="AM1065" t="str">
        <f t="shared" si="16"/>
        <v>Balogo/Batangas [PHBLG]</v>
      </c>
      <c r="AN1065" t="s">
        <v>25568</v>
      </c>
      <c r="AO1065" t="s">
        <v>25569</v>
      </c>
    </row>
    <row r="1066" spans="39:41" ht="12" customHeight="1" x14ac:dyDescent="0.2">
      <c r="AM1066" t="str">
        <f t="shared" si="16"/>
        <v>Balohan [IDBLH]</v>
      </c>
      <c r="AN1066" t="s">
        <v>16167</v>
      </c>
      <c r="AO1066" t="s">
        <v>16168</v>
      </c>
    </row>
    <row r="1067" spans="39:41" ht="12" customHeight="1" x14ac:dyDescent="0.2">
      <c r="AM1067" t="str">
        <f t="shared" si="16"/>
        <v>Balongan Terminal [IDBAL]</v>
      </c>
      <c r="AN1067" t="s">
        <v>16169</v>
      </c>
      <c r="AO1067" t="s">
        <v>16170</v>
      </c>
    </row>
    <row r="1068" spans="39:41" ht="12" customHeight="1" x14ac:dyDescent="0.2">
      <c r="AM1068" t="str">
        <f t="shared" si="16"/>
        <v>Balozhi [RUZCA]</v>
      </c>
      <c r="AN1068" t="s">
        <v>26887</v>
      </c>
      <c r="AO1068" t="s">
        <v>26888</v>
      </c>
    </row>
    <row r="1069" spans="39:41" ht="12" customHeight="1" x14ac:dyDescent="0.2">
      <c r="AM1069" t="str">
        <f t="shared" si="16"/>
        <v>Balsfjord [NOBAF]</v>
      </c>
      <c r="AN1069" t="s">
        <v>23884</v>
      </c>
      <c r="AO1069" t="s">
        <v>23885</v>
      </c>
    </row>
    <row r="1070" spans="39:41" ht="12" customHeight="1" x14ac:dyDescent="0.2">
      <c r="AM1070" t="str">
        <f t="shared" si="16"/>
        <v>Balsta [SEBAA]</v>
      </c>
      <c r="AN1070" t="s">
        <v>27504</v>
      </c>
      <c r="AO1070" t="s">
        <v>36420</v>
      </c>
    </row>
    <row r="1071" spans="39:41" ht="12" customHeight="1" x14ac:dyDescent="0.2">
      <c r="AM1071" t="str">
        <f t="shared" si="16"/>
        <v>Baltar [PTBTR]</v>
      </c>
      <c r="AN1071" t="s">
        <v>26454</v>
      </c>
      <c r="AO1071" t="s">
        <v>26455</v>
      </c>
    </row>
    <row r="1072" spans="39:41" ht="12" customHeight="1" x14ac:dyDescent="0.2">
      <c r="AM1072" t="str">
        <f t="shared" si="16"/>
        <v>Baltasound [GBBSN]</v>
      </c>
      <c r="AN1072" t="s">
        <v>12413</v>
      </c>
      <c r="AO1072" t="s">
        <v>12414</v>
      </c>
    </row>
    <row r="1073" spans="39:41" ht="12" customHeight="1" x14ac:dyDescent="0.2">
      <c r="AM1073" t="str">
        <f t="shared" si="16"/>
        <v>Baltic Sea [XZBAL]</v>
      </c>
      <c r="AN1073" t="s">
        <v>36606</v>
      </c>
      <c r="AO1073" t="s">
        <v>36607</v>
      </c>
    </row>
    <row r="1074" spans="39:41" ht="12" customHeight="1" x14ac:dyDescent="0.2">
      <c r="AM1074" t="str">
        <f t="shared" si="16"/>
        <v>Baltic Wharf [GBBAW]</v>
      </c>
      <c r="AN1074" t="s">
        <v>12415</v>
      </c>
      <c r="AO1074" t="s">
        <v>12416</v>
      </c>
    </row>
    <row r="1075" spans="39:41" ht="12" customHeight="1" x14ac:dyDescent="0.2">
      <c r="AM1075" t="str">
        <f t="shared" si="16"/>
        <v>Baltimore [IEBTM]</v>
      </c>
      <c r="AN1075" t="s">
        <v>16734</v>
      </c>
      <c r="AO1075" t="s">
        <v>16735</v>
      </c>
    </row>
    <row r="1076" spans="39:41" ht="12" customHeight="1" x14ac:dyDescent="0.2">
      <c r="AM1076" t="str">
        <f t="shared" si="16"/>
        <v>Baltimore [USBAL]</v>
      </c>
      <c r="AN1076" t="s">
        <v>28910</v>
      </c>
      <c r="AO1076" t="s">
        <v>16735</v>
      </c>
    </row>
    <row r="1077" spans="39:41" ht="12" customHeight="1" x14ac:dyDescent="0.2">
      <c r="AM1077" t="str">
        <f t="shared" si="16"/>
        <v>Baltiysk [RUBLT]</v>
      </c>
      <c r="AN1077" t="s">
        <v>26889</v>
      </c>
      <c r="AO1077" t="s">
        <v>26890</v>
      </c>
    </row>
    <row r="1078" spans="39:41" ht="12" customHeight="1" x14ac:dyDescent="0.2">
      <c r="AM1078" t="str">
        <f t="shared" si="16"/>
        <v>Baltmarine Terminal, Riga [LVBMT]</v>
      </c>
      <c r="AN1078" t="s">
        <v>21923</v>
      </c>
      <c r="AO1078" t="s">
        <v>21924</v>
      </c>
    </row>
    <row r="1079" spans="39:41" ht="12" customHeight="1" x14ac:dyDescent="0.2">
      <c r="AM1079" t="str">
        <f t="shared" si="16"/>
        <v>Baltrum [DEBMR]</v>
      </c>
      <c r="AN1079" t="s">
        <v>7067</v>
      </c>
      <c r="AO1079" t="s">
        <v>7068</v>
      </c>
    </row>
    <row r="1080" spans="39:41" ht="12" customHeight="1" x14ac:dyDescent="0.2">
      <c r="AM1080" t="str">
        <f t="shared" si="16"/>
        <v>Balumo/Zamboanga [PHBLU]</v>
      </c>
      <c r="AN1080" t="s">
        <v>25570</v>
      </c>
      <c r="AO1080" t="s">
        <v>25571</v>
      </c>
    </row>
    <row r="1081" spans="39:41" ht="12" customHeight="1" x14ac:dyDescent="0.2">
      <c r="AM1081" t="str">
        <f t="shared" si="16"/>
        <v>Balvicar [GBBVR]</v>
      </c>
      <c r="AN1081" t="s">
        <v>12417</v>
      </c>
      <c r="AO1081" t="s">
        <v>12418</v>
      </c>
    </row>
    <row r="1082" spans="39:41" ht="12" customHeight="1" x14ac:dyDescent="0.2">
      <c r="AM1082" t="str">
        <f t="shared" si="16"/>
        <v>Baly [NOBAL]</v>
      </c>
      <c r="AN1082" t="s">
        <v>23886</v>
      </c>
      <c r="AO1082" t="s">
        <v>36131</v>
      </c>
    </row>
    <row r="1083" spans="39:41" ht="12" customHeight="1" x14ac:dyDescent="0.2">
      <c r="AM1083" t="str">
        <f t="shared" si="16"/>
        <v>Balzan [MTBAL]</v>
      </c>
      <c r="AN1083" t="s">
        <v>22242</v>
      </c>
      <c r="AO1083" t="s">
        <v>22243</v>
      </c>
    </row>
    <row r="1084" spans="39:41" ht="12" customHeight="1" x14ac:dyDescent="0.2">
      <c r="AM1084" t="str">
        <f t="shared" si="16"/>
        <v>Bamberg [DEBAM]</v>
      </c>
      <c r="AN1084" t="s">
        <v>7069</v>
      </c>
      <c r="AO1084" t="s">
        <v>7070</v>
      </c>
    </row>
    <row r="1085" spans="39:41" ht="12" customHeight="1" x14ac:dyDescent="0.2">
      <c r="AM1085" t="str">
        <f t="shared" si="16"/>
        <v>Bamberton [CABAM]</v>
      </c>
      <c r="AN1085" t="s">
        <v>3562</v>
      </c>
      <c r="AO1085" t="s">
        <v>3563</v>
      </c>
    </row>
    <row r="1086" spans="39:41" ht="12" customHeight="1" x14ac:dyDescent="0.2">
      <c r="AM1086" t="str">
        <f t="shared" si="16"/>
        <v>Bamble [NOBAM]</v>
      </c>
      <c r="AN1086" t="s">
        <v>23887</v>
      </c>
      <c r="AO1086" t="s">
        <v>23888</v>
      </c>
    </row>
    <row r="1087" spans="39:41" ht="12" customHeight="1" x14ac:dyDescent="0.2">
      <c r="AM1087" t="str">
        <f t="shared" si="16"/>
        <v>Bambous [MUBAM]</v>
      </c>
      <c r="AN1087" t="s">
        <v>22280</v>
      </c>
      <c r="AO1087" t="s">
        <v>22281</v>
      </c>
    </row>
    <row r="1088" spans="39:41" ht="12" customHeight="1" x14ac:dyDescent="0.2">
      <c r="AM1088" t="str">
        <f t="shared" si="16"/>
        <v>Ban Kantang [THBNK]</v>
      </c>
      <c r="AN1088" t="s">
        <v>28200</v>
      </c>
      <c r="AO1088" t="s">
        <v>28201</v>
      </c>
    </row>
    <row r="1089" spans="39:41" ht="12" customHeight="1" x14ac:dyDescent="0.2">
      <c r="AM1089" t="str">
        <f t="shared" ref="AM1089:AM1152" si="17">AO1089 &amp; " [" &amp; AN1089 &amp; "]"</f>
        <v>Ban Map Ta Phut [THMTP]</v>
      </c>
      <c r="AN1089" t="s">
        <v>28202</v>
      </c>
      <c r="AO1089" t="s">
        <v>28203</v>
      </c>
    </row>
    <row r="1090" spans="39:41" ht="12" customHeight="1" x14ac:dyDescent="0.2">
      <c r="AM1090" t="str">
        <f t="shared" si="17"/>
        <v>Ban Pong [THBPG]</v>
      </c>
      <c r="AN1090" t="s">
        <v>28204</v>
      </c>
      <c r="AO1090" t="s">
        <v>28205</v>
      </c>
    </row>
    <row r="1091" spans="39:41" ht="12" customHeight="1" x14ac:dyDescent="0.2">
      <c r="AM1091" t="str">
        <f t="shared" si="17"/>
        <v>Ban Prakop Customs House [THBPK]</v>
      </c>
      <c r="AN1091" t="s">
        <v>34215</v>
      </c>
      <c r="AO1091" t="s">
        <v>34287</v>
      </c>
    </row>
    <row r="1092" spans="39:41" ht="12" customHeight="1" x14ac:dyDescent="0.2">
      <c r="AM1092" t="str">
        <f t="shared" si="17"/>
        <v>Ban Talat Takua Pa [THBTP]</v>
      </c>
      <c r="AN1092" t="s">
        <v>28206</v>
      </c>
      <c r="AO1092" t="s">
        <v>28207</v>
      </c>
    </row>
    <row r="1093" spans="39:41" ht="12" customHeight="1" x14ac:dyDescent="0.2">
      <c r="AM1093" t="str">
        <f t="shared" si="17"/>
        <v>Banana [CDBNW]</v>
      </c>
      <c r="AN1093" t="s">
        <v>4617</v>
      </c>
      <c r="AO1093" t="s">
        <v>4618</v>
      </c>
    </row>
    <row r="1094" spans="39:41" ht="12" customHeight="1" x14ac:dyDescent="0.2">
      <c r="AM1094" t="str">
        <f t="shared" si="17"/>
        <v>Banatica [PTBAN]</v>
      </c>
      <c r="AN1094" t="s">
        <v>26456</v>
      </c>
      <c r="AO1094" t="s">
        <v>26457</v>
      </c>
    </row>
    <row r="1095" spans="39:41" ht="12" customHeight="1" x14ac:dyDescent="0.2">
      <c r="AM1095" t="str">
        <f t="shared" si="17"/>
        <v>Banawan/Dadiangas [PHBNW]</v>
      </c>
      <c r="AN1095" t="s">
        <v>25572</v>
      </c>
      <c r="AO1095" t="s">
        <v>25573</v>
      </c>
    </row>
    <row r="1096" spans="39:41" ht="12" customHeight="1" x14ac:dyDescent="0.2">
      <c r="AM1096" t="str">
        <f t="shared" si="17"/>
        <v>Banbury [GBBAB]</v>
      </c>
      <c r="AN1096" t="s">
        <v>12419</v>
      </c>
      <c r="AO1096" t="s">
        <v>12420</v>
      </c>
    </row>
    <row r="1097" spans="39:41" ht="12" customHeight="1" x14ac:dyDescent="0.2">
      <c r="AM1097" t="str">
        <f t="shared" si="17"/>
        <v>Bancroft [CABCT]</v>
      </c>
      <c r="AN1097" t="s">
        <v>3564</v>
      </c>
      <c r="AO1097" t="s">
        <v>3565</v>
      </c>
    </row>
    <row r="1098" spans="39:41" ht="12" customHeight="1" x14ac:dyDescent="0.2">
      <c r="AM1098" t="str">
        <f t="shared" si="17"/>
        <v>Bandar Abbas [IRBND]</v>
      </c>
      <c r="AN1098" t="s">
        <v>17598</v>
      </c>
      <c r="AO1098" t="s">
        <v>17599</v>
      </c>
    </row>
    <row r="1099" spans="39:41" ht="12" customHeight="1" x14ac:dyDescent="0.2">
      <c r="AM1099" t="str">
        <f t="shared" si="17"/>
        <v>Bandar Amirabad [IRAMD]</v>
      </c>
      <c r="AN1099" t="s">
        <v>17600</v>
      </c>
      <c r="AO1099" t="s">
        <v>17601</v>
      </c>
    </row>
    <row r="1100" spans="39:41" ht="12" customHeight="1" x14ac:dyDescent="0.2">
      <c r="AM1100" t="str">
        <f t="shared" si="17"/>
        <v>Bandar Assaluyeh [IRBAH]</v>
      </c>
      <c r="AN1100" t="s">
        <v>17602</v>
      </c>
      <c r="AO1100" t="s">
        <v>17603</v>
      </c>
    </row>
    <row r="1101" spans="39:41" ht="12" customHeight="1" x14ac:dyDescent="0.2">
      <c r="AM1101" t="str">
        <f t="shared" si="17"/>
        <v>Bandar Khomeini [IRBKM]</v>
      </c>
      <c r="AN1101" t="s">
        <v>17604</v>
      </c>
      <c r="AO1101" t="s">
        <v>17605</v>
      </c>
    </row>
    <row r="1102" spans="39:41" ht="12" customHeight="1" x14ac:dyDescent="0.2">
      <c r="AM1102" t="str">
        <f t="shared" si="17"/>
        <v>Bandar Maharani [MYBMA]</v>
      </c>
      <c r="AN1102" t="s">
        <v>22500</v>
      </c>
      <c r="AO1102" t="s">
        <v>22501</v>
      </c>
    </row>
    <row r="1103" spans="39:41" ht="12" customHeight="1" x14ac:dyDescent="0.2">
      <c r="AM1103" t="str">
        <f t="shared" si="17"/>
        <v>Bandar Mashur [IRBMR]</v>
      </c>
      <c r="AN1103" t="s">
        <v>17606</v>
      </c>
      <c r="AO1103" t="s">
        <v>17607</v>
      </c>
    </row>
    <row r="1104" spans="39:41" ht="12" customHeight="1" x14ac:dyDescent="0.2">
      <c r="AM1104" t="str">
        <f t="shared" si="17"/>
        <v>Bandar Neka [IRNEK]</v>
      </c>
      <c r="AN1104" t="s">
        <v>17608</v>
      </c>
      <c r="AO1104" t="s">
        <v>17609</v>
      </c>
    </row>
    <row r="1105" spans="39:41" ht="12" customHeight="1" x14ac:dyDescent="0.2">
      <c r="AM1105" t="str">
        <f t="shared" si="17"/>
        <v>Bandar Seri Begawan [BNBWN]</v>
      </c>
      <c r="AN1105" t="s">
        <v>3210</v>
      </c>
      <c r="AO1105" t="s">
        <v>3211</v>
      </c>
    </row>
    <row r="1106" spans="39:41" ht="12" customHeight="1" x14ac:dyDescent="0.2">
      <c r="AM1106" t="str">
        <f t="shared" si="17"/>
        <v>Bandar Shahid Rajaee [IRBSR]</v>
      </c>
      <c r="AN1106" t="s">
        <v>17610</v>
      </c>
      <c r="AO1106" t="s">
        <v>17611</v>
      </c>
    </row>
    <row r="1107" spans="39:41" ht="12" customHeight="1" x14ac:dyDescent="0.2">
      <c r="AM1107" t="str">
        <f t="shared" si="17"/>
        <v>Bandar Tenggara [MYBTK]</v>
      </c>
      <c r="AN1107" t="s">
        <v>22502</v>
      </c>
      <c r="AO1107" t="s">
        <v>22503</v>
      </c>
    </row>
    <row r="1108" spans="39:41" ht="12" customHeight="1" x14ac:dyDescent="0.2">
      <c r="AM1108" t="str">
        <f t="shared" si="17"/>
        <v>Bandar-e Anzali [IRBAZ]</v>
      </c>
      <c r="AN1108" t="s">
        <v>17612</v>
      </c>
      <c r="AO1108" t="s">
        <v>17613</v>
      </c>
    </row>
    <row r="1109" spans="39:41" ht="12" customHeight="1" x14ac:dyDescent="0.2">
      <c r="AM1109" t="str">
        <f t="shared" si="17"/>
        <v>Bandar-e Emam Khomeyni [IRBKK]</v>
      </c>
      <c r="AN1109" t="s">
        <v>17614</v>
      </c>
      <c r="AO1109" t="s">
        <v>17615</v>
      </c>
    </row>
    <row r="1110" spans="39:41" ht="12" customHeight="1" x14ac:dyDescent="0.2">
      <c r="AM1110" t="str">
        <f t="shared" si="17"/>
        <v>Bandar-e Gaz [IRBRG]</v>
      </c>
      <c r="AN1110" t="s">
        <v>17616</v>
      </c>
      <c r="AO1110" t="s">
        <v>17617</v>
      </c>
    </row>
    <row r="1111" spans="39:41" ht="12" customHeight="1" x14ac:dyDescent="0.2">
      <c r="AM1111" t="str">
        <f t="shared" si="17"/>
        <v>Bandar-e Mah Shahr [IRMRX]</v>
      </c>
      <c r="AN1111" t="s">
        <v>17618</v>
      </c>
      <c r="AO1111" t="s">
        <v>36036</v>
      </c>
    </row>
    <row r="1112" spans="39:41" ht="12" customHeight="1" x14ac:dyDescent="0.2">
      <c r="AM1112" t="str">
        <f t="shared" si="17"/>
        <v>Bandau, Sabah [MYBDV]</v>
      </c>
      <c r="AN1112" t="s">
        <v>22504</v>
      </c>
      <c r="AO1112" t="s">
        <v>22505</v>
      </c>
    </row>
    <row r="1113" spans="39:41" ht="12" customHeight="1" x14ac:dyDescent="0.2">
      <c r="AM1113" t="str">
        <f t="shared" si="17"/>
        <v>Banddar [INBND]</v>
      </c>
      <c r="AN1113" t="s">
        <v>17020</v>
      </c>
      <c r="AO1113" t="s">
        <v>17021</v>
      </c>
    </row>
    <row r="1114" spans="39:41" ht="12" customHeight="1" x14ac:dyDescent="0.2">
      <c r="AM1114" t="str">
        <f t="shared" si="17"/>
        <v>Bandholm [DKBDX]</v>
      </c>
      <c r="AN1114" t="s">
        <v>8636</v>
      </c>
      <c r="AO1114" t="s">
        <v>8637</v>
      </c>
    </row>
    <row r="1115" spans="39:41" ht="12" customHeight="1" x14ac:dyDescent="0.2">
      <c r="AM1115" t="str">
        <f t="shared" si="17"/>
        <v>Bandirma [TRBDM]</v>
      </c>
      <c r="AN1115" t="s">
        <v>28413</v>
      </c>
      <c r="AO1115" t="s">
        <v>28414</v>
      </c>
    </row>
    <row r="1116" spans="39:41" ht="12" customHeight="1" x14ac:dyDescent="0.2">
      <c r="AM1116" t="str">
        <f t="shared" si="17"/>
        <v>Bandon [THBND]</v>
      </c>
      <c r="AN1116" t="s">
        <v>28208</v>
      </c>
      <c r="AO1116" t="s">
        <v>28209</v>
      </c>
    </row>
    <row r="1117" spans="39:41" ht="12" customHeight="1" x14ac:dyDescent="0.2">
      <c r="AM1117" t="str">
        <f t="shared" si="17"/>
        <v>Bandra [INBDA]</v>
      </c>
      <c r="AN1117" t="s">
        <v>17022</v>
      </c>
      <c r="AO1117" t="s">
        <v>17023</v>
      </c>
    </row>
    <row r="1118" spans="39:41" ht="12" customHeight="1" x14ac:dyDescent="0.2">
      <c r="AM1118" t="str">
        <f t="shared" si="17"/>
        <v>Banes [CUBAN]</v>
      </c>
      <c r="AN1118" t="s">
        <v>6664</v>
      </c>
      <c r="AO1118" t="s">
        <v>6665</v>
      </c>
    </row>
    <row r="1119" spans="39:41" ht="12" customHeight="1" x14ac:dyDescent="0.2">
      <c r="AM1119" t="str">
        <f t="shared" si="17"/>
        <v>Banff [GBBFF]</v>
      </c>
      <c r="AN1119" t="s">
        <v>12421</v>
      </c>
      <c r="AO1119" t="s">
        <v>12422</v>
      </c>
    </row>
    <row r="1120" spans="39:41" ht="12" customHeight="1" x14ac:dyDescent="0.2">
      <c r="AM1120" t="str">
        <f t="shared" si="17"/>
        <v>Banff Off Shore [GBBOF]</v>
      </c>
      <c r="AN1120" t="s">
        <v>12423</v>
      </c>
      <c r="AO1120" t="s">
        <v>35865</v>
      </c>
    </row>
    <row r="1121" spans="39:41" ht="12" customHeight="1" x14ac:dyDescent="0.2">
      <c r="AM1121" t="str">
        <f t="shared" si="17"/>
        <v>Bang Saphan [THBSP]</v>
      </c>
      <c r="AN1121" t="s">
        <v>28210</v>
      </c>
      <c r="AO1121" t="s">
        <v>28211</v>
      </c>
    </row>
    <row r="1122" spans="39:41" ht="12" customHeight="1" x14ac:dyDescent="0.2">
      <c r="AM1122" t="str">
        <f t="shared" si="17"/>
        <v>Bangarapet [INBPT]</v>
      </c>
      <c r="AN1122" t="s">
        <v>17024</v>
      </c>
      <c r="AO1122" t="s">
        <v>17025</v>
      </c>
    </row>
    <row r="1123" spans="39:41" ht="12" customHeight="1" x14ac:dyDescent="0.2">
      <c r="AM1123" t="str">
        <f t="shared" si="17"/>
        <v>Bangau [MYBGU]</v>
      </c>
      <c r="AN1123" t="s">
        <v>22506</v>
      </c>
      <c r="AO1123" t="s">
        <v>22507</v>
      </c>
    </row>
    <row r="1124" spans="39:41" ht="12" customHeight="1" x14ac:dyDescent="0.2">
      <c r="AM1124" t="str">
        <f t="shared" si="17"/>
        <v>Banggai [IDBGG]</v>
      </c>
      <c r="AN1124" t="s">
        <v>16171</v>
      </c>
      <c r="AO1124" t="s">
        <v>16172</v>
      </c>
    </row>
    <row r="1125" spans="39:41" ht="12" customHeight="1" x14ac:dyDescent="0.2">
      <c r="AM1125" t="str">
        <f t="shared" si="17"/>
        <v>Banghazi [SYBEN]</v>
      </c>
      <c r="AN1125" t="s">
        <v>28166</v>
      </c>
      <c r="AO1125" t="s">
        <v>28167</v>
      </c>
    </row>
    <row r="1126" spans="39:41" ht="12" customHeight="1" x14ac:dyDescent="0.2">
      <c r="AM1126" t="str">
        <f t="shared" si="17"/>
        <v>Bangholme [AULME]</v>
      </c>
      <c r="AN1126" t="s">
        <v>1417</v>
      </c>
      <c r="AO1126" t="s">
        <v>1418</v>
      </c>
    </row>
    <row r="1127" spans="39:41" ht="12" customHeight="1" x14ac:dyDescent="0.2">
      <c r="AM1127" t="str">
        <f t="shared" si="17"/>
        <v>Bangkok [THBKK]</v>
      </c>
      <c r="AN1127" t="s">
        <v>28212</v>
      </c>
      <c r="AO1127" t="s">
        <v>28213</v>
      </c>
    </row>
    <row r="1128" spans="39:41" ht="12" customHeight="1" x14ac:dyDescent="0.2">
      <c r="AM1128" t="str">
        <f t="shared" si="17"/>
        <v>Bangkok Modern Terminals/Bangkok [THBMT]</v>
      </c>
      <c r="AN1128" t="s">
        <v>28214</v>
      </c>
      <c r="AO1128" t="s">
        <v>28215</v>
      </c>
    </row>
    <row r="1129" spans="39:41" ht="12" customHeight="1" x14ac:dyDescent="0.2">
      <c r="AM1129" t="str">
        <f t="shared" si="17"/>
        <v>Bangnara [THBNG]</v>
      </c>
      <c r="AN1129" t="s">
        <v>28216</v>
      </c>
      <c r="AO1129" t="s">
        <v>28217</v>
      </c>
    </row>
    <row r="1130" spans="39:41" ht="12" customHeight="1" x14ac:dyDescent="0.2">
      <c r="AM1130" t="str">
        <f t="shared" si="17"/>
        <v>Bangor [GBBAN]</v>
      </c>
      <c r="AN1130" t="s">
        <v>12424</v>
      </c>
      <c r="AO1130" t="s">
        <v>12425</v>
      </c>
    </row>
    <row r="1131" spans="39:41" ht="12" customHeight="1" x14ac:dyDescent="0.2">
      <c r="AM1131" t="str">
        <f t="shared" si="17"/>
        <v>Bangor [GBBNG]</v>
      </c>
      <c r="AN1131" t="s">
        <v>12426</v>
      </c>
      <c r="AO1131" t="s">
        <v>12425</v>
      </c>
    </row>
    <row r="1132" spans="39:41" ht="12" customHeight="1" x14ac:dyDescent="0.2">
      <c r="AM1132" t="str">
        <f t="shared" si="17"/>
        <v>Bangor [IEBNG]</v>
      </c>
      <c r="AN1132" t="s">
        <v>16736</v>
      </c>
      <c r="AO1132" t="s">
        <v>12425</v>
      </c>
    </row>
    <row r="1133" spans="39:41" ht="12" customHeight="1" x14ac:dyDescent="0.2">
      <c r="AM1133" t="str">
        <f t="shared" si="17"/>
        <v>Bangor [USBGR]</v>
      </c>
      <c r="AN1133" t="s">
        <v>28911</v>
      </c>
      <c r="AO1133" t="s">
        <v>12425</v>
      </c>
    </row>
    <row r="1134" spans="39:41" ht="12" customHeight="1" x14ac:dyDescent="0.2">
      <c r="AM1134" t="str">
        <f t="shared" si="17"/>
        <v>Bangpakong Terminal [THBTC]</v>
      </c>
      <c r="AN1134" t="s">
        <v>33940</v>
      </c>
      <c r="AO1134" t="s">
        <v>34062</v>
      </c>
    </row>
    <row r="1135" spans="39:41" ht="12" customHeight="1" x14ac:dyDescent="0.2">
      <c r="AM1135" t="str">
        <f t="shared" si="17"/>
        <v>Bangpoomai [THBAI]</v>
      </c>
      <c r="AN1135" t="s">
        <v>28218</v>
      </c>
      <c r="AO1135" t="s">
        <v>28219</v>
      </c>
    </row>
    <row r="1136" spans="39:41" ht="12" customHeight="1" x14ac:dyDescent="0.2">
      <c r="AM1136" t="str">
        <f t="shared" si="17"/>
        <v>Bani [DOBAN]</v>
      </c>
      <c r="AN1136" t="s">
        <v>8983</v>
      </c>
      <c r="AO1136" t="s">
        <v>35603</v>
      </c>
    </row>
    <row r="1137" spans="39:41" ht="12" customHeight="1" x14ac:dyDescent="0.2">
      <c r="AM1137" t="str">
        <f t="shared" si="17"/>
        <v>Baniyas [SYBAN]</v>
      </c>
      <c r="AN1137" t="s">
        <v>28168</v>
      </c>
      <c r="AO1137" t="s">
        <v>28169</v>
      </c>
    </row>
    <row r="1138" spans="39:41" ht="12" customHeight="1" x14ac:dyDescent="0.2">
      <c r="AM1138" t="str">
        <f t="shared" si="17"/>
        <v>Banjarmasin [IDBDJ]</v>
      </c>
      <c r="AN1138" t="s">
        <v>16173</v>
      </c>
      <c r="AO1138" t="s">
        <v>16174</v>
      </c>
    </row>
    <row r="1139" spans="39:41" ht="12" customHeight="1" x14ac:dyDescent="0.2">
      <c r="AM1139" t="str">
        <f t="shared" si="17"/>
        <v>Banjul [GMBJL]</v>
      </c>
      <c r="AN1139" t="s">
        <v>15035</v>
      </c>
      <c r="AO1139" t="s">
        <v>15036</v>
      </c>
    </row>
    <row r="1140" spans="39:41" ht="12" customHeight="1" x14ac:dyDescent="0.2">
      <c r="AM1140" t="str">
        <f t="shared" si="17"/>
        <v>Banjuwangi, Java [IDBJU]</v>
      </c>
      <c r="AN1140" t="s">
        <v>16175</v>
      </c>
      <c r="AO1140" t="s">
        <v>16176</v>
      </c>
    </row>
    <row r="1141" spans="39:41" ht="12" customHeight="1" x14ac:dyDescent="0.2">
      <c r="AM1141" t="str">
        <f t="shared" si="17"/>
        <v>Bankot [INBKT]</v>
      </c>
      <c r="AN1141" t="s">
        <v>17026</v>
      </c>
      <c r="AO1141" t="s">
        <v>17027</v>
      </c>
    </row>
    <row r="1142" spans="39:41" ht="12" customHeight="1" x14ac:dyDescent="0.2">
      <c r="AM1142" t="str">
        <f t="shared" si="17"/>
        <v>Banlaem [THBNL]</v>
      </c>
      <c r="AN1142" t="s">
        <v>28220</v>
      </c>
      <c r="AO1142" t="s">
        <v>28221</v>
      </c>
    </row>
    <row r="1143" spans="39:41" ht="12" customHeight="1" x14ac:dyDescent="0.2">
      <c r="AM1143" t="str">
        <f t="shared" si="17"/>
        <v>Bannockburn [AUBNN]</v>
      </c>
      <c r="AN1143" t="s">
        <v>1419</v>
      </c>
      <c r="AO1143" t="s">
        <v>1420</v>
      </c>
    </row>
    <row r="1144" spans="39:41" ht="12" customHeight="1" x14ac:dyDescent="0.2">
      <c r="AM1144" t="str">
        <f t="shared" si="17"/>
        <v>Bant [NLBAN]</v>
      </c>
      <c r="AN1144" t="s">
        <v>23038</v>
      </c>
      <c r="AO1144" t="s">
        <v>23039</v>
      </c>
    </row>
    <row r="1145" spans="39:41" ht="12" customHeight="1" x14ac:dyDescent="0.2">
      <c r="AM1145" t="str">
        <f t="shared" si="17"/>
        <v>Bantayon/San Jose [PHBTY]</v>
      </c>
      <c r="AN1145" t="s">
        <v>25574</v>
      </c>
      <c r="AO1145" t="s">
        <v>25575</v>
      </c>
    </row>
    <row r="1146" spans="39:41" ht="12" customHeight="1" x14ac:dyDescent="0.2">
      <c r="AM1146" t="str">
        <f t="shared" si="17"/>
        <v>Banten [IDBTN]</v>
      </c>
      <c r="AN1146" t="s">
        <v>16177</v>
      </c>
      <c r="AO1146" t="s">
        <v>16178</v>
      </c>
    </row>
    <row r="1147" spans="39:41" ht="12" customHeight="1" x14ac:dyDescent="0.2">
      <c r="AM1147" t="str">
        <f t="shared" si="17"/>
        <v>Bantouzelle [FRNTZ]</v>
      </c>
      <c r="AN1147" t="s">
        <v>10779</v>
      </c>
      <c r="AO1147" t="s">
        <v>10780</v>
      </c>
    </row>
    <row r="1148" spans="39:41" ht="12" customHeight="1" x14ac:dyDescent="0.2">
      <c r="AM1148" t="str">
        <f t="shared" si="17"/>
        <v>Bantry [CANTR]</v>
      </c>
      <c r="AN1148" t="s">
        <v>3566</v>
      </c>
      <c r="AO1148" t="s">
        <v>3567</v>
      </c>
    </row>
    <row r="1149" spans="39:41" ht="12" customHeight="1" x14ac:dyDescent="0.2">
      <c r="AM1149" t="str">
        <f t="shared" si="17"/>
        <v>Bantry [IEBYT]</v>
      </c>
      <c r="AN1149" t="s">
        <v>16737</v>
      </c>
      <c r="AO1149" t="s">
        <v>3567</v>
      </c>
    </row>
    <row r="1150" spans="39:41" ht="12" customHeight="1" x14ac:dyDescent="0.2">
      <c r="AM1150" t="str">
        <f t="shared" si="17"/>
        <v>Bantry Harbour [IEBTH]</v>
      </c>
      <c r="AN1150" t="s">
        <v>16738</v>
      </c>
      <c r="AO1150" t="s">
        <v>16739</v>
      </c>
    </row>
    <row r="1151" spans="39:41" ht="12" customHeight="1" x14ac:dyDescent="0.2">
      <c r="AM1151" t="str">
        <f t="shared" si="17"/>
        <v>Banyeres del Penedes [ESBDP]</v>
      </c>
      <c r="AN1151" t="s">
        <v>9608</v>
      </c>
      <c r="AO1151" t="s">
        <v>9609</v>
      </c>
    </row>
    <row r="1152" spans="39:41" ht="12" customHeight="1" x14ac:dyDescent="0.2">
      <c r="AM1152" t="str">
        <f t="shared" si="17"/>
        <v>Bao Loc [VNBAO]</v>
      </c>
      <c r="AN1152" t="s">
        <v>32301</v>
      </c>
      <c r="AO1152" t="s">
        <v>32302</v>
      </c>
    </row>
    <row r="1153" spans="39:41" ht="12" customHeight="1" x14ac:dyDescent="0.2">
      <c r="AM1153" t="str">
        <f t="shared" ref="AM1153:AM1216" si="18">AO1153 &amp; " [" &amp; AN1153 &amp; "]"</f>
        <v>Baobab Terminal [CIBAO]</v>
      </c>
      <c r="AN1153" t="s">
        <v>4777</v>
      </c>
      <c r="AO1153" t="s">
        <v>4778</v>
      </c>
    </row>
    <row r="1154" spans="39:41" ht="12" customHeight="1" x14ac:dyDescent="0.2">
      <c r="AM1154" t="str">
        <f t="shared" si="18"/>
        <v>Baoshan Pt [CNBSD]</v>
      </c>
      <c r="AN1154" t="s">
        <v>5050</v>
      </c>
      <c r="AO1154" t="s">
        <v>5051</v>
      </c>
    </row>
    <row r="1155" spans="39:41" ht="12" customHeight="1" x14ac:dyDescent="0.2">
      <c r="AM1155" t="str">
        <f t="shared" si="18"/>
        <v>Bar [MEBAR]</v>
      </c>
      <c r="AN1155" t="s">
        <v>22077</v>
      </c>
      <c r="AO1155" t="s">
        <v>155</v>
      </c>
    </row>
    <row r="1156" spans="39:41" ht="12" customHeight="1" x14ac:dyDescent="0.2">
      <c r="AM1156" t="str">
        <f t="shared" si="18"/>
        <v>Bar Harbor [USBHB]</v>
      </c>
      <c r="AN1156" t="s">
        <v>28912</v>
      </c>
      <c r="AO1156" t="s">
        <v>28913</v>
      </c>
    </row>
    <row r="1157" spans="39:41" ht="12" customHeight="1" x14ac:dyDescent="0.2">
      <c r="AM1157" t="str">
        <f t="shared" si="18"/>
        <v>Bar Light [GBRLG]</v>
      </c>
      <c r="AN1157" t="s">
        <v>12427</v>
      </c>
      <c r="AO1157" t="s">
        <v>12428</v>
      </c>
    </row>
    <row r="1158" spans="39:41" ht="12" customHeight="1" x14ac:dyDescent="0.2">
      <c r="AM1158" t="str">
        <f t="shared" si="18"/>
        <v>Baracoa [CUBCA]</v>
      </c>
      <c r="AN1158" t="s">
        <v>6666</v>
      </c>
      <c r="AO1158" t="s">
        <v>6667</v>
      </c>
    </row>
    <row r="1159" spans="39:41" ht="12" customHeight="1" x14ac:dyDescent="0.2">
      <c r="AM1159" t="str">
        <f t="shared" si="18"/>
        <v>Baraga [USRGA]</v>
      </c>
      <c r="AN1159" t="s">
        <v>28914</v>
      </c>
      <c r="AO1159" t="s">
        <v>28915</v>
      </c>
    </row>
    <row r="1160" spans="39:41" ht="12" customHeight="1" x14ac:dyDescent="0.2">
      <c r="AM1160" t="str">
        <f t="shared" si="18"/>
        <v>Barahona [DOBRX]</v>
      </c>
      <c r="AN1160" t="s">
        <v>8984</v>
      </c>
      <c r="AO1160" t="s">
        <v>8985</v>
      </c>
    </row>
    <row r="1161" spans="39:41" ht="12" customHeight="1" x14ac:dyDescent="0.2">
      <c r="AM1161" t="str">
        <f t="shared" si="18"/>
        <v>Barauna [BRBUN]</v>
      </c>
      <c r="AN1161" t="s">
        <v>3268</v>
      </c>
      <c r="AO1161" t="s">
        <v>3269</v>
      </c>
    </row>
    <row r="1162" spans="39:41" ht="12" customHeight="1" x14ac:dyDescent="0.2">
      <c r="AM1162" t="str">
        <f t="shared" si="18"/>
        <v>Barbastro [ESBRB]</v>
      </c>
      <c r="AN1162" t="s">
        <v>36892</v>
      </c>
      <c r="AO1162" t="s">
        <v>36893</v>
      </c>
    </row>
    <row r="1163" spans="39:41" ht="12" customHeight="1" x14ac:dyDescent="0.2">
      <c r="AM1163" t="str">
        <f t="shared" si="18"/>
        <v>Barbate de Franco [ESBDF]</v>
      </c>
      <c r="AN1163" t="s">
        <v>9610</v>
      </c>
      <c r="AO1163" t="s">
        <v>9611</v>
      </c>
    </row>
    <row r="1164" spans="39:41" ht="12" customHeight="1" x14ac:dyDescent="0.2">
      <c r="AM1164" t="str">
        <f t="shared" si="18"/>
        <v>Barbing [DEGBX]</v>
      </c>
      <c r="AN1164" t="s">
        <v>7071</v>
      </c>
      <c r="AO1164" t="s">
        <v>7072</v>
      </c>
    </row>
    <row r="1165" spans="39:41" ht="12" customHeight="1" x14ac:dyDescent="0.2">
      <c r="AM1165" t="str">
        <f t="shared" si="18"/>
        <v>Barboursville [USRUX]</v>
      </c>
      <c r="AN1165" t="s">
        <v>28916</v>
      </c>
      <c r="AO1165" t="s">
        <v>28917</v>
      </c>
    </row>
    <row r="1166" spans="39:41" ht="12" customHeight="1" x14ac:dyDescent="0.2">
      <c r="AM1166" t="str">
        <f t="shared" si="18"/>
        <v>Barbuda [AGBBQ]</v>
      </c>
      <c r="AN1166" t="s">
        <v>796</v>
      </c>
      <c r="AO1166" t="s">
        <v>797</v>
      </c>
    </row>
    <row r="1167" spans="39:41" ht="12" customHeight="1" x14ac:dyDescent="0.2">
      <c r="AM1167" t="str">
        <f t="shared" si="18"/>
        <v>Barcadera [AWBAR]</v>
      </c>
      <c r="AN1167" t="s">
        <v>2142</v>
      </c>
      <c r="AO1167" t="s">
        <v>2143</v>
      </c>
    </row>
    <row r="1168" spans="39:41" ht="12" customHeight="1" x14ac:dyDescent="0.2">
      <c r="AM1168" t="str">
        <f t="shared" si="18"/>
        <v>Barcaldine [GBBCE]</v>
      </c>
      <c r="AN1168" t="s">
        <v>12429</v>
      </c>
      <c r="AO1168" t="s">
        <v>12430</v>
      </c>
    </row>
    <row r="1169" spans="39:41" ht="12" customHeight="1" x14ac:dyDescent="0.2">
      <c r="AM1169" t="str">
        <f t="shared" si="18"/>
        <v>Barcelona [ESBCN]</v>
      </c>
      <c r="AN1169" t="s">
        <v>9612</v>
      </c>
      <c r="AO1169" t="s">
        <v>9613</v>
      </c>
    </row>
    <row r="1170" spans="39:41" ht="12" customHeight="1" x14ac:dyDescent="0.2">
      <c r="AM1170" t="str">
        <f t="shared" si="18"/>
        <v>Barcequillo [DOBQL]</v>
      </c>
      <c r="AN1170" t="s">
        <v>8986</v>
      </c>
      <c r="AO1170" t="s">
        <v>8987</v>
      </c>
    </row>
    <row r="1171" spans="39:41" ht="12" customHeight="1" x14ac:dyDescent="0.2">
      <c r="AM1171" t="str">
        <f t="shared" si="18"/>
        <v>Bardello [ITB8D]</v>
      </c>
      <c r="AN1171" t="s">
        <v>17824</v>
      </c>
      <c r="AO1171" t="s">
        <v>17825</v>
      </c>
    </row>
    <row r="1172" spans="39:41" ht="12" customHeight="1" x14ac:dyDescent="0.2">
      <c r="AM1172" t="str">
        <f t="shared" si="18"/>
        <v>Bardiyah [LYBAR]</v>
      </c>
      <c r="AN1172" t="s">
        <v>21975</v>
      </c>
      <c r="AO1172" t="s">
        <v>21976</v>
      </c>
    </row>
    <row r="1173" spans="39:41" ht="12" customHeight="1" x14ac:dyDescent="0.2">
      <c r="AM1173" t="str">
        <f t="shared" si="18"/>
        <v>Bardsea [GBBDZ]</v>
      </c>
      <c r="AN1173" t="s">
        <v>12431</v>
      </c>
      <c r="AO1173" t="s">
        <v>12432</v>
      </c>
    </row>
    <row r="1174" spans="39:41" ht="12" customHeight="1" x14ac:dyDescent="0.2">
      <c r="AM1174" t="str">
        <f t="shared" si="18"/>
        <v>Barendrecht [NLBRR]</v>
      </c>
      <c r="AN1174" t="s">
        <v>34098</v>
      </c>
      <c r="AO1174" t="s">
        <v>34144</v>
      </c>
    </row>
    <row r="1175" spans="39:41" ht="12" customHeight="1" x14ac:dyDescent="0.2">
      <c r="AM1175" t="str">
        <f t="shared" si="18"/>
        <v>Barents Sea [XZBSE]</v>
      </c>
      <c r="AN1175" t="s">
        <v>36612</v>
      </c>
      <c r="AO1175" t="s">
        <v>36613</v>
      </c>
    </row>
    <row r="1176" spans="39:41" ht="12" customHeight="1" x14ac:dyDescent="0.2">
      <c r="AM1176" t="str">
        <f t="shared" si="18"/>
        <v>Barentsburg [SJBAR]</v>
      </c>
      <c r="AN1176" t="s">
        <v>28028</v>
      </c>
      <c r="AO1176" t="s">
        <v>28029</v>
      </c>
    </row>
    <row r="1177" spans="39:41" ht="12" customHeight="1" x14ac:dyDescent="0.2">
      <c r="AM1177" t="str">
        <f t="shared" si="18"/>
        <v>Bari [ITBRI]</v>
      </c>
      <c r="AN1177" t="s">
        <v>17826</v>
      </c>
      <c r="AO1177" t="s">
        <v>17827</v>
      </c>
    </row>
    <row r="1178" spans="39:41" ht="12" customHeight="1" x14ac:dyDescent="0.2">
      <c r="AM1178" t="str">
        <f t="shared" si="18"/>
        <v>Barisal [BDBZL]</v>
      </c>
      <c r="AN1178" t="s">
        <v>2190</v>
      </c>
      <c r="AO1178" t="s">
        <v>2191</v>
      </c>
    </row>
    <row r="1179" spans="39:41" ht="12" customHeight="1" x14ac:dyDescent="0.2">
      <c r="AM1179" t="str">
        <f t="shared" si="18"/>
        <v>Barking/London [GBBKG]</v>
      </c>
      <c r="AN1179" t="s">
        <v>12433</v>
      </c>
      <c r="AO1179" t="s">
        <v>12434</v>
      </c>
    </row>
    <row r="1180" spans="39:41" ht="12" customHeight="1" x14ac:dyDescent="0.2">
      <c r="AM1180" t="str">
        <f t="shared" si="18"/>
        <v>Barlborough [GBBLZ]</v>
      </c>
      <c r="AN1180" t="s">
        <v>12435</v>
      </c>
      <c r="AO1180" t="s">
        <v>12436</v>
      </c>
    </row>
    <row r="1181" spans="39:41" ht="12" customHeight="1" x14ac:dyDescent="0.2">
      <c r="AM1181" t="str">
        <f t="shared" si="18"/>
        <v>Bar-le-Duc [FRBLD]</v>
      </c>
      <c r="AN1181" t="s">
        <v>10781</v>
      </c>
      <c r="AO1181" t="s">
        <v>10782</v>
      </c>
    </row>
    <row r="1182" spans="39:41" ht="12" customHeight="1" x14ac:dyDescent="0.2">
      <c r="AM1182" t="str">
        <f t="shared" si="18"/>
        <v>Barletta [ITBLT]</v>
      </c>
      <c r="AN1182" t="s">
        <v>17828</v>
      </c>
      <c r="AO1182" t="s">
        <v>17829</v>
      </c>
    </row>
    <row r="1183" spans="39:41" ht="12" customHeight="1" x14ac:dyDescent="0.2">
      <c r="AM1183" t="str">
        <f t="shared" si="18"/>
        <v>Barmouth [GBBMU]</v>
      </c>
      <c r="AN1183" t="s">
        <v>12437</v>
      </c>
      <c r="AO1183" t="s">
        <v>12438</v>
      </c>
    </row>
    <row r="1184" spans="39:41" ht="12" customHeight="1" x14ac:dyDescent="0.2">
      <c r="AM1184" t="str">
        <f t="shared" si="18"/>
        <v>Barmouth (Abermaw) [GBABW]</v>
      </c>
      <c r="AN1184" t="s">
        <v>12439</v>
      </c>
      <c r="AO1184" t="s">
        <v>12440</v>
      </c>
    </row>
    <row r="1185" spans="39:41" ht="12" customHeight="1" x14ac:dyDescent="0.2">
      <c r="AM1185" t="str">
        <f t="shared" si="18"/>
        <v>Barnegat [USBG7]</v>
      </c>
      <c r="AN1185" t="s">
        <v>28918</v>
      </c>
      <c r="AO1185" t="s">
        <v>28919</v>
      </c>
    </row>
    <row r="1186" spans="39:41" ht="12" customHeight="1" x14ac:dyDescent="0.2">
      <c r="AM1186" t="str">
        <f t="shared" si="18"/>
        <v>Barneville-Carteret [FRBNV]</v>
      </c>
      <c r="AN1186" t="s">
        <v>10783</v>
      </c>
      <c r="AO1186" t="s">
        <v>10784</v>
      </c>
    </row>
    <row r="1187" spans="39:41" ht="12" customHeight="1" x14ac:dyDescent="0.2">
      <c r="AM1187" t="str">
        <f t="shared" si="18"/>
        <v>Barnham [GBAXN]</v>
      </c>
      <c r="AN1187" t="s">
        <v>12441</v>
      </c>
      <c r="AO1187" t="s">
        <v>12442</v>
      </c>
    </row>
    <row r="1188" spans="39:41" ht="12" customHeight="1" x14ac:dyDescent="0.2">
      <c r="AM1188" t="str">
        <f t="shared" si="18"/>
        <v>Barnkrug [DEBRK]</v>
      </c>
      <c r="AN1188" t="s">
        <v>7073</v>
      </c>
      <c r="AO1188" t="s">
        <v>7074</v>
      </c>
    </row>
    <row r="1189" spans="39:41" ht="12" customHeight="1" x14ac:dyDescent="0.2">
      <c r="AM1189" t="str">
        <f t="shared" si="18"/>
        <v>Barnoldby le Beck [GBBDB]</v>
      </c>
      <c r="AN1189" t="s">
        <v>12443</v>
      </c>
      <c r="AO1189" t="s">
        <v>12444</v>
      </c>
    </row>
    <row r="1190" spans="39:41" ht="12" customHeight="1" x14ac:dyDescent="0.2">
      <c r="AM1190" t="str">
        <f t="shared" si="18"/>
        <v>Barnsley [GBBSY]</v>
      </c>
      <c r="AN1190" t="s">
        <v>12445</v>
      </c>
      <c r="AO1190" t="s">
        <v>12446</v>
      </c>
    </row>
    <row r="1191" spans="39:41" ht="12" customHeight="1" x14ac:dyDescent="0.2">
      <c r="AM1191" t="str">
        <f t="shared" si="18"/>
        <v>Barnstaple [GBBND]</v>
      </c>
      <c r="AN1191" t="s">
        <v>12447</v>
      </c>
      <c r="AO1191" t="s">
        <v>12448</v>
      </c>
    </row>
    <row r="1192" spans="39:41" ht="12" customHeight="1" x14ac:dyDescent="0.2">
      <c r="AM1192" t="str">
        <f t="shared" si="18"/>
        <v>Barnstone [GBBBX]</v>
      </c>
      <c r="AN1192" t="s">
        <v>12449</v>
      </c>
      <c r="AO1192" t="s">
        <v>12450</v>
      </c>
    </row>
    <row r="1193" spans="39:41" ht="12" customHeight="1" x14ac:dyDescent="0.2">
      <c r="AM1193" t="str">
        <f t="shared" si="18"/>
        <v>Barobo/Bislig [PHBRB]</v>
      </c>
      <c r="AN1193" t="s">
        <v>25576</v>
      </c>
      <c r="AO1193" t="s">
        <v>25577</v>
      </c>
    </row>
    <row r="1194" spans="39:41" ht="12" customHeight="1" x14ac:dyDescent="0.2">
      <c r="AM1194" t="str">
        <f t="shared" si="18"/>
        <v>Baronsalmi [FIBAR]</v>
      </c>
      <c r="AN1194" t="s">
        <v>10314</v>
      </c>
      <c r="AO1194" t="s">
        <v>10315</v>
      </c>
    </row>
    <row r="1195" spans="39:41" ht="12" customHeight="1" x14ac:dyDescent="0.2">
      <c r="AM1195" t="str">
        <f t="shared" si="18"/>
        <v>Barquito [CLBAR]</v>
      </c>
      <c r="AN1195" t="s">
        <v>4822</v>
      </c>
      <c r="AO1195" t="s">
        <v>4823</v>
      </c>
    </row>
    <row r="1196" spans="39:41" ht="12" customHeight="1" x14ac:dyDescent="0.2">
      <c r="AM1196" t="str">
        <f t="shared" si="18"/>
        <v>Barra [GBBRR]</v>
      </c>
      <c r="AN1196" t="s">
        <v>12451</v>
      </c>
      <c r="AO1196" t="s">
        <v>12452</v>
      </c>
    </row>
    <row r="1197" spans="39:41" ht="12" customHeight="1" x14ac:dyDescent="0.2">
      <c r="AM1197" t="str">
        <f t="shared" si="18"/>
        <v>Barra do Dande [AOBDD]</v>
      </c>
      <c r="AN1197" t="s">
        <v>831</v>
      </c>
      <c r="AO1197" t="s">
        <v>832</v>
      </c>
    </row>
    <row r="1198" spans="39:41" ht="12" customHeight="1" x14ac:dyDescent="0.2">
      <c r="AM1198" t="str">
        <f t="shared" si="18"/>
        <v>Barra do Riacho Pt / Aracruz [BRRCH]</v>
      </c>
      <c r="AN1198" t="s">
        <v>3270</v>
      </c>
      <c r="AO1198" t="s">
        <v>3271</v>
      </c>
    </row>
    <row r="1199" spans="39:41" ht="12" customHeight="1" x14ac:dyDescent="0.2">
      <c r="AM1199" t="str">
        <f t="shared" si="18"/>
        <v>Barra dos Coqueiros [BRBAR]</v>
      </c>
      <c r="AN1199" t="s">
        <v>3272</v>
      </c>
      <c r="AO1199" t="s">
        <v>3273</v>
      </c>
    </row>
    <row r="1200" spans="39:41" ht="12" customHeight="1" x14ac:dyDescent="0.2">
      <c r="AM1200" t="str">
        <f t="shared" si="18"/>
        <v>Barrancabermeja [COEJA]</v>
      </c>
      <c r="AN1200" t="s">
        <v>6505</v>
      </c>
      <c r="AO1200" t="s">
        <v>6506</v>
      </c>
    </row>
    <row r="1201" spans="39:41" ht="12" customHeight="1" x14ac:dyDescent="0.2">
      <c r="AM1201" t="str">
        <f t="shared" si="18"/>
        <v>Barranco [BZBAR]</v>
      </c>
      <c r="AN1201" t="s">
        <v>3502</v>
      </c>
      <c r="AO1201" t="s">
        <v>3503</v>
      </c>
    </row>
    <row r="1202" spans="39:41" ht="12" customHeight="1" x14ac:dyDescent="0.2">
      <c r="AM1202" t="str">
        <f t="shared" si="18"/>
        <v>Barranqueras [ARBQS]</v>
      </c>
      <c r="AN1202" t="s">
        <v>982</v>
      </c>
      <c r="AO1202" t="s">
        <v>983</v>
      </c>
    </row>
    <row r="1203" spans="39:41" ht="12" customHeight="1" x14ac:dyDescent="0.2">
      <c r="AM1203" t="str">
        <f t="shared" si="18"/>
        <v>Barranquilla [COBAQ]</v>
      </c>
      <c r="AN1203" t="s">
        <v>6507</v>
      </c>
      <c r="AO1203" t="s">
        <v>6508</v>
      </c>
    </row>
    <row r="1204" spans="39:41" ht="12" customHeight="1" x14ac:dyDescent="0.2">
      <c r="AM1204" t="str">
        <f t="shared" si="18"/>
        <v>Barren Islands [MGBRR]</v>
      </c>
      <c r="AN1204" t="s">
        <v>22108</v>
      </c>
      <c r="AO1204" t="s">
        <v>22109</v>
      </c>
    </row>
    <row r="1205" spans="39:41" ht="12" customHeight="1" x14ac:dyDescent="0.2">
      <c r="AM1205" t="str">
        <f t="shared" si="18"/>
        <v>Barretal [MXEA2]</v>
      </c>
      <c r="AN1205" t="s">
        <v>22316</v>
      </c>
      <c r="AO1205" t="s">
        <v>22317</v>
      </c>
    </row>
    <row r="1206" spans="39:41" ht="12" customHeight="1" x14ac:dyDescent="0.2">
      <c r="AM1206" t="str">
        <f t="shared" si="18"/>
        <v>Barrigada [GUBRR]</v>
      </c>
      <c r="AN1206" t="s">
        <v>15613</v>
      </c>
      <c r="AO1206" t="s">
        <v>15614</v>
      </c>
    </row>
    <row r="1207" spans="39:41" ht="12" customHeight="1" x14ac:dyDescent="0.2">
      <c r="AM1207" t="str">
        <f t="shared" si="18"/>
        <v>Barrington [CABAN]</v>
      </c>
      <c r="AN1207" t="s">
        <v>3568</v>
      </c>
      <c r="AO1207" t="s">
        <v>3569</v>
      </c>
    </row>
    <row r="1208" spans="39:41" ht="12" customHeight="1" x14ac:dyDescent="0.2">
      <c r="AM1208" t="str">
        <f t="shared" si="18"/>
        <v>Barrio Caacupe Mi [PYBCM]</v>
      </c>
      <c r="AN1208" t="s">
        <v>26658</v>
      </c>
      <c r="AO1208" t="s">
        <v>36402</v>
      </c>
    </row>
    <row r="1209" spans="39:41" ht="12" customHeight="1" x14ac:dyDescent="0.2">
      <c r="AM1209" t="str">
        <f t="shared" si="18"/>
        <v>Barro [PTBAO]</v>
      </c>
      <c r="AN1209" t="s">
        <v>26458</v>
      </c>
      <c r="AO1209" t="s">
        <v>26459</v>
      </c>
    </row>
    <row r="1210" spans="39:41" ht="12" customHeight="1" x14ac:dyDescent="0.2">
      <c r="AM1210" t="str">
        <f t="shared" si="18"/>
        <v>Barrow in Furness [GBBIF]</v>
      </c>
      <c r="AN1210" t="s">
        <v>12453</v>
      </c>
      <c r="AO1210" t="s">
        <v>12454</v>
      </c>
    </row>
    <row r="1211" spans="39:41" ht="12" customHeight="1" x14ac:dyDescent="0.2">
      <c r="AM1211" t="str">
        <f t="shared" si="18"/>
        <v>Barrow Island [AUBWB]</v>
      </c>
      <c r="AN1211" t="s">
        <v>1421</v>
      </c>
      <c r="AO1211" t="s">
        <v>1422</v>
      </c>
    </row>
    <row r="1212" spans="39:41" ht="12" customHeight="1" x14ac:dyDescent="0.2">
      <c r="AM1212" t="str">
        <f t="shared" si="18"/>
        <v>Barrow On Soar [GBBUO]</v>
      </c>
      <c r="AN1212" t="s">
        <v>12455</v>
      </c>
      <c r="AO1212" t="s">
        <v>12456</v>
      </c>
    </row>
    <row r="1213" spans="39:41" ht="12" customHeight="1" x14ac:dyDescent="0.2">
      <c r="AM1213" t="str">
        <f t="shared" si="18"/>
        <v>Barrow upon Trent [GBBWU]</v>
      </c>
      <c r="AN1213" t="s">
        <v>12457</v>
      </c>
      <c r="AO1213" t="s">
        <v>12458</v>
      </c>
    </row>
    <row r="1214" spans="39:41" ht="12" customHeight="1" x14ac:dyDescent="0.2">
      <c r="AM1214" t="str">
        <f t="shared" si="18"/>
        <v>Barrow-upon-Humber [GBBHR]</v>
      </c>
      <c r="AN1214" t="s">
        <v>12459</v>
      </c>
      <c r="AO1214" t="s">
        <v>12460</v>
      </c>
    </row>
    <row r="1215" spans="39:41" ht="12" customHeight="1" x14ac:dyDescent="0.2">
      <c r="AM1215" t="str">
        <f t="shared" si="18"/>
        <v>Barry Beach [AUBAR]</v>
      </c>
      <c r="AN1215" t="s">
        <v>1423</v>
      </c>
      <c r="AO1215" t="s">
        <v>1424</v>
      </c>
    </row>
    <row r="1216" spans="39:41" ht="12" customHeight="1" x14ac:dyDescent="0.2">
      <c r="AM1216" t="str">
        <f t="shared" si="18"/>
        <v>Barry Dock [GBBAD]</v>
      </c>
      <c r="AN1216" t="s">
        <v>12461</v>
      </c>
      <c r="AO1216" t="s">
        <v>12462</v>
      </c>
    </row>
    <row r="1217" spans="39:41" ht="12" customHeight="1" x14ac:dyDescent="0.2">
      <c r="AM1217" t="str">
        <f t="shared" ref="AM1217:AM1280" si="19">AO1217 &amp; " [" &amp; AN1217 &amp; "]"</f>
        <v>Barsebackshamn [SEBBH]</v>
      </c>
      <c r="AN1217" t="s">
        <v>34116</v>
      </c>
      <c r="AO1217" t="s">
        <v>34162</v>
      </c>
    </row>
    <row r="1218" spans="39:41" ht="12" customHeight="1" x14ac:dyDescent="0.2">
      <c r="AM1218" t="str">
        <f t="shared" si="19"/>
        <v>Barsingerhorn [NLBGO]</v>
      </c>
      <c r="AN1218" t="s">
        <v>23040</v>
      </c>
      <c r="AO1218" t="s">
        <v>23041</v>
      </c>
    </row>
    <row r="1219" spans="39:41" ht="12" customHeight="1" x14ac:dyDescent="0.2">
      <c r="AM1219" t="str">
        <f t="shared" si="19"/>
        <v>Barth [DEBBH]</v>
      </c>
      <c r="AN1219" t="s">
        <v>36854</v>
      </c>
      <c r="AO1219" t="s">
        <v>36855</v>
      </c>
    </row>
    <row r="1220" spans="39:41" ht="12" customHeight="1" x14ac:dyDescent="0.2">
      <c r="AM1220" t="str">
        <f t="shared" si="19"/>
        <v>Bartica [GYGFO]</v>
      </c>
      <c r="AN1220" t="s">
        <v>15633</v>
      </c>
      <c r="AO1220" t="s">
        <v>15634</v>
      </c>
    </row>
    <row r="1221" spans="39:41" ht="12" customHeight="1" x14ac:dyDescent="0.2">
      <c r="AM1221" t="str">
        <f t="shared" si="19"/>
        <v>Bartin [TRBTN]</v>
      </c>
      <c r="AN1221" t="s">
        <v>37168</v>
      </c>
      <c r="AO1221" t="s">
        <v>37169</v>
      </c>
    </row>
    <row r="1222" spans="39:41" ht="12" customHeight="1" x14ac:dyDescent="0.2">
      <c r="AM1222" t="str">
        <f t="shared" si="19"/>
        <v>Bartlehiem [NLBHM]</v>
      </c>
      <c r="AN1222" t="s">
        <v>23042</v>
      </c>
      <c r="AO1222" t="s">
        <v>23043</v>
      </c>
    </row>
    <row r="1223" spans="39:41" ht="12" customHeight="1" x14ac:dyDescent="0.2">
      <c r="AM1223" t="str">
        <f t="shared" si="19"/>
        <v>Bartolome Island [ECBLI]</v>
      </c>
      <c r="AN1223" t="s">
        <v>9080</v>
      </c>
      <c r="AO1223" t="s">
        <v>9081</v>
      </c>
    </row>
    <row r="1224" spans="39:41" ht="12" customHeight="1" x14ac:dyDescent="0.2">
      <c r="AM1224" t="str">
        <f t="shared" si="19"/>
        <v>Barton [GBBNM]</v>
      </c>
      <c r="AN1224" t="s">
        <v>12463</v>
      </c>
      <c r="AO1224" t="s">
        <v>12464</v>
      </c>
    </row>
    <row r="1225" spans="39:41" ht="12" customHeight="1" x14ac:dyDescent="0.2">
      <c r="AM1225" t="str">
        <f t="shared" si="19"/>
        <v>Barton on Sea [GBBAZ]</v>
      </c>
      <c r="AN1225" t="s">
        <v>12465</v>
      </c>
      <c r="AO1225" t="s">
        <v>12466</v>
      </c>
    </row>
    <row r="1226" spans="39:41" ht="12" customHeight="1" x14ac:dyDescent="0.2">
      <c r="AM1226" t="str">
        <f t="shared" si="19"/>
        <v>Barton upon Humber [GBBNH]</v>
      </c>
      <c r="AN1226" t="s">
        <v>12467</v>
      </c>
      <c r="AO1226" t="s">
        <v>12468</v>
      </c>
    </row>
    <row r="1227" spans="39:41" ht="12" customHeight="1" x14ac:dyDescent="0.2">
      <c r="AM1227" t="str">
        <f t="shared" si="19"/>
        <v>Barton/Puerto Princesa [PHBRT]</v>
      </c>
      <c r="AN1227" t="s">
        <v>25578</v>
      </c>
      <c r="AO1227" t="s">
        <v>25579</v>
      </c>
    </row>
    <row r="1228" spans="39:41" ht="12" customHeight="1" x14ac:dyDescent="0.2">
      <c r="AM1228" t="str">
        <f t="shared" si="19"/>
        <v>Bartosovice [CZBAR]</v>
      </c>
      <c r="AN1228" t="s">
        <v>6779</v>
      </c>
      <c r="AO1228" t="s">
        <v>6780</v>
      </c>
    </row>
    <row r="1229" spans="39:41" ht="12" customHeight="1" x14ac:dyDescent="0.2">
      <c r="AM1229" t="str">
        <f t="shared" si="19"/>
        <v>Bartow [USYTJ]</v>
      </c>
      <c r="AN1229" t="s">
        <v>28920</v>
      </c>
      <c r="AO1229" t="s">
        <v>28921</v>
      </c>
    </row>
    <row r="1230" spans="39:41" ht="12" customHeight="1" x14ac:dyDescent="0.2">
      <c r="AM1230" t="str">
        <f t="shared" si="19"/>
        <v>Barum [NOBAR]</v>
      </c>
      <c r="AN1230" t="s">
        <v>23889</v>
      </c>
      <c r="AO1230" t="s">
        <v>36132</v>
      </c>
    </row>
    <row r="1231" spans="39:41" ht="12" customHeight="1" x14ac:dyDescent="0.2">
      <c r="AM1231" t="str">
        <f t="shared" si="19"/>
        <v>Basarabi [ROBAB]</v>
      </c>
      <c r="AN1231" t="s">
        <v>26720</v>
      </c>
      <c r="AO1231" t="s">
        <v>26721</v>
      </c>
    </row>
    <row r="1232" spans="39:41" ht="12" customHeight="1" x14ac:dyDescent="0.2">
      <c r="AM1232" t="str">
        <f t="shared" si="19"/>
        <v>Basbeck [DEBAS]</v>
      </c>
      <c r="AN1232" t="s">
        <v>7075</v>
      </c>
      <c r="AO1232" t="s">
        <v>7076</v>
      </c>
    </row>
    <row r="1233" spans="39:41" ht="12" customHeight="1" x14ac:dyDescent="0.2">
      <c r="AM1233" t="str">
        <f t="shared" si="19"/>
        <v>Basco [PHBSO]</v>
      </c>
      <c r="AN1233" t="s">
        <v>25580</v>
      </c>
      <c r="AO1233" t="s">
        <v>25581</v>
      </c>
    </row>
    <row r="1234" spans="39:41" ht="12" customHeight="1" x14ac:dyDescent="0.2">
      <c r="AM1234" t="str">
        <f t="shared" si="19"/>
        <v>Basel [CHBSL]</v>
      </c>
      <c r="AN1234" t="s">
        <v>4652</v>
      </c>
      <c r="AO1234" t="s">
        <v>4653</v>
      </c>
    </row>
    <row r="1235" spans="39:41" ht="12" customHeight="1" x14ac:dyDescent="0.2">
      <c r="AM1235" t="str">
        <f t="shared" si="19"/>
        <v>Basey/Catbalogan [PHBSY]</v>
      </c>
      <c r="AN1235" t="s">
        <v>25582</v>
      </c>
      <c r="AO1235" t="s">
        <v>25583</v>
      </c>
    </row>
    <row r="1236" spans="39:41" ht="12" customHeight="1" x14ac:dyDescent="0.2">
      <c r="AM1236" t="str">
        <f t="shared" si="19"/>
        <v>Basiauang/Dadiangas [PHBAS]</v>
      </c>
      <c r="AN1236" t="s">
        <v>25584</v>
      </c>
      <c r="AO1236" t="s">
        <v>25585</v>
      </c>
    </row>
    <row r="1237" spans="39:41" ht="12" customHeight="1" x14ac:dyDescent="0.2">
      <c r="AM1237" t="str">
        <f t="shared" si="19"/>
        <v>Baska [HRBAS]</v>
      </c>
      <c r="AN1237" t="s">
        <v>15698</v>
      </c>
      <c r="AO1237" t="s">
        <v>15699</v>
      </c>
    </row>
    <row r="1238" spans="39:41" ht="12" customHeight="1" x14ac:dyDescent="0.2">
      <c r="AM1238" t="str">
        <f t="shared" si="19"/>
        <v>Bas-Oha [BEBOA]</v>
      </c>
      <c r="AN1238" t="s">
        <v>2271</v>
      </c>
      <c r="AO1238" t="s">
        <v>2272</v>
      </c>
    </row>
    <row r="1239" spans="39:41" ht="12" customHeight="1" x14ac:dyDescent="0.2">
      <c r="AM1239" t="str">
        <f t="shared" si="19"/>
        <v>Basra [IQBSR]</v>
      </c>
      <c r="AN1239" t="s">
        <v>17556</v>
      </c>
      <c r="AO1239" t="s">
        <v>17557</v>
      </c>
    </row>
    <row r="1240" spans="39:41" ht="12" customHeight="1" x14ac:dyDescent="0.2">
      <c r="AM1240" t="str">
        <f t="shared" si="19"/>
        <v>Basrah Oil Terminal [IQMAB]</v>
      </c>
      <c r="AN1240" t="s">
        <v>17558</v>
      </c>
      <c r="AO1240" t="s">
        <v>17559</v>
      </c>
    </row>
    <row r="1241" spans="39:41" ht="12" customHeight="1" x14ac:dyDescent="0.2">
      <c r="AM1241" t="str">
        <f t="shared" si="19"/>
        <v>Bassain [INBSN]</v>
      </c>
      <c r="AN1241" t="s">
        <v>17028</v>
      </c>
      <c r="AO1241" t="s">
        <v>17029</v>
      </c>
    </row>
    <row r="1242" spans="39:41" ht="12" customHeight="1" x14ac:dyDescent="0.2">
      <c r="AM1242" t="str">
        <f t="shared" si="19"/>
        <v>Bassein [MMBSX]</v>
      </c>
      <c r="AN1242" t="s">
        <v>22178</v>
      </c>
      <c r="AO1242" t="s">
        <v>22179</v>
      </c>
    </row>
    <row r="1243" spans="39:41" ht="12" customHeight="1" x14ac:dyDescent="0.2">
      <c r="AM1243" t="str">
        <f t="shared" si="19"/>
        <v>Basse-Indre [FRBAI]</v>
      </c>
      <c r="AN1243" t="s">
        <v>10785</v>
      </c>
      <c r="AO1243" t="s">
        <v>10786</v>
      </c>
    </row>
    <row r="1244" spans="39:41" ht="12" customHeight="1" x14ac:dyDescent="0.2">
      <c r="AM1244" t="str">
        <f t="shared" si="19"/>
        <v>Bassens [FRBAS]</v>
      </c>
      <c r="AN1244" t="s">
        <v>10787</v>
      </c>
      <c r="AO1244" t="s">
        <v>10788</v>
      </c>
    </row>
    <row r="1245" spans="39:41" ht="12" customHeight="1" x14ac:dyDescent="0.2">
      <c r="AM1245" t="str">
        <f t="shared" si="19"/>
        <v>Basse-Terre [GPBBR]</v>
      </c>
      <c r="AN1245" t="s">
        <v>15047</v>
      </c>
      <c r="AO1245" t="s">
        <v>15048</v>
      </c>
    </row>
    <row r="1246" spans="39:41" ht="12" customHeight="1" x14ac:dyDescent="0.2">
      <c r="AM1246" t="str">
        <f t="shared" si="19"/>
        <v>Basseterre, Saint Kitts [KNBAS]</v>
      </c>
      <c r="AN1246" t="s">
        <v>21573</v>
      </c>
      <c r="AO1246" t="s">
        <v>21574</v>
      </c>
    </row>
    <row r="1247" spans="39:41" ht="12" customHeight="1" x14ac:dyDescent="0.2">
      <c r="AM1247" t="str">
        <f t="shared" si="19"/>
        <v>Bassingham [GBBXF]</v>
      </c>
      <c r="AN1247" t="s">
        <v>12469</v>
      </c>
      <c r="AO1247" t="s">
        <v>12470</v>
      </c>
    </row>
    <row r="1248" spans="39:41" ht="12" customHeight="1" x14ac:dyDescent="0.2">
      <c r="AM1248" t="str">
        <f t="shared" si="19"/>
        <v>Bastad [SEBAS]</v>
      </c>
      <c r="AN1248" t="s">
        <v>27505</v>
      </c>
      <c r="AO1248" t="s">
        <v>36421</v>
      </c>
    </row>
    <row r="1249" spans="39:41" ht="12" customHeight="1" x14ac:dyDescent="0.2">
      <c r="AM1249" t="str">
        <f t="shared" si="19"/>
        <v>Bastia [FRBIA]</v>
      </c>
      <c r="AN1249" t="s">
        <v>10789</v>
      </c>
      <c r="AO1249" t="s">
        <v>10790</v>
      </c>
    </row>
    <row r="1250" spans="39:41" ht="12" customHeight="1" x14ac:dyDescent="0.2">
      <c r="AM1250" t="str">
        <f t="shared" si="19"/>
        <v>Bastrop [USZBP]</v>
      </c>
      <c r="AN1250" t="s">
        <v>28922</v>
      </c>
      <c r="AO1250" t="s">
        <v>28923</v>
      </c>
    </row>
    <row r="1251" spans="39:41" ht="12" customHeight="1" x14ac:dyDescent="0.2">
      <c r="AM1251" t="str">
        <f t="shared" si="19"/>
        <v>Basuo Pt [CNBSP]</v>
      </c>
      <c r="AN1251" t="s">
        <v>5052</v>
      </c>
      <c r="AO1251" t="s">
        <v>5053</v>
      </c>
    </row>
    <row r="1252" spans="39:41" ht="12" customHeight="1" x14ac:dyDescent="0.2">
      <c r="AM1252" t="str">
        <f t="shared" si="19"/>
        <v>Bata [GQBSG]</v>
      </c>
      <c r="AN1252" t="s">
        <v>15065</v>
      </c>
      <c r="AO1252" t="s">
        <v>15066</v>
      </c>
    </row>
    <row r="1253" spans="39:41" ht="12" customHeight="1" x14ac:dyDescent="0.2">
      <c r="AM1253" t="str">
        <f t="shared" si="19"/>
        <v>Bataan, Mariveles [PHBTN]</v>
      </c>
      <c r="AN1253" t="s">
        <v>25586</v>
      </c>
      <c r="AO1253" t="s">
        <v>25587</v>
      </c>
    </row>
    <row r="1254" spans="39:41" ht="12" customHeight="1" x14ac:dyDescent="0.2">
      <c r="AM1254" t="str">
        <f t="shared" si="19"/>
        <v>Batam Island [IDBTM]</v>
      </c>
      <c r="AN1254" t="s">
        <v>33850</v>
      </c>
      <c r="AO1254" t="s">
        <v>33972</v>
      </c>
    </row>
    <row r="1255" spans="39:41" ht="12" customHeight="1" x14ac:dyDescent="0.2">
      <c r="AM1255" t="str">
        <f t="shared" si="19"/>
        <v>Batan [CRBAT]</v>
      </c>
      <c r="AN1255" t="s">
        <v>6556</v>
      </c>
      <c r="AO1255" t="s">
        <v>6557</v>
      </c>
    </row>
    <row r="1256" spans="39:41" ht="12" customHeight="1" x14ac:dyDescent="0.2">
      <c r="AM1256" t="str">
        <f t="shared" si="19"/>
        <v>Batang Kali [MYBAK]</v>
      </c>
      <c r="AN1256" t="s">
        <v>34937</v>
      </c>
      <c r="AO1256" t="s">
        <v>34938</v>
      </c>
    </row>
    <row r="1257" spans="39:41" ht="12" customHeight="1" x14ac:dyDescent="0.2">
      <c r="AM1257" t="str">
        <f t="shared" si="19"/>
        <v>Batangas/Luzon [PHBTG]</v>
      </c>
      <c r="AN1257" t="s">
        <v>25588</v>
      </c>
      <c r="AO1257" t="s">
        <v>25589</v>
      </c>
    </row>
    <row r="1258" spans="39:41" ht="12" customHeight="1" x14ac:dyDescent="0.2">
      <c r="AM1258" t="str">
        <f t="shared" si="19"/>
        <v>Batarasa/Puerto Princesa [PHBTS]</v>
      </c>
      <c r="AN1258" t="s">
        <v>25590</v>
      </c>
      <c r="AO1258" t="s">
        <v>25591</v>
      </c>
    </row>
    <row r="1259" spans="39:41" ht="12" customHeight="1" x14ac:dyDescent="0.2">
      <c r="AM1259" t="str">
        <f t="shared" si="19"/>
        <v>Bath [CABTH]</v>
      </c>
      <c r="AN1259" t="s">
        <v>3570</v>
      </c>
      <c r="AO1259" t="s">
        <v>3571</v>
      </c>
    </row>
    <row r="1260" spans="39:41" ht="12" customHeight="1" x14ac:dyDescent="0.2">
      <c r="AM1260" t="str">
        <f t="shared" si="19"/>
        <v>Bath [USBTH]</v>
      </c>
      <c r="AN1260" t="s">
        <v>28924</v>
      </c>
      <c r="AO1260" t="s">
        <v>3571</v>
      </c>
    </row>
    <row r="1261" spans="39:41" ht="12" customHeight="1" x14ac:dyDescent="0.2">
      <c r="AM1261" t="str">
        <f t="shared" si="19"/>
        <v>Bath [USAFH]</v>
      </c>
      <c r="AN1261" t="s">
        <v>28925</v>
      </c>
      <c r="AO1261" t="s">
        <v>3571</v>
      </c>
    </row>
    <row r="1262" spans="39:41" ht="12" customHeight="1" x14ac:dyDescent="0.2">
      <c r="AM1262" t="str">
        <f t="shared" si="19"/>
        <v>Bathurst [CABAT]</v>
      </c>
      <c r="AN1262" t="s">
        <v>3572</v>
      </c>
      <c r="AO1262" t="s">
        <v>3573</v>
      </c>
    </row>
    <row r="1263" spans="39:41" ht="12" customHeight="1" x14ac:dyDescent="0.2">
      <c r="AM1263" t="str">
        <f t="shared" si="19"/>
        <v>Bathurst Island [AUBRT]</v>
      </c>
      <c r="AN1263" t="s">
        <v>1425</v>
      </c>
      <c r="AO1263" t="s">
        <v>1426</v>
      </c>
    </row>
    <row r="1264" spans="39:41" ht="12" customHeight="1" x14ac:dyDescent="0.2">
      <c r="AM1264" t="str">
        <f t="shared" si="19"/>
        <v>Batina [HRBAT]</v>
      </c>
      <c r="AN1264" t="s">
        <v>15700</v>
      </c>
      <c r="AO1264" t="s">
        <v>15701</v>
      </c>
    </row>
    <row r="1265" spans="39:41" ht="12" customHeight="1" x14ac:dyDescent="0.2">
      <c r="AM1265" t="str">
        <f t="shared" si="19"/>
        <v>Baton Rouge [USBTR]</v>
      </c>
      <c r="AN1265" t="s">
        <v>28926</v>
      </c>
      <c r="AO1265" t="s">
        <v>28927</v>
      </c>
    </row>
    <row r="1266" spans="39:41" ht="12" customHeight="1" x14ac:dyDescent="0.2">
      <c r="AM1266" t="str">
        <f t="shared" si="19"/>
        <v>Batonbaton [PHBAT]</v>
      </c>
      <c r="AN1266" t="s">
        <v>25592</v>
      </c>
      <c r="AO1266" t="s">
        <v>25593</v>
      </c>
    </row>
    <row r="1267" spans="39:41" ht="12" customHeight="1" x14ac:dyDescent="0.2">
      <c r="AM1267" t="str">
        <f t="shared" si="19"/>
        <v>Batsfjord [NOBJF]</v>
      </c>
      <c r="AN1267" t="s">
        <v>23890</v>
      </c>
      <c r="AO1267" t="s">
        <v>36133</v>
      </c>
    </row>
    <row r="1268" spans="39:41" ht="12" customHeight="1" x14ac:dyDescent="0.2">
      <c r="AM1268" t="str">
        <f t="shared" si="19"/>
        <v>Batskarsnas [SEBAT]</v>
      </c>
      <c r="AN1268" t="s">
        <v>27506</v>
      </c>
      <c r="AO1268" t="s">
        <v>36422</v>
      </c>
    </row>
    <row r="1269" spans="39:41" ht="12" customHeight="1" x14ac:dyDescent="0.2">
      <c r="AM1269" t="str">
        <f t="shared" si="19"/>
        <v>Battel [BEBAT]</v>
      </c>
      <c r="AN1269" t="s">
        <v>2273</v>
      </c>
      <c r="AO1269" t="s">
        <v>2274</v>
      </c>
    </row>
    <row r="1270" spans="39:41" ht="12" customHeight="1" x14ac:dyDescent="0.2">
      <c r="AM1270" t="str">
        <f t="shared" si="19"/>
        <v>Battenville [USAFV]</v>
      </c>
      <c r="AN1270" t="s">
        <v>28928</v>
      </c>
      <c r="AO1270" t="s">
        <v>28929</v>
      </c>
    </row>
    <row r="1271" spans="39:41" ht="12" customHeight="1" x14ac:dyDescent="0.2">
      <c r="AM1271" t="str">
        <f t="shared" si="19"/>
        <v>Batticoloa [LKBTC]</v>
      </c>
      <c r="AN1271" t="s">
        <v>21817</v>
      </c>
      <c r="AO1271" t="s">
        <v>21818</v>
      </c>
    </row>
    <row r="1272" spans="39:41" ht="12" customHeight="1" x14ac:dyDescent="0.2">
      <c r="AM1272" t="str">
        <f t="shared" si="19"/>
        <v>Battle Ground [USBN9]</v>
      </c>
      <c r="AN1272" t="s">
        <v>28930</v>
      </c>
      <c r="AO1272" t="s">
        <v>28931</v>
      </c>
    </row>
    <row r="1273" spans="39:41" ht="12" customHeight="1" x14ac:dyDescent="0.2">
      <c r="AM1273" t="str">
        <f t="shared" si="19"/>
        <v>Battlesbridge [GBBAT]</v>
      </c>
      <c r="AN1273" t="s">
        <v>12471</v>
      </c>
      <c r="AO1273" t="s">
        <v>12472</v>
      </c>
    </row>
    <row r="1274" spans="39:41" ht="12" customHeight="1" x14ac:dyDescent="0.2">
      <c r="AM1274" t="str">
        <f t="shared" si="19"/>
        <v>Batu Ampal [IDBUR]</v>
      </c>
      <c r="AN1274" t="s">
        <v>16179</v>
      </c>
      <c r="AO1274" t="s">
        <v>16180</v>
      </c>
    </row>
    <row r="1275" spans="39:41" ht="12" customHeight="1" x14ac:dyDescent="0.2">
      <c r="AM1275" t="str">
        <f t="shared" si="19"/>
        <v>Batu Batu, Sabah [MYBBA]</v>
      </c>
      <c r="AN1275" t="s">
        <v>22508</v>
      </c>
      <c r="AO1275" t="s">
        <v>22509</v>
      </c>
    </row>
    <row r="1276" spans="39:41" ht="12" customHeight="1" x14ac:dyDescent="0.2">
      <c r="AM1276" t="str">
        <f t="shared" si="19"/>
        <v>Batu Gajah [MYTJH]</v>
      </c>
      <c r="AN1276" t="s">
        <v>22510</v>
      </c>
      <c r="AO1276" t="s">
        <v>22511</v>
      </c>
    </row>
    <row r="1277" spans="39:41" ht="12" customHeight="1" x14ac:dyDescent="0.2">
      <c r="AM1277" t="str">
        <f t="shared" si="19"/>
        <v>Batu Kawan [MYBTW]</v>
      </c>
      <c r="AN1277" t="s">
        <v>36691</v>
      </c>
      <c r="AO1277" t="s">
        <v>36692</v>
      </c>
    </row>
    <row r="1278" spans="39:41" ht="12" customHeight="1" x14ac:dyDescent="0.2">
      <c r="AM1278" t="str">
        <f t="shared" si="19"/>
        <v>Batu Kilat [IDBAK]</v>
      </c>
      <c r="AN1278" t="s">
        <v>16181</v>
      </c>
      <c r="AO1278" t="s">
        <v>16182</v>
      </c>
    </row>
    <row r="1279" spans="39:41" ht="12" customHeight="1" x14ac:dyDescent="0.2">
      <c r="AM1279" t="str">
        <f t="shared" si="19"/>
        <v>Batu Lintang, Sarawak [MYBLI]</v>
      </c>
      <c r="AN1279" t="s">
        <v>22512</v>
      </c>
      <c r="AO1279" t="s">
        <v>22513</v>
      </c>
    </row>
    <row r="1280" spans="39:41" ht="12" customHeight="1" x14ac:dyDescent="0.2">
      <c r="AM1280" t="str">
        <f t="shared" si="19"/>
        <v>Batu Maung [MYBTM]</v>
      </c>
      <c r="AN1280" t="s">
        <v>34939</v>
      </c>
      <c r="AO1280" t="s">
        <v>34940</v>
      </c>
    </row>
    <row r="1281" spans="39:41" ht="12" customHeight="1" x14ac:dyDescent="0.2">
      <c r="AM1281" t="str">
        <f t="shared" ref="AM1281:AM1344" si="20">AO1281 &amp; " [" &amp; AN1281 &amp; "]"</f>
        <v>Batu Pahat [MYBAT]</v>
      </c>
      <c r="AN1281" t="s">
        <v>22514</v>
      </c>
      <c r="AO1281" t="s">
        <v>22515</v>
      </c>
    </row>
    <row r="1282" spans="39:41" ht="12" customHeight="1" x14ac:dyDescent="0.2">
      <c r="AM1282" t="str">
        <f t="shared" si="20"/>
        <v>Batuampar [IDBAM]</v>
      </c>
      <c r="AN1282" t="s">
        <v>33851</v>
      </c>
      <c r="AO1282" t="s">
        <v>33973</v>
      </c>
    </row>
    <row r="1283" spans="39:41" ht="12" customHeight="1" x14ac:dyDescent="0.2">
      <c r="AM1283" t="str">
        <f t="shared" si="20"/>
        <v>Batulicin [IDBTW]</v>
      </c>
      <c r="AN1283" t="s">
        <v>16183</v>
      </c>
      <c r="AO1283" t="s">
        <v>16184</v>
      </c>
    </row>
    <row r="1284" spans="39:41" ht="12" customHeight="1" x14ac:dyDescent="0.2">
      <c r="AM1284" t="str">
        <f t="shared" si="20"/>
        <v>Batumi [GEBUS]</v>
      </c>
      <c r="AN1284" t="s">
        <v>14928</v>
      </c>
      <c r="AO1284" t="s">
        <v>14929</v>
      </c>
    </row>
    <row r="1285" spans="39:41" ht="12" customHeight="1" x14ac:dyDescent="0.2">
      <c r="AM1285" t="str">
        <f t="shared" si="20"/>
        <v>Bau, Sarawak [MYBAU]</v>
      </c>
      <c r="AN1285" t="s">
        <v>22516</v>
      </c>
      <c r="AO1285" t="s">
        <v>22517</v>
      </c>
    </row>
    <row r="1286" spans="39:41" ht="12" customHeight="1" x14ac:dyDescent="0.2">
      <c r="AM1286" t="str">
        <f t="shared" si="20"/>
        <v>Bauan/Batangas [PHBAU]</v>
      </c>
      <c r="AN1286" t="s">
        <v>25594</v>
      </c>
      <c r="AO1286" t="s">
        <v>25595</v>
      </c>
    </row>
    <row r="1287" spans="39:41" ht="12" customHeight="1" x14ac:dyDescent="0.2">
      <c r="AM1287" t="str">
        <f t="shared" si="20"/>
        <v>Bauang [PHBNG]</v>
      </c>
      <c r="AN1287" t="s">
        <v>25596</v>
      </c>
      <c r="AO1287" t="s">
        <v>25597</v>
      </c>
    </row>
    <row r="1288" spans="39:41" ht="12" customHeight="1" x14ac:dyDescent="0.2">
      <c r="AM1288" t="str">
        <f t="shared" si="20"/>
        <v>Baudette [USBDE]</v>
      </c>
      <c r="AN1288" t="s">
        <v>28932</v>
      </c>
      <c r="AO1288" t="s">
        <v>28933</v>
      </c>
    </row>
    <row r="1289" spans="39:41" ht="12" customHeight="1" x14ac:dyDescent="0.2">
      <c r="AM1289" t="str">
        <f t="shared" si="20"/>
        <v>Baudour [BEBDU]</v>
      </c>
      <c r="AN1289" t="s">
        <v>2275</v>
      </c>
      <c r="AO1289" t="s">
        <v>2276</v>
      </c>
    </row>
    <row r="1290" spans="39:41" ht="12" customHeight="1" x14ac:dyDescent="0.2">
      <c r="AM1290" t="str">
        <f t="shared" si="20"/>
        <v>Bautino [KZBTN]</v>
      </c>
      <c r="AN1290" t="s">
        <v>21776</v>
      </c>
      <c r="AO1290" t="s">
        <v>21777</v>
      </c>
    </row>
    <row r="1291" spans="39:41" ht="12" customHeight="1" x14ac:dyDescent="0.2">
      <c r="AM1291" t="str">
        <f t="shared" si="20"/>
        <v>Bauvin [FRBQA]</v>
      </c>
      <c r="AN1291" t="s">
        <v>10791</v>
      </c>
      <c r="AO1291" t="s">
        <v>10792</v>
      </c>
    </row>
    <row r="1292" spans="39:41" ht="12" customHeight="1" x14ac:dyDescent="0.2">
      <c r="AM1292" t="str">
        <f t="shared" si="20"/>
        <v>Bavaro [DOBAV]</v>
      </c>
      <c r="AN1292" t="s">
        <v>8988</v>
      </c>
      <c r="AO1292" t="s">
        <v>8989</v>
      </c>
    </row>
    <row r="1293" spans="39:41" ht="12" customHeight="1" x14ac:dyDescent="0.2">
      <c r="AM1293" t="str">
        <f t="shared" si="20"/>
        <v>Bavilliers [FRBAV]</v>
      </c>
      <c r="AN1293" t="s">
        <v>10793</v>
      </c>
      <c r="AO1293" t="s">
        <v>10794</v>
      </c>
    </row>
    <row r="1294" spans="39:41" ht="12" customHeight="1" x14ac:dyDescent="0.2">
      <c r="AM1294" t="str">
        <f t="shared" si="20"/>
        <v>Bawal [INBAW]</v>
      </c>
      <c r="AN1294" t="s">
        <v>17030</v>
      </c>
      <c r="AO1294" t="s">
        <v>17031</v>
      </c>
    </row>
    <row r="1295" spans="39:41" ht="12" customHeight="1" x14ac:dyDescent="0.2">
      <c r="AM1295" t="str">
        <f t="shared" si="20"/>
        <v>Baxenden [GBCBX]</v>
      </c>
      <c r="AN1295" t="s">
        <v>12473</v>
      </c>
      <c r="AO1295" t="s">
        <v>12474</v>
      </c>
    </row>
    <row r="1296" spans="39:41" ht="12" customHeight="1" x14ac:dyDescent="0.2">
      <c r="AM1296" t="str">
        <f t="shared" si="20"/>
        <v>Baxu [CNBAU]</v>
      </c>
      <c r="AN1296" t="s">
        <v>5054</v>
      </c>
      <c r="AO1296" t="s">
        <v>5055</v>
      </c>
    </row>
    <row r="1297" spans="39:41" ht="12" customHeight="1" x14ac:dyDescent="0.2">
      <c r="AM1297" t="str">
        <f t="shared" si="20"/>
        <v>Bay Bulls [CABBU]</v>
      </c>
      <c r="AN1297" t="s">
        <v>3574</v>
      </c>
      <c r="AO1297" t="s">
        <v>3575</v>
      </c>
    </row>
    <row r="1298" spans="39:41" ht="12" customHeight="1" x14ac:dyDescent="0.2">
      <c r="AM1298" t="str">
        <f t="shared" si="20"/>
        <v>Bay City [USYBZ]</v>
      </c>
      <c r="AN1298" t="s">
        <v>28934</v>
      </c>
      <c r="AO1298" t="s">
        <v>28935</v>
      </c>
    </row>
    <row r="1299" spans="39:41" ht="12" customHeight="1" x14ac:dyDescent="0.2">
      <c r="AM1299" t="str">
        <f t="shared" si="20"/>
        <v>Bay Roberts [CABYR]</v>
      </c>
      <c r="AN1299" t="s">
        <v>3576</v>
      </c>
      <c r="AO1299" t="s">
        <v>3577</v>
      </c>
    </row>
    <row r="1300" spans="39:41" ht="12" customHeight="1" x14ac:dyDescent="0.2">
      <c r="AM1300" t="str">
        <f t="shared" si="20"/>
        <v>Bayabas/Bislig [PHBYS]</v>
      </c>
      <c r="AN1300" t="s">
        <v>25598</v>
      </c>
      <c r="AO1300" t="s">
        <v>25599</v>
      </c>
    </row>
    <row r="1301" spans="39:41" ht="12" customHeight="1" x14ac:dyDescent="0.2">
      <c r="AM1301" t="str">
        <f t="shared" si="20"/>
        <v>Bayan [CNBYA]</v>
      </c>
      <c r="AN1301" t="s">
        <v>5056</v>
      </c>
      <c r="AO1301" t="s">
        <v>5057</v>
      </c>
    </row>
    <row r="1302" spans="39:41" ht="12" customHeight="1" x14ac:dyDescent="0.2">
      <c r="AM1302" t="str">
        <f t="shared" si="20"/>
        <v>Bayang Point [PHBYP]</v>
      </c>
      <c r="AN1302" t="s">
        <v>25600</v>
      </c>
      <c r="AO1302" t="s">
        <v>25601</v>
      </c>
    </row>
    <row r="1303" spans="39:41" ht="12" customHeight="1" x14ac:dyDescent="0.2">
      <c r="AM1303" t="str">
        <f t="shared" si="20"/>
        <v>Bayano [PABAY]</v>
      </c>
      <c r="AN1303" t="s">
        <v>25177</v>
      </c>
      <c r="AO1303" t="s">
        <v>25178</v>
      </c>
    </row>
    <row r="1304" spans="39:41" ht="12" customHeight="1" x14ac:dyDescent="0.2">
      <c r="AM1304" t="str">
        <f t="shared" si="20"/>
        <v>Bayawan/Dumaguete [PHBYW]</v>
      </c>
      <c r="AN1304" t="s">
        <v>25602</v>
      </c>
      <c r="AO1304" t="s">
        <v>25603</v>
      </c>
    </row>
    <row r="1305" spans="39:41" ht="12" customHeight="1" x14ac:dyDescent="0.2">
      <c r="AM1305" t="str">
        <f t="shared" si="20"/>
        <v>Baybay/Tacloban [PHBYB]</v>
      </c>
      <c r="AN1305" t="s">
        <v>25604</v>
      </c>
      <c r="AO1305" t="s">
        <v>25605</v>
      </c>
    </row>
    <row r="1306" spans="39:41" ht="12" customHeight="1" x14ac:dyDescent="0.2">
      <c r="AM1306" t="str">
        <f t="shared" si="20"/>
        <v>Bayon [FRWBY]</v>
      </c>
      <c r="AN1306" t="s">
        <v>10795</v>
      </c>
      <c r="AO1306" t="s">
        <v>10796</v>
      </c>
    </row>
    <row r="1307" spans="39:41" ht="12" customHeight="1" x14ac:dyDescent="0.2">
      <c r="AM1307" t="str">
        <f t="shared" si="20"/>
        <v>Bayonne [FRBAY]</v>
      </c>
      <c r="AN1307" t="s">
        <v>10797</v>
      </c>
      <c r="AO1307" t="s">
        <v>10798</v>
      </c>
    </row>
    <row r="1308" spans="39:41" ht="12" customHeight="1" x14ac:dyDescent="0.2">
      <c r="AM1308" t="str">
        <f t="shared" si="20"/>
        <v>Bayonne [USBAY]</v>
      </c>
      <c r="AN1308" t="s">
        <v>28936</v>
      </c>
      <c r="AO1308" t="s">
        <v>10798</v>
      </c>
    </row>
    <row r="1309" spans="39:41" ht="12" customHeight="1" x14ac:dyDescent="0.2">
      <c r="AM1309" t="str">
        <f t="shared" si="20"/>
        <v>Bayovar [PEPUB]</v>
      </c>
      <c r="AN1309" t="s">
        <v>25236</v>
      </c>
      <c r="AO1309" t="s">
        <v>25237</v>
      </c>
    </row>
    <row r="1310" spans="39:41" ht="12" customHeight="1" x14ac:dyDescent="0.2">
      <c r="AM1310" t="str">
        <f t="shared" si="20"/>
        <v>Bayside (St Roberts) [CABAY]</v>
      </c>
      <c r="AN1310" t="s">
        <v>3578</v>
      </c>
      <c r="AO1310" t="s">
        <v>3579</v>
      </c>
    </row>
    <row r="1311" spans="39:41" ht="12" customHeight="1" x14ac:dyDescent="0.2">
      <c r="AM1311" t="str">
        <f t="shared" si="20"/>
        <v>Bayside, Charlotte [CABST]</v>
      </c>
      <c r="AN1311" t="s">
        <v>3580</v>
      </c>
      <c r="AO1311" t="s">
        <v>3581</v>
      </c>
    </row>
    <row r="1312" spans="39:41" ht="12" customHeight="1" x14ac:dyDescent="0.2">
      <c r="AM1312" t="str">
        <f t="shared" si="20"/>
        <v>Baytown [USHPY]</v>
      </c>
      <c r="AN1312" t="s">
        <v>28937</v>
      </c>
      <c r="AO1312" t="s">
        <v>28938</v>
      </c>
    </row>
    <row r="1313" spans="39:41" ht="12" customHeight="1" x14ac:dyDescent="0.2">
      <c r="AM1313" t="str">
        <f t="shared" si="20"/>
        <v>Bayuquan [CNBYQ]</v>
      </c>
      <c r="AN1313" t="s">
        <v>5058</v>
      </c>
      <c r="AO1313" t="s">
        <v>5059</v>
      </c>
    </row>
    <row r="1314" spans="39:41" ht="12" customHeight="1" x14ac:dyDescent="0.2">
      <c r="AM1314" t="str">
        <f t="shared" si="20"/>
        <v>Bazel [BEBAZ]</v>
      </c>
      <c r="AN1314" t="s">
        <v>2277</v>
      </c>
      <c r="AO1314" t="s">
        <v>2278</v>
      </c>
    </row>
    <row r="1315" spans="39:41" ht="12" customHeight="1" x14ac:dyDescent="0.2">
      <c r="AM1315" t="str">
        <f t="shared" si="20"/>
        <v>Bazias [ROBZI]</v>
      </c>
      <c r="AN1315" t="s">
        <v>26722</v>
      </c>
      <c r="AO1315" t="s">
        <v>26723</v>
      </c>
    </row>
    <row r="1316" spans="39:41" ht="12" customHeight="1" x14ac:dyDescent="0.2">
      <c r="AM1316" t="str">
        <f t="shared" si="20"/>
        <v>Beach Point [CABPO]</v>
      </c>
      <c r="AN1316" t="s">
        <v>3582</v>
      </c>
      <c r="AO1316" t="s">
        <v>3583</v>
      </c>
    </row>
    <row r="1317" spans="39:41" ht="12" customHeight="1" x14ac:dyDescent="0.2">
      <c r="AM1317" t="str">
        <f t="shared" si="20"/>
        <v>Beachport [AUBCH]</v>
      </c>
      <c r="AN1317" t="s">
        <v>1427</v>
      </c>
      <c r="AO1317" t="s">
        <v>1428</v>
      </c>
    </row>
    <row r="1318" spans="39:41" ht="12" customHeight="1" x14ac:dyDescent="0.2">
      <c r="AM1318" t="str">
        <f t="shared" si="20"/>
        <v>Beadnell [GBBQX]</v>
      </c>
      <c r="AN1318" t="s">
        <v>12475</v>
      </c>
      <c r="AO1318" t="s">
        <v>12476</v>
      </c>
    </row>
    <row r="1319" spans="39:41" ht="12" customHeight="1" x14ac:dyDescent="0.2">
      <c r="AM1319" t="str">
        <f t="shared" si="20"/>
        <v>Beale Cove [CABCV]</v>
      </c>
      <c r="AN1319" t="s">
        <v>3584</v>
      </c>
      <c r="AO1319" t="s">
        <v>3585</v>
      </c>
    </row>
    <row r="1320" spans="39:41" ht="12" customHeight="1" x14ac:dyDescent="0.2">
      <c r="AM1320" t="str">
        <f t="shared" si="20"/>
        <v>Beaucaire [FRBCA]</v>
      </c>
      <c r="AN1320" t="s">
        <v>10799</v>
      </c>
      <c r="AO1320" t="s">
        <v>10800</v>
      </c>
    </row>
    <row r="1321" spans="39:41" ht="12" customHeight="1" x14ac:dyDescent="0.2">
      <c r="AM1321" t="str">
        <f t="shared" si="20"/>
        <v>Beaufort [MYBEA]</v>
      </c>
      <c r="AN1321" t="s">
        <v>22518</v>
      </c>
      <c r="AO1321" t="s">
        <v>22519</v>
      </c>
    </row>
    <row r="1322" spans="39:41" ht="12" customHeight="1" x14ac:dyDescent="0.2">
      <c r="AM1322" t="str">
        <f t="shared" si="20"/>
        <v>Beaufort [USBFO]</v>
      </c>
      <c r="AN1322" t="s">
        <v>28939</v>
      </c>
      <c r="AO1322" t="s">
        <v>22519</v>
      </c>
    </row>
    <row r="1323" spans="39:41" ht="12" customHeight="1" x14ac:dyDescent="0.2">
      <c r="AM1323" t="str">
        <f t="shared" si="20"/>
        <v>Beaulieu [GBBLU]</v>
      </c>
      <c r="AN1323" t="s">
        <v>12477</v>
      </c>
      <c r="AO1323" t="s">
        <v>12478</v>
      </c>
    </row>
    <row r="1324" spans="39:41" ht="12" customHeight="1" x14ac:dyDescent="0.2">
      <c r="AM1324" t="str">
        <f t="shared" si="20"/>
        <v>Beaumaris [GBBMR]</v>
      </c>
      <c r="AN1324" t="s">
        <v>12479</v>
      </c>
      <c r="AO1324" t="s">
        <v>12480</v>
      </c>
    </row>
    <row r="1325" spans="39:41" ht="12" customHeight="1" x14ac:dyDescent="0.2">
      <c r="AM1325" t="str">
        <f t="shared" si="20"/>
        <v>Beaumont [USBPT]</v>
      </c>
      <c r="AN1325" t="s">
        <v>28940</v>
      </c>
      <c r="AO1325" t="s">
        <v>28941</v>
      </c>
    </row>
    <row r="1326" spans="39:41" ht="12" customHeight="1" x14ac:dyDescent="0.2">
      <c r="AM1326" t="str">
        <f t="shared" si="20"/>
        <v>Beaumont-sur-Oise [FRBMT]</v>
      </c>
      <c r="AN1326" t="s">
        <v>10801</v>
      </c>
      <c r="AO1326" t="s">
        <v>10802</v>
      </c>
    </row>
    <row r="1327" spans="39:41" ht="12" customHeight="1" x14ac:dyDescent="0.2">
      <c r="AM1327" t="str">
        <f t="shared" si="20"/>
        <v>Beauty Point [AUBYP]</v>
      </c>
      <c r="AN1327" t="s">
        <v>1429</v>
      </c>
      <c r="AO1327" t="s">
        <v>1430</v>
      </c>
    </row>
    <row r="1328" spans="39:41" ht="12" customHeight="1" x14ac:dyDescent="0.2">
      <c r="AM1328" t="str">
        <f t="shared" si="20"/>
        <v>Beaver Cove [CABEA]</v>
      </c>
      <c r="AN1328" t="s">
        <v>3586</v>
      </c>
      <c r="AO1328" t="s">
        <v>3587</v>
      </c>
    </row>
    <row r="1329" spans="39:41" ht="12" customHeight="1" x14ac:dyDescent="0.2">
      <c r="AM1329" t="str">
        <f t="shared" si="20"/>
        <v>Beaver Dam [USBD3]</v>
      </c>
      <c r="AN1329" t="s">
        <v>28942</v>
      </c>
      <c r="AO1329" t="s">
        <v>28943</v>
      </c>
    </row>
    <row r="1330" spans="39:41" ht="12" customHeight="1" x14ac:dyDescent="0.2">
      <c r="AM1330" t="str">
        <f t="shared" si="20"/>
        <v>Beaver Harbour [CABEH]</v>
      </c>
      <c r="AN1330" t="s">
        <v>3588</v>
      </c>
      <c r="AO1330" t="s">
        <v>3589</v>
      </c>
    </row>
    <row r="1331" spans="39:41" ht="12" customHeight="1" x14ac:dyDescent="0.2">
      <c r="AM1331" t="str">
        <f t="shared" si="20"/>
        <v>Beaver Island [USBI2]</v>
      </c>
      <c r="AN1331" t="s">
        <v>28944</v>
      </c>
      <c r="AO1331" t="s">
        <v>28945</v>
      </c>
    </row>
    <row r="1332" spans="39:41" ht="12" customHeight="1" x14ac:dyDescent="0.2">
      <c r="AM1332" t="str">
        <f t="shared" si="20"/>
        <v>Becancour [CABEC]</v>
      </c>
      <c r="AN1332" t="s">
        <v>3590</v>
      </c>
      <c r="AO1332" t="s">
        <v>35321</v>
      </c>
    </row>
    <row r="1333" spans="39:41" ht="12" customHeight="1" x14ac:dyDescent="0.2">
      <c r="AM1333" t="str">
        <f t="shared" si="20"/>
        <v>Bec-d'Ambes [FRBEC]</v>
      </c>
      <c r="AN1333" t="s">
        <v>10803</v>
      </c>
      <c r="AO1333" t="s">
        <v>35777</v>
      </c>
    </row>
    <row r="1334" spans="39:41" ht="12" customHeight="1" x14ac:dyDescent="0.2">
      <c r="AM1334" t="str">
        <f t="shared" si="20"/>
        <v>Bechet [ROBCT]</v>
      </c>
      <c r="AN1334" t="s">
        <v>26724</v>
      </c>
      <c r="AO1334" t="s">
        <v>26725</v>
      </c>
    </row>
    <row r="1335" spans="39:41" ht="12" customHeight="1" x14ac:dyDescent="0.2">
      <c r="AM1335" t="str">
        <f t="shared" si="20"/>
        <v>Bech-Kleinmacher [LUBKM]</v>
      </c>
      <c r="AN1335" t="s">
        <v>21900</v>
      </c>
      <c r="AO1335" t="s">
        <v>21901</v>
      </c>
    </row>
    <row r="1336" spans="39:41" ht="12" customHeight="1" x14ac:dyDescent="0.2">
      <c r="AM1336" t="str">
        <f t="shared" si="20"/>
        <v>Becker [USBKO]</v>
      </c>
      <c r="AN1336" t="s">
        <v>28946</v>
      </c>
      <c r="AO1336" t="s">
        <v>28947</v>
      </c>
    </row>
    <row r="1337" spans="39:41" ht="12" customHeight="1" x14ac:dyDescent="0.2">
      <c r="AM1337" t="str">
        <f t="shared" si="20"/>
        <v>Beckingham [GBBEC]</v>
      </c>
      <c r="AN1337" t="s">
        <v>12481</v>
      </c>
      <c r="AO1337" t="s">
        <v>12482</v>
      </c>
    </row>
    <row r="1338" spans="39:41" ht="12" customHeight="1" x14ac:dyDescent="0.2">
      <c r="AM1338" t="str">
        <f t="shared" si="20"/>
        <v>Beckov [SKBCK]</v>
      </c>
      <c r="AN1338" t="s">
        <v>28035</v>
      </c>
      <c r="AO1338" t="s">
        <v>28036</v>
      </c>
    </row>
    <row r="1339" spans="39:41" ht="12" customHeight="1" x14ac:dyDescent="0.2">
      <c r="AM1339" t="str">
        <f t="shared" si="20"/>
        <v>Beclean [ROBCN]</v>
      </c>
      <c r="AN1339" t="s">
        <v>26726</v>
      </c>
      <c r="AO1339" t="s">
        <v>26727</v>
      </c>
    </row>
    <row r="1340" spans="39:41" ht="12" customHeight="1" x14ac:dyDescent="0.2">
      <c r="AM1340" t="str">
        <f t="shared" si="20"/>
        <v>Beddingen [DEBZS]</v>
      </c>
      <c r="AN1340" t="s">
        <v>7077</v>
      </c>
      <c r="AO1340" t="s">
        <v>7078</v>
      </c>
    </row>
    <row r="1341" spans="39:41" ht="12" customHeight="1" x14ac:dyDescent="0.2">
      <c r="AM1341" t="str">
        <f t="shared" si="20"/>
        <v>Bedford [CABDF]</v>
      </c>
      <c r="AN1341" t="s">
        <v>3591</v>
      </c>
      <c r="AO1341" t="s">
        <v>3592</v>
      </c>
    </row>
    <row r="1342" spans="39:41" ht="12" customHeight="1" x14ac:dyDescent="0.2">
      <c r="AM1342" t="str">
        <f t="shared" si="20"/>
        <v>Bedhampton [GBBD2]</v>
      </c>
      <c r="AN1342" t="s">
        <v>12483</v>
      </c>
      <c r="AO1342" t="s">
        <v>12484</v>
      </c>
    </row>
    <row r="1343" spans="39:41" ht="12" customHeight="1" x14ac:dyDescent="0.2">
      <c r="AM1343" t="str">
        <f t="shared" si="20"/>
        <v>Bedi [INBED]</v>
      </c>
      <c r="AN1343" t="s">
        <v>17032</v>
      </c>
      <c r="AO1343" t="s">
        <v>17033</v>
      </c>
    </row>
    <row r="1344" spans="39:41" ht="12" customHeight="1" x14ac:dyDescent="0.2">
      <c r="AM1344" t="str">
        <f t="shared" si="20"/>
        <v>Bedstone [GBBTK]</v>
      </c>
      <c r="AN1344" t="s">
        <v>12485</v>
      </c>
      <c r="AO1344" t="s">
        <v>12486</v>
      </c>
    </row>
    <row r="1345" spans="39:41" ht="12" customHeight="1" x14ac:dyDescent="0.2">
      <c r="AM1345" t="str">
        <f t="shared" ref="AM1345:AM1408" si="21">AO1345 &amp; " [" &amp; AN1345 &amp; "]"</f>
        <v>Beef Island, Tortola [VGEIS]</v>
      </c>
      <c r="AN1345" t="s">
        <v>32264</v>
      </c>
      <c r="AO1345" t="s">
        <v>32265</v>
      </c>
    </row>
    <row r="1346" spans="39:41" ht="12" customHeight="1" x14ac:dyDescent="0.2">
      <c r="AM1346" t="str">
        <f t="shared" si="21"/>
        <v>Beelbangera [AUBBL]</v>
      </c>
      <c r="AN1346" t="s">
        <v>1431</v>
      </c>
      <c r="AO1346" t="s">
        <v>1432</v>
      </c>
    </row>
    <row r="1347" spans="39:41" ht="12" customHeight="1" x14ac:dyDescent="0.2">
      <c r="AM1347" t="str">
        <f t="shared" si="21"/>
        <v>Beenham [GBENH]</v>
      </c>
      <c r="AN1347" t="s">
        <v>12487</v>
      </c>
      <c r="AO1347" t="s">
        <v>12488</v>
      </c>
    </row>
    <row r="1348" spans="39:41" ht="12" customHeight="1" x14ac:dyDescent="0.2">
      <c r="AM1348" t="str">
        <f t="shared" si="21"/>
        <v>Beer [GBBXX]</v>
      </c>
      <c r="AN1348" t="s">
        <v>12489</v>
      </c>
      <c r="AO1348" t="s">
        <v>12490</v>
      </c>
    </row>
    <row r="1349" spans="39:41" ht="12" customHeight="1" x14ac:dyDescent="0.2">
      <c r="AM1349" t="str">
        <f t="shared" si="21"/>
        <v>Beernem [BEBRM]</v>
      </c>
      <c r="AN1349" t="s">
        <v>2279</v>
      </c>
      <c r="AO1349" t="s">
        <v>2280</v>
      </c>
    </row>
    <row r="1350" spans="39:41" ht="12" customHeight="1" x14ac:dyDescent="0.2">
      <c r="AM1350" t="str">
        <f t="shared" si="21"/>
        <v>Beerse [BEBER]</v>
      </c>
      <c r="AN1350" t="s">
        <v>2281</v>
      </c>
      <c r="AO1350" t="s">
        <v>2282</v>
      </c>
    </row>
    <row r="1351" spans="39:41" ht="12" customHeight="1" x14ac:dyDescent="0.2">
      <c r="AM1351" t="str">
        <f t="shared" si="21"/>
        <v>Beesands [GBBSX]</v>
      </c>
      <c r="AN1351" t="s">
        <v>12491</v>
      </c>
      <c r="AO1351" t="s">
        <v>12492</v>
      </c>
    </row>
    <row r="1352" spans="39:41" ht="12" customHeight="1" x14ac:dyDescent="0.2">
      <c r="AM1352" t="str">
        <f t="shared" si="21"/>
        <v>Beesel [NLBSL]</v>
      </c>
      <c r="AN1352" t="s">
        <v>23044</v>
      </c>
      <c r="AO1352" t="s">
        <v>23045</v>
      </c>
    </row>
    <row r="1353" spans="39:41" ht="12" customHeight="1" x14ac:dyDescent="0.2">
      <c r="AM1353" t="str">
        <f t="shared" si="21"/>
        <v>Beeskow [DEBKW]</v>
      </c>
      <c r="AN1353" t="s">
        <v>7079</v>
      </c>
      <c r="AO1353" t="s">
        <v>7080</v>
      </c>
    </row>
    <row r="1354" spans="39:41" ht="12" customHeight="1" x14ac:dyDescent="0.2">
      <c r="AM1354" t="str">
        <f t="shared" si="21"/>
        <v>Beets [NLBTS]</v>
      </c>
      <c r="AN1354" t="s">
        <v>23046</v>
      </c>
      <c r="AO1354" t="s">
        <v>23047</v>
      </c>
    </row>
    <row r="1355" spans="39:41" ht="12" customHeight="1" x14ac:dyDescent="0.2">
      <c r="AM1355" t="str">
        <f t="shared" si="21"/>
        <v>Beez [BEBEZ]</v>
      </c>
      <c r="AN1355" t="s">
        <v>36753</v>
      </c>
      <c r="AO1355" t="s">
        <v>36754</v>
      </c>
    </row>
    <row r="1356" spans="39:41" ht="12" customHeight="1" x14ac:dyDescent="0.2">
      <c r="AM1356" t="str">
        <f t="shared" si="21"/>
        <v>Begaar [FRBXU]</v>
      </c>
      <c r="AN1356" t="s">
        <v>10804</v>
      </c>
      <c r="AO1356" t="s">
        <v>10805</v>
      </c>
    </row>
    <row r="1357" spans="39:41" ht="12" customHeight="1" x14ac:dyDescent="0.2">
      <c r="AM1357" t="str">
        <f t="shared" si="21"/>
        <v>Beggs [USZGG]</v>
      </c>
      <c r="AN1357" t="s">
        <v>28948</v>
      </c>
      <c r="AO1357" t="s">
        <v>28949</v>
      </c>
    </row>
    <row r="1358" spans="39:41" ht="12" customHeight="1" x14ac:dyDescent="0.2">
      <c r="AM1358" t="str">
        <f t="shared" si="21"/>
        <v>Beguey [FREUE]</v>
      </c>
      <c r="AN1358" t="s">
        <v>10806</v>
      </c>
      <c r="AO1358" t="s">
        <v>35778</v>
      </c>
    </row>
    <row r="1359" spans="39:41" ht="12" customHeight="1" x14ac:dyDescent="0.2">
      <c r="AM1359" t="str">
        <f t="shared" si="21"/>
        <v>Begur [ESBLR]</v>
      </c>
      <c r="AN1359" t="s">
        <v>9614</v>
      </c>
      <c r="AO1359" t="s">
        <v>9615</v>
      </c>
    </row>
    <row r="1360" spans="39:41" ht="12" customHeight="1" x14ac:dyDescent="0.2">
      <c r="AM1360" t="str">
        <f t="shared" si="21"/>
        <v>Beiarn [NOBEJ]</v>
      </c>
      <c r="AN1360" t="s">
        <v>23891</v>
      </c>
      <c r="AO1360" t="s">
        <v>23892</v>
      </c>
    </row>
    <row r="1361" spans="39:41" ht="12" customHeight="1" x14ac:dyDescent="0.2">
      <c r="AM1361" t="str">
        <f t="shared" si="21"/>
        <v>Beicun [CNBIC]</v>
      </c>
      <c r="AN1361" t="s">
        <v>5060</v>
      </c>
      <c r="AO1361" t="s">
        <v>5061</v>
      </c>
    </row>
    <row r="1362" spans="39:41" ht="12" customHeight="1" x14ac:dyDescent="0.2">
      <c r="AM1362" t="str">
        <f t="shared" si="21"/>
        <v>Beidenfleth [DEBEI]</v>
      </c>
      <c r="AN1362" t="s">
        <v>7081</v>
      </c>
      <c r="AO1362" t="s">
        <v>7082</v>
      </c>
    </row>
    <row r="1363" spans="39:41" ht="12" customHeight="1" x14ac:dyDescent="0.2">
      <c r="AM1363" t="str">
        <f t="shared" si="21"/>
        <v>Beihai Pt [CNBIH]</v>
      </c>
      <c r="AN1363" t="s">
        <v>5062</v>
      </c>
      <c r="AO1363" t="s">
        <v>5063</v>
      </c>
    </row>
    <row r="1364" spans="39:41" ht="12" customHeight="1" x14ac:dyDescent="0.2">
      <c r="AM1364" t="str">
        <f t="shared" si="21"/>
        <v>Beijiao [CNBIJ]</v>
      </c>
      <c r="AN1364" t="s">
        <v>5064</v>
      </c>
      <c r="AO1364" t="s">
        <v>5065</v>
      </c>
    </row>
    <row r="1365" spans="39:41" ht="12" customHeight="1" x14ac:dyDescent="0.2">
      <c r="AM1365" t="str">
        <f t="shared" si="21"/>
        <v>Beijos [PTBEI]</v>
      </c>
      <c r="AN1365" t="s">
        <v>26460</v>
      </c>
      <c r="AO1365" t="s">
        <v>26461</v>
      </c>
    </row>
    <row r="1366" spans="39:41" ht="12" customHeight="1" x14ac:dyDescent="0.2">
      <c r="AM1366" t="str">
        <f t="shared" si="21"/>
        <v>Beilun [CNBEI]</v>
      </c>
      <c r="AN1366" t="s">
        <v>5066</v>
      </c>
      <c r="AO1366" t="s">
        <v>5067</v>
      </c>
    </row>
    <row r="1367" spans="39:41" ht="12" customHeight="1" x14ac:dyDescent="0.2">
      <c r="AM1367" t="str">
        <f t="shared" si="21"/>
        <v>Beilun Pt [CNBLG]</v>
      </c>
      <c r="AN1367" t="s">
        <v>5068</v>
      </c>
      <c r="AO1367" t="s">
        <v>5069</v>
      </c>
    </row>
    <row r="1368" spans="39:41" ht="12" customHeight="1" x14ac:dyDescent="0.2">
      <c r="AM1368" t="str">
        <f t="shared" si="21"/>
        <v>Beira [MZBEW]</v>
      </c>
      <c r="AN1368" t="s">
        <v>22833</v>
      </c>
      <c r="AO1368" t="s">
        <v>22834</v>
      </c>
    </row>
    <row r="1369" spans="39:41" ht="12" customHeight="1" x14ac:dyDescent="0.2">
      <c r="AM1369" t="str">
        <f t="shared" si="21"/>
        <v>Beirut [LBBEY]</v>
      </c>
      <c r="AN1369" t="s">
        <v>21782</v>
      </c>
      <c r="AO1369" t="s">
        <v>21783</v>
      </c>
    </row>
    <row r="1370" spans="39:41" ht="12" customHeight="1" x14ac:dyDescent="0.2">
      <c r="AM1370" t="str">
        <f t="shared" si="21"/>
        <v>Beitan [CNSXB]</v>
      </c>
      <c r="AN1370" t="s">
        <v>5070</v>
      </c>
      <c r="AO1370" t="s">
        <v>5071</v>
      </c>
    </row>
    <row r="1371" spans="39:41" ht="12" customHeight="1" x14ac:dyDescent="0.2">
      <c r="AM1371" t="str">
        <f t="shared" si="21"/>
        <v>Beiyao [CNBIY]</v>
      </c>
      <c r="AN1371" t="s">
        <v>5072</v>
      </c>
      <c r="AO1371" t="s">
        <v>5073</v>
      </c>
    </row>
    <row r="1372" spans="39:41" ht="12" customHeight="1" x14ac:dyDescent="0.2">
      <c r="AM1372" t="str">
        <f t="shared" si="21"/>
        <v>Bejaia (ex Bougie) [DZBJA]</v>
      </c>
      <c r="AN1372" t="s">
        <v>9039</v>
      </c>
      <c r="AO1372" t="s">
        <v>9040</v>
      </c>
    </row>
    <row r="1373" spans="39:41" ht="12" customHeight="1" x14ac:dyDescent="0.2">
      <c r="AM1373" t="str">
        <f t="shared" si="21"/>
        <v>Bekaa [LBLN8]</v>
      </c>
      <c r="AN1373" t="s">
        <v>21784</v>
      </c>
      <c r="AO1373" t="s">
        <v>21785</v>
      </c>
    </row>
    <row r="1374" spans="39:41" ht="12" customHeight="1" x14ac:dyDescent="0.2">
      <c r="AM1374" t="str">
        <f t="shared" si="21"/>
        <v>Bekapai Terminal [IDBEK]</v>
      </c>
      <c r="AN1374" t="s">
        <v>16185</v>
      </c>
      <c r="AO1374" t="s">
        <v>16186</v>
      </c>
    </row>
    <row r="1375" spans="39:41" ht="12" customHeight="1" x14ac:dyDescent="0.2">
      <c r="AM1375" t="str">
        <f t="shared" si="21"/>
        <v>Bekkeri [EEBEK]</v>
      </c>
      <c r="AN1375" t="s">
        <v>9142</v>
      </c>
      <c r="AO1375" t="s">
        <v>9143</v>
      </c>
    </row>
    <row r="1376" spans="39:41" ht="12" customHeight="1" x14ac:dyDescent="0.2">
      <c r="AM1376" t="str">
        <f t="shared" si="21"/>
        <v>Bektyashka [RUBKH]</v>
      </c>
      <c r="AN1376" t="s">
        <v>26891</v>
      </c>
      <c r="AO1376" t="s">
        <v>26892</v>
      </c>
    </row>
    <row r="1377" spans="39:41" ht="12" customHeight="1" x14ac:dyDescent="0.2">
      <c r="AM1377" t="str">
        <f t="shared" si="21"/>
        <v>Bel Ridge [USYYX]</v>
      </c>
      <c r="AN1377" t="s">
        <v>28950</v>
      </c>
      <c r="AO1377" t="s">
        <v>28951</v>
      </c>
    </row>
    <row r="1378" spans="39:41" ht="12" customHeight="1" x14ac:dyDescent="0.2">
      <c r="AM1378" t="str">
        <f t="shared" si="21"/>
        <v>Bela Vista [MZBEL]</v>
      </c>
      <c r="AN1378" t="s">
        <v>22835</v>
      </c>
      <c r="AO1378" t="s">
        <v>22836</v>
      </c>
    </row>
    <row r="1379" spans="39:41" ht="12" customHeight="1" x14ac:dyDescent="0.2">
      <c r="AM1379" t="str">
        <f t="shared" si="21"/>
        <v>Belaga, Sarawak [MYBLG]</v>
      </c>
      <c r="AN1379" t="s">
        <v>22520</v>
      </c>
      <c r="AO1379" t="s">
        <v>22521</v>
      </c>
    </row>
    <row r="1380" spans="39:41" ht="12" customHeight="1" x14ac:dyDescent="0.2">
      <c r="AM1380" t="str">
        <f t="shared" si="21"/>
        <v>Belanak Terminal [IDBNT]</v>
      </c>
      <c r="AN1380" t="s">
        <v>16187</v>
      </c>
      <c r="AO1380" t="s">
        <v>16188</v>
      </c>
    </row>
    <row r="1381" spans="39:41" ht="12" customHeight="1" x14ac:dyDescent="0.2">
      <c r="AM1381" t="str">
        <f t="shared" si="21"/>
        <v>Belapur [INBLP]</v>
      </c>
      <c r="AN1381" t="s">
        <v>17034</v>
      </c>
      <c r="AO1381" t="s">
        <v>17035</v>
      </c>
    </row>
    <row r="1382" spans="39:41" ht="12" customHeight="1" x14ac:dyDescent="0.2">
      <c r="AM1382" t="str">
        <f t="shared" si="21"/>
        <v>Belawan, Sumatra [IDBLW]</v>
      </c>
      <c r="AN1382" t="s">
        <v>16189</v>
      </c>
      <c r="AO1382" t="s">
        <v>16190</v>
      </c>
    </row>
    <row r="1383" spans="39:41" ht="12" customHeight="1" x14ac:dyDescent="0.2">
      <c r="AM1383" t="str">
        <f t="shared" si="21"/>
        <v>Belaya Kalitva [RUBKT]</v>
      </c>
      <c r="AN1383" t="s">
        <v>26893</v>
      </c>
      <c r="AO1383" t="s">
        <v>26894</v>
      </c>
    </row>
    <row r="1384" spans="39:41" ht="12" customHeight="1" x14ac:dyDescent="0.2">
      <c r="AM1384" t="str">
        <f t="shared" si="21"/>
        <v>Belchite [ESITE]</v>
      </c>
      <c r="AN1384" t="s">
        <v>9616</v>
      </c>
      <c r="AO1384" t="s">
        <v>9617</v>
      </c>
    </row>
    <row r="1385" spans="39:41" ht="12" customHeight="1" x14ac:dyDescent="0.2">
      <c r="AM1385" t="str">
        <f t="shared" si="21"/>
        <v>Belden [USYBD]</v>
      </c>
      <c r="AN1385" t="s">
        <v>28952</v>
      </c>
      <c r="AO1385" t="s">
        <v>28953</v>
      </c>
    </row>
    <row r="1386" spans="39:41" ht="12" customHeight="1" x14ac:dyDescent="0.2">
      <c r="AM1386" t="str">
        <f t="shared" si="21"/>
        <v>Belekeri [INBLK]</v>
      </c>
      <c r="AN1386" t="s">
        <v>17036</v>
      </c>
      <c r="AO1386" t="s">
        <v>17037</v>
      </c>
    </row>
    <row r="1387" spans="39:41" ht="12" customHeight="1" x14ac:dyDescent="0.2">
      <c r="AM1387" t="str">
        <f t="shared" si="21"/>
        <v>Belem [BRBEL]</v>
      </c>
      <c r="AN1387" t="s">
        <v>3274</v>
      </c>
      <c r="AO1387" t="s">
        <v>3275</v>
      </c>
    </row>
    <row r="1388" spans="39:41" ht="12" customHeight="1" x14ac:dyDescent="0.2">
      <c r="AM1388" t="str">
        <f t="shared" si="21"/>
        <v>Belfair [USBA3]</v>
      </c>
      <c r="AN1388" t="s">
        <v>28954</v>
      </c>
      <c r="AO1388" t="s">
        <v>28955</v>
      </c>
    </row>
    <row r="1389" spans="39:41" ht="12" customHeight="1" x14ac:dyDescent="0.2">
      <c r="AM1389" t="str">
        <f t="shared" si="21"/>
        <v>Belfast [DMBEL]</v>
      </c>
      <c r="AN1389" t="s">
        <v>8975</v>
      </c>
      <c r="AO1389" t="s">
        <v>8976</v>
      </c>
    </row>
    <row r="1390" spans="39:41" ht="12" customHeight="1" x14ac:dyDescent="0.2">
      <c r="AM1390" t="str">
        <f t="shared" si="21"/>
        <v>Belfast [GBBEL]</v>
      </c>
      <c r="AN1390" t="s">
        <v>12493</v>
      </c>
      <c r="AO1390" t="s">
        <v>8976</v>
      </c>
    </row>
    <row r="1391" spans="39:41" ht="12" customHeight="1" x14ac:dyDescent="0.2">
      <c r="AM1391" t="str">
        <f t="shared" si="21"/>
        <v>Belfast [SVBEL]</v>
      </c>
      <c r="AN1391" t="s">
        <v>28141</v>
      </c>
      <c r="AO1391" t="s">
        <v>8976</v>
      </c>
    </row>
    <row r="1392" spans="39:41" ht="12" customHeight="1" x14ac:dyDescent="0.2">
      <c r="AM1392" t="str">
        <f t="shared" si="21"/>
        <v>Belfast [USBEL]</v>
      </c>
      <c r="AN1392" t="s">
        <v>28956</v>
      </c>
      <c r="AO1392" t="s">
        <v>8976</v>
      </c>
    </row>
    <row r="1393" spans="39:41" ht="12" customHeight="1" x14ac:dyDescent="0.2">
      <c r="AM1393" t="str">
        <f t="shared" si="21"/>
        <v>Belfeld [NLBFD]</v>
      </c>
      <c r="AN1393" t="s">
        <v>33861</v>
      </c>
      <c r="AO1393" t="s">
        <v>33983</v>
      </c>
    </row>
    <row r="1394" spans="39:41" ht="12" customHeight="1" x14ac:dyDescent="0.2">
      <c r="AM1394" t="str">
        <f t="shared" si="21"/>
        <v>Belgern [DEELG]</v>
      </c>
      <c r="AN1394" t="s">
        <v>7083</v>
      </c>
      <c r="AO1394" t="s">
        <v>7084</v>
      </c>
    </row>
    <row r="1395" spans="39:41" ht="12" customHeight="1" x14ac:dyDescent="0.2">
      <c r="AM1395" t="str">
        <f t="shared" si="21"/>
        <v>Belgorod-Dnestrovskiy [UABGD]</v>
      </c>
      <c r="AN1395" t="s">
        <v>28741</v>
      </c>
      <c r="AO1395" t="s">
        <v>28742</v>
      </c>
    </row>
    <row r="1396" spans="39:41" ht="12" customHeight="1" x14ac:dyDescent="0.2">
      <c r="AM1396" t="str">
        <f t="shared" si="21"/>
        <v>Belgrave [GBVVE]</v>
      </c>
      <c r="AN1396" t="s">
        <v>12494</v>
      </c>
      <c r="AO1396" t="s">
        <v>12495</v>
      </c>
    </row>
    <row r="1397" spans="39:41" ht="12" customHeight="1" x14ac:dyDescent="0.2">
      <c r="AM1397" t="str">
        <f t="shared" si="21"/>
        <v>Belhaven [USBPV]</v>
      </c>
      <c r="AN1397" t="s">
        <v>28957</v>
      </c>
      <c r="AO1397" t="s">
        <v>28958</v>
      </c>
    </row>
    <row r="1398" spans="39:41" ht="12" customHeight="1" x14ac:dyDescent="0.2">
      <c r="AM1398" t="str">
        <f t="shared" si="21"/>
        <v>Belida Terminal [IDBET]</v>
      </c>
      <c r="AN1398" t="s">
        <v>16191</v>
      </c>
      <c r="AO1398" t="s">
        <v>16192</v>
      </c>
    </row>
    <row r="1399" spans="39:41" ht="12" customHeight="1" x14ac:dyDescent="0.2">
      <c r="AM1399" t="str">
        <f t="shared" si="21"/>
        <v>Beliling [IDBLV]</v>
      </c>
      <c r="AN1399" t="s">
        <v>16193</v>
      </c>
      <c r="AO1399" t="s">
        <v>16194</v>
      </c>
    </row>
    <row r="1400" spans="39:41" ht="12" customHeight="1" x14ac:dyDescent="0.2">
      <c r="AM1400" t="str">
        <f t="shared" si="21"/>
        <v>Belin-Beliet [FRBBQ]</v>
      </c>
      <c r="AN1400" t="s">
        <v>10807</v>
      </c>
      <c r="AO1400" t="s">
        <v>10808</v>
      </c>
    </row>
    <row r="1401" spans="39:41" ht="12" customHeight="1" x14ac:dyDescent="0.2">
      <c r="AM1401" t="str">
        <f t="shared" si="21"/>
        <v>Belisce [HRBLC]</v>
      </c>
      <c r="AN1401" t="s">
        <v>15702</v>
      </c>
      <c r="AO1401" t="s">
        <v>15703</v>
      </c>
    </row>
    <row r="1402" spans="39:41" ht="12" customHeight="1" x14ac:dyDescent="0.2">
      <c r="AM1402" t="str">
        <f t="shared" si="21"/>
        <v>Belitung [IDBLT]</v>
      </c>
      <c r="AN1402" t="s">
        <v>16195</v>
      </c>
      <c r="AO1402" t="s">
        <v>16196</v>
      </c>
    </row>
    <row r="1403" spans="39:41" ht="12" customHeight="1" x14ac:dyDescent="0.2">
      <c r="AM1403" t="str">
        <f t="shared" si="21"/>
        <v>Belize City [BZBZE]</v>
      </c>
      <c r="AN1403" t="s">
        <v>3504</v>
      </c>
      <c r="AO1403" t="s">
        <v>3505</v>
      </c>
    </row>
    <row r="1404" spans="39:41" ht="12" customHeight="1" x14ac:dyDescent="0.2">
      <c r="AM1404" t="str">
        <f t="shared" si="21"/>
        <v>Bell Bay [AUBEL]</v>
      </c>
      <c r="AN1404" t="s">
        <v>1433</v>
      </c>
      <c r="AO1404" t="s">
        <v>1434</v>
      </c>
    </row>
    <row r="1405" spans="39:41" ht="12" customHeight="1" x14ac:dyDescent="0.2">
      <c r="AM1405" t="str">
        <f t="shared" si="21"/>
        <v>Bella Coola [CABLC]</v>
      </c>
      <c r="AN1405" t="s">
        <v>3593</v>
      </c>
      <c r="AO1405" t="s">
        <v>3594</v>
      </c>
    </row>
    <row r="1406" spans="39:41" ht="12" customHeight="1" x14ac:dyDescent="0.2">
      <c r="AM1406" t="str">
        <f t="shared" si="21"/>
        <v>Bella Vista [ARBVC]</v>
      </c>
      <c r="AN1406" t="s">
        <v>984</v>
      </c>
      <c r="AO1406" t="s">
        <v>985</v>
      </c>
    </row>
    <row r="1407" spans="39:41" ht="12" customHeight="1" x14ac:dyDescent="0.2">
      <c r="AM1407" t="str">
        <f t="shared" si="21"/>
        <v>Bellaria [ITBLA]</v>
      </c>
      <c r="AN1407" t="s">
        <v>17830</v>
      </c>
      <c r="AO1407" t="s">
        <v>17831</v>
      </c>
    </row>
    <row r="1408" spans="39:41" ht="12" customHeight="1" x14ac:dyDescent="0.2">
      <c r="AM1408" t="str">
        <f t="shared" si="21"/>
        <v>Bellbrook [USB44]</v>
      </c>
      <c r="AN1408" t="s">
        <v>28959</v>
      </c>
      <c r="AO1408" t="s">
        <v>28960</v>
      </c>
    </row>
    <row r="1409" spans="39:41" ht="12" customHeight="1" x14ac:dyDescent="0.2">
      <c r="AM1409" t="str">
        <f t="shared" ref="AM1409:AM1472" si="22">AO1409 &amp; " [" &amp; AN1409 &amp; "]"</f>
        <v>Belle Harbor [USBE8]</v>
      </c>
      <c r="AN1409" t="s">
        <v>28961</v>
      </c>
      <c r="AO1409" t="s">
        <v>28962</v>
      </c>
    </row>
    <row r="1410" spans="39:41" ht="12" customHeight="1" x14ac:dyDescent="0.2">
      <c r="AM1410" t="str">
        <f t="shared" si="22"/>
        <v>Bellecourt [BEBCR]</v>
      </c>
      <c r="AN1410" t="s">
        <v>2283</v>
      </c>
      <c r="AO1410" t="s">
        <v>2284</v>
      </c>
    </row>
    <row r="1411" spans="39:41" ht="12" customHeight="1" x14ac:dyDescent="0.2">
      <c r="AM1411" t="str">
        <f t="shared" si="22"/>
        <v>Belledune [CABEL]</v>
      </c>
      <c r="AN1411" t="s">
        <v>3595</v>
      </c>
      <c r="AO1411" t="s">
        <v>3596</v>
      </c>
    </row>
    <row r="1412" spans="39:41" ht="12" customHeight="1" x14ac:dyDescent="0.2">
      <c r="AM1412" t="str">
        <f t="shared" si="22"/>
        <v>Belleisle Creek [CAEEK]</v>
      </c>
      <c r="AN1412" t="s">
        <v>3597</v>
      </c>
      <c r="AO1412" t="s">
        <v>3598</v>
      </c>
    </row>
    <row r="1413" spans="39:41" ht="12" customHeight="1" x14ac:dyDescent="0.2">
      <c r="AM1413" t="str">
        <f t="shared" si="22"/>
        <v>Belleville [CABLV]</v>
      </c>
      <c r="AN1413" t="s">
        <v>3599</v>
      </c>
      <c r="AO1413" t="s">
        <v>3600</v>
      </c>
    </row>
    <row r="1414" spans="39:41" ht="12" customHeight="1" x14ac:dyDescent="0.2">
      <c r="AM1414" t="str">
        <f t="shared" si="22"/>
        <v>Bellingham [USBLI]</v>
      </c>
      <c r="AN1414" t="s">
        <v>28963</v>
      </c>
      <c r="AO1414" t="s">
        <v>28964</v>
      </c>
    </row>
    <row r="1415" spans="39:41" ht="12" customHeight="1" x14ac:dyDescent="0.2">
      <c r="AM1415" t="str">
        <f t="shared" si="22"/>
        <v>Bellingshausen [AQBHN]</v>
      </c>
      <c r="AN1415" t="s">
        <v>912</v>
      </c>
      <c r="AO1415" t="s">
        <v>913</v>
      </c>
    </row>
    <row r="1416" spans="39:41" ht="12" customHeight="1" x14ac:dyDescent="0.2">
      <c r="AM1416" t="str">
        <f t="shared" si="22"/>
        <v>Bellvika [NOBEL]</v>
      </c>
      <c r="AN1416" t="s">
        <v>23893</v>
      </c>
      <c r="AO1416" t="s">
        <v>23894</v>
      </c>
    </row>
    <row r="1417" spans="39:41" ht="12" customHeight="1" x14ac:dyDescent="0.2">
      <c r="AM1417" t="str">
        <f t="shared" si="22"/>
        <v>Bellwood [USEWO]</v>
      </c>
      <c r="AN1417" t="s">
        <v>28965</v>
      </c>
      <c r="AO1417" t="s">
        <v>28966</v>
      </c>
    </row>
    <row r="1418" spans="39:41" ht="12" customHeight="1" x14ac:dyDescent="0.2">
      <c r="AM1418" t="str">
        <f t="shared" si="22"/>
        <v>Belmont, Unst [GBBMT]</v>
      </c>
      <c r="AN1418" t="s">
        <v>12496</v>
      </c>
      <c r="AO1418" t="s">
        <v>12497</v>
      </c>
    </row>
    <row r="1419" spans="39:41" ht="12" customHeight="1" x14ac:dyDescent="0.2">
      <c r="AM1419" t="str">
        <f t="shared" si="22"/>
        <v>Belmonte [ESUCC]</v>
      </c>
      <c r="AN1419" t="s">
        <v>9618</v>
      </c>
      <c r="AO1419" t="s">
        <v>9619</v>
      </c>
    </row>
    <row r="1420" spans="39:41" ht="12" customHeight="1" x14ac:dyDescent="0.2">
      <c r="AM1420" t="str">
        <f t="shared" si="22"/>
        <v>Belo [MGBMD]</v>
      </c>
      <c r="AN1420" t="s">
        <v>22110</v>
      </c>
      <c r="AO1420" t="s">
        <v>22111</v>
      </c>
    </row>
    <row r="1421" spans="39:41" ht="12" customHeight="1" x14ac:dyDescent="0.2">
      <c r="AM1421" t="str">
        <f t="shared" si="22"/>
        <v>Beloeil [BEBLO]</v>
      </c>
      <c r="AN1421" t="s">
        <v>2285</v>
      </c>
      <c r="AO1421" t="s">
        <v>2286</v>
      </c>
    </row>
    <row r="1422" spans="39:41" ht="12" customHeight="1" x14ac:dyDescent="0.2">
      <c r="AM1422" t="str">
        <f t="shared" si="22"/>
        <v>Beloeil [CABLL]</v>
      </c>
      <c r="AN1422" t="s">
        <v>3601</v>
      </c>
      <c r="AO1422" t="s">
        <v>2286</v>
      </c>
    </row>
    <row r="1423" spans="39:41" ht="12" customHeight="1" x14ac:dyDescent="0.2">
      <c r="AM1423" t="str">
        <f t="shared" si="22"/>
        <v>Belomorsk [RUBEM]</v>
      </c>
      <c r="AN1423" t="s">
        <v>26895</v>
      </c>
      <c r="AO1423" t="s">
        <v>26896</v>
      </c>
    </row>
    <row r="1424" spans="39:41" ht="12" customHeight="1" x14ac:dyDescent="0.2">
      <c r="AM1424" t="str">
        <f t="shared" si="22"/>
        <v>Belrose [AUBE9]</v>
      </c>
      <c r="AN1424" t="s">
        <v>1435</v>
      </c>
      <c r="AO1424" t="s">
        <v>1436</v>
      </c>
    </row>
    <row r="1425" spans="39:41" ht="12" customHeight="1" x14ac:dyDescent="0.2">
      <c r="AM1425" t="str">
        <f t="shared" si="22"/>
        <v>Beluran, Sabah [MYBEL]</v>
      </c>
      <c r="AN1425" t="s">
        <v>22522</v>
      </c>
      <c r="AO1425" t="s">
        <v>22523</v>
      </c>
    </row>
    <row r="1426" spans="39:41" ht="12" customHeight="1" x14ac:dyDescent="0.2">
      <c r="AM1426" t="str">
        <f t="shared" si="22"/>
        <v>Belushye [RUBEL]</v>
      </c>
      <c r="AN1426" t="s">
        <v>26897</v>
      </c>
      <c r="AO1426" t="s">
        <v>26898</v>
      </c>
    </row>
    <row r="1427" spans="39:41" ht="12" customHeight="1" x14ac:dyDescent="0.2">
      <c r="AM1427" t="str">
        <f t="shared" si="22"/>
        <v>Belvedere Marittimo [ITBMT]</v>
      </c>
      <c r="AN1427" t="s">
        <v>17832</v>
      </c>
      <c r="AO1427" t="s">
        <v>17833</v>
      </c>
    </row>
    <row r="1428" spans="39:41" ht="12" customHeight="1" x14ac:dyDescent="0.2">
      <c r="AM1428" t="str">
        <f t="shared" si="22"/>
        <v>Belvidere [AUBVD]</v>
      </c>
      <c r="AN1428" t="s">
        <v>1437</v>
      </c>
      <c r="AO1428" t="s">
        <v>1438</v>
      </c>
    </row>
    <row r="1429" spans="39:41" ht="12" customHeight="1" x14ac:dyDescent="0.2">
      <c r="AM1429" t="str">
        <f t="shared" si="22"/>
        <v>Belwood [CABLD]</v>
      </c>
      <c r="AN1429" t="s">
        <v>3602</v>
      </c>
      <c r="AO1429" t="s">
        <v>3603</v>
      </c>
    </row>
    <row r="1430" spans="39:41" ht="12" customHeight="1" x14ac:dyDescent="0.2">
      <c r="AM1430" t="str">
        <f t="shared" si="22"/>
        <v>Bembridge [GBBBP]</v>
      </c>
      <c r="AN1430" t="s">
        <v>12498</v>
      </c>
      <c r="AO1430" t="s">
        <v>12499</v>
      </c>
    </row>
    <row r="1431" spans="39:41" ht="12" customHeight="1" x14ac:dyDescent="0.2">
      <c r="AM1431" t="str">
        <f t="shared" si="22"/>
        <v>Bemmel [NLBEM]</v>
      </c>
      <c r="AN1431" t="s">
        <v>33862</v>
      </c>
      <c r="AO1431" t="s">
        <v>33984</v>
      </c>
    </row>
    <row r="1432" spans="39:41" ht="12" customHeight="1" x14ac:dyDescent="0.2">
      <c r="AM1432" t="str">
        <f t="shared" si="22"/>
        <v>Ben Dam Con Dao Terminals [VNBCD]</v>
      </c>
      <c r="AN1432" t="s">
        <v>32303</v>
      </c>
      <c r="AO1432" t="s">
        <v>32304</v>
      </c>
    </row>
    <row r="1433" spans="39:41" ht="12" customHeight="1" x14ac:dyDescent="0.2">
      <c r="AM1433" t="str">
        <f t="shared" si="22"/>
        <v>Ben Nghe [VNBNG]</v>
      </c>
      <c r="AN1433" t="s">
        <v>32305</v>
      </c>
      <c r="AO1433" t="s">
        <v>36592</v>
      </c>
    </row>
    <row r="1434" spans="39:41" ht="12" customHeight="1" x14ac:dyDescent="0.2">
      <c r="AM1434" t="str">
        <f t="shared" si="22"/>
        <v>Ben Tre [VNTRE]</v>
      </c>
      <c r="AN1434" t="s">
        <v>33950</v>
      </c>
      <c r="AO1434" t="s">
        <v>34071</v>
      </c>
    </row>
    <row r="1435" spans="39:41" ht="12" customHeight="1" x14ac:dyDescent="0.2">
      <c r="AM1435" t="str">
        <f t="shared" si="22"/>
        <v>Benagil [PTBNG]</v>
      </c>
      <c r="AN1435" t="s">
        <v>26462</v>
      </c>
      <c r="AO1435" t="s">
        <v>26463</v>
      </c>
    </row>
    <row r="1436" spans="39:41" ht="12" customHeight="1" x14ac:dyDescent="0.2">
      <c r="AM1436" t="str">
        <f t="shared" si="22"/>
        <v>Ben-Ahin [BEBAN]</v>
      </c>
      <c r="AN1436" t="s">
        <v>2287</v>
      </c>
      <c r="AO1436" t="s">
        <v>2288</v>
      </c>
    </row>
    <row r="1437" spans="39:41" ht="12" customHeight="1" x14ac:dyDescent="0.2">
      <c r="AM1437" t="str">
        <f t="shared" si="22"/>
        <v>Benapole [BDBNP]</v>
      </c>
      <c r="AN1437" t="s">
        <v>2192</v>
      </c>
      <c r="AO1437" t="s">
        <v>2193</v>
      </c>
    </row>
    <row r="1438" spans="39:41" ht="12" customHeight="1" x14ac:dyDescent="0.2">
      <c r="AM1438" t="str">
        <f t="shared" si="22"/>
        <v>Benchamas [THBEN]</v>
      </c>
      <c r="AN1438" t="s">
        <v>28222</v>
      </c>
      <c r="AO1438" t="s">
        <v>28223</v>
      </c>
    </row>
    <row r="1439" spans="39:41" ht="12" customHeight="1" x14ac:dyDescent="0.2">
      <c r="AM1439" t="str">
        <f t="shared" si="22"/>
        <v>Bendorf/Rhein [DEBDF]</v>
      </c>
      <c r="AN1439" t="s">
        <v>7085</v>
      </c>
      <c r="AO1439" t="s">
        <v>7086</v>
      </c>
    </row>
    <row r="1440" spans="39:41" ht="12" customHeight="1" x14ac:dyDescent="0.2">
      <c r="AM1440" t="str">
        <f t="shared" si="22"/>
        <v>Benegida [ESBDA]</v>
      </c>
      <c r="AN1440" t="s">
        <v>9620</v>
      </c>
      <c r="AO1440" t="s">
        <v>9621</v>
      </c>
    </row>
    <row r="1441" spans="39:41" ht="12" customHeight="1" x14ac:dyDescent="0.2">
      <c r="AM1441" t="str">
        <f t="shared" si="22"/>
        <v>Benete [IDBEN]</v>
      </c>
      <c r="AN1441" t="s">
        <v>16197</v>
      </c>
      <c r="AO1441" t="s">
        <v>16198</v>
      </c>
    </row>
    <row r="1442" spans="39:41" ht="12" customHeight="1" x14ac:dyDescent="0.2">
      <c r="AM1442" t="str">
        <f t="shared" si="22"/>
        <v>Bengkulu, Sumatra [IDBKS]</v>
      </c>
      <c r="AN1442" t="s">
        <v>16199</v>
      </c>
      <c r="AO1442" t="s">
        <v>16200</v>
      </c>
    </row>
    <row r="1443" spans="39:41" ht="12" customHeight="1" x14ac:dyDescent="0.2">
      <c r="AM1443" t="str">
        <f t="shared" si="22"/>
        <v>Bengtsfors [SEBTF]</v>
      </c>
      <c r="AN1443" t="s">
        <v>27507</v>
      </c>
      <c r="AO1443" t="s">
        <v>27508</v>
      </c>
    </row>
    <row r="1444" spans="39:41" ht="12" customHeight="1" x14ac:dyDescent="0.2">
      <c r="AM1444" t="str">
        <f t="shared" si="22"/>
        <v>Benguela [AOBUG]</v>
      </c>
      <c r="AN1444" t="s">
        <v>833</v>
      </c>
      <c r="AO1444" t="s">
        <v>834</v>
      </c>
    </row>
    <row r="1445" spans="39:41" ht="12" customHeight="1" x14ac:dyDescent="0.2">
      <c r="AM1445" t="str">
        <f t="shared" si="22"/>
        <v>Beni Suef [EGBEN]</v>
      </c>
      <c r="AN1445" t="s">
        <v>9460</v>
      </c>
      <c r="AO1445" t="s">
        <v>9461</v>
      </c>
    </row>
    <row r="1446" spans="39:41" ht="12" customHeight="1" x14ac:dyDescent="0.2">
      <c r="AM1446" t="str">
        <f t="shared" si="22"/>
        <v>Benicia [USBNC]</v>
      </c>
      <c r="AN1446" t="s">
        <v>28967</v>
      </c>
      <c r="AO1446" t="s">
        <v>28968</v>
      </c>
    </row>
    <row r="1447" spans="39:41" ht="12" customHeight="1" x14ac:dyDescent="0.2">
      <c r="AM1447" t="str">
        <f t="shared" si="22"/>
        <v>Benicull [ESBU3]</v>
      </c>
      <c r="AN1447" t="s">
        <v>9622</v>
      </c>
      <c r="AO1447" t="s">
        <v>9623</v>
      </c>
    </row>
    <row r="1448" spans="39:41" ht="12" customHeight="1" x14ac:dyDescent="0.2">
      <c r="AM1448" t="str">
        <f t="shared" si="22"/>
        <v>Benidorm [ESBEM]</v>
      </c>
      <c r="AN1448" t="s">
        <v>9624</v>
      </c>
      <c r="AO1448" t="s">
        <v>9625</v>
      </c>
    </row>
    <row r="1449" spans="39:41" ht="12" customHeight="1" x14ac:dyDescent="0.2">
      <c r="AM1449" t="str">
        <f t="shared" si="22"/>
        <v>Benimodo [ESBMO]</v>
      </c>
      <c r="AN1449" t="s">
        <v>9626</v>
      </c>
      <c r="AO1449" t="s">
        <v>9627</v>
      </c>
    </row>
    <row r="1450" spans="39:41" ht="12" customHeight="1" x14ac:dyDescent="0.2">
      <c r="AM1450" t="str">
        <f t="shared" si="22"/>
        <v>Benisaf [DZBSF]</v>
      </c>
      <c r="AN1450" t="s">
        <v>9041</v>
      </c>
      <c r="AO1450" t="s">
        <v>9042</v>
      </c>
    </row>
    <row r="1451" spans="39:41" ht="12" customHeight="1" x14ac:dyDescent="0.2">
      <c r="AM1451" t="str">
        <f t="shared" si="22"/>
        <v>Benoa [IDBOA]</v>
      </c>
      <c r="AN1451" t="s">
        <v>16201</v>
      </c>
      <c r="AO1451" t="s">
        <v>16202</v>
      </c>
    </row>
    <row r="1452" spans="39:41" ht="12" customHeight="1" x14ac:dyDescent="0.2">
      <c r="AM1452" t="str">
        <f t="shared" si="22"/>
        <v>Benodet [FRDBE]</v>
      </c>
      <c r="AN1452" t="s">
        <v>10809</v>
      </c>
      <c r="AO1452" t="s">
        <v>35779</v>
      </c>
    </row>
    <row r="1453" spans="39:41" ht="12" customHeight="1" x14ac:dyDescent="0.2">
      <c r="AM1453" t="str">
        <f t="shared" si="22"/>
        <v>Bensersiel [DEBEN]</v>
      </c>
      <c r="AN1453" t="s">
        <v>7087</v>
      </c>
      <c r="AO1453" t="s">
        <v>7088</v>
      </c>
    </row>
    <row r="1454" spans="39:41" ht="12" customHeight="1" x14ac:dyDescent="0.2">
      <c r="AM1454" t="str">
        <f t="shared" si="22"/>
        <v>Benthuy [VNBEN]</v>
      </c>
      <c r="AN1454" t="s">
        <v>32306</v>
      </c>
      <c r="AO1454" t="s">
        <v>32307</v>
      </c>
    </row>
    <row r="1455" spans="39:41" ht="12" customHeight="1" x14ac:dyDescent="0.2">
      <c r="AM1455" t="str">
        <f t="shared" si="22"/>
        <v>Bentley FPSO [GBBY2]</v>
      </c>
      <c r="AN1455" t="s">
        <v>12500</v>
      </c>
      <c r="AO1455" t="s">
        <v>12501</v>
      </c>
    </row>
    <row r="1456" spans="39:41" ht="12" customHeight="1" x14ac:dyDescent="0.2">
      <c r="AM1456" t="str">
        <f t="shared" si="22"/>
        <v>Benton City [USIJM]</v>
      </c>
      <c r="AN1456" t="s">
        <v>28969</v>
      </c>
      <c r="AO1456" t="s">
        <v>28970</v>
      </c>
    </row>
    <row r="1457" spans="39:41" ht="12" customHeight="1" x14ac:dyDescent="0.2">
      <c r="AM1457" t="str">
        <f t="shared" si="22"/>
        <v>Benty [GNBTY]</v>
      </c>
      <c r="AN1457" t="s">
        <v>15037</v>
      </c>
      <c r="AO1457" t="s">
        <v>15038</v>
      </c>
    </row>
    <row r="1458" spans="39:41" ht="12" customHeight="1" x14ac:dyDescent="0.2">
      <c r="AM1458" t="str">
        <f t="shared" si="22"/>
        <v>Benut, Johor [MYBNT]</v>
      </c>
      <c r="AN1458" t="s">
        <v>22524</v>
      </c>
      <c r="AO1458" t="s">
        <v>22525</v>
      </c>
    </row>
    <row r="1459" spans="39:41" ht="12" customHeight="1" x14ac:dyDescent="0.2">
      <c r="AM1459" t="str">
        <f t="shared" si="22"/>
        <v>Beppu, Oita [JPBPU]</v>
      </c>
      <c r="AN1459" t="s">
        <v>18659</v>
      </c>
      <c r="AO1459" t="s">
        <v>18660</v>
      </c>
    </row>
    <row r="1460" spans="39:41" ht="12" customHeight="1" x14ac:dyDescent="0.2">
      <c r="AM1460" t="str">
        <f t="shared" si="22"/>
        <v>Beppu, Shimane [JPBEP]</v>
      </c>
      <c r="AN1460" t="s">
        <v>18661</v>
      </c>
      <c r="AO1460" t="s">
        <v>18662</v>
      </c>
    </row>
    <row r="1461" spans="39:41" ht="12" customHeight="1" x14ac:dyDescent="0.2">
      <c r="AM1461" t="str">
        <f t="shared" si="22"/>
        <v>Beppushinko [JPBFS]</v>
      </c>
      <c r="AN1461" t="s">
        <v>18663</v>
      </c>
      <c r="AO1461" t="s">
        <v>18664</v>
      </c>
    </row>
    <row r="1462" spans="39:41" ht="12" customHeight="1" x14ac:dyDescent="0.2">
      <c r="AM1462" t="str">
        <f t="shared" si="22"/>
        <v>Berbera [SOBBO]</v>
      </c>
      <c r="AN1462" t="s">
        <v>28104</v>
      </c>
      <c r="AO1462" t="s">
        <v>28105</v>
      </c>
    </row>
    <row r="1463" spans="39:41" ht="12" customHeight="1" x14ac:dyDescent="0.2">
      <c r="AM1463" t="str">
        <f t="shared" si="22"/>
        <v>Berchem [BEBCM]</v>
      </c>
      <c r="AN1463" t="s">
        <v>2289</v>
      </c>
      <c r="AO1463" t="s">
        <v>2290</v>
      </c>
    </row>
    <row r="1464" spans="39:41" ht="12" customHeight="1" x14ac:dyDescent="0.2">
      <c r="AM1464" t="str">
        <f t="shared" si="22"/>
        <v>Berdyansk [UAERD]</v>
      </c>
      <c r="AN1464" t="s">
        <v>28743</v>
      </c>
      <c r="AO1464" t="s">
        <v>28744</v>
      </c>
    </row>
    <row r="1465" spans="39:41" ht="12" customHeight="1" x14ac:dyDescent="0.2">
      <c r="AM1465" t="str">
        <f t="shared" si="22"/>
        <v>Berendrecht [BEBRT]</v>
      </c>
      <c r="AN1465" t="s">
        <v>2291</v>
      </c>
      <c r="AO1465" t="s">
        <v>2292</v>
      </c>
    </row>
    <row r="1466" spans="39:41" ht="12" customHeight="1" x14ac:dyDescent="0.2">
      <c r="AM1466" t="str">
        <f t="shared" si="22"/>
        <v>Beresfield [AUBFD]</v>
      </c>
      <c r="AN1466" t="s">
        <v>1439</v>
      </c>
      <c r="AO1466" t="s">
        <v>1440</v>
      </c>
    </row>
    <row r="1467" spans="39:41" ht="12" customHeight="1" x14ac:dyDescent="0.2">
      <c r="AM1467" t="str">
        <f t="shared" si="22"/>
        <v>Beresford [CABFR]</v>
      </c>
      <c r="AN1467" t="s">
        <v>3604</v>
      </c>
      <c r="AO1467" t="s">
        <v>3605</v>
      </c>
    </row>
    <row r="1468" spans="39:41" ht="12" customHeight="1" x14ac:dyDescent="0.2">
      <c r="AM1468" t="str">
        <f t="shared" si="22"/>
        <v>Berg [NOBER]</v>
      </c>
      <c r="AN1468" t="s">
        <v>23895</v>
      </c>
      <c r="AO1468" t="s">
        <v>23896</v>
      </c>
    </row>
    <row r="1469" spans="39:41" ht="12" customHeight="1" x14ac:dyDescent="0.2">
      <c r="AM1469" t="str">
        <f t="shared" si="22"/>
        <v>Berga Orlogsskolor [SEBGA]</v>
      </c>
      <c r="AN1469" t="s">
        <v>27509</v>
      </c>
      <c r="AO1469" t="s">
        <v>36423</v>
      </c>
    </row>
    <row r="1470" spans="39:41" ht="12" customHeight="1" x14ac:dyDescent="0.2">
      <c r="AM1470" t="str">
        <f t="shared" si="22"/>
        <v>Bergen [NOBGO]</v>
      </c>
      <c r="AN1470" t="s">
        <v>23897</v>
      </c>
      <c r="AO1470" t="s">
        <v>23898</v>
      </c>
    </row>
    <row r="1471" spans="39:41" ht="12" customHeight="1" x14ac:dyDescent="0.2">
      <c r="AM1471" t="str">
        <f t="shared" si="22"/>
        <v>Bergen aan Zee [NLBEG]</v>
      </c>
      <c r="AN1471" t="s">
        <v>23048</v>
      </c>
      <c r="AO1471" t="s">
        <v>23049</v>
      </c>
    </row>
    <row r="1472" spans="39:41" ht="12" customHeight="1" x14ac:dyDescent="0.2">
      <c r="AM1472" t="str">
        <f t="shared" si="22"/>
        <v>Bergen op Zoom [NLBZM]</v>
      </c>
      <c r="AN1472" t="s">
        <v>37041</v>
      </c>
      <c r="AO1472" t="s">
        <v>37042</v>
      </c>
    </row>
    <row r="1473" spans="39:41" ht="12" customHeight="1" x14ac:dyDescent="0.2">
      <c r="AM1473" t="str">
        <f t="shared" ref="AM1473:AM1536" si="23">AO1473 &amp; " [" &amp; AN1473 &amp; "]"</f>
        <v>Bergerheide [NLBGI]</v>
      </c>
      <c r="AN1473" t="s">
        <v>23050</v>
      </c>
      <c r="AO1473" t="s">
        <v>23051</v>
      </c>
    </row>
    <row r="1474" spans="39:41" ht="12" customHeight="1" x14ac:dyDescent="0.2">
      <c r="AM1474" t="str">
        <f t="shared" si="23"/>
        <v>Berggiesshubel [DEHUB]</v>
      </c>
      <c r="AN1474" t="s">
        <v>7089</v>
      </c>
      <c r="AO1474" t="s">
        <v>35415</v>
      </c>
    </row>
    <row r="1475" spans="39:41" ht="12" customHeight="1" x14ac:dyDescent="0.2">
      <c r="AM1475" t="str">
        <f t="shared" si="23"/>
        <v>Bergisch Gladbach [DEBGL]</v>
      </c>
      <c r="AN1475" t="s">
        <v>7090</v>
      </c>
      <c r="AO1475" t="s">
        <v>7091</v>
      </c>
    </row>
    <row r="1476" spans="39:41" ht="12" customHeight="1" x14ac:dyDescent="0.2">
      <c r="AM1476" t="str">
        <f t="shared" si="23"/>
        <v>Bergkvara [SEBEA]</v>
      </c>
      <c r="AN1476" t="s">
        <v>27510</v>
      </c>
      <c r="AO1476" t="s">
        <v>27511</v>
      </c>
    </row>
    <row r="1477" spans="39:41" ht="12" customHeight="1" x14ac:dyDescent="0.2">
      <c r="AM1477" t="str">
        <f t="shared" si="23"/>
        <v>Bergneset [NOBGN]</v>
      </c>
      <c r="AN1477" t="s">
        <v>23899</v>
      </c>
      <c r="AO1477" t="s">
        <v>23900</v>
      </c>
    </row>
    <row r="1478" spans="39:41" ht="12" customHeight="1" x14ac:dyDescent="0.2">
      <c r="AM1478" t="str">
        <f t="shared" si="23"/>
        <v>Bergs oljehamn [SEBER]</v>
      </c>
      <c r="AN1478" t="s">
        <v>27512</v>
      </c>
      <c r="AO1478" t="s">
        <v>27513</v>
      </c>
    </row>
    <row r="1479" spans="39:41" ht="12" customHeight="1" x14ac:dyDescent="0.2">
      <c r="AM1479" t="str">
        <f t="shared" si="23"/>
        <v>Bergsfjord [NOBFJ]</v>
      </c>
      <c r="AN1479" t="s">
        <v>23901</v>
      </c>
      <c r="AO1479" t="s">
        <v>23902</v>
      </c>
    </row>
    <row r="1480" spans="39:41" ht="12" customHeight="1" x14ac:dyDescent="0.2">
      <c r="AM1480" t="str">
        <f t="shared" si="23"/>
        <v>Berguenda [ESBGJ]</v>
      </c>
      <c r="AN1480" t="s">
        <v>9628</v>
      </c>
      <c r="AO1480" t="s">
        <v>9629</v>
      </c>
    </row>
    <row r="1481" spans="39:41" ht="12" customHeight="1" x14ac:dyDescent="0.2">
      <c r="AM1481" t="str">
        <f t="shared" si="23"/>
        <v>Berhida [HUBDA]</v>
      </c>
      <c r="AN1481" t="s">
        <v>16057</v>
      </c>
      <c r="AO1481" t="s">
        <v>16058</v>
      </c>
    </row>
    <row r="1482" spans="39:41" ht="12" customHeight="1" x14ac:dyDescent="0.2">
      <c r="AM1482" t="str">
        <f t="shared" si="23"/>
        <v>Beringen [BERIN]</v>
      </c>
      <c r="AN1482" t="s">
        <v>2293</v>
      </c>
      <c r="AO1482" t="s">
        <v>2294</v>
      </c>
    </row>
    <row r="1483" spans="39:41" ht="12" customHeight="1" x14ac:dyDescent="0.2">
      <c r="AM1483" t="str">
        <f t="shared" si="23"/>
        <v>Beringovskiy, Port [RUBER]</v>
      </c>
      <c r="AN1483" t="s">
        <v>26899</v>
      </c>
      <c r="AO1483" t="s">
        <v>26900</v>
      </c>
    </row>
    <row r="1484" spans="39:41" ht="12" customHeight="1" x14ac:dyDescent="0.2">
      <c r="AM1484" t="str">
        <f t="shared" si="23"/>
        <v>Berkeley [USJBK]</v>
      </c>
      <c r="AN1484" t="s">
        <v>28971</v>
      </c>
      <c r="AO1484" t="s">
        <v>28972</v>
      </c>
    </row>
    <row r="1485" spans="39:41" ht="12" customHeight="1" x14ac:dyDescent="0.2">
      <c r="AM1485" t="str">
        <f t="shared" si="23"/>
        <v>Berkeley Vale [AUBKE]</v>
      </c>
      <c r="AN1485" t="s">
        <v>1441</v>
      </c>
      <c r="AO1485" t="s">
        <v>1442</v>
      </c>
    </row>
    <row r="1486" spans="39:41" ht="12" customHeight="1" x14ac:dyDescent="0.2">
      <c r="AM1486" t="str">
        <f t="shared" si="23"/>
        <v>Berlanga [ESBGG]</v>
      </c>
      <c r="AN1486" t="s">
        <v>9630</v>
      </c>
      <c r="AO1486" t="s">
        <v>9631</v>
      </c>
    </row>
    <row r="1487" spans="39:41" ht="12" customHeight="1" x14ac:dyDescent="0.2">
      <c r="AM1487" t="str">
        <f t="shared" si="23"/>
        <v>Berlevag [NOBVG]</v>
      </c>
      <c r="AN1487" t="s">
        <v>23903</v>
      </c>
      <c r="AO1487" t="s">
        <v>36134</v>
      </c>
    </row>
    <row r="1488" spans="39:41" ht="12" customHeight="1" x14ac:dyDescent="0.2">
      <c r="AM1488" t="str">
        <f t="shared" si="23"/>
        <v>Berlicum [NLBLU]</v>
      </c>
      <c r="AN1488" t="s">
        <v>23052</v>
      </c>
      <c r="AO1488" t="s">
        <v>23053</v>
      </c>
    </row>
    <row r="1489" spans="39:41" ht="12" customHeight="1" x14ac:dyDescent="0.2">
      <c r="AM1489" t="str">
        <f t="shared" si="23"/>
        <v>Berlin [DEBER]</v>
      </c>
      <c r="AN1489" t="s">
        <v>7092</v>
      </c>
      <c r="AO1489" t="s">
        <v>7093</v>
      </c>
    </row>
    <row r="1490" spans="39:41" ht="12" customHeight="1" x14ac:dyDescent="0.2">
      <c r="AM1490" t="str">
        <f t="shared" si="23"/>
        <v>Berlin [USBCI]</v>
      </c>
      <c r="AN1490" t="s">
        <v>28973</v>
      </c>
      <c r="AO1490" t="s">
        <v>7093</v>
      </c>
    </row>
    <row r="1491" spans="39:41" ht="12" customHeight="1" x14ac:dyDescent="0.2">
      <c r="AM1491" t="str">
        <f t="shared" si="23"/>
        <v>Bermatingen [DEBMN]</v>
      </c>
      <c r="AN1491" t="s">
        <v>7094</v>
      </c>
      <c r="AO1491" t="s">
        <v>7095</v>
      </c>
    </row>
    <row r="1492" spans="39:41" ht="12" customHeight="1" x14ac:dyDescent="0.2">
      <c r="AM1492" t="str">
        <f t="shared" si="23"/>
        <v>Bermeo [ESBRM]</v>
      </c>
      <c r="AN1492" t="s">
        <v>9632</v>
      </c>
      <c r="AO1492" t="s">
        <v>9633</v>
      </c>
    </row>
    <row r="1493" spans="39:41" ht="12" customHeight="1" x14ac:dyDescent="0.2">
      <c r="AM1493" t="str">
        <f t="shared" si="23"/>
        <v>Bermiyo Sallago [ESBSL]</v>
      </c>
      <c r="AN1493" t="s">
        <v>9634</v>
      </c>
      <c r="AO1493" t="s">
        <v>9635</v>
      </c>
    </row>
    <row r="1494" spans="39:41" ht="12" customHeight="1" x14ac:dyDescent="0.2">
      <c r="AM1494" t="str">
        <f t="shared" si="23"/>
        <v>Berndshof [DEBOF]</v>
      </c>
      <c r="AN1494" t="s">
        <v>7096</v>
      </c>
      <c r="AO1494" t="s">
        <v>7097</v>
      </c>
    </row>
    <row r="1495" spans="39:41" ht="12" customHeight="1" x14ac:dyDescent="0.2">
      <c r="AM1495" t="str">
        <f t="shared" si="23"/>
        <v>Berneau [BEBNU]</v>
      </c>
      <c r="AN1495" t="s">
        <v>2295</v>
      </c>
      <c r="AO1495" t="s">
        <v>2296</v>
      </c>
    </row>
    <row r="1496" spans="39:41" ht="12" customHeight="1" x14ac:dyDescent="0.2">
      <c r="AM1496" t="str">
        <f t="shared" si="23"/>
        <v>Bernera (Lewis) [GBRNR]</v>
      </c>
      <c r="AN1496" t="s">
        <v>12502</v>
      </c>
      <c r="AO1496" t="s">
        <v>12503</v>
      </c>
    </row>
    <row r="1497" spans="39:41" ht="12" customHeight="1" x14ac:dyDescent="0.2">
      <c r="AM1497" t="str">
        <f t="shared" si="23"/>
        <v>Bernera (N Uist) [GBRNN]</v>
      </c>
      <c r="AN1497" t="s">
        <v>12504</v>
      </c>
      <c r="AO1497" t="s">
        <v>12505</v>
      </c>
    </row>
    <row r="1498" spans="39:41" ht="12" customHeight="1" x14ac:dyDescent="0.2">
      <c r="AM1498" t="str">
        <f t="shared" si="23"/>
        <v>Bernhardsthal [ATSXA]</v>
      </c>
      <c r="AN1498" t="s">
        <v>1166</v>
      </c>
      <c r="AO1498" t="s">
        <v>1167</v>
      </c>
    </row>
    <row r="1499" spans="39:41" ht="12" customHeight="1" x14ac:dyDescent="0.2">
      <c r="AM1499" t="str">
        <f t="shared" si="23"/>
        <v>Bernie [USEIE]</v>
      </c>
      <c r="AN1499" t="s">
        <v>28974</v>
      </c>
      <c r="AO1499" t="s">
        <v>28975</v>
      </c>
    </row>
    <row r="1500" spans="39:41" ht="12" customHeight="1" x14ac:dyDescent="0.2">
      <c r="AM1500" t="str">
        <f t="shared" si="23"/>
        <v>Bernieres-sur-Seine [FRIUS]</v>
      </c>
      <c r="AN1500" t="s">
        <v>10810</v>
      </c>
      <c r="AO1500" t="s">
        <v>10811</v>
      </c>
    </row>
    <row r="1501" spans="39:41" ht="12" customHeight="1" x14ac:dyDescent="0.2">
      <c r="AM1501" t="str">
        <f t="shared" si="23"/>
        <v>Bernkastel-Kues [DEBEK]</v>
      </c>
      <c r="AN1501" t="s">
        <v>7098</v>
      </c>
      <c r="AO1501" t="s">
        <v>7099</v>
      </c>
    </row>
    <row r="1502" spans="39:41" ht="12" customHeight="1" x14ac:dyDescent="0.2">
      <c r="AM1502" t="str">
        <f t="shared" si="23"/>
        <v>Berre [FRBEE]</v>
      </c>
      <c r="AN1502" t="s">
        <v>10812</v>
      </c>
      <c r="AO1502" t="s">
        <v>10813</v>
      </c>
    </row>
    <row r="1503" spans="39:41" ht="12" customHeight="1" x14ac:dyDescent="0.2">
      <c r="AM1503" t="str">
        <f t="shared" si="23"/>
        <v>Berre-l'Etang [FRETB]</v>
      </c>
      <c r="AN1503" t="s">
        <v>10814</v>
      </c>
      <c r="AO1503" t="s">
        <v>35780</v>
      </c>
    </row>
    <row r="1504" spans="39:41" ht="12" customHeight="1" x14ac:dyDescent="0.2">
      <c r="AM1504" t="str">
        <f t="shared" si="23"/>
        <v>Berru [FRDF9]</v>
      </c>
      <c r="AN1504" t="s">
        <v>10815</v>
      </c>
      <c r="AO1504" t="s">
        <v>10816</v>
      </c>
    </row>
    <row r="1505" spans="39:41" ht="12" customHeight="1" x14ac:dyDescent="0.2">
      <c r="AM1505" t="str">
        <f t="shared" si="23"/>
        <v>Berry Creek [US3BR]</v>
      </c>
      <c r="AN1505" t="s">
        <v>28976</v>
      </c>
      <c r="AO1505" t="s">
        <v>28977</v>
      </c>
    </row>
    <row r="1506" spans="39:41" ht="12" customHeight="1" x14ac:dyDescent="0.2">
      <c r="AM1506" t="str">
        <f t="shared" si="23"/>
        <v>Berry Head [GBBEH]</v>
      </c>
      <c r="AN1506" t="s">
        <v>12506</v>
      </c>
      <c r="AO1506" t="s">
        <v>12507</v>
      </c>
    </row>
    <row r="1507" spans="39:41" ht="12" customHeight="1" x14ac:dyDescent="0.2">
      <c r="AM1507" t="str">
        <f t="shared" si="23"/>
        <v>Berrys Creek [AUBRR]</v>
      </c>
      <c r="AN1507" t="s">
        <v>1443</v>
      </c>
      <c r="AO1507" t="s">
        <v>1444</v>
      </c>
    </row>
    <row r="1508" spans="39:41" ht="12" customHeight="1" x14ac:dyDescent="0.2">
      <c r="AM1508" t="str">
        <f t="shared" si="23"/>
        <v>Berryville [USBVV]</v>
      </c>
      <c r="AN1508" t="s">
        <v>28978</v>
      </c>
      <c r="AO1508" t="s">
        <v>28979</v>
      </c>
    </row>
    <row r="1509" spans="39:41" ht="12" customHeight="1" x14ac:dyDescent="0.2">
      <c r="AM1509" t="str">
        <f t="shared" si="23"/>
        <v>Bertingen [DEBTI]</v>
      </c>
      <c r="AN1509" t="s">
        <v>7100</v>
      </c>
      <c r="AO1509" t="s">
        <v>7101</v>
      </c>
    </row>
    <row r="1510" spans="39:41" ht="12" customHeight="1" x14ac:dyDescent="0.2">
      <c r="AM1510" t="str">
        <f t="shared" si="23"/>
        <v>Bertrix [BEBTX]</v>
      </c>
      <c r="AN1510" t="s">
        <v>2297</v>
      </c>
      <c r="AO1510" t="s">
        <v>2298</v>
      </c>
    </row>
    <row r="1511" spans="39:41" ht="12" customHeight="1" x14ac:dyDescent="0.2">
      <c r="AM1511" t="str">
        <f t="shared" si="23"/>
        <v>Beru [FRYF2]</v>
      </c>
      <c r="AN1511" t="s">
        <v>10817</v>
      </c>
      <c r="AO1511" t="s">
        <v>10818</v>
      </c>
    </row>
    <row r="1512" spans="39:41" ht="12" customHeight="1" x14ac:dyDescent="0.2">
      <c r="AM1512" t="str">
        <f t="shared" si="23"/>
        <v>Beruwala [LKBRW]</v>
      </c>
      <c r="AN1512" t="s">
        <v>21819</v>
      </c>
      <c r="AO1512" t="s">
        <v>21820</v>
      </c>
    </row>
    <row r="1513" spans="39:41" ht="12" customHeight="1" x14ac:dyDescent="0.2">
      <c r="AM1513" t="str">
        <f t="shared" si="23"/>
        <v>Berville-sur-Mer [FRBEV]</v>
      </c>
      <c r="AN1513" t="s">
        <v>10819</v>
      </c>
      <c r="AO1513" t="s">
        <v>10820</v>
      </c>
    </row>
    <row r="1514" spans="39:41" ht="12" customHeight="1" x14ac:dyDescent="0.2">
      <c r="AM1514" t="str">
        <f t="shared" si="23"/>
        <v>Berwick [USRWK]</v>
      </c>
      <c r="AN1514" t="s">
        <v>28980</v>
      </c>
      <c r="AO1514" t="s">
        <v>28981</v>
      </c>
    </row>
    <row r="1515" spans="39:41" ht="12" customHeight="1" x14ac:dyDescent="0.2">
      <c r="AM1515" t="str">
        <f t="shared" si="23"/>
        <v>Berwick-upon-Tweed [GBBWK]</v>
      </c>
      <c r="AN1515" t="s">
        <v>12508</v>
      </c>
      <c r="AO1515" t="s">
        <v>12509</v>
      </c>
    </row>
    <row r="1516" spans="39:41" ht="12" customHeight="1" x14ac:dyDescent="0.2">
      <c r="AM1516" t="str">
        <f t="shared" si="23"/>
        <v>Beryl Platform [GBBPF]</v>
      </c>
      <c r="AN1516" t="s">
        <v>12510</v>
      </c>
      <c r="AO1516" t="s">
        <v>12511</v>
      </c>
    </row>
    <row r="1517" spans="39:41" ht="12" customHeight="1" x14ac:dyDescent="0.2">
      <c r="AM1517" t="str">
        <f t="shared" si="23"/>
        <v>Berzence [HUBZE]</v>
      </c>
      <c r="AN1517" t="s">
        <v>16059</v>
      </c>
      <c r="AO1517" t="s">
        <v>16060</v>
      </c>
    </row>
    <row r="1518" spans="39:41" ht="12" customHeight="1" x14ac:dyDescent="0.2">
      <c r="AM1518" t="str">
        <f t="shared" si="23"/>
        <v>Besalampy [MGBPY]</v>
      </c>
      <c r="AN1518" t="s">
        <v>22112</v>
      </c>
      <c r="AO1518" t="s">
        <v>22113</v>
      </c>
    </row>
    <row r="1519" spans="39:41" ht="12" customHeight="1" x14ac:dyDescent="0.2">
      <c r="AM1519" t="str">
        <f t="shared" si="23"/>
        <v>Besancon [FRBSN]</v>
      </c>
      <c r="AN1519" t="s">
        <v>10821</v>
      </c>
      <c r="AO1519" t="s">
        <v>35781</v>
      </c>
    </row>
    <row r="1520" spans="39:41" ht="12" customHeight="1" x14ac:dyDescent="0.2">
      <c r="AM1520" t="str">
        <f t="shared" si="23"/>
        <v>Besiktas [TRBTS]</v>
      </c>
      <c r="AN1520" t="s">
        <v>28415</v>
      </c>
      <c r="AO1520" t="s">
        <v>28416</v>
      </c>
    </row>
    <row r="1521" spans="39:41" ht="12" customHeight="1" x14ac:dyDescent="0.2">
      <c r="AM1521" t="str">
        <f t="shared" si="23"/>
        <v>Bessan [FR3CG]</v>
      </c>
      <c r="AN1521" t="s">
        <v>10822</v>
      </c>
      <c r="AO1521" t="s">
        <v>10823</v>
      </c>
    </row>
    <row r="1522" spans="39:41" ht="12" customHeight="1" x14ac:dyDescent="0.2">
      <c r="AM1522" t="str">
        <f t="shared" si="23"/>
        <v>Besse-sur-Issole [FRKJ9]</v>
      </c>
      <c r="AN1522" t="s">
        <v>10824</v>
      </c>
      <c r="AO1522" t="s">
        <v>10825</v>
      </c>
    </row>
    <row r="1523" spans="39:41" ht="12" customHeight="1" x14ac:dyDescent="0.2">
      <c r="AM1523" t="str">
        <f t="shared" si="23"/>
        <v>Besson [FRTU9]</v>
      </c>
      <c r="AN1523" t="s">
        <v>10826</v>
      </c>
      <c r="AO1523" t="s">
        <v>10827</v>
      </c>
    </row>
    <row r="1524" spans="39:41" ht="12" customHeight="1" x14ac:dyDescent="0.2">
      <c r="AM1524" t="str">
        <f t="shared" si="23"/>
        <v>Best [NLBST]</v>
      </c>
      <c r="AN1524" t="s">
        <v>33863</v>
      </c>
      <c r="AO1524" t="s">
        <v>33985</v>
      </c>
    </row>
    <row r="1525" spans="39:41" ht="12" customHeight="1" x14ac:dyDescent="0.2">
      <c r="AM1525" t="str">
        <f t="shared" si="23"/>
        <v>Bethany Beach [USBBA]</v>
      </c>
      <c r="AN1525" t="s">
        <v>28982</v>
      </c>
      <c r="AO1525" t="s">
        <v>28983</v>
      </c>
    </row>
    <row r="1526" spans="39:41" ht="12" customHeight="1" x14ac:dyDescent="0.2">
      <c r="AM1526" t="str">
        <f t="shared" si="23"/>
        <v>Bethel [USBZJ]</v>
      </c>
      <c r="AN1526" t="s">
        <v>28984</v>
      </c>
      <c r="AO1526" t="s">
        <v>28985</v>
      </c>
    </row>
    <row r="1527" spans="39:41" ht="12" customHeight="1" x14ac:dyDescent="0.2">
      <c r="AM1527" t="str">
        <f t="shared" si="23"/>
        <v>Bethioua [DZBHA]</v>
      </c>
      <c r="AN1527" t="s">
        <v>9043</v>
      </c>
      <c r="AO1527" t="s">
        <v>9044</v>
      </c>
    </row>
    <row r="1528" spans="39:41" ht="12" customHeight="1" x14ac:dyDescent="0.2">
      <c r="AM1528" t="str">
        <f t="shared" si="23"/>
        <v>Bethlehem [USEHL]</v>
      </c>
      <c r="AN1528" t="s">
        <v>28986</v>
      </c>
      <c r="AO1528" t="s">
        <v>28987</v>
      </c>
    </row>
    <row r="1529" spans="39:41" ht="12" customHeight="1" x14ac:dyDescent="0.2">
      <c r="AM1529" t="str">
        <f t="shared" si="23"/>
        <v>Bethlehem [USBEX]</v>
      </c>
      <c r="AN1529" t="s">
        <v>28988</v>
      </c>
      <c r="AO1529" t="s">
        <v>28987</v>
      </c>
    </row>
    <row r="1530" spans="39:41" ht="12" customHeight="1" x14ac:dyDescent="0.2">
      <c r="AM1530" t="str">
        <f t="shared" si="23"/>
        <v>Bethoula [DZBTA]</v>
      </c>
      <c r="AN1530" t="s">
        <v>9045</v>
      </c>
      <c r="AO1530" t="s">
        <v>9046</v>
      </c>
    </row>
    <row r="1531" spans="39:41" ht="12" customHeight="1" x14ac:dyDescent="0.2">
      <c r="AM1531" t="str">
        <f t="shared" si="23"/>
        <v>Bethune [FRBET]</v>
      </c>
      <c r="AN1531" t="s">
        <v>10828</v>
      </c>
      <c r="AO1531" t="s">
        <v>35782</v>
      </c>
    </row>
    <row r="1532" spans="39:41" ht="12" customHeight="1" x14ac:dyDescent="0.2">
      <c r="AM1532" t="str">
        <f t="shared" si="23"/>
        <v>Betong, Sarawak [MYBTG]</v>
      </c>
      <c r="AN1532" t="s">
        <v>22526</v>
      </c>
      <c r="AO1532" t="s">
        <v>22527</v>
      </c>
    </row>
    <row r="1533" spans="39:41" ht="12" customHeight="1" x14ac:dyDescent="0.2">
      <c r="AM1533" t="str">
        <f t="shared" si="23"/>
        <v>Betton [FRBTU]</v>
      </c>
      <c r="AN1533" t="s">
        <v>10829</v>
      </c>
      <c r="AO1533" t="s">
        <v>10830</v>
      </c>
    </row>
    <row r="1534" spans="39:41" ht="12" customHeight="1" x14ac:dyDescent="0.2">
      <c r="AM1534" t="str">
        <f t="shared" si="23"/>
        <v>Betul [INBET]</v>
      </c>
      <c r="AN1534" t="s">
        <v>17038</v>
      </c>
      <c r="AO1534" t="s">
        <v>17039</v>
      </c>
    </row>
    <row r="1535" spans="39:41" ht="12" customHeight="1" x14ac:dyDescent="0.2">
      <c r="AM1535" t="str">
        <f t="shared" si="23"/>
        <v>Beulaville [USBCL]</v>
      </c>
      <c r="AN1535" t="s">
        <v>28989</v>
      </c>
      <c r="AO1535" t="s">
        <v>28990</v>
      </c>
    </row>
    <row r="1536" spans="39:41" ht="12" customHeight="1" x14ac:dyDescent="0.2">
      <c r="AM1536" t="str">
        <f t="shared" si="23"/>
        <v>Beuningen [NLBNN]</v>
      </c>
      <c r="AN1536" t="s">
        <v>33864</v>
      </c>
      <c r="AO1536" t="s">
        <v>33986</v>
      </c>
    </row>
    <row r="1537" spans="39:41" ht="12" customHeight="1" x14ac:dyDescent="0.2">
      <c r="AM1537" t="str">
        <f t="shared" ref="AM1537:AM1600" si="24">AO1537 &amp; " [" &amp; AN1537 &amp; "]"</f>
        <v>Bever [BEBVE]</v>
      </c>
      <c r="AN1537" t="s">
        <v>2299</v>
      </c>
      <c r="AO1537" t="s">
        <v>2300</v>
      </c>
    </row>
    <row r="1538" spans="39:41" ht="12" customHeight="1" x14ac:dyDescent="0.2">
      <c r="AM1538" t="str">
        <f t="shared" si="24"/>
        <v>Beverlo [BEBVO]</v>
      </c>
      <c r="AN1538" t="s">
        <v>2301</v>
      </c>
      <c r="AO1538" t="s">
        <v>2302</v>
      </c>
    </row>
    <row r="1539" spans="39:41" ht="12" customHeight="1" x14ac:dyDescent="0.2">
      <c r="AM1539" t="str">
        <f t="shared" si="24"/>
        <v>Beverungen [DEBEV]</v>
      </c>
      <c r="AN1539" t="s">
        <v>7102</v>
      </c>
      <c r="AO1539" t="s">
        <v>7103</v>
      </c>
    </row>
    <row r="1540" spans="39:41" ht="12" customHeight="1" x14ac:dyDescent="0.2">
      <c r="AM1540" t="str">
        <f t="shared" si="24"/>
        <v>Beverwijk [NLBEV]</v>
      </c>
      <c r="AN1540" t="s">
        <v>23054</v>
      </c>
      <c r="AO1540" t="s">
        <v>23055</v>
      </c>
    </row>
    <row r="1541" spans="39:41" ht="12" customHeight="1" x14ac:dyDescent="0.2">
      <c r="AM1541" t="str">
        <f t="shared" si="24"/>
        <v>Bexhill [GBBXB]</v>
      </c>
      <c r="AN1541" t="s">
        <v>12512</v>
      </c>
      <c r="AO1541" t="s">
        <v>12513</v>
      </c>
    </row>
    <row r="1542" spans="39:41" ht="12" customHeight="1" x14ac:dyDescent="0.2">
      <c r="AM1542" t="str">
        <f t="shared" si="24"/>
        <v>Beykoz [TRBEY]</v>
      </c>
      <c r="AN1542" t="s">
        <v>28417</v>
      </c>
      <c r="AO1542" t="s">
        <v>28418</v>
      </c>
    </row>
    <row r="1543" spans="39:41" ht="12" customHeight="1" x14ac:dyDescent="0.2">
      <c r="AM1543" t="str">
        <f t="shared" si="24"/>
        <v>Beylerbeyi [TRBBI]</v>
      </c>
      <c r="AN1543" t="s">
        <v>28419</v>
      </c>
      <c r="AO1543" t="s">
        <v>28420</v>
      </c>
    </row>
    <row r="1544" spans="39:41" ht="12" customHeight="1" x14ac:dyDescent="0.2">
      <c r="AM1544" t="str">
        <f t="shared" si="24"/>
        <v>Beypore [INBEY]</v>
      </c>
      <c r="AN1544" t="s">
        <v>17040</v>
      </c>
      <c r="AO1544" t="s">
        <v>17041</v>
      </c>
    </row>
    <row r="1545" spans="39:41" ht="12" customHeight="1" x14ac:dyDescent="0.2">
      <c r="AM1545" t="str">
        <f t="shared" si="24"/>
        <v>Beyt [INBYT]</v>
      </c>
      <c r="AN1545" t="s">
        <v>17042</v>
      </c>
      <c r="AO1545" t="s">
        <v>17043</v>
      </c>
    </row>
    <row r="1546" spans="39:41" ht="12" customHeight="1" x14ac:dyDescent="0.2">
      <c r="AM1546" t="str">
        <f t="shared" si="24"/>
        <v>Bezdam [RSBZD]</v>
      </c>
      <c r="AN1546" t="s">
        <v>26836</v>
      </c>
      <c r="AO1546" t="s">
        <v>26837</v>
      </c>
    </row>
    <row r="1547" spans="39:41" ht="12" customHeight="1" x14ac:dyDescent="0.2">
      <c r="AM1547" t="str">
        <f t="shared" si="24"/>
        <v>Bezdead [ROBEZ]</v>
      </c>
      <c r="AN1547" t="s">
        <v>26728</v>
      </c>
      <c r="AO1547" t="s">
        <v>26729</v>
      </c>
    </row>
    <row r="1548" spans="39:41" ht="12" customHeight="1" x14ac:dyDescent="0.2">
      <c r="AM1548" t="str">
        <f t="shared" si="24"/>
        <v>BGN/PCGN1956 - HAMAD [QAHMD]</v>
      </c>
      <c r="AN1548" t="s">
        <v>26691</v>
      </c>
      <c r="AO1548" t="s">
        <v>26692</v>
      </c>
    </row>
    <row r="1549" spans="39:41" ht="12" customHeight="1" x14ac:dyDescent="0.2">
      <c r="AM1549" t="str">
        <f t="shared" si="24"/>
        <v>Bhadohi [INBDH]</v>
      </c>
      <c r="AN1549" t="s">
        <v>17044</v>
      </c>
      <c r="AO1549" t="s">
        <v>17045</v>
      </c>
    </row>
    <row r="1550" spans="39:41" ht="12" customHeight="1" x14ac:dyDescent="0.2">
      <c r="AM1550" t="str">
        <f t="shared" si="24"/>
        <v>Bhagwa [INBGW]</v>
      </c>
      <c r="AN1550" t="s">
        <v>17046</v>
      </c>
      <c r="AO1550" t="s">
        <v>17047</v>
      </c>
    </row>
    <row r="1551" spans="39:41" ht="12" customHeight="1" x14ac:dyDescent="0.2">
      <c r="AM1551" t="str">
        <f t="shared" si="24"/>
        <v>Bharuch [INBRU]</v>
      </c>
      <c r="AN1551" t="s">
        <v>17048</v>
      </c>
      <c r="AO1551" t="s">
        <v>17049</v>
      </c>
    </row>
    <row r="1552" spans="39:41" ht="12" customHeight="1" x14ac:dyDescent="0.2">
      <c r="AM1552" t="str">
        <f t="shared" si="24"/>
        <v>Bhatkal [INBTK]</v>
      </c>
      <c r="AN1552" t="s">
        <v>17050</v>
      </c>
      <c r="AO1552" t="s">
        <v>17051</v>
      </c>
    </row>
    <row r="1553" spans="39:41" ht="12" customHeight="1" x14ac:dyDescent="0.2">
      <c r="AM1553" t="str">
        <f t="shared" si="24"/>
        <v>Bhavnagar [INBHU]</v>
      </c>
      <c r="AN1553" t="s">
        <v>17052</v>
      </c>
      <c r="AO1553" t="s">
        <v>17053</v>
      </c>
    </row>
    <row r="1554" spans="39:41" ht="12" customHeight="1" x14ac:dyDescent="0.2">
      <c r="AM1554" t="str">
        <f t="shared" si="24"/>
        <v>Bheemunipatnam [INBHM]</v>
      </c>
      <c r="AN1554" t="s">
        <v>17054</v>
      </c>
      <c r="AO1554" t="s">
        <v>17055</v>
      </c>
    </row>
    <row r="1555" spans="39:41" ht="12" customHeight="1" x14ac:dyDescent="0.2">
      <c r="AM1555" t="str">
        <f t="shared" si="24"/>
        <v>Bhiwandi [INBWN]</v>
      </c>
      <c r="AN1555" t="s">
        <v>17056</v>
      </c>
      <c r="AO1555" t="s">
        <v>17057</v>
      </c>
    </row>
    <row r="1556" spans="39:41" ht="12" customHeight="1" x14ac:dyDescent="0.2">
      <c r="AM1556" t="str">
        <f t="shared" si="24"/>
        <v>Biaches [FRIHS]</v>
      </c>
      <c r="AN1556" t="s">
        <v>10831</v>
      </c>
      <c r="AO1556" t="s">
        <v>10832</v>
      </c>
    </row>
    <row r="1557" spans="39:41" ht="12" customHeight="1" x14ac:dyDescent="0.2">
      <c r="AM1557" t="str">
        <f t="shared" si="24"/>
        <v>Biak, Irian Jaya [IDBIK]</v>
      </c>
      <c r="AN1557" t="s">
        <v>16203</v>
      </c>
      <c r="AO1557" t="s">
        <v>16204</v>
      </c>
    </row>
    <row r="1558" spans="39:41" ht="12" customHeight="1" x14ac:dyDescent="0.2">
      <c r="AM1558" t="str">
        <f t="shared" si="24"/>
        <v>Bianco [ITBNC]</v>
      </c>
      <c r="AN1558" t="s">
        <v>17834</v>
      </c>
      <c r="AO1558" t="s">
        <v>17835</v>
      </c>
    </row>
    <row r="1559" spans="39:41" ht="12" customHeight="1" x14ac:dyDescent="0.2">
      <c r="AM1559" t="str">
        <f t="shared" si="24"/>
        <v>Biarritz [FRBIQ]</v>
      </c>
      <c r="AN1559" t="s">
        <v>10833</v>
      </c>
      <c r="AO1559" t="s">
        <v>10834</v>
      </c>
    </row>
    <row r="1560" spans="39:41" ht="12" customHeight="1" x14ac:dyDescent="0.2">
      <c r="AM1560" t="str">
        <f t="shared" si="24"/>
        <v>Biawak, Sarawak [MYBIA]</v>
      </c>
      <c r="AN1560" t="s">
        <v>22528</v>
      </c>
      <c r="AO1560" t="s">
        <v>22529</v>
      </c>
    </row>
    <row r="1561" spans="39:41" ht="12" customHeight="1" x14ac:dyDescent="0.2">
      <c r="AM1561" t="str">
        <f t="shared" si="24"/>
        <v>Biberist [CHBIB]</v>
      </c>
      <c r="AN1561" t="s">
        <v>4654</v>
      </c>
      <c r="AO1561" t="s">
        <v>4655</v>
      </c>
    </row>
    <row r="1562" spans="39:41" ht="12" customHeight="1" x14ac:dyDescent="0.2">
      <c r="AM1562" t="str">
        <f t="shared" si="24"/>
        <v>Bicheno [AUBIC]</v>
      </c>
      <c r="AN1562" t="s">
        <v>1445</v>
      </c>
      <c r="AO1562" t="s">
        <v>1446</v>
      </c>
    </row>
    <row r="1563" spans="39:41" ht="12" customHeight="1" x14ac:dyDescent="0.2">
      <c r="AM1563" t="str">
        <f t="shared" si="24"/>
        <v>Bickington [GBBQQ]</v>
      </c>
      <c r="AN1563" t="s">
        <v>12514</v>
      </c>
      <c r="AO1563" t="s">
        <v>12515</v>
      </c>
    </row>
    <row r="1564" spans="39:41" ht="12" customHeight="1" x14ac:dyDescent="0.2">
      <c r="AM1564" t="str">
        <f t="shared" si="24"/>
        <v>Bidart [FRBDD]</v>
      </c>
      <c r="AN1564" t="s">
        <v>10835</v>
      </c>
      <c r="AO1564" t="s">
        <v>10836</v>
      </c>
    </row>
    <row r="1565" spans="39:41" ht="12" customHeight="1" x14ac:dyDescent="0.2">
      <c r="AM1565" t="str">
        <f t="shared" si="24"/>
        <v>Biddinghuizen [NLBNZ]</v>
      </c>
      <c r="AN1565" t="s">
        <v>23056</v>
      </c>
      <c r="AO1565" t="s">
        <v>23057</v>
      </c>
    </row>
    <row r="1566" spans="39:41" ht="12" customHeight="1" x14ac:dyDescent="0.2">
      <c r="AM1566" t="str">
        <f t="shared" si="24"/>
        <v>Bideford [GBBID]</v>
      </c>
      <c r="AN1566" t="s">
        <v>12516</v>
      </c>
      <c r="AO1566" t="s">
        <v>12517</v>
      </c>
    </row>
    <row r="1567" spans="39:41" ht="12" customHeight="1" x14ac:dyDescent="0.2">
      <c r="AM1567" t="str">
        <f t="shared" si="24"/>
        <v>Biedenkopf [DEBKF]</v>
      </c>
      <c r="AN1567" t="s">
        <v>7104</v>
      </c>
      <c r="AO1567" t="s">
        <v>7105</v>
      </c>
    </row>
    <row r="1568" spans="39:41" ht="12" customHeight="1" x14ac:dyDescent="0.2">
      <c r="AM1568" t="str">
        <f t="shared" si="24"/>
        <v>Bielinek [PLBEK]</v>
      </c>
      <c r="AN1568" t="s">
        <v>26268</v>
      </c>
      <c r="AO1568" t="s">
        <v>26269</v>
      </c>
    </row>
    <row r="1569" spans="39:41" ht="12" customHeight="1" x14ac:dyDescent="0.2">
      <c r="AM1569" t="str">
        <f t="shared" si="24"/>
        <v>Biene [DEIEN]</v>
      </c>
      <c r="AN1569" t="s">
        <v>7106</v>
      </c>
      <c r="AO1569" t="s">
        <v>7107</v>
      </c>
    </row>
    <row r="1570" spans="39:41" ht="12" customHeight="1" x14ac:dyDescent="0.2">
      <c r="AM1570" t="str">
        <f t="shared" si="24"/>
        <v>Biere [DEERX]</v>
      </c>
      <c r="AN1570" t="s">
        <v>7108</v>
      </c>
      <c r="AO1570" t="s">
        <v>7109</v>
      </c>
    </row>
    <row r="1571" spans="39:41" ht="12" customHeight="1" x14ac:dyDescent="0.2">
      <c r="AM1571" t="str">
        <f t="shared" si="24"/>
        <v>Biest [NLBIT]</v>
      </c>
      <c r="AN1571" t="s">
        <v>23058</v>
      </c>
      <c r="AO1571" t="s">
        <v>23059</v>
      </c>
    </row>
    <row r="1572" spans="39:41" ht="12" customHeight="1" x14ac:dyDescent="0.2">
      <c r="AM1572" t="str">
        <f t="shared" si="24"/>
        <v>Bietigheim-Bissingen [DEBBI]</v>
      </c>
      <c r="AN1572" t="s">
        <v>7110</v>
      </c>
      <c r="AO1572" t="s">
        <v>7111</v>
      </c>
    </row>
    <row r="1573" spans="39:41" ht="12" customHeight="1" x14ac:dyDescent="0.2">
      <c r="AM1573" t="str">
        <f t="shared" si="24"/>
        <v>Big Creek [BZBGK]</v>
      </c>
      <c r="AN1573" t="s">
        <v>3506</v>
      </c>
      <c r="AO1573" t="s">
        <v>3507</v>
      </c>
    </row>
    <row r="1574" spans="39:41" ht="12" customHeight="1" x14ac:dyDescent="0.2">
      <c r="AM1574" t="str">
        <f t="shared" si="24"/>
        <v>Big Sandy [USBSM]</v>
      </c>
      <c r="AN1574" t="s">
        <v>28991</v>
      </c>
      <c r="AO1574" t="s">
        <v>28992</v>
      </c>
    </row>
    <row r="1575" spans="39:41" ht="12" customHeight="1" x14ac:dyDescent="0.2">
      <c r="AM1575" t="str">
        <f t="shared" si="24"/>
        <v>Big Stone [USIGS]</v>
      </c>
      <c r="AN1575" t="s">
        <v>28993</v>
      </c>
      <c r="AO1575" t="s">
        <v>28994</v>
      </c>
    </row>
    <row r="1576" spans="39:41" ht="12" customHeight="1" x14ac:dyDescent="0.2">
      <c r="AM1576" t="str">
        <f t="shared" si="24"/>
        <v>Big Stone City [USGQJ]</v>
      </c>
      <c r="AN1576" t="s">
        <v>28995</v>
      </c>
      <c r="AO1576" t="s">
        <v>28996</v>
      </c>
    </row>
    <row r="1577" spans="39:41" ht="12" customHeight="1" x14ac:dyDescent="0.2">
      <c r="AM1577" t="str">
        <f t="shared" si="24"/>
        <v>Bigelow [USBWH]</v>
      </c>
      <c r="AN1577" t="s">
        <v>28997</v>
      </c>
      <c r="AO1577" t="s">
        <v>28998</v>
      </c>
    </row>
    <row r="1578" spans="39:41" ht="12" customHeight="1" x14ac:dyDescent="0.2">
      <c r="AM1578" t="str">
        <f t="shared" si="24"/>
        <v>Biin [KRBIN]</v>
      </c>
      <c r="AN1578" t="s">
        <v>21604</v>
      </c>
      <c r="AO1578" t="s">
        <v>21605</v>
      </c>
    </row>
    <row r="1579" spans="39:41" ht="12" customHeight="1" x14ac:dyDescent="0.2">
      <c r="AM1579" t="str">
        <f t="shared" si="24"/>
        <v>Bijela [MEBIJ]</v>
      </c>
      <c r="AN1579" t="s">
        <v>22078</v>
      </c>
      <c r="AO1579" t="s">
        <v>22079</v>
      </c>
    </row>
    <row r="1580" spans="39:41" ht="12" customHeight="1" x14ac:dyDescent="0.2">
      <c r="AM1580" t="str">
        <f t="shared" si="24"/>
        <v>Bijia [CNPHB]</v>
      </c>
      <c r="AN1580" t="s">
        <v>5074</v>
      </c>
      <c r="AO1580" t="s">
        <v>5075</v>
      </c>
    </row>
    <row r="1581" spans="39:41" ht="12" customHeight="1" x14ac:dyDescent="0.2">
      <c r="AM1581" t="str">
        <f t="shared" si="24"/>
        <v>Bilbao [ESBIO]</v>
      </c>
      <c r="AN1581" t="s">
        <v>9636</v>
      </c>
      <c r="AO1581" t="s">
        <v>9637</v>
      </c>
    </row>
    <row r="1582" spans="39:41" ht="12" customHeight="1" x14ac:dyDescent="0.2">
      <c r="AM1582" t="str">
        <f t="shared" si="24"/>
        <v>Bilderdam [NLBDR]</v>
      </c>
      <c r="AN1582" t="s">
        <v>23060</v>
      </c>
      <c r="AO1582" t="s">
        <v>23061</v>
      </c>
    </row>
    <row r="1583" spans="39:41" ht="12" customHeight="1" x14ac:dyDescent="0.2">
      <c r="AM1583" t="str">
        <f t="shared" si="24"/>
        <v>Bildudalur - hofn [ISBIL]</v>
      </c>
      <c r="AN1583" t="s">
        <v>17676</v>
      </c>
      <c r="AO1583" t="s">
        <v>36038</v>
      </c>
    </row>
    <row r="1584" spans="39:41" ht="12" customHeight="1" x14ac:dyDescent="0.2">
      <c r="AM1584" t="str">
        <f t="shared" si="24"/>
        <v>Bilimora [INBLM]</v>
      </c>
      <c r="AN1584" t="s">
        <v>17058</v>
      </c>
      <c r="AO1584" t="s">
        <v>17059</v>
      </c>
    </row>
    <row r="1585" spans="39:41" ht="12" customHeight="1" x14ac:dyDescent="0.2">
      <c r="AM1585" t="str">
        <f t="shared" si="24"/>
        <v>Bilin [MMBIL]</v>
      </c>
      <c r="AN1585" t="s">
        <v>22180</v>
      </c>
      <c r="AO1585" t="s">
        <v>22181</v>
      </c>
    </row>
    <row r="1586" spans="39:41" ht="12" customHeight="1" x14ac:dyDescent="0.2">
      <c r="AM1586" t="str">
        <f t="shared" si="24"/>
        <v>Bilina [CZBLN]</v>
      </c>
      <c r="AN1586" t="s">
        <v>6781</v>
      </c>
      <c r="AO1586" t="s">
        <v>35393</v>
      </c>
    </row>
    <row r="1587" spans="39:41" ht="12" customHeight="1" x14ac:dyDescent="0.2">
      <c r="AM1587" t="str">
        <f t="shared" si="24"/>
        <v>Billingborough [GBUGH]</v>
      </c>
      <c r="AN1587" t="s">
        <v>12518</v>
      </c>
      <c r="AO1587" t="s">
        <v>12519</v>
      </c>
    </row>
    <row r="1588" spans="39:41" ht="12" customHeight="1" x14ac:dyDescent="0.2">
      <c r="AM1588" t="str">
        <f t="shared" si="24"/>
        <v>Billingham [GBBHW]</v>
      </c>
      <c r="AN1588" t="s">
        <v>12520</v>
      </c>
      <c r="AO1588" t="s">
        <v>12521</v>
      </c>
    </row>
    <row r="1589" spans="39:41" ht="12" customHeight="1" x14ac:dyDescent="0.2">
      <c r="AM1589" t="str">
        <f t="shared" si="24"/>
        <v>Billy-le-Grand [FRDNZ]</v>
      </c>
      <c r="AN1589" t="s">
        <v>10837</v>
      </c>
      <c r="AO1589" t="s">
        <v>10838</v>
      </c>
    </row>
    <row r="1590" spans="39:41" ht="12" customHeight="1" x14ac:dyDescent="0.2">
      <c r="AM1590" t="str">
        <f t="shared" si="24"/>
        <v>Bilzen [BEBLZ]</v>
      </c>
      <c r="AN1590" t="s">
        <v>36755</v>
      </c>
      <c r="AO1590" t="s">
        <v>36756</v>
      </c>
    </row>
    <row r="1591" spans="39:41" ht="12" customHeight="1" x14ac:dyDescent="0.2">
      <c r="AM1591" t="str">
        <f t="shared" si="24"/>
        <v>Bima Terminal, Jv [IDBMT]</v>
      </c>
      <c r="AN1591" t="s">
        <v>16205</v>
      </c>
      <c r="AO1591" t="s">
        <v>16206</v>
      </c>
    </row>
    <row r="1592" spans="39:41" ht="12" customHeight="1" x14ac:dyDescent="0.2">
      <c r="AM1592" t="str">
        <f t="shared" si="24"/>
        <v>Bima, Sb [IDBMU]</v>
      </c>
      <c r="AN1592" t="s">
        <v>16207</v>
      </c>
      <c r="AO1592" t="s">
        <v>16208</v>
      </c>
    </row>
    <row r="1593" spans="39:41" ht="12" customHeight="1" x14ac:dyDescent="0.2">
      <c r="AM1593" t="str">
        <f t="shared" si="24"/>
        <v>Binan [PHBIN]</v>
      </c>
      <c r="AN1593" t="s">
        <v>25606</v>
      </c>
      <c r="AO1593" t="s">
        <v>36361</v>
      </c>
    </row>
    <row r="1594" spans="39:41" ht="12" customHeight="1" x14ac:dyDescent="0.2">
      <c r="AM1594" t="str">
        <f t="shared" si="24"/>
        <v>Binatang, Sarawak [MYBNG]</v>
      </c>
      <c r="AN1594" t="s">
        <v>22530</v>
      </c>
      <c r="AO1594" t="s">
        <v>22531</v>
      </c>
    </row>
    <row r="1595" spans="39:41" ht="12" customHeight="1" x14ac:dyDescent="0.2">
      <c r="AM1595" t="str">
        <f t="shared" si="24"/>
        <v>Bindal [NOBIN]</v>
      </c>
      <c r="AN1595" t="s">
        <v>23904</v>
      </c>
      <c r="AO1595" t="s">
        <v>23905</v>
      </c>
    </row>
    <row r="1596" spans="39:41" ht="12" customHeight="1" x14ac:dyDescent="0.2">
      <c r="AM1596" t="str">
        <f t="shared" si="24"/>
        <v>Bindow [DEBIW]</v>
      </c>
      <c r="AN1596" t="s">
        <v>7112</v>
      </c>
      <c r="AO1596" t="s">
        <v>7113</v>
      </c>
    </row>
    <row r="1597" spans="39:41" ht="12" customHeight="1" x14ac:dyDescent="0.2">
      <c r="AM1597" t="str">
        <f t="shared" si="24"/>
        <v>Bing Bong [AUBBG]</v>
      </c>
      <c r="AN1597" t="s">
        <v>1447</v>
      </c>
      <c r="AO1597" t="s">
        <v>1448</v>
      </c>
    </row>
    <row r="1598" spans="39:41" ht="12" customHeight="1" x14ac:dyDescent="0.2">
      <c r="AM1598" t="str">
        <f t="shared" si="24"/>
        <v>Bingazi (Benghazi) [LYBEN]</v>
      </c>
      <c r="AN1598" t="s">
        <v>21977</v>
      </c>
      <c r="AO1598" t="s">
        <v>21978</v>
      </c>
    </row>
    <row r="1599" spans="39:41" ht="12" customHeight="1" x14ac:dyDescent="0.2">
      <c r="AM1599" t="str">
        <f t="shared" si="24"/>
        <v>Bingen am Rhein [DEBIN]</v>
      </c>
      <c r="AN1599" t="s">
        <v>7114</v>
      </c>
      <c r="AO1599" t="s">
        <v>7115</v>
      </c>
    </row>
    <row r="1600" spans="39:41" ht="12" customHeight="1" x14ac:dyDescent="0.2">
      <c r="AM1600" t="str">
        <f t="shared" si="24"/>
        <v>Bingham [USAFM]</v>
      </c>
      <c r="AN1600" t="s">
        <v>28999</v>
      </c>
      <c r="AO1600" t="s">
        <v>29000</v>
      </c>
    </row>
    <row r="1601" spans="39:41" ht="12" customHeight="1" x14ac:dyDescent="0.2">
      <c r="AM1601" t="str">
        <f t="shared" ref="AM1601:AM1664" si="25">AO1601 &amp; " [" &amp; AN1601 &amp; "]"</f>
        <v>Bingley [GBBGY]</v>
      </c>
      <c r="AN1601" t="s">
        <v>12522</v>
      </c>
      <c r="AO1601" t="s">
        <v>12523</v>
      </c>
    </row>
    <row r="1602" spans="39:41" ht="12" customHeight="1" x14ac:dyDescent="0.2">
      <c r="AM1602" t="str">
        <f t="shared" si="25"/>
        <v>Binh Duong [VNBDU]</v>
      </c>
      <c r="AN1602" t="s">
        <v>32308</v>
      </c>
      <c r="AO1602" t="s">
        <v>32309</v>
      </c>
    </row>
    <row r="1603" spans="39:41" ht="12" customHeight="1" x14ac:dyDescent="0.2">
      <c r="AM1603" t="str">
        <f t="shared" si="25"/>
        <v>Binh Duong Terminal [VNBDG]</v>
      </c>
      <c r="AN1603" t="s">
        <v>32310</v>
      </c>
      <c r="AO1603" t="s">
        <v>32311</v>
      </c>
    </row>
    <row r="1604" spans="39:41" ht="12" customHeight="1" x14ac:dyDescent="0.2">
      <c r="AM1604" t="str">
        <f t="shared" si="25"/>
        <v>Binh Long Port [VNBLG]</v>
      </c>
      <c r="AN1604" t="s">
        <v>32312</v>
      </c>
      <c r="AO1604" t="s">
        <v>32313</v>
      </c>
    </row>
    <row r="1605" spans="39:41" ht="12" customHeight="1" x14ac:dyDescent="0.2">
      <c r="AM1605" t="str">
        <f t="shared" si="25"/>
        <v>Binh Minh [VNBMH]</v>
      </c>
      <c r="AN1605" t="s">
        <v>32314</v>
      </c>
      <c r="AO1605" t="s">
        <v>32315</v>
      </c>
    </row>
    <row r="1606" spans="39:41" ht="12" customHeight="1" x14ac:dyDescent="0.2">
      <c r="AM1606" t="str">
        <f t="shared" si="25"/>
        <v>Binhai [CNBHX]</v>
      </c>
      <c r="AN1606" t="s">
        <v>5076</v>
      </c>
      <c r="AO1606" t="s">
        <v>5077</v>
      </c>
    </row>
    <row r="1607" spans="39:41" ht="12" customHeight="1" x14ac:dyDescent="0.2">
      <c r="AM1607" t="str">
        <f t="shared" si="25"/>
        <v>Binissalem [ESBS3]</v>
      </c>
      <c r="AN1607" t="s">
        <v>9638</v>
      </c>
      <c r="AO1607" t="s">
        <v>9639</v>
      </c>
    </row>
    <row r="1608" spans="39:41" ht="12" customHeight="1" x14ac:dyDescent="0.2">
      <c r="AM1608" t="str">
        <f t="shared" si="25"/>
        <v>Binnenmaas [NLBNM]</v>
      </c>
      <c r="AN1608" t="s">
        <v>23062</v>
      </c>
      <c r="AO1608" t="s">
        <v>23063</v>
      </c>
    </row>
    <row r="1609" spans="39:41" ht="12" customHeight="1" x14ac:dyDescent="0.2">
      <c r="AM1609" t="str">
        <f t="shared" si="25"/>
        <v>Binta [GWBNT]</v>
      </c>
      <c r="AN1609" t="s">
        <v>15617</v>
      </c>
      <c r="AO1609" t="s">
        <v>15618</v>
      </c>
    </row>
    <row r="1610" spans="39:41" ht="12" customHeight="1" x14ac:dyDescent="0.2">
      <c r="AM1610" t="str">
        <f t="shared" si="25"/>
        <v>Bintangor [MYBTN]</v>
      </c>
      <c r="AN1610" t="s">
        <v>22532</v>
      </c>
      <c r="AO1610" t="s">
        <v>22533</v>
      </c>
    </row>
    <row r="1611" spans="39:41" ht="12" customHeight="1" x14ac:dyDescent="0.2">
      <c r="AM1611" t="str">
        <f t="shared" si="25"/>
        <v>Bintulu, Sarawak [MYBTU]</v>
      </c>
      <c r="AN1611" t="s">
        <v>22534</v>
      </c>
      <c r="AO1611" t="s">
        <v>22535</v>
      </c>
    </row>
    <row r="1612" spans="39:41" ht="12" customHeight="1" x14ac:dyDescent="0.2">
      <c r="AM1612" t="str">
        <f t="shared" si="25"/>
        <v>Binyamina-Giv'at Ada [ILBGV]</v>
      </c>
      <c r="AN1612" t="s">
        <v>16956</v>
      </c>
      <c r="AO1612" t="s">
        <v>16957</v>
      </c>
    </row>
    <row r="1613" spans="39:41" ht="12" customHeight="1" x14ac:dyDescent="0.2">
      <c r="AM1613" t="str">
        <f t="shared" si="25"/>
        <v>Binyang [CNBYN]</v>
      </c>
      <c r="AN1613" t="s">
        <v>5078</v>
      </c>
      <c r="AO1613" t="s">
        <v>5079</v>
      </c>
    </row>
    <row r="1614" spans="39:41" ht="12" customHeight="1" x14ac:dyDescent="0.2">
      <c r="AM1614" t="str">
        <f t="shared" si="25"/>
        <v>Binz [DEBZR]</v>
      </c>
      <c r="AN1614" t="s">
        <v>7116</v>
      </c>
      <c r="AO1614" t="s">
        <v>7117</v>
      </c>
    </row>
    <row r="1615" spans="39:41" ht="12" customHeight="1" x14ac:dyDescent="0.2">
      <c r="AM1615" t="str">
        <f t="shared" si="25"/>
        <v>Biograd na Moru [HRBNM]</v>
      </c>
      <c r="AN1615" t="s">
        <v>15704</v>
      </c>
      <c r="AO1615" t="s">
        <v>15705</v>
      </c>
    </row>
    <row r="1616" spans="39:41" ht="12" customHeight="1" x14ac:dyDescent="0.2">
      <c r="AM1616" t="str">
        <f t="shared" si="25"/>
        <v>Biracevac [BABIR]</v>
      </c>
      <c r="AN1616" t="s">
        <v>2164</v>
      </c>
      <c r="AO1616" t="s">
        <v>2165</v>
      </c>
    </row>
    <row r="1617" spans="39:41" ht="12" customHeight="1" x14ac:dyDescent="0.2">
      <c r="AM1617" t="str">
        <f t="shared" si="25"/>
        <v>Birchwood [USIWO]</v>
      </c>
      <c r="AN1617" t="s">
        <v>29001</v>
      </c>
      <c r="AO1617" t="s">
        <v>29002</v>
      </c>
    </row>
    <row r="1618" spans="39:41" ht="12" customHeight="1" x14ac:dyDescent="0.2">
      <c r="AM1618" t="str">
        <f t="shared" si="25"/>
        <v>Birdaard [NLBDA]</v>
      </c>
      <c r="AN1618" t="s">
        <v>23064</v>
      </c>
      <c r="AO1618" t="s">
        <v>23065</v>
      </c>
    </row>
    <row r="1619" spans="39:41" ht="12" customHeight="1" x14ac:dyDescent="0.2">
      <c r="AM1619" t="str">
        <f t="shared" si="25"/>
        <v>Biringkassi [IDBIR]</v>
      </c>
      <c r="AN1619" t="s">
        <v>16209</v>
      </c>
      <c r="AO1619" t="s">
        <v>16210</v>
      </c>
    </row>
    <row r="1620" spans="39:41" ht="12" customHeight="1" x14ac:dyDescent="0.2">
      <c r="AM1620" t="str">
        <f t="shared" si="25"/>
        <v>Bir-Jdid [MABJD]</v>
      </c>
      <c r="AN1620" t="s">
        <v>22030</v>
      </c>
      <c r="AO1620" t="s">
        <v>22031</v>
      </c>
    </row>
    <row r="1621" spans="39:41" ht="12" customHeight="1" x14ac:dyDescent="0.2">
      <c r="AM1621" t="str">
        <f t="shared" si="25"/>
        <v>Birkdale [GBBDA]</v>
      </c>
      <c r="AN1621" t="s">
        <v>12524</v>
      </c>
      <c r="AO1621" t="s">
        <v>12525</v>
      </c>
    </row>
    <row r="1622" spans="39:41" ht="12" customHeight="1" x14ac:dyDescent="0.2">
      <c r="AM1622" t="str">
        <f t="shared" si="25"/>
        <v>Birkenhead [GBBRK]</v>
      </c>
      <c r="AN1622" t="s">
        <v>12526</v>
      </c>
      <c r="AO1622" t="s">
        <v>12527</v>
      </c>
    </row>
    <row r="1623" spans="39:41" ht="12" customHeight="1" x14ac:dyDescent="0.2">
      <c r="AM1623" t="str">
        <f t="shared" si="25"/>
        <v>Birklar [DEBQ2]</v>
      </c>
      <c r="AN1623" t="s">
        <v>7118</v>
      </c>
      <c r="AO1623" t="s">
        <v>7119</v>
      </c>
    </row>
    <row r="1624" spans="39:41" ht="12" customHeight="1" x14ac:dyDescent="0.2">
      <c r="AM1624" t="str">
        <f t="shared" si="25"/>
        <v>Birkweiler [DEBWQ]</v>
      </c>
      <c r="AN1624" t="s">
        <v>7120</v>
      </c>
      <c r="AO1624" t="s">
        <v>7121</v>
      </c>
    </row>
    <row r="1625" spans="39:41" ht="12" customHeight="1" x14ac:dyDescent="0.2">
      <c r="AM1625" t="str">
        <f t="shared" si="25"/>
        <v>Birmingham [USXY2]</v>
      </c>
      <c r="AN1625" t="s">
        <v>29003</v>
      </c>
      <c r="AO1625" t="s">
        <v>29004</v>
      </c>
    </row>
    <row r="1626" spans="39:41" ht="12" customHeight="1" x14ac:dyDescent="0.2">
      <c r="AM1626" t="str">
        <f t="shared" si="25"/>
        <v>Birnamwood [USWO4]</v>
      </c>
      <c r="AN1626" t="s">
        <v>29005</v>
      </c>
      <c r="AO1626" t="s">
        <v>29006</v>
      </c>
    </row>
    <row r="1627" spans="39:41" ht="12" customHeight="1" x14ac:dyDescent="0.2">
      <c r="AM1627" t="str">
        <f t="shared" si="25"/>
        <v>Birnie Island [KIBIR]</v>
      </c>
      <c r="AN1627" t="s">
        <v>21545</v>
      </c>
      <c r="AO1627" t="s">
        <v>21546</v>
      </c>
    </row>
    <row r="1628" spans="39:41" ht="12" customHeight="1" x14ac:dyDescent="0.2">
      <c r="AM1628" t="str">
        <f t="shared" si="25"/>
        <v>Birrwil [CHBIR]</v>
      </c>
      <c r="AN1628" t="s">
        <v>4656</v>
      </c>
      <c r="AO1628" t="s">
        <v>4657</v>
      </c>
    </row>
    <row r="1629" spans="39:41" ht="12" customHeight="1" x14ac:dyDescent="0.2">
      <c r="AM1629" t="str">
        <f t="shared" si="25"/>
        <v>Birsay [GBRSB]</v>
      </c>
      <c r="AN1629" t="s">
        <v>12528</v>
      </c>
      <c r="AO1629" t="s">
        <v>12529</v>
      </c>
    </row>
    <row r="1630" spans="39:41" ht="12" customHeight="1" x14ac:dyDescent="0.2">
      <c r="AM1630" t="str">
        <f t="shared" si="25"/>
        <v>Birzebbugia [MTBZE]</v>
      </c>
      <c r="AN1630" t="s">
        <v>22244</v>
      </c>
      <c r="AO1630" t="s">
        <v>22245</v>
      </c>
    </row>
    <row r="1631" spans="39:41" ht="12" customHeight="1" x14ac:dyDescent="0.2">
      <c r="AM1631" t="str">
        <f t="shared" si="25"/>
        <v>Bisceglie [ITBCE]</v>
      </c>
      <c r="AN1631" t="s">
        <v>17836</v>
      </c>
      <c r="AO1631" t="s">
        <v>17837</v>
      </c>
    </row>
    <row r="1632" spans="39:41" ht="12" customHeight="1" x14ac:dyDescent="0.2">
      <c r="AM1632" t="str">
        <f t="shared" si="25"/>
        <v>Bischofshofen [ATBFS]</v>
      </c>
      <c r="AN1632" t="s">
        <v>1168</v>
      </c>
      <c r="AO1632" t="s">
        <v>1169</v>
      </c>
    </row>
    <row r="1633" spans="39:41" ht="12" customHeight="1" x14ac:dyDescent="0.2">
      <c r="AM1633" t="str">
        <f t="shared" si="25"/>
        <v>Biscoe [USBDS]</v>
      </c>
      <c r="AN1633" t="s">
        <v>29007</v>
      </c>
      <c r="AO1633" t="s">
        <v>29008</v>
      </c>
    </row>
    <row r="1634" spans="39:41" ht="12" customHeight="1" x14ac:dyDescent="0.2">
      <c r="AM1634" t="str">
        <f t="shared" si="25"/>
        <v>Bishop Auckland [GBBIP]</v>
      </c>
      <c r="AN1634" t="s">
        <v>12530</v>
      </c>
      <c r="AO1634" t="s">
        <v>12531</v>
      </c>
    </row>
    <row r="1635" spans="39:41" ht="12" customHeight="1" x14ac:dyDescent="0.2">
      <c r="AM1635" t="str">
        <f t="shared" si="25"/>
        <v>Bishops Castle [GBQWR]</v>
      </c>
      <c r="AN1635" t="s">
        <v>12532</v>
      </c>
      <c r="AO1635" t="s">
        <v>12533</v>
      </c>
    </row>
    <row r="1636" spans="39:41" ht="12" customHeight="1" x14ac:dyDescent="0.2">
      <c r="AM1636" t="str">
        <f t="shared" si="25"/>
        <v>Bishopsteignton [GBPQT]</v>
      </c>
      <c r="AN1636" t="s">
        <v>12534</v>
      </c>
      <c r="AO1636" t="s">
        <v>12535</v>
      </c>
    </row>
    <row r="1637" spans="39:41" ht="12" customHeight="1" x14ac:dyDescent="0.2">
      <c r="AM1637" t="str">
        <f t="shared" si="25"/>
        <v>Bislig, Mindanao [PHBPH]</v>
      </c>
      <c r="AN1637" t="s">
        <v>25607</v>
      </c>
      <c r="AO1637" t="s">
        <v>25608</v>
      </c>
    </row>
    <row r="1638" spans="39:41" ht="12" customHeight="1" x14ac:dyDescent="0.2">
      <c r="AM1638" t="str">
        <f t="shared" si="25"/>
        <v>Bismo [NOBIS]</v>
      </c>
      <c r="AN1638" t="s">
        <v>23906</v>
      </c>
      <c r="AO1638" t="s">
        <v>23907</v>
      </c>
    </row>
    <row r="1639" spans="39:41" ht="12" customHeight="1" x14ac:dyDescent="0.2">
      <c r="AM1639" t="str">
        <f t="shared" si="25"/>
        <v>Bissau [GWOXB]</v>
      </c>
      <c r="AN1639" t="s">
        <v>15619</v>
      </c>
      <c r="AO1639" t="s">
        <v>15620</v>
      </c>
    </row>
    <row r="1640" spans="39:41" ht="12" customHeight="1" x14ac:dyDescent="0.2">
      <c r="AM1640" t="str">
        <f t="shared" si="25"/>
        <v>Bissegem [BEBSE]</v>
      </c>
      <c r="AN1640" t="s">
        <v>2303</v>
      </c>
      <c r="AO1640" t="s">
        <v>2304</v>
      </c>
    </row>
    <row r="1641" spans="39:41" ht="12" customHeight="1" x14ac:dyDescent="0.2">
      <c r="AM1641" t="str">
        <f t="shared" si="25"/>
        <v>Bissert [FRIRT]</v>
      </c>
      <c r="AN1641" t="s">
        <v>10839</v>
      </c>
      <c r="AO1641" t="s">
        <v>10840</v>
      </c>
    </row>
    <row r="1642" spans="39:41" ht="12" customHeight="1" x14ac:dyDescent="0.2">
      <c r="AM1642" t="str">
        <f t="shared" si="25"/>
        <v>Bisseuil [FREUY]</v>
      </c>
      <c r="AN1642" t="s">
        <v>10841</v>
      </c>
      <c r="AO1642" t="s">
        <v>10842</v>
      </c>
    </row>
    <row r="1643" spans="39:41" ht="12" customHeight="1" x14ac:dyDescent="0.2">
      <c r="AM1643" t="str">
        <f t="shared" si="25"/>
        <v>Bitra Is [INBTR]</v>
      </c>
      <c r="AN1643" t="s">
        <v>17060</v>
      </c>
      <c r="AO1643" t="s">
        <v>17061</v>
      </c>
    </row>
    <row r="1644" spans="39:41" ht="12" customHeight="1" x14ac:dyDescent="0.2">
      <c r="AM1644" t="str">
        <f t="shared" si="25"/>
        <v>Bitung, Sulawesi [IDBIT]</v>
      </c>
      <c r="AN1644" t="s">
        <v>16211</v>
      </c>
      <c r="AO1644" t="s">
        <v>16212</v>
      </c>
    </row>
    <row r="1645" spans="39:41" ht="12" customHeight="1" x14ac:dyDescent="0.2">
      <c r="AM1645" t="str">
        <f t="shared" si="25"/>
        <v>Biyawa/Davao [PHBIY]</v>
      </c>
      <c r="AN1645" t="s">
        <v>25609</v>
      </c>
      <c r="AO1645" t="s">
        <v>25610</v>
      </c>
    </row>
    <row r="1646" spans="39:41" ht="12" customHeight="1" x14ac:dyDescent="0.2">
      <c r="AM1646" t="str">
        <f t="shared" si="25"/>
        <v>Bizerte [TNBIZ]</v>
      </c>
      <c r="AN1646" t="s">
        <v>28334</v>
      </c>
      <c r="AO1646" t="s">
        <v>28335</v>
      </c>
    </row>
    <row r="1647" spans="39:41" ht="12" customHeight="1" x14ac:dyDescent="0.2">
      <c r="AM1647" t="str">
        <f t="shared" si="25"/>
        <v>Bjarkoy [NOBJY]</v>
      </c>
      <c r="AN1647" t="s">
        <v>23908</v>
      </c>
      <c r="AO1647" t="s">
        <v>36135</v>
      </c>
    </row>
    <row r="1648" spans="39:41" ht="12" customHeight="1" x14ac:dyDescent="0.2">
      <c r="AM1648" t="str">
        <f t="shared" si="25"/>
        <v>Bjarred [SEBJR]</v>
      </c>
      <c r="AN1648" t="s">
        <v>27514</v>
      </c>
      <c r="AO1648" t="s">
        <v>36424</v>
      </c>
    </row>
    <row r="1649" spans="39:41" ht="12" customHeight="1" x14ac:dyDescent="0.2">
      <c r="AM1649" t="str">
        <f t="shared" si="25"/>
        <v>Bjerkvik [NOBKV]</v>
      </c>
      <c r="AN1649" t="s">
        <v>23909</v>
      </c>
      <c r="AO1649" t="s">
        <v>23910</v>
      </c>
    </row>
    <row r="1650" spans="39:41" ht="12" customHeight="1" x14ac:dyDescent="0.2">
      <c r="AM1650" t="str">
        <f t="shared" si="25"/>
        <v>Bjordal [NOBJD]</v>
      </c>
      <c r="AN1650" t="s">
        <v>23911</v>
      </c>
      <c r="AO1650" t="s">
        <v>23912</v>
      </c>
    </row>
    <row r="1651" spans="39:41" ht="12" customHeight="1" x14ac:dyDescent="0.2">
      <c r="AM1651" t="str">
        <f t="shared" si="25"/>
        <v>Bjorkas [NOBJX]</v>
      </c>
      <c r="AN1651" t="s">
        <v>23913</v>
      </c>
      <c r="AO1651" t="s">
        <v>36136</v>
      </c>
    </row>
    <row r="1652" spans="39:41" ht="12" customHeight="1" x14ac:dyDescent="0.2">
      <c r="AM1652" t="str">
        <f t="shared" si="25"/>
        <v>Bjorneborg (Pori) [FIPOR]</v>
      </c>
      <c r="AN1652" t="s">
        <v>10316</v>
      </c>
      <c r="AO1652" t="s">
        <v>35709</v>
      </c>
    </row>
    <row r="1653" spans="39:41" ht="12" customHeight="1" x14ac:dyDescent="0.2">
      <c r="AM1653" t="str">
        <f t="shared" si="25"/>
        <v>Bjugn [NOBJU]</v>
      </c>
      <c r="AN1653" t="s">
        <v>23914</v>
      </c>
      <c r="AO1653" t="s">
        <v>23915</v>
      </c>
    </row>
    <row r="1654" spans="39:41" ht="12" customHeight="1" x14ac:dyDescent="0.2">
      <c r="AM1654" t="str">
        <f t="shared" si="25"/>
        <v>Blace [HRBLE]</v>
      </c>
      <c r="AN1654" t="s">
        <v>15706</v>
      </c>
      <c r="AO1654" t="s">
        <v>15707</v>
      </c>
    </row>
    <row r="1655" spans="39:41" ht="12" customHeight="1" x14ac:dyDescent="0.2">
      <c r="AM1655" t="str">
        <f t="shared" si="25"/>
        <v>Black Hawk [USHWJ]</v>
      </c>
      <c r="AN1655" t="s">
        <v>29009</v>
      </c>
      <c r="AO1655" t="s">
        <v>29010</v>
      </c>
    </row>
    <row r="1656" spans="39:41" ht="12" customHeight="1" x14ac:dyDescent="0.2">
      <c r="AM1656" t="str">
        <f t="shared" si="25"/>
        <v>Black Point [AUBLP]</v>
      </c>
      <c r="AN1656" t="s">
        <v>1449</v>
      </c>
      <c r="AO1656" t="s">
        <v>1450</v>
      </c>
    </row>
    <row r="1657" spans="39:41" ht="12" customHeight="1" x14ac:dyDescent="0.2">
      <c r="AM1657" t="str">
        <f t="shared" si="25"/>
        <v>Black River [JMBLR]</v>
      </c>
      <c r="AN1657" t="s">
        <v>18424</v>
      </c>
      <c r="AO1657" t="s">
        <v>18425</v>
      </c>
    </row>
    <row r="1658" spans="39:41" ht="12" customHeight="1" x14ac:dyDescent="0.2">
      <c r="AM1658" t="str">
        <f t="shared" si="25"/>
        <v>Black Sea [XZBLA]</v>
      </c>
      <c r="AN1658" t="s">
        <v>36610</v>
      </c>
      <c r="AO1658" t="s">
        <v>36611</v>
      </c>
    </row>
    <row r="1659" spans="39:41" ht="12" customHeight="1" x14ac:dyDescent="0.2">
      <c r="AM1659" t="str">
        <f t="shared" si="25"/>
        <v>Blackburn [GBBLB]</v>
      </c>
      <c r="AN1659" t="s">
        <v>12536</v>
      </c>
      <c r="AO1659" t="s">
        <v>12537</v>
      </c>
    </row>
    <row r="1660" spans="39:41" ht="12" customHeight="1" x14ac:dyDescent="0.2">
      <c r="AM1660" t="str">
        <f t="shared" si="25"/>
        <v>Blackford [GBBFP]</v>
      </c>
      <c r="AN1660" t="s">
        <v>12538</v>
      </c>
      <c r="AO1660" t="s">
        <v>12539</v>
      </c>
    </row>
    <row r="1661" spans="39:41" ht="12" customHeight="1" x14ac:dyDescent="0.2">
      <c r="AM1661" t="str">
        <f t="shared" si="25"/>
        <v>Blacklick [USBZZ]</v>
      </c>
      <c r="AN1661" t="s">
        <v>29011</v>
      </c>
      <c r="AO1661" t="s">
        <v>29012</v>
      </c>
    </row>
    <row r="1662" spans="39:41" ht="12" customHeight="1" x14ac:dyDescent="0.2">
      <c r="AM1662" t="str">
        <f t="shared" si="25"/>
        <v>Blackmans Bay [AUTTS]</v>
      </c>
      <c r="AN1662" t="s">
        <v>1451</v>
      </c>
      <c r="AO1662" t="s">
        <v>1452</v>
      </c>
    </row>
    <row r="1663" spans="39:41" ht="12" customHeight="1" x14ac:dyDescent="0.2">
      <c r="AM1663" t="str">
        <f t="shared" si="25"/>
        <v>Blackness [GBBKS]</v>
      </c>
      <c r="AN1663" t="s">
        <v>12540</v>
      </c>
      <c r="AO1663" t="s">
        <v>12541</v>
      </c>
    </row>
    <row r="1664" spans="39:41" ht="12" customHeight="1" x14ac:dyDescent="0.2">
      <c r="AM1664" t="str">
        <f t="shared" si="25"/>
        <v>Blackpool [GBBLK]</v>
      </c>
      <c r="AN1664" t="s">
        <v>12542</v>
      </c>
      <c r="AO1664" t="s">
        <v>12543</v>
      </c>
    </row>
    <row r="1665" spans="39:41" ht="12" customHeight="1" x14ac:dyDescent="0.2">
      <c r="AM1665" t="str">
        <f t="shared" ref="AM1665:AM1728" si="26">AO1665 &amp; " [" &amp; AN1665 &amp; "]"</f>
        <v>Blacks Harbour [CABLH]</v>
      </c>
      <c r="AN1665" t="s">
        <v>3606</v>
      </c>
      <c r="AO1665" t="s">
        <v>3607</v>
      </c>
    </row>
    <row r="1666" spans="39:41" ht="12" customHeight="1" x14ac:dyDescent="0.2">
      <c r="AM1666" t="str">
        <f t="shared" si="26"/>
        <v>Blackstock [CABSK]</v>
      </c>
      <c r="AN1666" t="s">
        <v>3608</v>
      </c>
      <c r="AO1666" t="s">
        <v>3609</v>
      </c>
    </row>
    <row r="1667" spans="39:41" ht="12" customHeight="1" x14ac:dyDescent="0.2">
      <c r="AM1667" t="str">
        <f t="shared" si="26"/>
        <v>Blacktip Terminal [AUBOV]</v>
      </c>
      <c r="AN1667" t="s">
        <v>1453</v>
      </c>
      <c r="AO1667" t="s">
        <v>1454</v>
      </c>
    </row>
    <row r="1668" spans="39:41" ht="12" customHeight="1" x14ac:dyDescent="0.2">
      <c r="AM1668" t="str">
        <f t="shared" si="26"/>
        <v>Blackwell [GBBNX]</v>
      </c>
      <c r="AN1668" t="s">
        <v>12544</v>
      </c>
      <c r="AO1668" t="s">
        <v>12545</v>
      </c>
    </row>
    <row r="1669" spans="39:41" ht="12" customHeight="1" x14ac:dyDescent="0.2">
      <c r="AM1669" t="str">
        <f t="shared" si="26"/>
        <v>Blagny-sur-Vingeanne [FRYVG]</v>
      </c>
      <c r="AN1669" t="s">
        <v>10843</v>
      </c>
      <c r="AO1669" t="s">
        <v>10844</v>
      </c>
    </row>
    <row r="1670" spans="39:41" ht="12" customHeight="1" x14ac:dyDescent="0.2">
      <c r="AM1670" t="str">
        <f t="shared" si="26"/>
        <v>Blairesville [USBV6]</v>
      </c>
      <c r="AN1670" t="s">
        <v>29013</v>
      </c>
      <c r="AO1670" t="s">
        <v>29014</v>
      </c>
    </row>
    <row r="1671" spans="39:41" ht="12" customHeight="1" x14ac:dyDescent="0.2">
      <c r="AM1671" t="str">
        <f t="shared" si="26"/>
        <v>Blairmore [GBBLJ]</v>
      </c>
      <c r="AN1671" t="s">
        <v>12546</v>
      </c>
      <c r="AO1671" t="s">
        <v>12547</v>
      </c>
    </row>
    <row r="1672" spans="39:41" ht="12" customHeight="1" x14ac:dyDescent="0.2">
      <c r="AM1672" t="str">
        <f t="shared" si="26"/>
        <v>Blakeney [GBBLC]</v>
      </c>
      <c r="AN1672" t="s">
        <v>12548</v>
      </c>
      <c r="AO1672" t="s">
        <v>12549</v>
      </c>
    </row>
    <row r="1673" spans="39:41" ht="12" customHeight="1" x14ac:dyDescent="0.2">
      <c r="AM1673" t="str">
        <f t="shared" si="26"/>
        <v>Blanchardstown [IEBHT]</v>
      </c>
      <c r="AN1673" t="s">
        <v>16740</v>
      </c>
      <c r="AO1673" t="s">
        <v>16741</v>
      </c>
    </row>
    <row r="1674" spans="39:41" ht="12" customHeight="1" x14ac:dyDescent="0.2">
      <c r="AM1674" t="str">
        <f t="shared" si="26"/>
        <v>Blanc-Sablons [FRNCB]</v>
      </c>
      <c r="AN1674" t="s">
        <v>10845</v>
      </c>
      <c r="AO1674" t="s">
        <v>10846</v>
      </c>
    </row>
    <row r="1675" spans="39:41" ht="12" customHeight="1" x14ac:dyDescent="0.2">
      <c r="AM1675" t="str">
        <f t="shared" si="26"/>
        <v>Blanes [ESBLA]</v>
      </c>
      <c r="AN1675" t="s">
        <v>9640</v>
      </c>
      <c r="AO1675" t="s">
        <v>9641</v>
      </c>
    </row>
    <row r="1676" spans="39:41" ht="12" customHeight="1" x14ac:dyDescent="0.2">
      <c r="AM1676" t="str">
        <f t="shared" si="26"/>
        <v>Blang Lancang, St [IDBLL]</v>
      </c>
      <c r="AN1676" t="s">
        <v>16213</v>
      </c>
      <c r="AO1676" t="s">
        <v>16214</v>
      </c>
    </row>
    <row r="1677" spans="39:41" ht="12" customHeight="1" x14ac:dyDescent="0.2">
      <c r="AM1677" t="str">
        <f t="shared" si="26"/>
        <v>Blankaholm [SEBLA]</v>
      </c>
      <c r="AN1677" t="s">
        <v>27515</v>
      </c>
      <c r="AO1677" t="s">
        <v>27516</v>
      </c>
    </row>
    <row r="1678" spans="39:41" ht="12" customHeight="1" x14ac:dyDescent="0.2">
      <c r="AM1678" t="str">
        <f t="shared" si="26"/>
        <v>Blankenberge [BEBBG]</v>
      </c>
      <c r="AN1678" t="s">
        <v>2305</v>
      </c>
      <c r="AO1678" t="s">
        <v>2306</v>
      </c>
    </row>
    <row r="1679" spans="39:41" ht="12" customHeight="1" x14ac:dyDescent="0.2">
      <c r="AM1679" t="str">
        <f t="shared" si="26"/>
        <v>Blankenheim [DECKH]</v>
      </c>
      <c r="AN1679" t="s">
        <v>7122</v>
      </c>
      <c r="AO1679" t="s">
        <v>7123</v>
      </c>
    </row>
    <row r="1680" spans="39:41" ht="12" customHeight="1" x14ac:dyDescent="0.2">
      <c r="AM1680" t="str">
        <f t="shared" si="26"/>
        <v>Blaregnies [BEWHT]</v>
      </c>
      <c r="AN1680" t="s">
        <v>2307</v>
      </c>
      <c r="AO1680" t="s">
        <v>2308</v>
      </c>
    </row>
    <row r="1681" spans="39:41" ht="12" customHeight="1" x14ac:dyDescent="0.2">
      <c r="AM1681" t="str">
        <f t="shared" si="26"/>
        <v>Blata l'Bajda [MTBLA]</v>
      </c>
      <c r="AN1681" t="s">
        <v>22246</v>
      </c>
      <c r="AO1681" t="s">
        <v>22247</v>
      </c>
    </row>
    <row r="1682" spans="39:41" ht="12" customHeight="1" x14ac:dyDescent="0.2">
      <c r="AM1682" t="str">
        <f t="shared" si="26"/>
        <v>Blatna [CZTNN]</v>
      </c>
      <c r="AN1682" t="s">
        <v>6782</v>
      </c>
      <c r="AO1682" t="s">
        <v>6783</v>
      </c>
    </row>
    <row r="1683" spans="39:41" ht="12" customHeight="1" x14ac:dyDescent="0.2">
      <c r="AM1683" t="str">
        <f t="shared" si="26"/>
        <v>Blaton [BEBLT]</v>
      </c>
      <c r="AN1683" t="s">
        <v>2309</v>
      </c>
      <c r="AO1683" t="s">
        <v>2310</v>
      </c>
    </row>
    <row r="1684" spans="39:41" ht="12" customHeight="1" x14ac:dyDescent="0.2">
      <c r="AM1684" t="str">
        <f t="shared" si="26"/>
        <v>Blavand [DKBLA]</v>
      </c>
      <c r="AN1684" t="s">
        <v>8638</v>
      </c>
      <c r="AO1684" t="s">
        <v>8639</v>
      </c>
    </row>
    <row r="1685" spans="39:41" ht="12" customHeight="1" x14ac:dyDescent="0.2">
      <c r="AM1685" t="str">
        <f t="shared" si="26"/>
        <v>Blawnox [USLXW]</v>
      </c>
      <c r="AN1685" t="s">
        <v>29015</v>
      </c>
      <c r="AO1685" t="s">
        <v>29016</v>
      </c>
    </row>
    <row r="1686" spans="39:41" ht="12" customHeight="1" x14ac:dyDescent="0.2">
      <c r="AM1686" t="str">
        <f t="shared" si="26"/>
        <v>Blaye [FRBYE]</v>
      </c>
      <c r="AN1686" t="s">
        <v>10847</v>
      </c>
      <c r="AO1686" t="s">
        <v>10848</v>
      </c>
    </row>
    <row r="1687" spans="39:41" ht="12" customHeight="1" x14ac:dyDescent="0.2">
      <c r="AM1687" t="str">
        <f t="shared" si="26"/>
        <v>Blayney [AUBNY]</v>
      </c>
      <c r="AN1687" t="s">
        <v>1455</v>
      </c>
      <c r="AO1687" t="s">
        <v>1456</v>
      </c>
    </row>
    <row r="1688" spans="39:41" ht="12" customHeight="1" x14ac:dyDescent="0.2">
      <c r="AM1688" t="str">
        <f t="shared" si="26"/>
        <v>Bleharies [BEBHR]</v>
      </c>
      <c r="AN1688" t="s">
        <v>2311</v>
      </c>
      <c r="AO1688" t="s">
        <v>35262</v>
      </c>
    </row>
    <row r="1689" spans="39:41" ht="12" customHeight="1" x14ac:dyDescent="0.2">
      <c r="AM1689" t="str">
        <f t="shared" si="26"/>
        <v>Bleik [NOBLK]</v>
      </c>
      <c r="AN1689" t="s">
        <v>23916</v>
      </c>
      <c r="AO1689" t="s">
        <v>23917</v>
      </c>
    </row>
    <row r="1690" spans="39:41" ht="12" customHeight="1" x14ac:dyDescent="0.2">
      <c r="AM1690" t="str">
        <f t="shared" si="26"/>
        <v>Blenod-les-Pont-a-Mousson [FRBPS]</v>
      </c>
      <c r="AN1690" t="s">
        <v>10849</v>
      </c>
      <c r="AO1690" t="s">
        <v>35783</v>
      </c>
    </row>
    <row r="1691" spans="39:41" ht="12" customHeight="1" x14ac:dyDescent="0.2">
      <c r="AM1691" t="str">
        <f t="shared" si="26"/>
        <v>Blewbury [GBWJH]</v>
      </c>
      <c r="AN1691" t="s">
        <v>12550</v>
      </c>
      <c r="AO1691" t="s">
        <v>12551</v>
      </c>
    </row>
    <row r="1692" spans="39:41" ht="12" customHeight="1" x14ac:dyDescent="0.2">
      <c r="AM1692" t="str">
        <f t="shared" si="26"/>
        <v>Blexen [DEBXN]</v>
      </c>
      <c r="AN1692" t="s">
        <v>36856</v>
      </c>
      <c r="AO1692" t="s">
        <v>36857</v>
      </c>
    </row>
    <row r="1693" spans="39:41" ht="12" customHeight="1" x14ac:dyDescent="0.2">
      <c r="AM1693" t="str">
        <f t="shared" si="26"/>
        <v>Blienschwiller [FRWMN]</v>
      </c>
      <c r="AN1693" t="s">
        <v>10850</v>
      </c>
      <c r="AO1693" t="s">
        <v>10851</v>
      </c>
    </row>
    <row r="1694" spans="39:41" ht="12" customHeight="1" x14ac:dyDescent="0.2">
      <c r="AM1694" t="str">
        <f t="shared" si="26"/>
        <v>Bligny [FRHYD]</v>
      </c>
      <c r="AN1694" t="s">
        <v>10852</v>
      </c>
      <c r="AO1694" t="s">
        <v>10853</v>
      </c>
    </row>
    <row r="1695" spans="39:41" ht="12" customHeight="1" x14ac:dyDescent="0.2">
      <c r="AM1695" t="str">
        <f t="shared" si="26"/>
        <v>Blind Bay [CABBY]</v>
      </c>
      <c r="AN1695" t="s">
        <v>3610</v>
      </c>
      <c r="AO1695" t="s">
        <v>3611</v>
      </c>
    </row>
    <row r="1696" spans="39:41" ht="12" customHeight="1" x14ac:dyDescent="0.2">
      <c r="AM1696" t="str">
        <f t="shared" si="26"/>
        <v>Blind River [CABLR]</v>
      </c>
      <c r="AN1696" t="s">
        <v>3612</v>
      </c>
      <c r="AO1696" t="s">
        <v>3613</v>
      </c>
    </row>
    <row r="1697" spans="39:41" ht="12" customHeight="1" x14ac:dyDescent="0.2">
      <c r="AM1697" t="str">
        <f t="shared" si="26"/>
        <v>Blinju, Banka [IDBLI]</v>
      </c>
      <c r="AN1697" t="s">
        <v>16215</v>
      </c>
      <c r="AO1697" t="s">
        <v>16216</v>
      </c>
    </row>
    <row r="1698" spans="39:41" ht="12" customHeight="1" x14ac:dyDescent="0.2">
      <c r="AM1698" t="str">
        <f t="shared" si="26"/>
        <v>Blokken [NOBLO]</v>
      </c>
      <c r="AN1698" t="s">
        <v>23918</v>
      </c>
      <c r="AO1698" t="s">
        <v>23919</v>
      </c>
    </row>
    <row r="1699" spans="39:41" ht="12" customHeight="1" x14ac:dyDescent="0.2">
      <c r="AM1699" t="str">
        <f t="shared" si="26"/>
        <v>Blomac [FRMWF]</v>
      </c>
      <c r="AN1699" t="s">
        <v>10854</v>
      </c>
      <c r="AO1699" t="s">
        <v>10855</v>
      </c>
    </row>
    <row r="1700" spans="39:41" ht="12" customHeight="1" x14ac:dyDescent="0.2">
      <c r="AM1700" t="str">
        <f t="shared" si="26"/>
        <v>Blomvag [NOBLV]</v>
      </c>
      <c r="AN1700" t="s">
        <v>23920</v>
      </c>
      <c r="AO1700" t="s">
        <v>36137</v>
      </c>
    </row>
    <row r="1701" spans="39:41" ht="12" customHeight="1" x14ac:dyDescent="0.2">
      <c r="AM1701" t="str">
        <f t="shared" si="26"/>
        <v>Blonay [CHBLY]</v>
      </c>
      <c r="AN1701" t="s">
        <v>4658</v>
      </c>
      <c r="AO1701" t="s">
        <v>4659</v>
      </c>
    </row>
    <row r="1702" spans="39:41" ht="12" customHeight="1" x14ac:dyDescent="0.2">
      <c r="AM1702" t="str">
        <f t="shared" si="26"/>
        <v>Blonduos [ISBLO]</v>
      </c>
      <c r="AN1702" t="s">
        <v>17677</v>
      </c>
      <c r="AO1702" t="s">
        <v>17678</v>
      </c>
    </row>
    <row r="1703" spans="39:41" ht="12" customHeight="1" x14ac:dyDescent="0.2">
      <c r="AM1703" t="str">
        <f t="shared" si="26"/>
        <v>Bloomer [USOOM]</v>
      </c>
      <c r="AN1703" t="s">
        <v>29017</v>
      </c>
      <c r="AO1703" t="s">
        <v>29018</v>
      </c>
    </row>
    <row r="1704" spans="39:41" ht="12" customHeight="1" x14ac:dyDescent="0.2">
      <c r="AM1704" t="str">
        <f t="shared" si="26"/>
        <v>Blossin [DEOIN]</v>
      </c>
      <c r="AN1704" t="s">
        <v>7124</v>
      </c>
      <c r="AO1704" t="s">
        <v>7125</v>
      </c>
    </row>
    <row r="1705" spans="39:41" ht="12" customHeight="1" x14ac:dyDescent="0.2">
      <c r="AM1705" t="str">
        <f t="shared" si="26"/>
        <v>Blount Island [USBI8]</v>
      </c>
      <c r="AN1705" t="s">
        <v>29019</v>
      </c>
      <c r="AO1705" t="s">
        <v>29020</v>
      </c>
    </row>
    <row r="1706" spans="39:41" ht="12" customHeight="1" x14ac:dyDescent="0.2">
      <c r="AM1706" t="str">
        <f t="shared" si="26"/>
        <v>Blowing Point [AIBLP]</v>
      </c>
      <c r="AN1706" t="s">
        <v>804</v>
      </c>
      <c r="AO1706" t="s">
        <v>805</v>
      </c>
    </row>
    <row r="1707" spans="39:41" ht="12" customHeight="1" x14ac:dyDescent="0.2">
      <c r="AM1707" t="str">
        <f t="shared" si="26"/>
        <v>Blubber Bay [CABBB]</v>
      </c>
      <c r="AN1707" t="s">
        <v>3614</v>
      </c>
      <c r="AO1707" t="s">
        <v>3615</v>
      </c>
    </row>
    <row r="1708" spans="39:41" ht="12" customHeight="1" x14ac:dyDescent="0.2">
      <c r="AM1708" t="str">
        <f t="shared" si="26"/>
        <v>Blue Earth [USLUF]</v>
      </c>
      <c r="AN1708" t="s">
        <v>29021</v>
      </c>
      <c r="AO1708" t="s">
        <v>29022</v>
      </c>
    </row>
    <row r="1709" spans="39:41" ht="12" customHeight="1" x14ac:dyDescent="0.2">
      <c r="AM1709" t="str">
        <f t="shared" si="26"/>
        <v>Bluefields [NIBEF]</v>
      </c>
      <c r="AN1709" t="s">
        <v>22988</v>
      </c>
      <c r="AO1709" t="s">
        <v>22989</v>
      </c>
    </row>
    <row r="1710" spans="39:41" ht="12" customHeight="1" x14ac:dyDescent="0.2">
      <c r="AM1710" t="str">
        <f t="shared" si="26"/>
        <v>Bluff [NZBLU]</v>
      </c>
      <c r="AN1710" t="s">
        <v>25055</v>
      </c>
      <c r="AO1710" t="s">
        <v>25056</v>
      </c>
    </row>
    <row r="1711" spans="39:41" ht="12" customHeight="1" x14ac:dyDescent="0.2">
      <c r="AM1711" t="str">
        <f t="shared" si="26"/>
        <v>Blumenau [BRBNU]</v>
      </c>
      <c r="AN1711" t="s">
        <v>3276</v>
      </c>
      <c r="AO1711" t="s">
        <v>3277</v>
      </c>
    </row>
    <row r="1712" spans="39:41" ht="12" customHeight="1" x14ac:dyDescent="0.2">
      <c r="AM1712" t="str">
        <f t="shared" si="26"/>
        <v>Blumenthal/Bremen [DEBLM]</v>
      </c>
      <c r="AN1712" t="s">
        <v>7126</v>
      </c>
      <c r="AO1712" t="s">
        <v>7127</v>
      </c>
    </row>
    <row r="1713" spans="39:41" ht="12" customHeight="1" x14ac:dyDescent="0.2">
      <c r="AM1713" t="str">
        <f t="shared" si="26"/>
        <v>Blyth [GBBLY]</v>
      </c>
      <c r="AN1713" t="s">
        <v>12552</v>
      </c>
      <c r="AO1713" t="s">
        <v>12553</v>
      </c>
    </row>
    <row r="1714" spans="39:41" ht="12" customHeight="1" x14ac:dyDescent="0.2">
      <c r="AM1714" t="str">
        <f t="shared" si="26"/>
        <v>Blyth [GBYTH]</v>
      </c>
      <c r="AN1714" t="s">
        <v>12554</v>
      </c>
      <c r="AO1714" t="s">
        <v>12553</v>
      </c>
    </row>
    <row r="1715" spans="39:41" ht="12" customHeight="1" x14ac:dyDescent="0.2">
      <c r="AM1715" t="str">
        <f t="shared" si="26"/>
        <v>Boac, Marinduque [PHBOA]</v>
      </c>
      <c r="AN1715" t="s">
        <v>25611</v>
      </c>
      <c r="AO1715" t="s">
        <v>25612</v>
      </c>
    </row>
    <row r="1716" spans="39:41" ht="12" customHeight="1" x14ac:dyDescent="0.2">
      <c r="AM1716" t="str">
        <f t="shared" si="26"/>
        <v>Boadilla del Monte [ESBOA]</v>
      </c>
      <c r="AN1716" t="s">
        <v>9642</v>
      </c>
      <c r="AO1716" t="s">
        <v>9643</v>
      </c>
    </row>
    <row r="1717" spans="39:41" ht="12" customHeight="1" x14ac:dyDescent="0.2">
      <c r="AM1717" t="str">
        <f t="shared" si="26"/>
        <v>Boao [CNBOA]</v>
      </c>
      <c r="AN1717" t="s">
        <v>5080</v>
      </c>
      <c r="AO1717" t="s">
        <v>5081</v>
      </c>
    </row>
    <row r="1718" spans="39:41" ht="12" customHeight="1" x14ac:dyDescent="0.2">
      <c r="AM1718" t="str">
        <f t="shared" si="26"/>
        <v>Boarnsterhim [NLBNH]</v>
      </c>
      <c r="AN1718" t="s">
        <v>23066</v>
      </c>
      <c r="AO1718" t="s">
        <v>23067</v>
      </c>
    </row>
    <row r="1719" spans="39:41" ht="12" customHeight="1" x14ac:dyDescent="0.2">
      <c r="AM1719" t="str">
        <f t="shared" si="26"/>
        <v>Bobcaygeon [CABOB]</v>
      </c>
      <c r="AN1719" t="s">
        <v>3616</v>
      </c>
      <c r="AO1719" t="s">
        <v>3617</v>
      </c>
    </row>
    <row r="1720" spans="39:41" ht="12" customHeight="1" x14ac:dyDescent="0.2">
      <c r="AM1720" t="str">
        <f t="shared" si="26"/>
        <v>Bobin [AUBOB]</v>
      </c>
      <c r="AN1720" t="s">
        <v>1457</v>
      </c>
      <c r="AO1720" t="s">
        <v>1458</v>
      </c>
    </row>
    <row r="1721" spans="39:41" ht="12" customHeight="1" x14ac:dyDescent="0.2">
      <c r="AM1721" t="str">
        <f t="shared" si="26"/>
        <v>Boblingen [DEBOE]</v>
      </c>
      <c r="AN1721" t="s">
        <v>7128</v>
      </c>
      <c r="AO1721" t="s">
        <v>35416</v>
      </c>
    </row>
    <row r="1722" spans="39:41" ht="12" customHeight="1" x14ac:dyDescent="0.2">
      <c r="AM1722" t="str">
        <f t="shared" si="26"/>
        <v>Boca Chica [DOBCC]</v>
      </c>
      <c r="AN1722" t="s">
        <v>8990</v>
      </c>
      <c r="AO1722" t="s">
        <v>8991</v>
      </c>
    </row>
    <row r="1723" spans="39:41" ht="12" customHeight="1" x14ac:dyDescent="0.2">
      <c r="AM1723" t="str">
        <f t="shared" si="26"/>
        <v>Boca Chica [PABCC]</v>
      </c>
      <c r="AN1723" t="s">
        <v>25179</v>
      </c>
      <c r="AO1723" t="s">
        <v>8991</v>
      </c>
    </row>
    <row r="1724" spans="39:41" ht="12" customHeight="1" x14ac:dyDescent="0.2">
      <c r="AM1724" t="str">
        <f t="shared" si="26"/>
        <v>Boca del Rio [MXBDR]</v>
      </c>
      <c r="AN1724" t="s">
        <v>22318</v>
      </c>
      <c r="AO1724" t="s">
        <v>36086</v>
      </c>
    </row>
    <row r="1725" spans="39:41" ht="12" customHeight="1" x14ac:dyDescent="0.2">
      <c r="AM1725" t="str">
        <f t="shared" si="26"/>
        <v>Boca Grande [CUBOG]</v>
      </c>
      <c r="AN1725" t="s">
        <v>6668</v>
      </c>
      <c r="AO1725" t="s">
        <v>6669</v>
      </c>
    </row>
    <row r="1726" spans="39:41" ht="12" customHeight="1" x14ac:dyDescent="0.2">
      <c r="AM1726" t="str">
        <f t="shared" si="26"/>
        <v>Boca Grande [USBCG]</v>
      </c>
      <c r="AN1726" t="s">
        <v>29023</v>
      </c>
      <c r="AO1726" t="s">
        <v>6669</v>
      </c>
    </row>
    <row r="1727" spans="39:41" ht="12" customHeight="1" x14ac:dyDescent="0.2">
      <c r="AM1727" t="str">
        <f t="shared" si="26"/>
        <v>Bocas del Toro [PABOC]</v>
      </c>
      <c r="AN1727" t="s">
        <v>25180</v>
      </c>
      <c r="AO1727" t="s">
        <v>25181</v>
      </c>
    </row>
    <row r="1728" spans="39:41" ht="12" customHeight="1" x14ac:dyDescent="0.2">
      <c r="AM1728" t="str">
        <f t="shared" si="26"/>
        <v>Bocholt [BEBOC]</v>
      </c>
      <c r="AN1728" t="s">
        <v>2312</v>
      </c>
      <c r="AO1728" t="s">
        <v>2313</v>
      </c>
    </row>
    <row r="1729" spans="39:41" ht="12" customHeight="1" x14ac:dyDescent="0.2">
      <c r="AM1729" t="str">
        <f t="shared" ref="AM1729:AM1791" si="27">AO1729 &amp; " [" &amp; AN1729 &amp; "]"</f>
        <v>Bock Cay [BSBKC]</v>
      </c>
      <c r="AN1729" t="s">
        <v>3417</v>
      </c>
      <c r="AO1729" t="s">
        <v>3418</v>
      </c>
    </row>
    <row r="1730" spans="39:41" ht="12" customHeight="1" x14ac:dyDescent="0.2">
      <c r="AM1730" t="str">
        <f t="shared" si="27"/>
        <v>Bockenem [DECKK]</v>
      </c>
      <c r="AN1730" t="s">
        <v>7129</v>
      </c>
      <c r="AO1730" t="s">
        <v>7130</v>
      </c>
    </row>
    <row r="1731" spans="39:41" ht="12" customHeight="1" x14ac:dyDescent="0.2">
      <c r="AM1731" t="str">
        <f t="shared" si="27"/>
        <v>Bockholdt [DEBCO]</v>
      </c>
      <c r="AN1731" t="s">
        <v>7131</v>
      </c>
      <c r="AO1731" t="s">
        <v>7132</v>
      </c>
    </row>
    <row r="1732" spans="39:41" ht="12" customHeight="1" x14ac:dyDescent="0.2">
      <c r="AM1732" t="str">
        <f t="shared" si="27"/>
        <v>Bockhorst [DEBOC]</v>
      </c>
      <c r="AN1732" t="s">
        <v>7133</v>
      </c>
      <c r="AO1732" t="s">
        <v>7134</v>
      </c>
    </row>
    <row r="1733" spans="39:41" ht="12" customHeight="1" x14ac:dyDescent="0.2">
      <c r="AM1733" t="str">
        <f t="shared" si="27"/>
        <v>Boda [SEBDQ]</v>
      </c>
      <c r="AN1733" t="s">
        <v>27517</v>
      </c>
      <c r="AO1733" t="s">
        <v>36425</v>
      </c>
    </row>
    <row r="1734" spans="39:41" ht="12" customHeight="1" x14ac:dyDescent="0.2">
      <c r="AM1734" t="str">
        <f t="shared" si="27"/>
        <v>Boddam [GBDMB]</v>
      </c>
      <c r="AN1734" t="s">
        <v>12555</v>
      </c>
      <c r="AO1734" t="s">
        <v>12556</v>
      </c>
    </row>
    <row r="1735" spans="39:41" ht="12" customHeight="1" x14ac:dyDescent="0.2">
      <c r="AM1735" t="str">
        <f t="shared" si="27"/>
        <v>Bodega Bay [USDHB]</v>
      </c>
      <c r="AN1735" t="s">
        <v>29024</v>
      </c>
      <c r="AO1735" t="s">
        <v>29025</v>
      </c>
    </row>
    <row r="1736" spans="39:41" ht="12" customHeight="1" x14ac:dyDescent="0.2">
      <c r="AM1736" t="str">
        <f t="shared" si="27"/>
        <v>Bodegraven [NLBOG]</v>
      </c>
      <c r="AN1736" t="s">
        <v>23068</v>
      </c>
      <c r="AO1736" t="s">
        <v>23069</v>
      </c>
    </row>
    <row r="1737" spans="39:41" ht="12" customHeight="1" x14ac:dyDescent="0.2">
      <c r="AM1737" t="str">
        <f t="shared" si="27"/>
        <v>Bodenteich [DEBTC]</v>
      </c>
      <c r="AN1737" t="s">
        <v>7135</v>
      </c>
      <c r="AO1737" t="s">
        <v>7136</v>
      </c>
    </row>
    <row r="1738" spans="39:41" ht="12" customHeight="1" x14ac:dyDescent="0.2">
      <c r="AM1738" t="str">
        <f t="shared" si="27"/>
        <v>Bodffordd [GBBFO]</v>
      </c>
      <c r="AN1738" t="s">
        <v>12557</v>
      </c>
      <c r="AO1738" t="s">
        <v>12558</v>
      </c>
    </row>
    <row r="1739" spans="39:41" ht="12" customHeight="1" x14ac:dyDescent="0.2">
      <c r="AM1739" t="str">
        <f t="shared" si="27"/>
        <v>Bodo [NOBOO]</v>
      </c>
      <c r="AN1739" t="s">
        <v>23921</v>
      </c>
      <c r="AO1739" t="s">
        <v>36138</v>
      </c>
    </row>
    <row r="1740" spans="39:41" ht="12" customHeight="1" x14ac:dyDescent="0.2">
      <c r="AM1740" t="str">
        <f t="shared" si="27"/>
        <v>Bodrum [TRBXN]</v>
      </c>
      <c r="AN1740" t="s">
        <v>28421</v>
      </c>
      <c r="AO1740" t="s">
        <v>28422</v>
      </c>
    </row>
    <row r="1741" spans="39:41" ht="12" customHeight="1" x14ac:dyDescent="0.2">
      <c r="AM1741" t="str">
        <f t="shared" si="27"/>
        <v>Boekhoute [BEBHE]</v>
      </c>
      <c r="AN1741" t="s">
        <v>2314</v>
      </c>
      <c r="AO1741" t="s">
        <v>2315</v>
      </c>
    </row>
    <row r="1742" spans="39:41" ht="12" customHeight="1" x14ac:dyDescent="0.2">
      <c r="AM1742" t="str">
        <f t="shared" si="27"/>
        <v>Boffzen [DEBFF]</v>
      </c>
      <c r="AN1742" t="s">
        <v>7137</v>
      </c>
      <c r="AO1742" t="s">
        <v>7138</v>
      </c>
    </row>
    <row r="1743" spans="39:41" ht="12" customHeight="1" x14ac:dyDescent="0.2">
      <c r="AM1743" t="str">
        <f t="shared" si="27"/>
        <v>Bogale [MMBOG]</v>
      </c>
      <c r="AN1743" t="s">
        <v>22182</v>
      </c>
      <c r="AO1743" t="s">
        <v>22183</v>
      </c>
    </row>
    <row r="1744" spans="39:41" ht="12" customHeight="1" x14ac:dyDescent="0.2">
      <c r="AM1744" t="str">
        <f t="shared" si="27"/>
        <v>Bogart [USZZB]</v>
      </c>
      <c r="AN1744" t="s">
        <v>29026</v>
      </c>
      <c r="AO1744" t="s">
        <v>29027</v>
      </c>
    </row>
    <row r="1745" spans="39:41" ht="12" customHeight="1" x14ac:dyDescent="0.2">
      <c r="AM1745" t="str">
        <f t="shared" si="27"/>
        <v>Bogazagzi [TRBOG]</v>
      </c>
      <c r="AN1745" t="s">
        <v>28423</v>
      </c>
      <c r="AO1745" t="s">
        <v>28424</v>
      </c>
    </row>
    <row r="1746" spans="39:41" ht="12" customHeight="1" x14ac:dyDescent="0.2">
      <c r="AM1746" t="str">
        <f t="shared" si="27"/>
        <v>Bogen [NOBOG]</v>
      </c>
      <c r="AN1746" t="s">
        <v>23922</v>
      </c>
      <c r="AO1746" t="s">
        <v>23923</v>
      </c>
    </row>
    <row r="1747" spans="39:41" ht="12" customHeight="1" x14ac:dyDescent="0.2">
      <c r="AM1747" t="str">
        <f t="shared" si="27"/>
        <v>Bogense [DKBGZ]</v>
      </c>
      <c r="AN1747" t="s">
        <v>8640</v>
      </c>
      <c r="AO1747" t="s">
        <v>8641</v>
      </c>
    </row>
    <row r="1748" spans="39:41" ht="12" customHeight="1" x14ac:dyDescent="0.2">
      <c r="AM1748" t="str">
        <f t="shared" si="27"/>
        <v>Bognes [NOBON]</v>
      </c>
      <c r="AN1748" t="s">
        <v>23924</v>
      </c>
      <c r="AO1748" t="s">
        <v>23925</v>
      </c>
    </row>
    <row r="1749" spans="39:41" ht="12" customHeight="1" x14ac:dyDescent="0.2">
      <c r="AM1749" t="str">
        <f t="shared" si="27"/>
        <v>Bognor Regis [GBBSI]</v>
      </c>
      <c r="AN1749" t="s">
        <v>12559</v>
      </c>
      <c r="AO1749" t="s">
        <v>12560</v>
      </c>
    </row>
    <row r="1750" spans="39:41" ht="12" customHeight="1" x14ac:dyDescent="0.2">
      <c r="AM1750" t="str">
        <f t="shared" si="27"/>
        <v>Bogo [PHBOG]</v>
      </c>
      <c r="AN1750" t="s">
        <v>25613</v>
      </c>
      <c r="AO1750" t="s">
        <v>25614</v>
      </c>
    </row>
    <row r="1751" spans="39:41" ht="12" customHeight="1" x14ac:dyDescent="0.2">
      <c r="AM1751" t="str">
        <f t="shared" si="27"/>
        <v>Bogo By [DKBOG]</v>
      </c>
      <c r="AN1751" t="s">
        <v>8642</v>
      </c>
      <c r="AO1751" t="s">
        <v>8643</v>
      </c>
    </row>
    <row r="1752" spans="39:41" ht="12" customHeight="1" x14ac:dyDescent="0.2">
      <c r="AM1752" t="str">
        <f t="shared" si="27"/>
        <v>Bogoy [NOOYB]</v>
      </c>
      <c r="AN1752" t="s">
        <v>23926</v>
      </c>
      <c r="AO1752" t="s">
        <v>36139</v>
      </c>
    </row>
    <row r="1753" spans="39:41" ht="12" customHeight="1" x14ac:dyDescent="0.2">
      <c r="AM1753" t="str">
        <f t="shared" si="27"/>
        <v>Bogy [FRYGO]</v>
      </c>
      <c r="AN1753" t="s">
        <v>10856</v>
      </c>
      <c r="AO1753" t="s">
        <v>10857</v>
      </c>
    </row>
    <row r="1754" spans="39:41" ht="12" customHeight="1" x14ac:dyDescent="0.2">
      <c r="AM1754" t="str">
        <f t="shared" si="27"/>
        <v>Bohas [FRHOB]</v>
      </c>
      <c r="AN1754" t="s">
        <v>10858</v>
      </c>
      <c r="AO1754" t="s">
        <v>10859</v>
      </c>
    </row>
    <row r="1755" spans="39:41" ht="12" customHeight="1" x14ac:dyDescent="0.2">
      <c r="AM1755" t="str">
        <f t="shared" si="27"/>
        <v>Bohdalice [CZBDC]</v>
      </c>
      <c r="AN1755" t="s">
        <v>6784</v>
      </c>
      <c r="AO1755" t="s">
        <v>6785</v>
      </c>
    </row>
    <row r="1756" spans="39:41" ht="12" customHeight="1" x14ac:dyDescent="0.2">
      <c r="AM1756" t="str">
        <f t="shared" si="27"/>
        <v>Bohdomari [JPBDM]</v>
      </c>
      <c r="AN1756" t="s">
        <v>18665</v>
      </c>
      <c r="AO1756" t="s">
        <v>18666</v>
      </c>
    </row>
    <row r="1757" spans="39:41" ht="12" customHeight="1" x14ac:dyDescent="0.2">
      <c r="AM1757" t="str">
        <f t="shared" si="27"/>
        <v>Bohe [CNDBX]</v>
      </c>
      <c r="AN1757" t="s">
        <v>5082</v>
      </c>
      <c r="AO1757" t="s">
        <v>5083</v>
      </c>
    </row>
    <row r="1758" spans="39:41" ht="12" customHeight="1" x14ac:dyDescent="0.2">
      <c r="AM1758" t="str">
        <f t="shared" si="27"/>
        <v>Bohlerwenk [ATBOE]</v>
      </c>
      <c r="AN1758" t="s">
        <v>1170</v>
      </c>
      <c r="AO1758" t="s">
        <v>35256</v>
      </c>
    </row>
    <row r="1759" spans="39:41" ht="12" customHeight="1" x14ac:dyDescent="0.2">
      <c r="AM1759" t="str">
        <f t="shared" si="27"/>
        <v>Bohus [SEBOH]</v>
      </c>
      <c r="AN1759" t="s">
        <v>27518</v>
      </c>
      <c r="AO1759" t="s">
        <v>27519</v>
      </c>
    </row>
    <row r="1760" spans="39:41" ht="12" customHeight="1" x14ac:dyDescent="0.2">
      <c r="AM1760" t="str">
        <f t="shared" si="27"/>
        <v>Boigu Island [PGBOI]</v>
      </c>
      <c r="AN1760" t="s">
        <v>25360</v>
      </c>
      <c r="AO1760" t="s">
        <v>25361</v>
      </c>
    </row>
    <row r="1761" spans="39:41" ht="12" customHeight="1" x14ac:dyDescent="0.2">
      <c r="AM1761" t="str">
        <f t="shared" si="27"/>
        <v>Boissettes [FRBCQ]</v>
      </c>
      <c r="AN1761" t="s">
        <v>10860</v>
      </c>
      <c r="AO1761" t="s">
        <v>10861</v>
      </c>
    </row>
    <row r="1762" spans="39:41" ht="12" customHeight="1" x14ac:dyDescent="0.2">
      <c r="AM1762" t="str">
        <f t="shared" si="27"/>
        <v>Boizenburg [DEBOI]</v>
      </c>
      <c r="AN1762" t="s">
        <v>7139</v>
      </c>
      <c r="AO1762" t="s">
        <v>7140</v>
      </c>
    </row>
    <row r="1763" spans="39:41" ht="12" customHeight="1" x14ac:dyDescent="0.2">
      <c r="AM1763" t="str">
        <f t="shared" si="27"/>
        <v>Bojden [DKBOS]</v>
      </c>
      <c r="AN1763" t="s">
        <v>8644</v>
      </c>
      <c r="AO1763" t="s">
        <v>35528</v>
      </c>
    </row>
    <row r="1764" spans="39:41" ht="12" customHeight="1" x14ac:dyDescent="0.2">
      <c r="AM1764" t="str">
        <f t="shared" si="27"/>
        <v>Bokel [DEBOK]</v>
      </c>
      <c r="AN1764" t="s">
        <v>7141</v>
      </c>
      <c r="AO1764" t="s">
        <v>7142</v>
      </c>
    </row>
    <row r="1765" spans="39:41" ht="12" customHeight="1" x14ac:dyDescent="0.2">
      <c r="AM1765" t="str">
        <f t="shared" si="27"/>
        <v>Bokn [NOBOK]</v>
      </c>
      <c r="AN1765" t="s">
        <v>23927</v>
      </c>
      <c r="AO1765" t="s">
        <v>23928</v>
      </c>
    </row>
    <row r="1766" spans="39:41" ht="12" customHeight="1" x14ac:dyDescent="0.2">
      <c r="AM1766" t="str">
        <f t="shared" si="27"/>
        <v>Bol [HRBOL]</v>
      </c>
      <c r="AN1766" t="s">
        <v>15708</v>
      </c>
      <c r="AO1766" t="s">
        <v>15709</v>
      </c>
    </row>
    <row r="1767" spans="39:41" ht="12" customHeight="1" x14ac:dyDescent="0.2">
      <c r="AM1767" t="str">
        <f t="shared" si="27"/>
        <v>Bolama [GWBOL]</v>
      </c>
      <c r="AN1767" t="s">
        <v>15621</v>
      </c>
      <c r="AO1767" t="s">
        <v>15622</v>
      </c>
    </row>
    <row r="1768" spans="39:41" ht="12" customHeight="1" x14ac:dyDescent="0.2">
      <c r="AM1768" t="str">
        <f t="shared" si="27"/>
        <v>Bolatice [CZBOL]</v>
      </c>
      <c r="AN1768" t="s">
        <v>6786</v>
      </c>
      <c r="AO1768" t="s">
        <v>6787</v>
      </c>
    </row>
    <row r="1769" spans="39:41" ht="12" customHeight="1" x14ac:dyDescent="0.2">
      <c r="AM1769" t="str">
        <f t="shared" si="27"/>
        <v>Bolinas [USB27]</v>
      </c>
      <c r="AN1769" t="s">
        <v>29028</v>
      </c>
      <c r="AO1769" t="s">
        <v>29029</v>
      </c>
    </row>
    <row r="1770" spans="39:41" ht="12" customHeight="1" x14ac:dyDescent="0.2">
      <c r="AM1770" t="str">
        <f t="shared" si="27"/>
        <v>Bollene [FRBXO]</v>
      </c>
      <c r="AN1770" t="s">
        <v>10862</v>
      </c>
      <c r="AO1770" t="s">
        <v>10863</v>
      </c>
    </row>
    <row r="1771" spans="39:41" ht="12" customHeight="1" x14ac:dyDescent="0.2">
      <c r="AM1771" t="str">
        <f t="shared" si="27"/>
        <v>Bollstabruk [SEBOL]</v>
      </c>
      <c r="AN1771" t="s">
        <v>27520</v>
      </c>
      <c r="AO1771" t="s">
        <v>27521</v>
      </c>
    </row>
    <row r="1772" spans="39:41" ht="12" customHeight="1" x14ac:dyDescent="0.2">
      <c r="AM1772" t="str">
        <f t="shared" si="27"/>
        <v>Bolos Point/Aparri [PHBLP]</v>
      </c>
      <c r="AN1772" t="s">
        <v>25615</v>
      </c>
      <c r="AO1772" t="s">
        <v>25616</v>
      </c>
    </row>
    <row r="1773" spans="39:41" ht="12" customHeight="1" x14ac:dyDescent="0.2">
      <c r="AM1773" t="str">
        <f t="shared" si="27"/>
        <v>Bolshoy Kamen [RUBKN]</v>
      </c>
      <c r="AN1773" t="s">
        <v>26901</v>
      </c>
      <c r="AO1773" t="s">
        <v>26902</v>
      </c>
    </row>
    <row r="1774" spans="39:41" ht="12" customHeight="1" x14ac:dyDescent="0.2">
      <c r="AM1774" t="str">
        <f t="shared" si="27"/>
        <v>Bolt Head [GBLTD]</v>
      </c>
      <c r="AN1774" t="s">
        <v>12561</v>
      </c>
      <c r="AO1774" t="s">
        <v>12562</v>
      </c>
    </row>
    <row r="1775" spans="39:41" ht="12" customHeight="1" x14ac:dyDescent="0.2">
      <c r="AM1775" t="str">
        <f t="shared" si="27"/>
        <v>Bolton [GBBLT]</v>
      </c>
      <c r="AN1775" t="s">
        <v>12563</v>
      </c>
      <c r="AO1775" t="s">
        <v>12564</v>
      </c>
    </row>
    <row r="1776" spans="39:41" ht="12" customHeight="1" x14ac:dyDescent="0.2">
      <c r="AM1776" t="str">
        <f t="shared" si="27"/>
        <v>Bolton Landing [USZBI]</v>
      </c>
      <c r="AN1776" t="s">
        <v>29030</v>
      </c>
      <c r="AO1776" t="s">
        <v>29031</v>
      </c>
    </row>
    <row r="1777" spans="39:41" ht="12" customHeight="1" x14ac:dyDescent="0.2">
      <c r="AM1777" t="str">
        <f t="shared" si="27"/>
        <v>Bolu [TRBOL]</v>
      </c>
      <c r="AN1777" t="s">
        <v>28425</v>
      </c>
      <c r="AO1777" t="s">
        <v>28426</v>
      </c>
    </row>
    <row r="1778" spans="39:41" ht="12" customHeight="1" x14ac:dyDescent="0.2">
      <c r="AM1778" t="str">
        <f t="shared" si="27"/>
        <v>Bolungarvik [ISBOL]</v>
      </c>
      <c r="AN1778" t="s">
        <v>17679</v>
      </c>
      <c r="AO1778" t="s">
        <v>17680</v>
      </c>
    </row>
    <row r="1779" spans="39:41" ht="12" customHeight="1" x14ac:dyDescent="0.2">
      <c r="AM1779" t="str">
        <f t="shared" si="27"/>
        <v>Boma [CDBOA]</v>
      </c>
      <c r="AN1779" t="s">
        <v>4619</v>
      </c>
      <c r="AO1779" t="s">
        <v>4620</v>
      </c>
    </row>
    <row r="1780" spans="39:41" ht="12" customHeight="1" x14ac:dyDescent="0.2">
      <c r="AM1780" t="str">
        <f t="shared" si="27"/>
        <v>Boma [JPBOM]</v>
      </c>
      <c r="AN1780" t="s">
        <v>18667</v>
      </c>
      <c r="AO1780" t="s">
        <v>4620</v>
      </c>
    </row>
    <row r="1781" spans="39:41" ht="12" customHeight="1" x14ac:dyDescent="0.2">
      <c r="AM1781" t="str">
        <f t="shared" si="27"/>
        <v>Bomaderry [AUBDY]</v>
      </c>
      <c r="AN1781" t="s">
        <v>1459</v>
      </c>
      <c r="AO1781" t="s">
        <v>1460</v>
      </c>
    </row>
    <row r="1782" spans="39:41" ht="12" customHeight="1" x14ac:dyDescent="0.2">
      <c r="AM1782" t="str">
        <f t="shared" si="27"/>
        <v>Bomlo [NOBOM]</v>
      </c>
      <c r="AN1782" t="s">
        <v>23929</v>
      </c>
      <c r="AO1782" t="s">
        <v>36140</v>
      </c>
    </row>
    <row r="1783" spans="39:41" ht="12" customHeight="1" x14ac:dyDescent="0.2">
      <c r="AM1783" t="str">
        <f t="shared" si="27"/>
        <v>Bonaire [BQBON]</v>
      </c>
      <c r="AN1783" t="s">
        <v>3237</v>
      </c>
      <c r="AO1783" t="s">
        <v>3238</v>
      </c>
    </row>
    <row r="1784" spans="39:41" ht="12" customHeight="1" x14ac:dyDescent="0.2">
      <c r="AM1784" t="str">
        <f t="shared" si="27"/>
        <v>Boncourt-le-Bois [FRFAX]</v>
      </c>
      <c r="AN1784" t="s">
        <v>10864</v>
      </c>
      <c r="AO1784" t="s">
        <v>10865</v>
      </c>
    </row>
    <row r="1785" spans="39:41" ht="12" customHeight="1" x14ac:dyDescent="0.2">
      <c r="AM1785" t="str">
        <f t="shared" si="27"/>
        <v>Boneset - Karmoy [NOBOE]</v>
      </c>
      <c r="AN1785" t="s">
        <v>23930</v>
      </c>
      <c r="AO1785" t="s">
        <v>36141</v>
      </c>
    </row>
    <row r="1786" spans="39:41" ht="12" customHeight="1" x14ac:dyDescent="0.2">
      <c r="AM1786" t="str">
        <f t="shared" si="27"/>
        <v>Bo'ness [GBBON]</v>
      </c>
      <c r="AN1786" t="s">
        <v>12565</v>
      </c>
      <c r="AO1786" t="s">
        <v>12566</v>
      </c>
    </row>
    <row r="1787" spans="39:41" ht="12" customHeight="1" x14ac:dyDescent="0.2">
      <c r="AM1787" t="str">
        <f t="shared" si="27"/>
        <v>Bong Sen [VNBSE]</v>
      </c>
      <c r="AN1787" t="s">
        <v>32316</v>
      </c>
      <c r="AO1787" t="s">
        <v>36593</v>
      </c>
    </row>
    <row r="1788" spans="39:41" ht="12" customHeight="1" x14ac:dyDescent="0.2">
      <c r="AM1788" t="str">
        <f t="shared" si="27"/>
        <v>Bong Son [VNHNH]</v>
      </c>
      <c r="AN1788" t="s">
        <v>32317</v>
      </c>
      <c r="AO1788" t="s">
        <v>32318</v>
      </c>
    </row>
    <row r="1789" spans="39:41" ht="12" customHeight="1" x14ac:dyDescent="0.2">
      <c r="AM1789" t="str">
        <f t="shared" si="27"/>
        <v>Bongards [USYBG]</v>
      </c>
      <c r="AN1789" t="s">
        <v>29032</v>
      </c>
      <c r="AO1789" t="s">
        <v>29033</v>
      </c>
    </row>
    <row r="1790" spans="39:41" ht="12" customHeight="1" x14ac:dyDescent="0.2">
      <c r="AM1790" t="str">
        <f t="shared" si="27"/>
        <v>Bonggala [IDBNG]</v>
      </c>
      <c r="AN1790" t="s">
        <v>16217</v>
      </c>
      <c r="AO1790" t="s">
        <v>16218</v>
      </c>
    </row>
    <row r="1791" spans="39:41" ht="12" customHeight="1" x14ac:dyDescent="0.2">
      <c r="AM1791" t="str">
        <f t="shared" si="27"/>
        <v>Bonifacio [FRBON]</v>
      </c>
      <c r="AN1791" t="s">
        <v>10866</v>
      </c>
      <c r="AO1791" t="s">
        <v>10867</v>
      </c>
    </row>
    <row r="1792" spans="39:41" ht="12" customHeight="1" x14ac:dyDescent="0.2">
      <c r="AM1792" t="str">
        <f t="shared" ref="AM1792:AM1855" si="28">AO1792 &amp; " [" &amp; AN1792 &amp; "]"</f>
        <v>Bonifay [USYBY]</v>
      </c>
      <c r="AN1792" t="s">
        <v>29034</v>
      </c>
      <c r="AO1792" t="s">
        <v>29035</v>
      </c>
    </row>
    <row r="1793" spans="39:41" ht="12" customHeight="1" x14ac:dyDescent="0.2">
      <c r="AM1793" t="str">
        <f t="shared" si="28"/>
        <v>Bonn [DEBON]</v>
      </c>
      <c r="AN1793" t="s">
        <v>7143</v>
      </c>
      <c r="AO1793" t="s">
        <v>7144</v>
      </c>
    </row>
    <row r="1794" spans="39:41" ht="12" customHeight="1" x14ac:dyDescent="0.2">
      <c r="AM1794" t="str">
        <f t="shared" si="28"/>
        <v>Bonneil [FRMQP]</v>
      </c>
      <c r="AN1794" t="s">
        <v>10868</v>
      </c>
      <c r="AO1794" t="s">
        <v>10869</v>
      </c>
    </row>
    <row r="1795" spans="39:41" ht="12" customHeight="1" x14ac:dyDescent="0.2">
      <c r="AM1795" t="str">
        <f t="shared" si="28"/>
        <v>Bonnelles [FREFG]</v>
      </c>
      <c r="AN1795" t="s">
        <v>10870</v>
      </c>
      <c r="AO1795" t="s">
        <v>10871</v>
      </c>
    </row>
    <row r="1796" spans="39:41" ht="12" customHeight="1" x14ac:dyDescent="0.2">
      <c r="AM1796" t="str">
        <f t="shared" si="28"/>
        <v>Bonnencontre [FRHJK]</v>
      </c>
      <c r="AN1796" t="s">
        <v>10872</v>
      </c>
      <c r="AO1796" t="s">
        <v>10873</v>
      </c>
    </row>
    <row r="1797" spans="39:41" ht="12" customHeight="1" x14ac:dyDescent="0.2">
      <c r="AM1797" t="str">
        <f t="shared" si="28"/>
        <v>Bonners Ferry [USBF6]</v>
      </c>
      <c r="AN1797" t="s">
        <v>29036</v>
      </c>
      <c r="AO1797" t="s">
        <v>29037</v>
      </c>
    </row>
    <row r="1798" spans="39:41" ht="12" customHeight="1" x14ac:dyDescent="0.2">
      <c r="AM1798" t="str">
        <f t="shared" si="28"/>
        <v>Bonneuil-sur-Marne [FRBSM]</v>
      </c>
      <c r="AN1798" t="s">
        <v>36940</v>
      </c>
      <c r="AO1798" t="s">
        <v>36941</v>
      </c>
    </row>
    <row r="1799" spans="39:41" ht="12" customHeight="1" x14ac:dyDescent="0.2">
      <c r="AM1799" t="str">
        <f t="shared" si="28"/>
        <v>Bonnieres-sur-Seine [FRBNI]</v>
      </c>
      <c r="AN1799" t="s">
        <v>36942</v>
      </c>
      <c r="AO1799" t="s">
        <v>36943</v>
      </c>
    </row>
    <row r="1800" spans="39:41" ht="12" customHeight="1" x14ac:dyDescent="0.2">
      <c r="AM1800" t="str">
        <f t="shared" si="28"/>
        <v>Bonny [NGBON]</v>
      </c>
      <c r="AN1800" t="s">
        <v>22919</v>
      </c>
      <c r="AO1800" t="s">
        <v>22920</v>
      </c>
    </row>
    <row r="1801" spans="39:41" ht="12" customHeight="1" x14ac:dyDescent="0.2">
      <c r="AM1801" t="str">
        <f t="shared" si="28"/>
        <v>Bonsecours [FRBSC]</v>
      </c>
      <c r="AN1801" t="s">
        <v>10874</v>
      </c>
      <c r="AO1801" t="s">
        <v>10875</v>
      </c>
    </row>
    <row r="1802" spans="39:41" ht="12" customHeight="1" x14ac:dyDescent="0.2">
      <c r="AM1802" t="str">
        <f t="shared" si="28"/>
        <v>Bontang, Kl [IDBXT]</v>
      </c>
      <c r="AN1802" t="s">
        <v>16219</v>
      </c>
      <c r="AO1802" t="s">
        <v>16220</v>
      </c>
    </row>
    <row r="1803" spans="39:41" ht="12" customHeight="1" x14ac:dyDescent="0.2">
      <c r="AM1803" t="str">
        <f t="shared" si="28"/>
        <v>Bonthe [SLBTE]</v>
      </c>
      <c r="AN1803" t="s">
        <v>28078</v>
      </c>
      <c r="AO1803" t="s">
        <v>28079</v>
      </c>
    </row>
    <row r="1804" spans="39:41" ht="12" customHeight="1" x14ac:dyDescent="0.2">
      <c r="AM1804" t="str">
        <f t="shared" si="28"/>
        <v>Booby Island [AUBOO]</v>
      </c>
      <c r="AN1804" t="s">
        <v>1461</v>
      </c>
      <c r="AO1804" t="s">
        <v>1462</v>
      </c>
    </row>
    <row r="1805" spans="39:41" ht="12" customHeight="1" x14ac:dyDescent="0.2">
      <c r="AM1805" t="str">
        <f t="shared" si="28"/>
        <v>Boom [BEBOM]</v>
      </c>
      <c r="AN1805" t="s">
        <v>2316</v>
      </c>
      <c r="AO1805" t="s">
        <v>2317</v>
      </c>
    </row>
    <row r="1806" spans="39:41" ht="12" customHeight="1" x14ac:dyDescent="0.2">
      <c r="AM1806" t="str">
        <f t="shared" si="28"/>
        <v>Boondall [AUBOD]</v>
      </c>
      <c r="AN1806" t="s">
        <v>1463</v>
      </c>
      <c r="AO1806" t="s">
        <v>1464</v>
      </c>
    </row>
    <row r="1807" spans="39:41" ht="12" customHeight="1" x14ac:dyDescent="0.2">
      <c r="AM1807" t="str">
        <f t="shared" si="28"/>
        <v>Boornzwaag [NLBZW]</v>
      </c>
      <c r="AN1807" t="s">
        <v>23070</v>
      </c>
      <c r="AO1807" t="s">
        <v>23071</v>
      </c>
    </row>
    <row r="1808" spans="39:41" ht="12" customHeight="1" x14ac:dyDescent="0.2">
      <c r="AM1808" t="str">
        <f t="shared" si="28"/>
        <v>Boornzwaag over de Wielen [NLBWW]</v>
      </c>
      <c r="AN1808" t="s">
        <v>23072</v>
      </c>
      <c r="AO1808" t="s">
        <v>23073</v>
      </c>
    </row>
    <row r="1809" spans="39:41" ht="12" customHeight="1" x14ac:dyDescent="0.2">
      <c r="AM1809" t="str">
        <f t="shared" si="28"/>
        <v>Boorsem [BEBOO]</v>
      </c>
      <c r="AN1809" t="s">
        <v>2318</v>
      </c>
      <c r="AO1809" t="s">
        <v>2319</v>
      </c>
    </row>
    <row r="1810" spans="39:41" ht="12" customHeight="1" x14ac:dyDescent="0.2">
      <c r="AM1810" t="str">
        <f t="shared" si="28"/>
        <v>Boort [AUBOT]</v>
      </c>
      <c r="AN1810" t="s">
        <v>1465</v>
      </c>
      <c r="AO1810" t="s">
        <v>1466</v>
      </c>
    </row>
    <row r="1811" spans="39:41" ht="12" customHeight="1" x14ac:dyDescent="0.2">
      <c r="AM1811" t="str">
        <f t="shared" si="28"/>
        <v>Boortmeerbeek [BEBMB]</v>
      </c>
      <c r="AN1811" t="s">
        <v>2320</v>
      </c>
      <c r="AO1811" t="s">
        <v>2321</v>
      </c>
    </row>
    <row r="1812" spans="39:41" ht="12" customHeight="1" x14ac:dyDescent="0.2">
      <c r="AM1812" t="str">
        <f t="shared" si="28"/>
        <v>Boothbay Harbor [USOYH]</v>
      </c>
      <c r="AN1812" t="s">
        <v>29038</v>
      </c>
      <c r="AO1812" t="s">
        <v>29039</v>
      </c>
    </row>
    <row r="1813" spans="39:41" ht="12" customHeight="1" x14ac:dyDescent="0.2">
      <c r="AM1813" t="str">
        <f t="shared" si="28"/>
        <v>Bootle [GBBOE]</v>
      </c>
      <c r="AN1813" t="s">
        <v>12567</v>
      </c>
      <c r="AO1813" t="s">
        <v>12568</v>
      </c>
    </row>
    <row r="1814" spans="39:41" ht="12" customHeight="1" x14ac:dyDescent="0.2">
      <c r="AM1814" t="str">
        <f t="shared" si="28"/>
        <v>Bora-Bora [PFBOB]</v>
      </c>
      <c r="AN1814" t="s">
        <v>25320</v>
      </c>
      <c r="AO1814" t="s">
        <v>25321</v>
      </c>
    </row>
    <row r="1815" spans="39:41" ht="12" customHeight="1" x14ac:dyDescent="0.2">
      <c r="AM1815" t="str">
        <f t="shared" si="28"/>
        <v>Boracay [PHBOR]</v>
      </c>
      <c r="AN1815" t="s">
        <v>25617</v>
      </c>
      <c r="AO1815" t="s">
        <v>25618</v>
      </c>
    </row>
    <row r="1816" spans="39:41" ht="12" customHeight="1" x14ac:dyDescent="0.2">
      <c r="AM1816" t="str">
        <f t="shared" si="28"/>
        <v>Bordeaux [FRBOD]</v>
      </c>
      <c r="AN1816" t="s">
        <v>10876</v>
      </c>
      <c r="AO1816" t="s">
        <v>10877</v>
      </c>
    </row>
    <row r="1817" spans="39:41" ht="12" customHeight="1" x14ac:dyDescent="0.2">
      <c r="AM1817" t="str">
        <f t="shared" si="28"/>
        <v>Bordeaux-Bruges [FRGID]</v>
      </c>
      <c r="AN1817" t="s">
        <v>10878</v>
      </c>
      <c r="AO1817" t="s">
        <v>10879</v>
      </c>
    </row>
    <row r="1818" spans="39:41" ht="12" customHeight="1" x14ac:dyDescent="0.2">
      <c r="AM1818" t="str">
        <f t="shared" si="28"/>
        <v>Borden [CABOR]</v>
      </c>
      <c r="AN1818" t="s">
        <v>3618</v>
      </c>
      <c r="AO1818" t="s">
        <v>3619</v>
      </c>
    </row>
    <row r="1819" spans="39:41" ht="12" customHeight="1" x14ac:dyDescent="0.2">
      <c r="AM1819" t="str">
        <f t="shared" si="28"/>
        <v>Bordeyri [ISBOI]</v>
      </c>
      <c r="AN1819" t="s">
        <v>17681</v>
      </c>
      <c r="AO1819" t="s">
        <v>17682</v>
      </c>
    </row>
    <row r="1820" spans="39:41" ht="12" customHeight="1" x14ac:dyDescent="0.2">
      <c r="AM1820" t="str">
        <f t="shared" si="28"/>
        <v>Bordighera [ITBGH]</v>
      </c>
      <c r="AN1820" t="s">
        <v>17838</v>
      </c>
      <c r="AO1820" t="s">
        <v>17839</v>
      </c>
    </row>
    <row r="1821" spans="39:41" ht="12" customHeight="1" x14ac:dyDescent="0.2">
      <c r="AM1821" t="str">
        <f t="shared" si="28"/>
        <v>Borensberg [SEBOG]</v>
      </c>
      <c r="AN1821" t="s">
        <v>27522</v>
      </c>
      <c r="AO1821" t="s">
        <v>27523</v>
      </c>
    </row>
    <row r="1822" spans="39:41" ht="12" customHeight="1" x14ac:dyDescent="0.2">
      <c r="AM1822" t="str">
        <f t="shared" si="28"/>
        <v>Boretice [CZBTC]</v>
      </c>
      <c r="AN1822" t="s">
        <v>6788</v>
      </c>
      <c r="AO1822" t="s">
        <v>6789</v>
      </c>
    </row>
    <row r="1823" spans="39:41" ht="12" customHeight="1" x14ac:dyDescent="0.2">
      <c r="AM1823" t="str">
        <f t="shared" si="28"/>
        <v>Borga (Porvoo) [FIPRV]</v>
      </c>
      <c r="AN1823" t="s">
        <v>10317</v>
      </c>
      <c r="AO1823" t="s">
        <v>35710</v>
      </c>
    </row>
    <row r="1824" spans="39:41" ht="12" customHeight="1" x14ac:dyDescent="0.2">
      <c r="AM1824" t="str">
        <f t="shared" si="28"/>
        <v>Borgarfjordur eystri [ISBGJ]</v>
      </c>
      <c r="AN1824" t="s">
        <v>17683</v>
      </c>
      <c r="AO1824" t="s">
        <v>36039</v>
      </c>
    </row>
    <row r="1825" spans="39:41" ht="12" customHeight="1" x14ac:dyDescent="0.2">
      <c r="AM1825" t="str">
        <f t="shared" si="28"/>
        <v>Borgarnes [ISBOR]</v>
      </c>
      <c r="AN1825" t="s">
        <v>17684</v>
      </c>
      <c r="AO1825" t="s">
        <v>17685</v>
      </c>
    </row>
    <row r="1826" spans="39:41" ht="12" customHeight="1" x14ac:dyDescent="0.2">
      <c r="AM1826" t="str">
        <f t="shared" si="28"/>
        <v>Borgemoor [DEBMO]</v>
      </c>
      <c r="AN1826" t="s">
        <v>7145</v>
      </c>
      <c r="AO1826" t="s">
        <v>35417</v>
      </c>
    </row>
    <row r="1827" spans="39:41" ht="12" customHeight="1" x14ac:dyDescent="0.2">
      <c r="AM1827" t="str">
        <f t="shared" si="28"/>
        <v>Borgholm [SEBOM]</v>
      </c>
      <c r="AN1827" t="s">
        <v>27524</v>
      </c>
      <c r="AO1827" t="s">
        <v>27525</v>
      </c>
    </row>
    <row r="1828" spans="39:41" ht="12" customHeight="1" x14ac:dyDescent="0.2">
      <c r="AM1828" t="str">
        <f t="shared" si="28"/>
        <v>Borgstedt [DEBYT]</v>
      </c>
      <c r="AN1828" t="s">
        <v>7146</v>
      </c>
      <c r="AO1828" t="s">
        <v>7147</v>
      </c>
    </row>
    <row r="1829" spans="39:41" ht="12" customHeight="1" x14ac:dyDescent="0.2">
      <c r="AM1829" t="str">
        <f t="shared" si="28"/>
        <v>Borgsweer [NLBGW]</v>
      </c>
      <c r="AN1829" t="s">
        <v>23074</v>
      </c>
      <c r="AO1829" t="s">
        <v>23075</v>
      </c>
    </row>
    <row r="1830" spans="39:41" ht="12" customHeight="1" x14ac:dyDescent="0.2">
      <c r="AM1830" t="str">
        <f t="shared" si="28"/>
        <v>Borisova [RUBOR]</v>
      </c>
      <c r="AN1830" t="s">
        <v>26903</v>
      </c>
      <c r="AO1830" t="s">
        <v>26904</v>
      </c>
    </row>
    <row r="1831" spans="39:41" ht="12" customHeight="1" x14ac:dyDescent="0.2">
      <c r="AM1831" t="str">
        <f t="shared" si="28"/>
        <v>Borj Cedria [TNBJC]</v>
      </c>
      <c r="AN1831" t="s">
        <v>28336</v>
      </c>
      <c r="AO1831" t="s">
        <v>28337</v>
      </c>
    </row>
    <row r="1832" spans="39:41" ht="12" customHeight="1" x14ac:dyDescent="0.2">
      <c r="AM1832" t="str">
        <f t="shared" si="28"/>
        <v>Borkenes [NOBOS]</v>
      </c>
      <c r="AN1832" t="s">
        <v>23931</v>
      </c>
      <c r="AO1832" t="s">
        <v>23932</v>
      </c>
    </row>
    <row r="1833" spans="39:41" ht="12" customHeight="1" x14ac:dyDescent="0.2">
      <c r="AM1833" t="str">
        <f t="shared" si="28"/>
        <v>Borkum [DEBMK]</v>
      </c>
      <c r="AN1833" t="s">
        <v>7148</v>
      </c>
      <c r="AO1833" t="s">
        <v>7149</v>
      </c>
    </row>
    <row r="1834" spans="39:41" ht="12" customHeight="1" x14ac:dyDescent="0.2">
      <c r="AM1834" t="str">
        <f t="shared" si="28"/>
        <v>Borliai-Mandla [INBRM]</v>
      </c>
      <c r="AN1834" t="s">
        <v>17062</v>
      </c>
      <c r="AO1834" t="s">
        <v>17063</v>
      </c>
    </row>
    <row r="1835" spans="39:41" ht="12" customHeight="1" x14ac:dyDescent="0.2">
      <c r="AM1835" t="str">
        <f t="shared" si="28"/>
        <v>Born [NLBON]</v>
      </c>
      <c r="AN1835" t="s">
        <v>34096</v>
      </c>
      <c r="AO1835" t="s">
        <v>34142</v>
      </c>
    </row>
    <row r="1836" spans="39:41" ht="12" customHeight="1" x14ac:dyDescent="0.2">
      <c r="AM1836" t="str">
        <f t="shared" si="28"/>
        <v>Bornem [BEBON]</v>
      </c>
      <c r="AN1836" t="s">
        <v>2322</v>
      </c>
      <c r="AO1836" t="s">
        <v>2323</v>
      </c>
    </row>
    <row r="1837" spans="39:41" ht="12" customHeight="1" x14ac:dyDescent="0.2">
      <c r="AM1837" t="str">
        <f t="shared" si="28"/>
        <v>Bornsen [DEBRN]</v>
      </c>
      <c r="AN1837" t="s">
        <v>7150</v>
      </c>
      <c r="AO1837" t="s">
        <v>35418</v>
      </c>
    </row>
    <row r="1838" spans="39:41" ht="12" customHeight="1" x14ac:dyDescent="0.2">
      <c r="AM1838" t="str">
        <f t="shared" si="28"/>
        <v>Boroko [PGBOR]</v>
      </c>
      <c r="AN1838" t="s">
        <v>25362</v>
      </c>
      <c r="AO1838" t="s">
        <v>25363</v>
      </c>
    </row>
    <row r="1839" spans="39:41" ht="12" customHeight="1" x14ac:dyDescent="0.2">
      <c r="AM1839" t="str">
        <f t="shared" si="28"/>
        <v>Borongan [PHBGV]</v>
      </c>
      <c r="AN1839" t="s">
        <v>25619</v>
      </c>
      <c r="AO1839" t="s">
        <v>25620</v>
      </c>
    </row>
    <row r="1840" spans="39:41" ht="12" customHeight="1" x14ac:dyDescent="0.2">
      <c r="AM1840" t="str">
        <f t="shared" si="28"/>
        <v>Boronia [AUVIB]</v>
      </c>
      <c r="AN1840" t="s">
        <v>1467</v>
      </c>
      <c r="AO1840" t="s">
        <v>1468</v>
      </c>
    </row>
    <row r="1841" spans="39:41" ht="12" customHeight="1" x14ac:dyDescent="0.2">
      <c r="AM1841" t="str">
        <f t="shared" si="28"/>
        <v>Borovo [HRBOR]</v>
      </c>
      <c r="AN1841" t="s">
        <v>15710</v>
      </c>
      <c r="AO1841" t="s">
        <v>15711</v>
      </c>
    </row>
    <row r="1842" spans="39:41" ht="12" customHeight="1" x14ac:dyDescent="0.2">
      <c r="AM1842" t="str">
        <f t="shared" si="28"/>
        <v>Borovo Selo [HRBRV]</v>
      </c>
      <c r="AN1842" t="s">
        <v>15712</v>
      </c>
      <c r="AO1842" t="s">
        <v>15713</v>
      </c>
    </row>
    <row r="1843" spans="39:41" ht="12" customHeight="1" x14ac:dyDescent="0.2">
      <c r="AM1843" t="str">
        <f t="shared" si="28"/>
        <v>Borre [NOBRR]</v>
      </c>
      <c r="AN1843" t="s">
        <v>23933</v>
      </c>
      <c r="AO1843" t="s">
        <v>10880</v>
      </c>
    </row>
    <row r="1844" spans="39:41" ht="12" customHeight="1" x14ac:dyDescent="0.2">
      <c r="AM1844" t="str">
        <f t="shared" si="28"/>
        <v>Borrowstowness [GBBSS]</v>
      </c>
      <c r="AN1844" t="s">
        <v>12569</v>
      </c>
      <c r="AO1844" t="s">
        <v>12570</v>
      </c>
    </row>
    <row r="1845" spans="39:41" ht="12" customHeight="1" x14ac:dyDescent="0.2">
      <c r="AM1845" t="str">
        <f t="shared" si="28"/>
        <v>Borschutz [DEBCT]</v>
      </c>
      <c r="AN1845" t="s">
        <v>7151</v>
      </c>
      <c r="AO1845" t="s">
        <v>35419</v>
      </c>
    </row>
    <row r="1846" spans="39:41" ht="12" customHeight="1" x14ac:dyDescent="0.2">
      <c r="AM1846" t="str">
        <f t="shared" si="28"/>
        <v>Borsfleth [DEBFL]</v>
      </c>
      <c r="AN1846" t="s">
        <v>7152</v>
      </c>
      <c r="AO1846" t="s">
        <v>7153</v>
      </c>
    </row>
    <row r="1847" spans="39:41" ht="12" customHeight="1" x14ac:dyDescent="0.2">
      <c r="AM1847" t="str">
        <f t="shared" si="28"/>
        <v>Borssele [NLBOR]</v>
      </c>
      <c r="AN1847" t="s">
        <v>23076</v>
      </c>
      <c r="AO1847" t="s">
        <v>23077</v>
      </c>
    </row>
    <row r="1848" spans="39:41" ht="12" customHeight="1" x14ac:dyDescent="0.2">
      <c r="AM1848" t="str">
        <f t="shared" si="28"/>
        <v>Bortfeld [DEBTA]</v>
      </c>
      <c r="AN1848" t="s">
        <v>7154</v>
      </c>
      <c r="AO1848" t="s">
        <v>7155</v>
      </c>
    </row>
    <row r="1849" spans="39:41" ht="12" customHeight="1" x14ac:dyDescent="0.2">
      <c r="AM1849" t="str">
        <f t="shared" si="28"/>
        <v>Borth-y-Gest [GBBOT]</v>
      </c>
      <c r="AN1849" t="s">
        <v>12571</v>
      </c>
      <c r="AO1849" t="s">
        <v>12572</v>
      </c>
    </row>
    <row r="1850" spans="39:41" ht="12" customHeight="1" x14ac:dyDescent="0.2">
      <c r="AM1850" t="str">
        <f t="shared" si="28"/>
        <v>Borya [INBRY]</v>
      </c>
      <c r="AN1850" t="s">
        <v>17064</v>
      </c>
      <c r="AO1850" t="s">
        <v>17065</v>
      </c>
    </row>
    <row r="1851" spans="39:41" ht="12" customHeight="1" x14ac:dyDescent="0.2">
      <c r="AM1851" t="str">
        <f t="shared" si="28"/>
        <v>Boryeong [KRBOR]</v>
      </c>
      <c r="AN1851" t="s">
        <v>21606</v>
      </c>
      <c r="AO1851" t="s">
        <v>21607</v>
      </c>
    </row>
    <row r="1852" spans="39:41" ht="12" customHeight="1" x14ac:dyDescent="0.2">
      <c r="AM1852" t="str">
        <f t="shared" si="28"/>
        <v>Bosa [ITBOA]</v>
      </c>
      <c r="AN1852" t="s">
        <v>17840</v>
      </c>
      <c r="AO1852" t="s">
        <v>17841</v>
      </c>
    </row>
    <row r="1853" spans="39:41" ht="12" customHeight="1" x14ac:dyDescent="0.2">
      <c r="AM1853" t="str">
        <f t="shared" si="28"/>
        <v>Boscastle [GBBSC]</v>
      </c>
      <c r="AN1853" t="s">
        <v>12573</v>
      </c>
      <c r="AO1853" t="s">
        <v>12574</v>
      </c>
    </row>
    <row r="1854" spans="39:41" ht="12" customHeight="1" x14ac:dyDescent="0.2">
      <c r="AM1854" t="str">
        <f t="shared" si="28"/>
        <v>Bosham [GBOHM]</v>
      </c>
      <c r="AN1854" t="s">
        <v>12575</v>
      </c>
      <c r="AO1854" t="s">
        <v>12576</v>
      </c>
    </row>
    <row r="1855" spans="39:41" ht="12" customHeight="1" x14ac:dyDescent="0.2">
      <c r="AM1855" t="str">
        <f t="shared" si="28"/>
        <v>Boshnyakovo [RUBOS]</v>
      </c>
      <c r="AN1855" t="s">
        <v>26905</v>
      </c>
      <c r="AO1855" t="s">
        <v>26906</v>
      </c>
    </row>
    <row r="1856" spans="39:41" ht="12" customHeight="1" x14ac:dyDescent="0.2">
      <c r="AM1856" t="str">
        <f t="shared" ref="AM1856:AM1919" si="29">AO1856 &amp; " [" &amp; AN1856 &amp; "]"</f>
        <v>Boskoop [NLBSK]</v>
      </c>
      <c r="AN1856" t="s">
        <v>33865</v>
      </c>
      <c r="AO1856" t="s">
        <v>33987</v>
      </c>
    </row>
    <row r="1857" spans="39:41" ht="12" customHeight="1" x14ac:dyDescent="0.2">
      <c r="AM1857" t="str">
        <f t="shared" si="29"/>
        <v>Bosley [GBBSL]</v>
      </c>
      <c r="AN1857" t="s">
        <v>12577</v>
      </c>
      <c r="AO1857" t="s">
        <v>12578</v>
      </c>
    </row>
    <row r="1858" spans="39:41" ht="12" customHeight="1" x14ac:dyDescent="0.2">
      <c r="AM1858" t="str">
        <f t="shared" si="29"/>
        <v>Bosscherheide [NLBSH]</v>
      </c>
      <c r="AN1858" t="s">
        <v>23078</v>
      </c>
      <c r="AO1858" t="s">
        <v>23079</v>
      </c>
    </row>
    <row r="1859" spans="39:41" ht="12" customHeight="1" x14ac:dyDescent="0.2">
      <c r="AM1859" t="str">
        <f t="shared" si="29"/>
        <v>Bossugan [FRBG3]</v>
      </c>
      <c r="AN1859" t="s">
        <v>10881</v>
      </c>
      <c r="AO1859" t="s">
        <v>10882</v>
      </c>
    </row>
    <row r="1860" spans="39:41" ht="12" customHeight="1" x14ac:dyDescent="0.2">
      <c r="AM1860" t="str">
        <f t="shared" si="29"/>
        <v>Bossuit [BEBSU]</v>
      </c>
      <c r="AN1860" t="s">
        <v>2324</v>
      </c>
      <c r="AO1860" t="s">
        <v>2325</v>
      </c>
    </row>
    <row r="1861" spans="39:41" ht="12" customHeight="1" x14ac:dyDescent="0.2">
      <c r="AM1861" t="str">
        <f t="shared" si="29"/>
        <v>Boston [GBBOS]</v>
      </c>
      <c r="AN1861" t="s">
        <v>12579</v>
      </c>
      <c r="AO1861" t="s">
        <v>12580</v>
      </c>
    </row>
    <row r="1862" spans="39:41" ht="12" customHeight="1" x14ac:dyDescent="0.2">
      <c r="AM1862" t="str">
        <f t="shared" si="29"/>
        <v>Boston [USBOS]</v>
      </c>
      <c r="AN1862" t="s">
        <v>29040</v>
      </c>
      <c r="AO1862" t="s">
        <v>12580</v>
      </c>
    </row>
    <row r="1863" spans="39:41" ht="12" customHeight="1" x14ac:dyDescent="0.2">
      <c r="AM1863" t="str">
        <f t="shared" si="29"/>
        <v>Boston/Davao [PHBOS]</v>
      </c>
      <c r="AN1863" t="s">
        <v>25621</v>
      </c>
      <c r="AO1863" t="s">
        <v>25622</v>
      </c>
    </row>
    <row r="1864" spans="39:41" ht="12" customHeight="1" x14ac:dyDescent="0.2">
      <c r="AM1864" t="str">
        <f t="shared" si="29"/>
        <v>Botans [FRBFT]</v>
      </c>
      <c r="AN1864" t="s">
        <v>10883</v>
      </c>
      <c r="AO1864" t="s">
        <v>10884</v>
      </c>
    </row>
    <row r="1865" spans="39:41" ht="12" customHeight="1" x14ac:dyDescent="0.2">
      <c r="AM1865" t="str">
        <f t="shared" si="29"/>
        <v>Botany Bay [AUBTB]</v>
      </c>
      <c r="AN1865" t="s">
        <v>1469</v>
      </c>
      <c r="AO1865" t="s">
        <v>1470</v>
      </c>
    </row>
    <row r="1866" spans="39:41" ht="12" customHeight="1" x14ac:dyDescent="0.2">
      <c r="AM1866" t="str">
        <f t="shared" si="29"/>
        <v>Botas [TRBOT]</v>
      </c>
      <c r="AN1866" t="s">
        <v>28427</v>
      </c>
      <c r="AO1866" t="s">
        <v>28428</v>
      </c>
    </row>
    <row r="1867" spans="39:41" ht="12" customHeight="1" x14ac:dyDescent="0.2">
      <c r="AM1867" t="str">
        <f t="shared" si="29"/>
        <v>Bothell [USYTH]</v>
      </c>
      <c r="AN1867" t="s">
        <v>29041</v>
      </c>
      <c r="AO1867" t="s">
        <v>29042</v>
      </c>
    </row>
    <row r="1868" spans="39:41" ht="12" customHeight="1" x14ac:dyDescent="0.2">
      <c r="AM1868" t="str">
        <f t="shared" si="29"/>
        <v>Botinge [LTBOT]</v>
      </c>
      <c r="AN1868" t="s">
        <v>21891</v>
      </c>
      <c r="AO1868" t="s">
        <v>36080</v>
      </c>
    </row>
    <row r="1869" spans="39:41" ht="12" customHeight="1" x14ac:dyDescent="0.2">
      <c r="AM1869" t="str">
        <f t="shared" si="29"/>
        <v>Botlek [NLBOT]</v>
      </c>
      <c r="AN1869" t="s">
        <v>23080</v>
      </c>
      <c r="AO1869" t="s">
        <v>23081</v>
      </c>
    </row>
    <row r="1870" spans="39:41" ht="12" customHeight="1" x14ac:dyDescent="0.2">
      <c r="AM1870" t="str">
        <f t="shared" si="29"/>
        <v>Botley [GBBOL]</v>
      </c>
      <c r="AN1870" t="s">
        <v>12581</v>
      </c>
      <c r="AO1870" t="s">
        <v>12582</v>
      </c>
    </row>
    <row r="1871" spans="39:41" ht="12" customHeight="1" x14ac:dyDescent="0.2">
      <c r="AM1871" t="str">
        <f t="shared" si="29"/>
        <v>Botn - Sandnessjoen [NOSBT]</v>
      </c>
      <c r="AN1871" t="s">
        <v>23934</v>
      </c>
      <c r="AO1871" t="s">
        <v>36142</v>
      </c>
    </row>
    <row r="1872" spans="39:41" ht="12" customHeight="1" x14ac:dyDescent="0.2">
      <c r="AM1872" t="str">
        <f t="shared" si="29"/>
        <v>Botnaneset - Flora [NOBTN]</v>
      </c>
      <c r="AN1872" t="s">
        <v>23935</v>
      </c>
      <c r="AO1872" t="s">
        <v>23936</v>
      </c>
    </row>
    <row r="1873" spans="39:41" ht="12" customHeight="1" x14ac:dyDescent="0.2">
      <c r="AM1873" t="str">
        <f t="shared" si="29"/>
        <v>Botnhamn [NOBTH]</v>
      </c>
      <c r="AN1873" t="s">
        <v>23937</v>
      </c>
      <c r="AO1873" t="s">
        <v>23938</v>
      </c>
    </row>
    <row r="1874" spans="39:41" ht="12" customHeight="1" x14ac:dyDescent="0.2">
      <c r="AM1874" t="str">
        <f t="shared" si="29"/>
        <v>Botswana [ZABWA]</v>
      </c>
      <c r="AN1874" t="s">
        <v>32671</v>
      </c>
      <c r="AO1874" t="s">
        <v>32672</v>
      </c>
    </row>
    <row r="1875" spans="39:41" ht="12" customHeight="1" x14ac:dyDescent="0.2">
      <c r="AM1875" t="str">
        <f t="shared" si="29"/>
        <v>Bottelary [ZA8GT]</v>
      </c>
      <c r="AN1875" t="s">
        <v>34228</v>
      </c>
      <c r="AO1875" t="s">
        <v>34296</v>
      </c>
    </row>
    <row r="1876" spans="39:41" ht="12" customHeight="1" x14ac:dyDescent="0.2">
      <c r="AM1876" t="str">
        <f t="shared" si="29"/>
        <v>Bottrop [DEBOT]</v>
      </c>
      <c r="AN1876" t="s">
        <v>7156</v>
      </c>
      <c r="AO1876" t="s">
        <v>7157</v>
      </c>
    </row>
    <row r="1877" spans="39:41" ht="12" customHeight="1" x14ac:dyDescent="0.2">
      <c r="AM1877" t="str">
        <f t="shared" si="29"/>
        <v>Botwood [CABWD]</v>
      </c>
      <c r="AN1877" t="s">
        <v>3620</v>
      </c>
      <c r="AO1877" t="s">
        <v>3621</v>
      </c>
    </row>
    <row r="1878" spans="39:41" ht="12" customHeight="1" x14ac:dyDescent="0.2">
      <c r="AM1878" t="str">
        <f t="shared" si="29"/>
        <v>Bouca [PTBOC]</v>
      </c>
      <c r="AN1878" t="s">
        <v>26464</v>
      </c>
      <c r="AO1878" t="s">
        <v>36379</v>
      </c>
    </row>
    <row r="1879" spans="39:41" ht="12" customHeight="1" x14ac:dyDescent="0.2">
      <c r="AM1879" t="str">
        <f t="shared" si="29"/>
        <v>Boucau [FRBAU]</v>
      </c>
      <c r="AN1879" t="s">
        <v>36944</v>
      </c>
      <c r="AO1879" t="s">
        <v>36945</v>
      </c>
    </row>
    <row r="1880" spans="39:41" ht="12" customHeight="1" x14ac:dyDescent="0.2">
      <c r="AM1880" t="str">
        <f t="shared" si="29"/>
        <v>Bouc-Bel-Air [FRXBA]</v>
      </c>
      <c r="AN1880" t="s">
        <v>10885</v>
      </c>
      <c r="AO1880" t="s">
        <v>10886</v>
      </c>
    </row>
    <row r="1881" spans="39:41" ht="12" customHeight="1" x14ac:dyDescent="0.2">
      <c r="AM1881" t="str">
        <f t="shared" si="29"/>
        <v>Bouchain [FRBHC]</v>
      </c>
      <c r="AN1881" t="s">
        <v>10887</v>
      </c>
      <c r="AO1881" t="s">
        <v>10888</v>
      </c>
    </row>
    <row r="1882" spans="39:41" ht="12" customHeight="1" x14ac:dyDescent="0.2">
      <c r="AM1882" t="str">
        <f t="shared" si="29"/>
        <v>Boucharey [FRBHR]</v>
      </c>
      <c r="AN1882" t="s">
        <v>10889</v>
      </c>
      <c r="AO1882" t="s">
        <v>10890</v>
      </c>
    </row>
    <row r="1883" spans="39:41" ht="12" customHeight="1" x14ac:dyDescent="0.2">
      <c r="AM1883" t="str">
        <f t="shared" si="29"/>
        <v>Bouchet [FRFUC]</v>
      </c>
      <c r="AN1883" t="s">
        <v>10891</v>
      </c>
      <c r="AO1883" t="s">
        <v>10892</v>
      </c>
    </row>
    <row r="1884" spans="39:41" ht="12" customHeight="1" x14ac:dyDescent="0.2">
      <c r="AM1884" t="str">
        <f t="shared" si="29"/>
        <v>Bouctouche [CABUE]</v>
      </c>
      <c r="AN1884" t="s">
        <v>3622</v>
      </c>
      <c r="AO1884" t="s">
        <v>3623</v>
      </c>
    </row>
    <row r="1885" spans="39:41" ht="12" customHeight="1" x14ac:dyDescent="0.2">
      <c r="AM1885" t="str">
        <f t="shared" si="29"/>
        <v>Bougenais [FRNEG]</v>
      </c>
      <c r="AN1885" t="s">
        <v>10893</v>
      </c>
      <c r="AO1885" t="s">
        <v>10894</v>
      </c>
    </row>
    <row r="1886" spans="39:41" ht="12" customHeight="1" x14ac:dyDescent="0.2">
      <c r="AM1886" t="str">
        <f t="shared" si="29"/>
        <v>Bougival [FRUGV]</v>
      </c>
      <c r="AN1886" t="s">
        <v>10895</v>
      </c>
      <c r="AO1886" t="s">
        <v>10896</v>
      </c>
    </row>
    <row r="1887" spans="39:41" ht="12" customHeight="1" x14ac:dyDescent="0.2">
      <c r="AM1887" t="str">
        <f t="shared" si="29"/>
        <v>Bougnies [BEBO2]</v>
      </c>
      <c r="AN1887" t="s">
        <v>2326</v>
      </c>
      <c r="AO1887" t="s">
        <v>2327</v>
      </c>
    </row>
    <row r="1888" spans="39:41" ht="12" customHeight="1" x14ac:dyDescent="0.2">
      <c r="AM1888" t="str">
        <f t="shared" si="29"/>
        <v>Bouinane [DZBIU]</v>
      </c>
      <c r="AN1888" t="s">
        <v>9047</v>
      </c>
      <c r="AO1888" t="s">
        <v>9048</v>
      </c>
    </row>
    <row r="1889" spans="39:41" ht="12" customHeight="1" x14ac:dyDescent="0.2">
      <c r="AM1889" t="str">
        <f t="shared" si="29"/>
        <v>Boujan-sur-Libron [FRUJA]</v>
      </c>
      <c r="AN1889" t="s">
        <v>10897</v>
      </c>
      <c r="AO1889" t="s">
        <v>10898</v>
      </c>
    </row>
    <row r="1890" spans="39:41" ht="12" customHeight="1" x14ac:dyDescent="0.2">
      <c r="AM1890" t="str">
        <f t="shared" si="29"/>
        <v>Bouliac [FRAAI]</v>
      </c>
      <c r="AN1890" t="s">
        <v>10899</v>
      </c>
      <c r="AO1890" t="s">
        <v>10900</v>
      </c>
    </row>
    <row r="1891" spans="39:41" ht="12" customHeight="1" x14ac:dyDescent="0.2">
      <c r="AM1891" t="str">
        <f t="shared" si="29"/>
        <v>Boulmer [GBBMX]</v>
      </c>
      <c r="AN1891" t="s">
        <v>12583</v>
      </c>
      <c r="AO1891" t="s">
        <v>12584</v>
      </c>
    </row>
    <row r="1892" spans="39:41" ht="12" customHeight="1" x14ac:dyDescent="0.2">
      <c r="AM1892" t="str">
        <f t="shared" si="29"/>
        <v>Boulogne-Billancourt [FROGB]</v>
      </c>
      <c r="AN1892" t="s">
        <v>10901</v>
      </c>
      <c r="AO1892" t="s">
        <v>10902</v>
      </c>
    </row>
    <row r="1893" spans="39:41" ht="12" customHeight="1" x14ac:dyDescent="0.2">
      <c r="AM1893" t="str">
        <f t="shared" si="29"/>
        <v>Boulogne-sur-Mer [FRBOL]</v>
      </c>
      <c r="AN1893" t="s">
        <v>10903</v>
      </c>
      <c r="AO1893" t="s">
        <v>10904</v>
      </c>
    </row>
    <row r="1894" spans="39:41" ht="12" customHeight="1" x14ac:dyDescent="0.2">
      <c r="AM1894" t="str">
        <f t="shared" si="29"/>
        <v>Boulouris-sur-Mer [FRUUL]</v>
      </c>
      <c r="AN1894" t="s">
        <v>10905</v>
      </c>
      <c r="AO1894" t="s">
        <v>10906</v>
      </c>
    </row>
    <row r="1895" spans="39:41" ht="12" customHeight="1" x14ac:dyDescent="0.2">
      <c r="AM1895" t="str">
        <f t="shared" si="29"/>
        <v>Boundary Bend [AUBOU]</v>
      </c>
      <c r="AN1895" t="s">
        <v>1471</v>
      </c>
      <c r="AO1895" t="s">
        <v>1472</v>
      </c>
    </row>
    <row r="1896" spans="39:41" ht="12" customHeight="1" x14ac:dyDescent="0.2">
      <c r="AM1896" t="str">
        <f t="shared" si="29"/>
        <v>Bourbonnais [USUSA]</v>
      </c>
      <c r="AN1896" t="s">
        <v>29043</v>
      </c>
      <c r="AO1896" t="s">
        <v>29044</v>
      </c>
    </row>
    <row r="1897" spans="39:41" ht="12" customHeight="1" x14ac:dyDescent="0.2">
      <c r="AM1897" t="str">
        <f t="shared" si="29"/>
        <v>Bourcefranc-le-Chapus [FRBH4]</v>
      </c>
      <c r="AN1897" t="s">
        <v>10907</v>
      </c>
      <c r="AO1897" t="s">
        <v>10908</v>
      </c>
    </row>
    <row r="1898" spans="39:41" ht="12" customHeight="1" x14ac:dyDescent="0.2">
      <c r="AM1898" t="str">
        <f t="shared" si="29"/>
        <v>Bourg-Charente [FRRTE]</v>
      </c>
      <c r="AN1898" t="s">
        <v>10909</v>
      </c>
      <c r="AO1898" t="s">
        <v>10910</v>
      </c>
    </row>
    <row r="1899" spans="39:41" ht="12" customHeight="1" x14ac:dyDescent="0.2">
      <c r="AM1899" t="str">
        <f t="shared" si="29"/>
        <v>Bourg-sur-Gironde [FRBSG]</v>
      </c>
      <c r="AN1899" t="s">
        <v>10911</v>
      </c>
      <c r="AO1899" t="s">
        <v>10912</v>
      </c>
    </row>
    <row r="1900" spans="39:41" ht="12" customHeight="1" x14ac:dyDescent="0.2">
      <c r="AM1900" t="str">
        <f t="shared" si="29"/>
        <v>Bournemouth [GBBOH]</v>
      </c>
      <c r="AN1900" t="s">
        <v>12585</v>
      </c>
      <c r="AO1900" t="s">
        <v>12586</v>
      </c>
    </row>
    <row r="1901" spans="39:41" ht="12" customHeight="1" x14ac:dyDescent="0.2">
      <c r="AM1901" t="str">
        <f t="shared" si="29"/>
        <v>Boursault [FRUUO]</v>
      </c>
      <c r="AN1901" t="s">
        <v>10913</v>
      </c>
      <c r="AO1901" t="s">
        <v>10914</v>
      </c>
    </row>
    <row r="1902" spans="39:41" ht="12" customHeight="1" x14ac:dyDescent="0.2">
      <c r="AM1902" t="str">
        <f t="shared" si="29"/>
        <v>Bourtange [NLBTA]</v>
      </c>
      <c r="AN1902" t="s">
        <v>23082</v>
      </c>
      <c r="AO1902" t="s">
        <v>23083</v>
      </c>
    </row>
    <row r="1903" spans="39:41" ht="12" customHeight="1" x14ac:dyDescent="0.2">
      <c r="AM1903" t="str">
        <f t="shared" si="29"/>
        <v>Bourton [GBBSM]</v>
      </c>
      <c r="AN1903" t="s">
        <v>12587</v>
      </c>
      <c r="AO1903" t="s">
        <v>12588</v>
      </c>
    </row>
    <row r="1904" spans="39:41" ht="12" customHeight="1" x14ac:dyDescent="0.2">
      <c r="AM1904" t="str">
        <f t="shared" si="29"/>
        <v>Boutiers-Saint-Trojan [FROJA]</v>
      </c>
      <c r="AN1904" t="s">
        <v>10915</v>
      </c>
      <c r="AO1904" t="s">
        <v>10916</v>
      </c>
    </row>
    <row r="1905" spans="39:41" ht="12" customHeight="1" x14ac:dyDescent="0.2">
      <c r="AM1905" t="str">
        <f t="shared" si="29"/>
        <v>Boutte [USTUB]</v>
      </c>
      <c r="AN1905" t="s">
        <v>29045</v>
      </c>
      <c r="AO1905" t="s">
        <v>29046</v>
      </c>
    </row>
    <row r="1906" spans="39:41" ht="12" customHeight="1" x14ac:dyDescent="0.2">
      <c r="AM1906" t="str">
        <f t="shared" si="29"/>
        <v>Bouvignes-sur-Meuse [BEBVM]</v>
      </c>
      <c r="AN1906" t="s">
        <v>2328</v>
      </c>
      <c r="AO1906" t="s">
        <v>2329</v>
      </c>
    </row>
    <row r="1907" spans="39:41" ht="12" customHeight="1" x14ac:dyDescent="0.2">
      <c r="AM1907" t="str">
        <f t="shared" si="29"/>
        <v>Bouzeron [FREZR]</v>
      </c>
      <c r="AN1907" t="s">
        <v>10917</v>
      </c>
      <c r="AO1907" t="s">
        <v>10918</v>
      </c>
    </row>
    <row r="1908" spans="39:41" ht="12" customHeight="1" x14ac:dyDescent="0.2">
      <c r="AM1908" t="str">
        <f t="shared" si="29"/>
        <v>Bouzigues [FRGUZ]</v>
      </c>
      <c r="AN1908" t="s">
        <v>10920</v>
      </c>
      <c r="AO1908" t="s">
        <v>10919</v>
      </c>
    </row>
    <row r="1909" spans="39:41" ht="12" customHeight="1" x14ac:dyDescent="0.2">
      <c r="AM1909" t="str">
        <f t="shared" si="29"/>
        <v>Bova Marina [ITBVM]</v>
      </c>
      <c r="AN1909" t="s">
        <v>17842</v>
      </c>
      <c r="AO1909" t="s">
        <v>17843</v>
      </c>
    </row>
    <row r="1910" spans="39:41" ht="12" customHeight="1" x14ac:dyDescent="0.2">
      <c r="AM1910" t="str">
        <f t="shared" si="29"/>
        <v>Bovagen - Radoy [NOBOV]</v>
      </c>
      <c r="AN1910" t="s">
        <v>23939</v>
      </c>
      <c r="AO1910" t="s">
        <v>36143</v>
      </c>
    </row>
    <row r="1911" spans="39:41" ht="12" customHeight="1" x14ac:dyDescent="0.2">
      <c r="AM1911" t="str">
        <f t="shared" si="29"/>
        <v>Bovalino Marina [ITBMA]</v>
      </c>
      <c r="AN1911" t="s">
        <v>17844</v>
      </c>
      <c r="AO1911" t="s">
        <v>17845</v>
      </c>
    </row>
    <row r="1912" spans="39:41" ht="12" customHeight="1" x14ac:dyDescent="0.2">
      <c r="AM1912" t="str">
        <f t="shared" si="29"/>
        <v>Bovallstrand [SEBLD]</v>
      </c>
      <c r="AN1912" t="s">
        <v>27526</v>
      </c>
      <c r="AO1912" t="s">
        <v>27527</v>
      </c>
    </row>
    <row r="1913" spans="39:41" ht="12" customHeight="1" x14ac:dyDescent="0.2">
      <c r="AM1913" t="str">
        <f t="shared" si="29"/>
        <v>Bovensmilde [NLBVI]</v>
      </c>
      <c r="AN1913" t="s">
        <v>23084</v>
      </c>
      <c r="AO1913" t="s">
        <v>23085</v>
      </c>
    </row>
    <row r="1914" spans="39:41" ht="12" customHeight="1" x14ac:dyDescent="0.2">
      <c r="AM1914" t="str">
        <f t="shared" si="29"/>
        <v>Bovlingbjerg [DKBBG]</v>
      </c>
      <c r="AN1914" t="s">
        <v>8645</v>
      </c>
      <c r="AO1914" t="s">
        <v>35529</v>
      </c>
    </row>
    <row r="1915" spans="39:41" ht="12" customHeight="1" x14ac:dyDescent="0.2">
      <c r="AM1915" t="str">
        <f t="shared" si="29"/>
        <v>Bow City [CABC2]</v>
      </c>
      <c r="AN1915" t="s">
        <v>3624</v>
      </c>
      <c r="AO1915" t="s">
        <v>3625</v>
      </c>
    </row>
    <row r="1916" spans="39:41" ht="12" customHeight="1" x14ac:dyDescent="0.2">
      <c r="AM1916" t="str">
        <f t="shared" si="29"/>
        <v>Bowden [JMBWN]</v>
      </c>
      <c r="AN1916" t="s">
        <v>18426</v>
      </c>
      <c r="AO1916" t="s">
        <v>18427</v>
      </c>
    </row>
    <row r="1917" spans="39:41" ht="12" customHeight="1" x14ac:dyDescent="0.2">
      <c r="AM1917" t="str">
        <f t="shared" si="29"/>
        <v>Bowen [AUZBO]</v>
      </c>
      <c r="AN1917" t="s">
        <v>1473</v>
      </c>
      <c r="AO1917" t="s">
        <v>1474</v>
      </c>
    </row>
    <row r="1918" spans="39:41" ht="12" customHeight="1" x14ac:dyDescent="0.2">
      <c r="AM1918" t="str">
        <f t="shared" si="29"/>
        <v>Bowen Island [CABNI]</v>
      </c>
      <c r="AN1918" t="s">
        <v>3626</v>
      </c>
      <c r="AO1918" t="s">
        <v>3627</v>
      </c>
    </row>
    <row r="1919" spans="39:41" ht="12" customHeight="1" x14ac:dyDescent="0.2">
      <c r="AM1919" t="str">
        <f t="shared" si="29"/>
        <v>Bowling [GBBOW]</v>
      </c>
      <c r="AN1919" t="s">
        <v>12589</v>
      </c>
      <c r="AO1919" t="s">
        <v>12590</v>
      </c>
    </row>
    <row r="1920" spans="39:41" ht="12" customHeight="1" x14ac:dyDescent="0.2">
      <c r="AM1920" t="str">
        <f t="shared" ref="AM1920:AM1983" si="30">AO1920 &amp; " [" &amp; AN1920 &amp; "]"</f>
        <v>Bowmanville [CABWV]</v>
      </c>
      <c r="AN1920" t="s">
        <v>3628</v>
      </c>
      <c r="AO1920" t="s">
        <v>3629</v>
      </c>
    </row>
    <row r="1921" spans="39:41" ht="12" customHeight="1" x14ac:dyDescent="0.2">
      <c r="AM1921" t="str">
        <f t="shared" si="30"/>
        <v>Boxberg [DEBXB]</v>
      </c>
      <c r="AN1921" t="s">
        <v>7158</v>
      </c>
      <c r="AO1921" t="s">
        <v>7159</v>
      </c>
    </row>
    <row r="1922" spans="39:41" ht="12" customHeight="1" x14ac:dyDescent="0.2">
      <c r="AM1922" t="str">
        <f t="shared" si="30"/>
        <v>Boyer [AUBOY]</v>
      </c>
      <c r="AN1922" t="s">
        <v>1475</v>
      </c>
      <c r="AO1922" t="s">
        <v>1476</v>
      </c>
    </row>
    <row r="1923" spans="39:41" ht="12" customHeight="1" x14ac:dyDescent="0.2">
      <c r="AM1923" t="str">
        <f t="shared" si="30"/>
        <v>Boylston [USYBN]</v>
      </c>
      <c r="AN1923" t="s">
        <v>29047</v>
      </c>
      <c r="AO1923" t="s">
        <v>29048</v>
      </c>
    </row>
    <row r="1924" spans="39:41" ht="12" customHeight="1" x14ac:dyDescent="0.2">
      <c r="AM1924" t="str">
        <f t="shared" si="30"/>
        <v>Boyne City [USBYZ]</v>
      </c>
      <c r="AN1924" t="s">
        <v>29049</v>
      </c>
      <c r="AO1924" t="s">
        <v>29050</v>
      </c>
    </row>
    <row r="1925" spans="39:41" ht="12" customHeight="1" x14ac:dyDescent="0.2">
      <c r="AM1925" t="str">
        <f t="shared" si="30"/>
        <v>Bozava [HRBZA]</v>
      </c>
      <c r="AN1925" t="s">
        <v>15714</v>
      </c>
      <c r="AO1925" t="s">
        <v>15715</v>
      </c>
    </row>
    <row r="1926" spans="39:41" ht="12" customHeight="1" x14ac:dyDescent="0.2">
      <c r="AM1926" t="str">
        <f t="shared" si="30"/>
        <v>Bozburun [TRBZB]</v>
      </c>
      <c r="AN1926" t="s">
        <v>28429</v>
      </c>
      <c r="AO1926" t="s">
        <v>28430</v>
      </c>
    </row>
    <row r="1927" spans="39:41" ht="12" customHeight="1" x14ac:dyDescent="0.2">
      <c r="AM1927" t="str">
        <f t="shared" si="30"/>
        <v>Bozcaada [TRBZC]</v>
      </c>
      <c r="AN1927" t="s">
        <v>28431</v>
      </c>
      <c r="AO1927" t="s">
        <v>28432</v>
      </c>
    </row>
    <row r="1928" spans="39:41" ht="12" customHeight="1" x14ac:dyDescent="0.2">
      <c r="AM1928" t="str">
        <f t="shared" si="30"/>
        <v>Bozhong [CNBZG]</v>
      </c>
      <c r="AN1928" t="s">
        <v>5084</v>
      </c>
      <c r="AO1928" t="s">
        <v>5085</v>
      </c>
    </row>
    <row r="1929" spans="39:41" ht="12" customHeight="1" x14ac:dyDescent="0.2">
      <c r="AM1929" t="str">
        <f t="shared" si="30"/>
        <v>Brabrand [DKBRB]</v>
      </c>
      <c r="AN1929" t="s">
        <v>8646</v>
      </c>
      <c r="AO1929" t="s">
        <v>8647</v>
      </c>
    </row>
    <row r="1930" spans="39:41" ht="12" customHeight="1" x14ac:dyDescent="0.2">
      <c r="AM1930" t="str">
        <f t="shared" si="30"/>
        <v>Bracadale [GBRCD]</v>
      </c>
      <c r="AN1930" t="s">
        <v>12591</v>
      </c>
      <c r="AO1930" t="s">
        <v>12592</v>
      </c>
    </row>
    <row r="1931" spans="39:41" ht="12" customHeight="1" x14ac:dyDescent="0.2">
      <c r="AM1931" t="str">
        <f t="shared" si="30"/>
        <v>Brachwitz [DEBCW]</v>
      </c>
      <c r="AN1931" t="s">
        <v>7160</v>
      </c>
      <c r="AO1931" t="s">
        <v>7161</v>
      </c>
    </row>
    <row r="1932" spans="39:41" ht="12" customHeight="1" x14ac:dyDescent="0.2">
      <c r="AM1932" t="str">
        <f t="shared" si="30"/>
        <v>Bradford [GBBRF]</v>
      </c>
      <c r="AN1932" t="s">
        <v>12593</v>
      </c>
      <c r="AO1932" t="s">
        <v>12594</v>
      </c>
    </row>
    <row r="1933" spans="39:41" ht="12" customHeight="1" x14ac:dyDescent="0.2">
      <c r="AM1933" t="str">
        <f t="shared" si="30"/>
        <v>Bradstone [GBSDT]</v>
      </c>
      <c r="AN1933" t="s">
        <v>12595</v>
      </c>
      <c r="AO1933" t="s">
        <v>12596</v>
      </c>
    </row>
    <row r="1934" spans="39:41" ht="12" customHeight="1" x14ac:dyDescent="0.2">
      <c r="AM1934" t="str">
        <f t="shared" si="30"/>
        <v>Bradwell Waterside [GBDWL]</v>
      </c>
      <c r="AN1934" t="s">
        <v>12597</v>
      </c>
      <c r="AO1934" t="s">
        <v>12598</v>
      </c>
    </row>
    <row r="1935" spans="39:41" ht="12" customHeight="1" x14ac:dyDescent="0.2">
      <c r="AM1935" t="str">
        <f t="shared" si="30"/>
        <v>Bradwood [USBRA]</v>
      </c>
      <c r="AN1935" t="s">
        <v>29051</v>
      </c>
      <c r="AO1935" t="s">
        <v>29052</v>
      </c>
    </row>
    <row r="1936" spans="39:41" ht="12" customHeight="1" x14ac:dyDescent="0.2">
      <c r="AM1936" t="str">
        <f t="shared" si="30"/>
        <v>Braefoot Bay [GBBFB]</v>
      </c>
      <c r="AN1936" t="s">
        <v>12599</v>
      </c>
      <c r="AO1936" t="s">
        <v>12600</v>
      </c>
    </row>
    <row r="1937" spans="39:41" ht="12" customHeight="1" x14ac:dyDescent="0.2">
      <c r="AM1937" t="str">
        <f t="shared" si="30"/>
        <v>Braevig [GBREV]</v>
      </c>
      <c r="AN1937" t="s">
        <v>12601</v>
      </c>
      <c r="AO1937" t="s">
        <v>12602</v>
      </c>
    </row>
    <row r="1938" spans="39:41" ht="12" customHeight="1" x14ac:dyDescent="0.2">
      <c r="AM1938" t="str">
        <f t="shared" si="30"/>
        <v>Bragassargues [FRQDF]</v>
      </c>
      <c r="AN1938" t="s">
        <v>10921</v>
      </c>
      <c r="AO1938" t="s">
        <v>10922</v>
      </c>
    </row>
    <row r="1939" spans="39:41" ht="12" customHeight="1" x14ac:dyDescent="0.2">
      <c r="AM1939" t="str">
        <f t="shared" si="30"/>
        <v>Brage [XZBRA]</v>
      </c>
      <c r="AN1939" t="s">
        <v>32552</v>
      </c>
      <c r="AO1939" t="s">
        <v>32553</v>
      </c>
    </row>
    <row r="1940" spans="39:41" ht="12" customHeight="1" x14ac:dyDescent="0.2">
      <c r="AM1940" t="str">
        <f t="shared" si="30"/>
        <v>Brahestad (Raahe) [FIRAA]</v>
      </c>
      <c r="AN1940" t="s">
        <v>10318</v>
      </c>
      <c r="AO1940" t="s">
        <v>10319</v>
      </c>
    </row>
    <row r="1941" spans="39:41" ht="12" customHeight="1" x14ac:dyDescent="0.2">
      <c r="AM1941" t="str">
        <f t="shared" si="30"/>
        <v>Brahlstorf [DEBTF]</v>
      </c>
      <c r="AN1941" t="s">
        <v>7162</v>
      </c>
      <c r="AO1941" t="s">
        <v>7163</v>
      </c>
    </row>
    <row r="1942" spans="39:41" ht="12" customHeight="1" x14ac:dyDescent="0.2">
      <c r="AM1942" t="str">
        <f t="shared" si="30"/>
        <v>Braila [ROBRA]</v>
      </c>
      <c r="AN1942" t="s">
        <v>37140</v>
      </c>
      <c r="AO1942" t="s">
        <v>37141</v>
      </c>
    </row>
    <row r="1943" spans="39:41" ht="12" customHeight="1" x14ac:dyDescent="0.2">
      <c r="AM1943" t="str">
        <f t="shared" si="30"/>
        <v>Brake [DEBKE]</v>
      </c>
      <c r="AN1943" t="s">
        <v>7164</v>
      </c>
      <c r="AO1943" t="s">
        <v>7165</v>
      </c>
    </row>
    <row r="1944" spans="39:41" ht="12" customHeight="1" x14ac:dyDescent="0.2">
      <c r="AM1944" t="str">
        <f t="shared" si="30"/>
        <v>Brakstad [NOBKD]</v>
      </c>
      <c r="AN1944" t="s">
        <v>23940</v>
      </c>
      <c r="AO1944" t="s">
        <v>23941</v>
      </c>
    </row>
    <row r="1945" spans="39:41" ht="12" customHeight="1" x14ac:dyDescent="0.2">
      <c r="AM1945" t="str">
        <f t="shared" si="30"/>
        <v>Bralitz [DERLZ]</v>
      </c>
      <c r="AN1945" t="s">
        <v>7166</v>
      </c>
      <c r="AO1945" t="s">
        <v>7167</v>
      </c>
    </row>
    <row r="1946" spans="39:41" ht="12" customHeight="1" x14ac:dyDescent="0.2">
      <c r="AM1946" t="str">
        <f t="shared" si="30"/>
        <v>Bram [FRZTW]</v>
      </c>
      <c r="AN1946" t="s">
        <v>10923</v>
      </c>
      <c r="AO1946" t="s">
        <v>10924</v>
      </c>
    </row>
    <row r="1947" spans="39:41" ht="12" customHeight="1" x14ac:dyDescent="0.2">
      <c r="AM1947" t="str">
        <f t="shared" si="30"/>
        <v>Bramdean [GBMDE]</v>
      </c>
      <c r="AN1947" t="s">
        <v>12603</v>
      </c>
      <c r="AO1947" t="s">
        <v>12604</v>
      </c>
    </row>
    <row r="1948" spans="39:41" ht="12" customHeight="1" x14ac:dyDescent="0.2">
      <c r="AM1948" t="str">
        <f t="shared" si="30"/>
        <v>Bramel [DEBRA]</v>
      </c>
      <c r="AN1948" t="s">
        <v>7168</v>
      </c>
      <c r="AO1948" t="s">
        <v>7169</v>
      </c>
    </row>
    <row r="1949" spans="39:41" ht="12" customHeight="1" x14ac:dyDescent="0.2">
      <c r="AM1949" t="str">
        <f t="shared" si="30"/>
        <v>Bramsche [DEBRM]</v>
      </c>
      <c r="AN1949" t="s">
        <v>7170</v>
      </c>
      <c r="AO1949" t="s">
        <v>7171</v>
      </c>
    </row>
    <row r="1950" spans="39:41" ht="12" customHeight="1" x14ac:dyDescent="0.2">
      <c r="AM1950" t="str">
        <f t="shared" si="30"/>
        <v>Bramshall [GBBHJ]</v>
      </c>
      <c r="AN1950" t="s">
        <v>12605</v>
      </c>
      <c r="AO1950" t="s">
        <v>12606</v>
      </c>
    </row>
    <row r="1951" spans="39:41" ht="12" customHeight="1" x14ac:dyDescent="0.2">
      <c r="AM1951" t="str">
        <f t="shared" si="30"/>
        <v>Brancaster Staithe [GBBCS]</v>
      </c>
      <c r="AN1951" t="s">
        <v>12607</v>
      </c>
      <c r="AO1951" t="s">
        <v>12608</v>
      </c>
    </row>
    <row r="1952" spans="39:41" ht="12" customHeight="1" x14ac:dyDescent="0.2">
      <c r="AM1952" t="str">
        <f t="shared" si="30"/>
        <v>Brandasund [NOBRN]</v>
      </c>
      <c r="AN1952" t="s">
        <v>23942</v>
      </c>
      <c r="AO1952" t="s">
        <v>23943</v>
      </c>
    </row>
    <row r="1953" spans="39:41" ht="12" customHeight="1" x14ac:dyDescent="0.2">
      <c r="AM1953" t="str">
        <f t="shared" si="30"/>
        <v>Branden Havn [DKBRH]</v>
      </c>
      <c r="AN1953" t="s">
        <v>8648</v>
      </c>
      <c r="AO1953" t="s">
        <v>8649</v>
      </c>
    </row>
    <row r="1954" spans="39:41" ht="12" customHeight="1" x14ac:dyDescent="0.2">
      <c r="AM1954" t="str">
        <f t="shared" si="30"/>
        <v>Brandenburg [DEBBG]</v>
      </c>
      <c r="AN1954" t="s">
        <v>7172</v>
      </c>
      <c r="AO1954" t="s">
        <v>7173</v>
      </c>
    </row>
    <row r="1955" spans="39:41" ht="12" customHeight="1" x14ac:dyDescent="0.2">
      <c r="AM1955" t="str">
        <f t="shared" si="30"/>
        <v>Brando [FIBRA]</v>
      </c>
      <c r="AN1955" t="s">
        <v>10320</v>
      </c>
      <c r="AO1955" t="s">
        <v>35711</v>
      </c>
    </row>
    <row r="1956" spans="39:41" ht="12" customHeight="1" x14ac:dyDescent="0.2">
      <c r="AM1956" t="str">
        <f t="shared" si="30"/>
        <v>Brandon [USBHF]</v>
      </c>
      <c r="AN1956" t="s">
        <v>29053</v>
      </c>
      <c r="AO1956" t="s">
        <v>29054</v>
      </c>
    </row>
    <row r="1957" spans="39:41" ht="12" customHeight="1" x14ac:dyDescent="0.2">
      <c r="AM1957" t="str">
        <f t="shared" si="30"/>
        <v>Brandsfjord [NOBSF]</v>
      </c>
      <c r="AN1957" t="s">
        <v>23944</v>
      </c>
      <c r="AO1957" t="s">
        <v>23945</v>
      </c>
    </row>
    <row r="1958" spans="39:41" ht="12" customHeight="1" x14ac:dyDescent="0.2">
      <c r="AM1958" t="str">
        <f t="shared" si="30"/>
        <v>Branscombe [GBBBE]</v>
      </c>
      <c r="AN1958" t="s">
        <v>12609</v>
      </c>
      <c r="AO1958" t="s">
        <v>12610</v>
      </c>
    </row>
    <row r="1959" spans="39:41" ht="12" customHeight="1" x14ac:dyDescent="0.2">
      <c r="AM1959" t="str">
        <f t="shared" si="30"/>
        <v>Bras [FRQXC]</v>
      </c>
      <c r="AN1959" t="s">
        <v>10925</v>
      </c>
      <c r="AO1959" t="s">
        <v>10926</v>
      </c>
    </row>
    <row r="1960" spans="39:41" ht="12" customHeight="1" x14ac:dyDescent="0.2">
      <c r="AM1960" t="str">
        <f t="shared" si="30"/>
        <v>Braskereidfoss [NOBRS]</v>
      </c>
      <c r="AN1960" t="s">
        <v>37073</v>
      </c>
      <c r="AO1960" t="s">
        <v>37074</v>
      </c>
    </row>
    <row r="1961" spans="39:41" ht="12" customHeight="1" x14ac:dyDescent="0.2">
      <c r="AM1961" t="str">
        <f t="shared" si="30"/>
        <v>Brasles [FRAJK]</v>
      </c>
      <c r="AN1961" t="s">
        <v>10927</v>
      </c>
      <c r="AO1961" t="s">
        <v>10928</v>
      </c>
    </row>
    <row r="1962" spans="39:41" ht="12" customHeight="1" x14ac:dyDescent="0.2">
      <c r="AM1962" t="str">
        <f t="shared" si="30"/>
        <v>Brass [NGBRA]</v>
      </c>
      <c r="AN1962" t="s">
        <v>22921</v>
      </c>
      <c r="AO1962" t="s">
        <v>22922</v>
      </c>
    </row>
    <row r="1963" spans="39:41" ht="12" customHeight="1" x14ac:dyDescent="0.2">
      <c r="AM1963" t="str">
        <f t="shared" si="30"/>
        <v>Bratislava Port [SKBAB]</v>
      </c>
      <c r="AN1963" t="s">
        <v>28037</v>
      </c>
      <c r="AO1963" t="s">
        <v>28038</v>
      </c>
    </row>
    <row r="1964" spans="39:41" ht="12" customHeight="1" x14ac:dyDescent="0.2">
      <c r="AM1964" t="str">
        <f t="shared" si="30"/>
        <v>Brattvag [NOBRV]</v>
      </c>
      <c r="AN1964" t="s">
        <v>23946</v>
      </c>
      <c r="AO1964" t="s">
        <v>36144</v>
      </c>
    </row>
    <row r="1965" spans="39:41" ht="12" customHeight="1" x14ac:dyDescent="0.2">
      <c r="AM1965" t="str">
        <f t="shared" si="30"/>
        <v>Braunschweig [DEBWE]</v>
      </c>
      <c r="AN1965" t="s">
        <v>7174</v>
      </c>
      <c r="AO1965" t="s">
        <v>7175</v>
      </c>
    </row>
    <row r="1966" spans="39:41" ht="12" customHeight="1" x14ac:dyDescent="0.2">
      <c r="AM1966" t="str">
        <f t="shared" si="30"/>
        <v>Braunsdorf [DEUDF]</v>
      </c>
      <c r="AN1966" t="s">
        <v>7176</v>
      </c>
      <c r="AO1966" t="s">
        <v>7177</v>
      </c>
    </row>
    <row r="1967" spans="39:41" ht="12" customHeight="1" x14ac:dyDescent="0.2">
      <c r="AM1967" t="str">
        <f t="shared" si="30"/>
        <v>Braviken [SEBVK]</v>
      </c>
      <c r="AN1967" t="s">
        <v>27528</v>
      </c>
      <c r="AO1967" t="s">
        <v>36426</v>
      </c>
    </row>
    <row r="1968" spans="39:41" ht="12" customHeight="1" x14ac:dyDescent="0.2">
      <c r="AM1968" t="str">
        <f t="shared" si="30"/>
        <v>Bray [GBBWM]</v>
      </c>
      <c r="AN1968" t="s">
        <v>12611</v>
      </c>
      <c r="AO1968" t="s">
        <v>12612</v>
      </c>
    </row>
    <row r="1969" spans="39:41" ht="12" customHeight="1" x14ac:dyDescent="0.2">
      <c r="AM1969" t="str">
        <f t="shared" si="30"/>
        <v>Brayton Point [USBNP]</v>
      </c>
      <c r="AN1969" t="s">
        <v>29055</v>
      </c>
      <c r="AO1969" t="s">
        <v>29056</v>
      </c>
    </row>
    <row r="1970" spans="39:41" ht="12" customHeight="1" x14ac:dyDescent="0.2">
      <c r="AM1970" t="str">
        <f t="shared" si="30"/>
        <v>Brazey-en-Plaine [FRBEP]</v>
      </c>
      <c r="AN1970" t="s">
        <v>10929</v>
      </c>
      <c r="AO1970" t="s">
        <v>10930</v>
      </c>
    </row>
    <row r="1971" spans="39:41" ht="12" customHeight="1" x14ac:dyDescent="0.2">
      <c r="AM1971" t="str">
        <f t="shared" si="30"/>
        <v>Brbinj/Lucina [HRBRB]</v>
      </c>
      <c r="AN1971" t="s">
        <v>15716</v>
      </c>
      <c r="AO1971" t="s">
        <v>15717</v>
      </c>
    </row>
    <row r="1972" spans="39:41" ht="12" customHeight="1" x14ac:dyDescent="0.2">
      <c r="AM1972" t="str">
        <f t="shared" si="30"/>
        <v>Breasclete [GBRST]</v>
      </c>
      <c r="AN1972" t="s">
        <v>12613</v>
      </c>
      <c r="AO1972" t="s">
        <v>12614</v>
      </c>
    </row>
    <row r="1973" spans="39:41" ht="12" customHeight="1" x14ac:dyDescent="0.2">
      <c r="AM1973" t="str">
        <f t="shared" si="30"/>
        <v>Breaston [GBBBB]</v>
      </c>
      <c r="AN1973" t="s">
        <v>12615</v>
      </c>
      <c r="AO1973" t="s">
        <v>12616</v>
      </c>
    </row>
    <row r="1974" spans="39:41" ht="12" customHeight="1" x14ac:dyDescent="0.2">
      <c r="AM1974" t="str">
        <f t="shared" si="30"/>
        <v>Brebieres [FRBRQ]</v>
      </c>
      <c r="AN1974" t="s">
        <v>10931</v>
      </c>
      <c r="AO1974" t="s">
        <v>35784</v>
      </c>
    </row>
    <row r="1975" spans="39:41" ht="12" customHeight="1" x14ac:dyDescent="0.2">
      <c r="AM1975" t="str">
        <f t="shared" si="30"/>
        <v>Brebotte [FRBQT]</v>
      </c>
      <c r="AN1975" t="s">
        <v>10932</v>
      </c>
      <c r="AO1975" t="s">
        <v>10933</v>
      </c>
    </row>
    <row r="1976" spans="39:41" ht="12" customHeight="1" x14ac:dyDescent="0.2">
      <c r="AM1976" t="str">
        <f t="shared" si="30"/>
        <v>Brecht [BEBRC]</v>
      </c>
      <c r="AN1976" t="s">
        <v>36757</v>
      </c>
      <c r="AO1976" t="s">
        <v>36758</v>
      </c>
    </row>
    <row r="1977" spans="39:41" ht="12" customHeight="1" x14ac:dyDescent="0.2">
      <c r="AM1977" t="str">
        <f t="shared" si="30"/>
        <v>Breda [NLBRD]</v>
      </c>
      <c r="AN1977" t="s">
        <v>34097</v>
      </c>
      <c r="AO1977" t="s">
        <v>34143</v>
      </c>
    </row>
    <row r="1978" spans="39:41" ht="12" customHeight="1" x14ac:dyDescent="0.2">
      <c r="AM1978" t="str">
        <f t="shared" si="30"/>
        <v>Bredviken [SEBRE]</v>
      </c>
      <c r="AN1978" t="s">
        <v>27529</v>
      </c>
      <c r="AO1978" t="s">
        <v>27530</v>
      </c>
    </row>
    <row r="1979" spans="39:41" ht="12" customHeight="1" x14ac:dyDescent="0.2">
      <c r="AM1979" t="str">
        <f t="shared" si="30"/>
        <v>Bree [BEBRE]</v>
      </c>
      <c r="AN1979" t="s">
        <v>2330</v>
      </c>
      <c r="AO1979" t="s">
        <v>2331</v>
      </c>
    </row>
    <row r="1980" spans="39:41" ht="12" customHeight="1" x14ac:dyDescent="0.2">
      <c r="AM1980" t="str">
        <f t="shared" si="30"/>
        <v>Breezewood [USZWB]</v>
      </c>
      <c r="AN1980" t="s">
        <v>29057</v>
      </c>
      <c r="AO1980" t="s">
        <v>29058</v>
      </c>
    </row>
    <row r="1981" spans="39:41" ht="12" customHeight="1" x14ac:dyDescent="0.2">
      <c r="AM1981" t="str">
        <f t="shared" si="30"/>
        <v>Bregenz [ATBRZ]</v>
      </c>
      <c r="AN1981" t="s">
        <v>1171</v>
      </c>
      <c r="AO1981" t="s">
        <v>1172</v>
      </c>
    </row>
    <row r="1982" spans="39:41" ht="12" customHeight="1" x14ac:dyDescent="0.2">
      <c r="AM1982" t="str">
        <f t="shared" si="30"/>
        <v>Brehan [FREHA]</v>
      </c>
      <c r="AN1982" t="s">
        <v>10934</v>
      </c>
      <c r="AO1982" t="s">
        <v>10935</v>
      </c>
    </row>
    <row r="1983" spans="39:41" ht="12" customHeight="1" x14ac:dyDescent="0.2">
      <c r="AM1983" t="str">
        <f t="shared" si="30"/>
        <v>Breiddalsvik [ISBRE]</v>
      </c>
      <c r="AN1983" t="s">
        <v>17686</v>
      </c>
      <c r="AO1983" t="s">
        <v>17687</v>
      </c>
    </row>
    <row r="1984" spans="39:41" ht="12" customHeight="1" x14ac:dyDescent="0.2">
      <c r="AM1984" t="str">
        <f t="shared" ref="AM1984:AM2047" si="31">AO1984 &amp; " [" &amp; AN1984 &amp; "]"</f>
        <v>Breisach [DEBSH]</v>
      </c>
      <c r="AN1984" t="s">
        <v>7178</v>
      </c>
      <c r="AO1984" t="s">
        <v>7179</v>
      </c>
    </row>
    <row r="1985" spans="39:41" ht="12" customHeight="1" x14ac:dyDescent="0.2">
      <c r="AM1985" t="str">
        <f t="shared" si="31"/>
        <v>Breitenberg [DEBRT]</v>
      </c>
      <c r="AN1985" t="s">
        <v>7180</v>
      </c>
      <c r="AO1985" t="s">
        <v>7181</v>
      </c>
    </row>
    <row r="1986" spans="39:41" ht="12" customHeight="1" x14ac:dyDescent="0.2">
      <c r="AM1986" t="str">
        <f t="shared" si="31"/>
        <v>Breiviga [NOBVR]</v>
      </c>
      <c r="AN1986" t="s">
        <v>23947</v>
      </c>
      <c r="AO1986" t="s">
        <v>23948</v>
      </c>
    </row>
    <row r="1987" spans="39:41" ht="12" customHeight="1" x14ac:dyDescent="0.2">
      <c r="AM1987" t="str">
        <f t="shared" si="31"/>
        <v>Breivikbotn [NOBVB]</v>
      </c>
      <c r="AN1987" t="s">
        <v>23949</v>
      </c>
      <c r="AO1987" t="s">
        <v>23950</v>
      </c>
    </row>
    <row r="1988" spans="39:41" ht="12" customHeight="1" x14ac:dyDescent="0.2">
      <c r="AM1988" t="str">
        <f t="shared" si="31"/>
        <v>Brekstad [NOBKS]</v>
      </c>
      <c r="AN1988" t="s">
        <v>23951</v>
      </c>
      <c r="AO1988" t="s">
        <v>23952</v>
      </c>
    </row>
    <row r="1989" spans="39:41" ht="12" customHeight="1" x14ac:dyDescent="0.2">
      <c r="AM1989" t="str">
        <f t="shared" si="31"/>
        <v>Bremanger [NOBRE]</v>
      </c>
      <c r="AN1989" t="s">
        <v>23953</v>
      </c>
      <c r="AO1989" t="s">
        <v>23954</v>
      </c>
    </row>
    <row r="1990" spans="39:41" ht="12" customHeight="1" x14ac:dyDescent="0.2">
      <c r="AM1990" t="str">
        <f t="shared" si="31"/>
        <v>Bremen [DEBRE]</v>
      </c>
      <c r="AN1990" t="s">
        <v>7182</v>
      </c>
      <c r="AO1990" t="s">
        <v>7183</v>
      </c>
    </row>
    <row r="1991" spans="39:41" ht="12" customHeight="1" x14ac:dyDescent="0.2">
      <c r="AM1991" t="str">
        <f t="shared" si="31"/>
        <v>Bremer Bay [AUBBY]</v>
      </c>
      <c r="AN1991" t="s">
        <v>1477</v>
      </c>
      <c r="AO1991" t="s">
        <v>1478</v>
      </c>
    </row>
    <row r="1992" spans="39:41" ht="12" customHeight="1" x14ac:dyDescent="0.2">
      <c r="AM1992" t="str">
        <f t="shared" si="31"/>
        <v>Bremerhaven [DEBRV]</v>
      </c>
      <c r="AN1992" t="s">
        <v>7184</v>
      </c>
      <c r="AO1992" t="s">
        <v>7185</v>
      </c>
    </row>
    <row r="1993" spans="39:41" ht="12" customHeight="1" x14ac:dyDescent="0.2">
      <c r="AM1993" t="str">
        <f t="shared" si="31"/>
        <v>Bremerton [USPWT]</v>
      </c>
      <c r="AN1993" t="s">
        <v>29059</v>
      </c>
      <c r="AO1993" t="s">
        <v>29060</v>
      </c>
    </row>
    <row r="1994" spans="39:41" ht="12" customHeight="1" x14ac:dyDescent="0.2">
      <c r="AM1994" t="str">
        <f t="shared" si="31"/>
        <v>Bremervorde [DEBMV]</v>
      </c>
      <c r="AN1994" t="s">
        <v>7186</v>
      </c>
      <c r="AO1994" t="s">
        <v>35420</v>
      </c>
    </row>
    <row r="1995" spans="39:41" ht="12" customHeight="1" x14ac:dyDescent="0.2">
      <c r="AM1995" t="str">
        <f t="shared" si="31"/>
        <v>Brena Baja [ESBBJ]</v>
      </c>
      <c r="AN1995" t="s">
        <v>9644</v>
      </c>
      <c r="AO1995" t="s">
        <v>35662</v>
      </c>
    </row>
    <row r="1996" spans="39:41" ht="12" customHeight="1" x14ac:dyDescent="0.2">
      <c r="AM1996" t="str">
        <f t="shared" si="31"/>
        <v>Brensholmen [NOBRH]</v>
      </c>
      <c r="AN1996" t="s">
        <v>23955</v>
      </c>
      <c r="AO1996" t="s">
        <v>23956</v>
      </c>
    </row>
    <row r="1997" spans="39:41" ht="12" customHeight="1" x14ac:dyDescent="0.2">
      <c r="AM1997" t="str">
        <f t="shared" si="31"/>
        <v>Brent [GBENT]</v>
      </c>
      <c r="AN1997" t="s">
        <v>12617</v>
      </c>
      <c r="AO1997" t="s">
        <v>12618</v>
      </c>
    </row>
    <row r="1998" spans="39:41" ht="12" customHeight="1" x14ac:dyDescent="0.2">
      <c r="AM1998" t="str">
        <f t="shared" si="31"/>
        <v>Brentwood Bay [CABRD]</v>
      </c>
      <c r="AN1998" t="s">
        <v>3630</v>
      </c>
      <c r="AO1998" t="s">
        <v>3631</v>
      </c>
    </row>
    <row r="1999" spans="39:41" ht="12" customHeight="1" x14ac:dyDescent="0.2">
      <c r="AM1999" t="str">
        <f t="shared" si="31"/>
        <v>Breskens [NLBRS]</v>
      </c>
      <c r="AN1999" t="s">
        <v>23086</v>
      </c>
      <c r="AO1999" t="s">
        <v>23087</v>
      </c>
    </row>
    <row r="2000" spans="39:41" ht="12" customHeight="1" x14ac:dyDescent="0.2">
      <c r="AM2000" t="str">
        <f t="shared" si="31"/>
        <v>Bresnica [RS4SN]</v>
      </c>
      <c r="AN2000" t="s">
        <v>26838</v>
      </c>
      <c r="AO2000" t="s">
        <v>26839</v>
      </c>
    </row>
    <row r="2001" spans="39:41" ht="12" customHeight="1" x14ac:dyDescent="0.2">
      <c r="AM2001" t="str">
        <f t="shared" si="31"/>
        <v>Brest [FRBES]</v>
      </c>
      <c r="AN2001" t="s">
        <v>10936</v>
      </c>
      <c r="AO2001" t="s">
        <v>10937</v>
      </c>
    </row>
    <row r="2002" spans="39:41" ht="12" customHeight="1" x14ac:dyDescent="0.2">
      <c r="AM2002" t="str">
        <f t="shared" si="31"/>
        <v>Bresteland [DETLD]</v>
      </c>
      <c r="AN2002" t="s">
        <v>7187</v>
      </c>
      <c r="AO2002" t="s">
        <v>7188</v>
      </c>
    </row>
    <row r="2003" spans="39:41" ht="12" customHeight="1" x14ac:dyDescent="0.2">
      <c r="AM2003" t="str">
        <f t="shared" si="31"/>
        <v>Brethenay [FREHY]</v>
      </c>
      <c r="AN2003" t="s">
        <v>10938</v>
      </c>
      <c r="AO2003" t="s">
        <v>10939</v>
      </c>
    </row>
    <row r="2004" spans="39:41" ht="12" customHeight="1" x14ac:dyDescent="0.2">
      <c r="AM2004" t="str">
        <f t="shared" si="31"/>
        <v>Bretigny-sur-Morrens [CHBSM]</v>
      </c>
      <c r="AN2004" t="s">
        <v>4660</v>
      </c>
      <c r="AO2004" t="s">
        <v>4661</v>
      </c>
    </row>
    <row r="2005" spans="39:41" ht="12" customHeight="1" x14ac:dyDescent="0.2">
      <c r="AM2005" t="str">
        <f t="shared" si="31"/>
        <v>Brettenham [GBBWX]</v>
      </c>
      <c r="AN2005" t="s">
        <v>12619</v>
      </c>
      <c r="AO2005" t="s">
        <v>12620</v>
      </c>
    </row>
    <row r="2006" spans="39:41" ht="12" customHeight="1" x14ac:dyDescent="0.2">
      <c r="AM2006" t="str">
        <f t="shared" si="31"/>
        <v>Brettesnes [NOBTS]</v>
      </c>
      <c r="AN2006" t="s">
        <v>23957</v>
      </c>
      <c r="AO2006" t="s">
        <v>23958</v>
      </c>
    </row>
    <row r="2007" spans="39:41" ht="12" customHeight="1" x14ac:dyDescent="0.2">
      <c r="AM2007" t="str">
        <f t="shared" si="31"/>
        <v>Breukelen [NLRUK]</v>
      </c>
      <c r="AN2007" t="s">
        <v>33866</v>
      </c>
      <c r="AO2007" t="s">
        <v>33988</v>
      </c>
    </row>
    <row r="2008" spans="39:41" ht="12" customHeight="1" x14ac:dyDescent="0.2">
      <c r="AM2008" t="str">
        <f t="shared" si="31"/>
        <v>Breves [BRBVS]</v>
      </c>
      <c r="AN2008" t="s">
        <v>3278</v>
      </c>
      <c r="AO2008" t="s">
        <v>3279</v>
      </c>
    </row>
    <row r="2009" spans="39:41" ht="12" customHeight="1" x14ac:dyDescent="0.2">
      <c r="AM2009" t="str">
        <f t="shared" si="31"/>
        <v>Brevik [NOBVK]</v>
      </c>
      <c r="AN2009" t="s">
        <v>23959</v>
      </c>
      <c r="AO2009" t="s">
        <v>23960</v>
      </c>
    </row>
    <row r="2010" spans="39:41" ht="12" customHeight="1" x14ac:dyDescent="0.2">
      <c r="AM2010" t="str">
        <f t="shared" si="31"/>
        <v>Brevort [USBM4]</v>
      </c>
      <c r="AN2010" t="s">
        <v>29061</v>
      </c>
      <c r="AO2010" t="s">
        <v>29062</v>
      </c>
    </row>
    <row r="2011" spans="39:41" ht="12" customHeight="1" x14ac:dyDescent="0.2">
      <c r="AM2011" t="str">
        <f t="shared" si="31"/>
        <v>Brewster [USBCW]</v>
      </c>
      <c r="AN2011" t="s">
        <v>29063</v>
      </c>
      <c r="AO2011" t="s">
        <v>29064</v>
      </c>
    </row>
    <row r="2012" spans="39:41" ht="12" customHeight="1" x14ac:dyDescent="0.2">
      <c r="AM2012" t="str">
        <f t="shared" si="31"/>
        <v>Briarcliff Manor [USBFJ]</v>
      </c>
      <c r="AN2012" t="s">
        <v>29065</v>
      </c>
      <c r="AO2012" t="s">
        <v>29066</v>
      </c>
    </row>
    <row r="2013" spans="39:41" ht="12" customHeight="1" x14ac:dyDescent="0.2">
      <c r="AM2013" t="str">
        <f t="shared" si="31"/>
        <v>Brickaville [MGBIK]</v>
      </c>
      <c r="AN2013" t="s">
        <v>22114</v>
      </c>
      <c r="AO2013" t="s">
        <v>22115</v>
      </c>
    </row>
    <row r="2014" spans="39:41" ht="12" customHeight="1" x14ac:dyDescent="0.2">
      <c r="AM2014" t="str">
        <f t="shared" si="31"/>
        <v>Bridgehampton [USBHC]</v>
      </c>
      <c r="AN2014" t="s">
        <v>29067</v>
      </c>
      <c r="AO2014" t="s">
        <v>29068</v>
      </c>
    </row>
    <row r="2015" spans="39:41" ht="12" customHeight="1" x14ac:dyDescent="0.2">
      <c r="AM2015" t="str">
        <f t="shared" si="31"/>
        <v>Bridgeport [USBDR]</v>
      </c>
      <c r="AN2015" t="s">
        <v>29069</v>
      </c>
      <c r="AO2015" t="s">
        <v>29070</v>
      </c>
    </row>
    <row r="2016" spans="39:41" ht="12" customHeight="1" x14ac:dyDescent="0.2">
      <c r="AM2016" t="str">
        <f t="shared" si="31"/>
        <v>Bridgeport [USBDB]</v>
      </c>
      <c r="AN2016" t="s">
        <v>29071</v>
      </c>
      <c r="AO2016" t="s">
        <v>29070</v>
      </c>
    </row>
    <row r="2017" spans="39:41" ht="12" customHeight="1" x14ac:dyDescent="0.2">
      <c r="AM2017" t="str">
        <f t="shared" si="31"/>
        <v>Bridgetown [BBBGI]</v>
      </c>
      <c r="AN2017" t="s">
        <v>2184</v>
      </c>
      <c r="AO2017" t="s">
        <v>2185</v>
      </c>
    </row>
    <row r="2018" spans="39:41" ht="12" customHeight="1" x14ac:dyDescent="0.2">
      <c r="AM2018" t="str">
        <f t="shared" si="31"/>
        <v>Bridgewater [CABRW]</v>
      </c>
      <c r="AN2018" t="s">
        <v>3632</v>
      </c>
      <c r="AO2018" t="s">
        <v>3633</v>
      </c>
    </row>
    <row r="2019" spans="39:41" ht="12" customHeight="1" x14ac:dyDescent="0.2">
      <c r="AM2019" t="str">
        <f t="shared" si="31"/>
        <v>Bridgewater [USB7S]</v>
      </c>
      <c r="AN2019" t="s">
        <v>29072</v>
      </c>
      <c r="AO2019" t="s">
        <v>3633</v>
      </c>
    </row>
    <row r="2020" spans="39:41" ht="12" customHeight="1" x14ac:dyDescent="0.2">
      <c r="AM2020" t="str">
        <f t="shared" si="31"/>
        <v>Bridgewater-on-Loddon [AUBOL]</v>
      </c>
      <c r="AN2020" t="s">
        <v>1479</v>
      </c>
      <c r="AO2020" t="s">
        <v>1480</v>
      </c>
    </row>
    <row r="2021" spans="39:41" ht="12" customHeight="1" x14ac:dyDescent="0.2">
      <c r="AM2021" t="str">
        <f t="shared" si="31"/>
        <v>Bridgwater [GBBRW]</v>
      </c>
      <c r="AN2021" t="s">
        <v>12621</v>
      </c>
      <c r="AO2021" t="s">
        <v>12622</v>
      </c>
    </row>
    <row r="2022" spans="39:41" ht="12" customHeight="1" x14ac:dyDescent="0.2">
      <c r="AM2022" t="str">
        <f t="shared" si="31"/>
        <v>Bridlington [GBBRT]</v>
      </c>
      <c r="AN2022" t="s">
        <v>12623</v>
      </c>
      <c r="AO2022" t="s">
        <v>12624</v>
      </c>
    </row>
    <row r="2023" spans="39:41" ht="12" customHeight="1" x14ac:dyDescent="0.2">
      <c r="AM2023" t="str">
        <f t="shared" si="31"/>
        <v>Bridport [GBBRP]</v>
      </c>
      <c r="AN2023" t="s">
        <v>12625</v>
      </c>
      <c r="AO2023" t="s">
        <v>12626</v>
      </c>
    </row>
    <row r="2024" spans="39:41" ht="12" customHeight="1" x14ac:dyDescent="0.2">
      <c r="AM2024" t="str">
        <f t="shared" si="31"/>
        <v>Bridport [AUBPO]</v>
      </c>
      <c r="AN2024" t="s">
        <v>34167</v>
      </c>
      <c r="AO2024" t="s">
        <v>12626</v>
      </c>
    </row>
    <row r="2025" spans="39:41" ht="12" customHeight="1" x14ac:dyDescent="0.2">
      <c r="AM2025" t="str">
        <f t="shared" si="31"/>
        <v>Briegden [BEBGN]</v>
      </c>
      <c r="AN2025" t="s">
        <v>2332</v>
      </c>
      <c r="AO2025" t="s">
        <v>2333</v>
      </c>
    </row>
    <row r="2026" spans="39:41" ht="12" customHeight="1" x14ac:dyDescent="0.2">
      <c r="AM2026" t="str">
        <f t="shared" si="31"/>
        <v>Brielle [NLBRI]</v>
      </c>
      <c r="AN2026" t="s">
        <v>33867</v>
      </c>
      <c r="AO2026" t="s">
        <v>33989</v>
      </c>
    </row>
    <row r="2027" spans="39:41" ht="12" customHeight="1" x14ac:dyDescent="0.2">
      <c r="AM2027" t="str">
        <f t="shared" si="31"/>
        <v>Brierfield [GBBFE]</v>
      </c>
      <c r="AN2027" t="s">
        <v>12627</v>
      </c>
      <c r="AO2027" t="s">
        <v>12628</v>
      </c>
    </row>
    <row r="2028" spans="39:41" ht="12" customHeight="1" x14ac:dyDescent="0.2">
      <c r="AM2028" t="str">
        <f t="shared" si="31"/>
        <v>Brie-sous-Matha [FRMHT]</v>
      </c>
      <c r="AN2028" t="s">
        <v>10940</v>
      </c>
      <c r="AO2028" t="s">
        <v>10941</v>
      </c>
    </row>
    <row r="2029" spans="39:41" ht="12" customHeight="1" x14ac:dyDescent="0.2">
      <c r="AM2029" t="str">
        <f t="shared" si="31"/>
        <v>Brighstone [GBBXS]</v>
      </c>
      <c r="AN2029" t="s">
        <v>12629</v>
      </c>
      <c r="AO2029" t="s">
        <v>12630</v>
      </c>
    </row>
    <row r="2030" spans="39:41" ht="12" customHeight="1" x14ac:dyDescent="0.2">
      <c r="AM2030" t="str">
        <f t="shared" si="31"/>
        <v>Brightlingsea [GBBLS]</v>
      </c>
      <c r="AN2030" t="s">
        <v>12631</v>
      </c>
      <c r="AO2030" t="s">
        <v>12632</v>
      </c>
    </row>
    <row r="2031" spans="39:41" ht="12" customHeight="1" x14ac:dyDescent="0.2">
      <c r="AM2031" t="str">
        <f t="shared" si="31"/>
        <v>Brighton [GBBSH]</v>
      </c>
      <c r="AN2031" t="s">
        <v>12633</v>
      </c>
      <c r="AO2031" t="s">
        <v>12634</v>
      </c>
    </row>
    <row r="2032" spans="39:41" ht="12" customHeight="1" x14ac:dyDescent="0.2">
      <c r="AM2032" t="str">
        <f t="shared" si="31"/>
        <v>Brighton-Le-Sands [AUBSA]</v>
      </c>
      <c r="AN2032" t="s">
        <v>1481</v>
      </c>
      <c r="AO2032" t="s">
        <v>1482</v>
      </c>
    </row>
    <row r="2033" spans="39:41" ht="12" customHeight="1" x14ac:dyDescent="0.2">
      <c r="AM2033" t="str">
        <f t="shared" si="31"/>
        <v>Brilliant [USTJB]</v>
      </c>
      <c r="AN2033" t="s">
        <v>29073</v>
      </c>
      <c r="AO2033" t="s">
        <v>29074</v>
      </c>
    </row>
    <row r="2034" spans="39:41" ht="12" customHeight="1" x14ac:dyDescent="0.2">
      <c r="AM2034" t="str">
        <f t="shared" si="31"/>
        <v>Brilon [DEBRI]</v>
      </c>
      <c r="AN2034" t="s">
        <v>7189</v>
      </c>
      <c r="AO2034" t="s">
        <v>7190</v>
      </c>
    </row>
    <row r="2035" spans="39:41" ht="12" customHeight="1" x14ac:dyDescent="0.2">
      <c r="AM2035" t="str">
        <f t="shared" si="31"/>
        <v>Brimont [FRB2T]</v>
      </c>
      <c r="AN2035" t="s">
        <v>10942</v>
      </c>
      <c r="AO2035" t="s">
        <v>10943</v>
      </c>
    </row>
    <row r="2036" spans="39:41" ht="12" customHeight="1" x14ac:dyDescent="0.2">
      <c r="AM2036" t="str">
        <f t="shared" si="31"/>
        <v>Brindisi [ITBDS]</v>
      </c>
      <c r="AN2036" t="s">
        <v>17846</v>
      </c>
      <c r="AO2036" t="s">
        <v>17847</v>
      </c>
    </row>
    <row r="2037" spans="39:41" ht="12" customHeight="1" x14ac:dyDescent="0.2">
      <c r="AM2037" t="str">
        <f t="shared" si="31"/>
        <v>Brink [DEBNK]</v>
      </c>
      <c r="AN2037" t="s">
        <v>7191</v>
      </c>
      <c r="AO2037" t="s">
        <v>7192</v>
      </c>
    </row>
    <row r="2038" spans="39:41" ht="12" customHeight="1" x14ac:dyDescent="0.2">
      <c r="AM2038" t="str">
        <f t="shared" si="31"/>
        <v>Brinnon [USB2N]</v>
      </c>
      <c r="AN2038" t="s">
        <v>29075</v>
      </c>
      <c r="AO2038" t="s">
        <v>29076</v>
      </c>
    </row>
    <row r="2039" spans="39:41" ht="12" customHeight="1" x14ac:dyDescent="0.2">
      <c r="AM2039" t="str">
        <f t="shared" si="31"/>
        <v>Brioni [HRBRI]</v>
      </c>
      <c r="AN2039" t="s">
        <v>15718</v>
      </c>
      <c r="AO2039" t="s">
        <v>15719</v>
      </c>
    </row>
    <row r="2040" spans="39:41" ht="12" customHeight="1" x14ac:dyDescent="0.2">
      <c r="AM2040" t="str">
        <f t="shared" si="31"/>
        <v>Brisbane [AUBNE]</v>
      </c>
      <c r="AN2040" t="s">
        <v>1483</v>
      </c>
      <c r="AO2040" t="s">
        <v>1484</v>
      </c>
    </row>
    <row r="2041" spans="39:41" ht="12" customHeight="1" x14ac:dyDescent="0.2">
      <c r="AM2041" t="str">
        <f t="shared" si="31"/>
        <v>Bristol [GBBRS]</v>
      </c>
      <c r="AN2041" t="s">
        <v>12635</v>
      </c>
      <c r="AO2041" t="s">
        <v>12636</v>
      </c>
    </row>
    <row r="2042" spans="39:41" ht="12" customHeight="1" x14ac:dyDescent="0.2">
      <c r="AM2042" t="str">
        <f t="shared" si="31"/>
        <v>Briston [GBBIK]</v>
      </c>
      <c r="AN2042" t="s">
        <v>12637</v>
      </c>
      <c r="AO2042" t="s">
        <v>12638</v>
      </c>
    </row>
    <row r="2043" spans="39:41" ht="12" customHeight="1" x14ac:dyDescent="0.2">
      <c r="AM2043" t="str">
        <f t="shared" si="31"/>
        <v>Britannia Beach [CABRI]</v>
      </c>
      <c r="AN2043" t="s">
        <v>3634</v>
      </c>
      <c r="AO2043" t="s">
        <v>3635</v>
      </c>
    </row>
    <row r="2044" spans="39:41" ht="12" customHeight="1" x14ac:dyDescent="0.2">
      <c r="AM2044" t="str">
        <f t="shared" si="31"/>
        <v>Briton Ferry [GBBFY]</v>
      </c>
      <c r="AN2044" t="s">
        <v>12639</v>
      </c>
      <c r="AO2044" t="s">
        <v>12640</v>
      </c>
    </row>
    <row r="2045" spans="39:41" ht="12" customHeight="1" x14ac:dyDescent="0.2">
      <c r="AM2045" t="str">
        <f t="shared" si="31"/>
        <v>Britt [CABTT]</v>
      </c>
      <c r="AN2045" t="s">
        <v>3636</v>
      </c>
      <c r="AO2045" t="s">
        <v>3637</v>
      </c>
    </row>
    <row r="2046" spans="39:41" ht="12" customHeight="1" x14ac:dyDescent="0.2">
      <c r="AM2046" t="str">
        <f t="shared" si="31"/>
        <v>Britz [DERIZ]</v>
      </c>
      <c r="AN2046" t="s">
        <v>7193</v>
      </c>
      <c r="AO2046" t="s">
        <v>7194</v>
      </c>
    </row>
    <row r="2047" spans="39:41" ht="12" customHeight="1" x14ac:dyDescent="0.2">
      <c r="AM2047" t="str">
        <f t="shared" si="31"/>
        <v>Brive [FRBSD]</v>
      </c>
      <c r="AN2047" t="s">
        <v>10944</v>
      </c>
      <c r="AO2047" t="s">
        <v>35785</v>
      </c>
    </row>
    <row r="2048" spans="39:41" ht="12" customHeight="1" x14ac:dyDescent="0.2">
      <c r="AM2048" t="str">
        <f t="shared" ref="AM2048:AM2111" si="32">AO2048 &amp; " [" &amp; AN2048 &amp; "]"</f>
        <v>Brixham [GBBRX]</v>
      </c>
      <c r="AN2048" t="s">
        <v>12641</v>
      </c>
      <c r="AO2048" t="s">
        <v>12642</v>
      </c>
    </row>
    <row r="2049" spans="39:41" ht="12" customHeight="1" x14ac:dyDescent="0.2">
      <c r="AM2049" t="str">
        <f t="shared" si="32"/>
        <v>Broach [INBRH]</v>
      </c>
      <c r="AN2049" t="s">
        <v>17066</v>
      </c>
      <c r="AO2049" t="s">
        <v>17067</v>
      </c>
    </row>
    <row r="2050" spans="39:41" ht="12" customHeight="1" x14ac:dyDescent="0.2">
      <c r="AM2050" t="str">
        <f t="shared" si="32"/>
        <v>Broad Brook [USBB8]</v>
      </c>
      <c r="AN2050" t="s">
        <v>29077</v>
      </c>
      <c r="AO2050" t="s">
        <v>29078</v>
      </c>
    </row>
    <row r="2051" spans="39:41" ht="12" customHeight="1" x14ac:dyDescent="0.2">
      <c r="AM2051" t="str">
        <f t="shared" si="32"/>
        <v>Broadford [IEEBF]</v>
      </c>
      <c r="AN2051" t="s">
        <v>16742</v>
      </c>
      <c r="AO2051" t="s">
        <v>16743</v>
      </c>
    </row>
    <row r="2052" spans="39:41" ht="12" customHeight="1" x14ac:dyDescent="0.2">
      <c r="AM2052" t="str">
        <f t="shared" si="32"/>
        <v>Broadford, Isle of Skye [GBBDF]</v>
      </c>
      <c r="AN2052" t="s">
        <v>12643</v>
      </c>
      <c r="AO2052" t="s">
        <v>12644</v>
      </c>
    </row>
    <row r="2053" spans="39:41" ht="12" customHeight="1" x14ac:dyDescent="0.2">
      <c r="AM2053" t="str">
        <f t="shared" si="32"/>
        <v>Broadmayne [GBBYN]</v>
      </c>
      <c r="AN2053" t="s">
        <v>12645</v>
      </c>
      <c r="AO2053" t="s">
        <v>12646</v>
      </c>
    </row>
    <row r="2054" spans="39:41" ht="12" customHeight="1" x14ac:dyDescent="0.2">
      <c r="AM2054" t="str">
        <f t="shared" si="32"/>
        <v>Broadmeadows [AUBMW]</v>
      </c>
      <c r="AN2054" t="s">
        <v>1485</v>
      </c>
      <c r="AO2054" t="s">
        <v>1486</v>
      </c>
    </row>
    <row r="2055" spans="39:41" ht="12" customHeight="1" x14ac:dyDescent="0.2">
      <c r="AM2055" t="str">
        <f t="shared" si="32"/>
        <v>Broadmoor [GBBPE]</v>
      </c>
      <c r="AN2055" t="s">
        <v>12647</v>
      </c>
      <c r="AO2055" t="s">
        <v>12648</v>
      </c>
    </row>
    <row r="2056" spans="39:41" ht="12" customHeight="1" x14ac:dyDescent="0.2">
      <c r="AM2056" t="str">
        <f t="shared" si="32"/>
        <v>Broadstairs [GBBDT]</v>
      </c>
      <c r="AN2056" t="s">
        <v>12649</v>
      </c>
      <c r="AO2056" t="s">
        <v>12650</v>
      </c>
    </row>
    <row r="2057" spans="39:41" ht="12" customHeight="1" x14ac:dyDescent="0.2">
      <c r="AM2057" t="str">
        <f t="shared" si="32"/>
        <v>Brocket [CABKA]</v>
      </c>
      <c r="AN2057" t="s">
        <v>3638</v>
      </c>
      <c r="AO2057" t="s">
        <v>3639</v>
      </c>
    </row>
    <row r="2058" spans="39:41" ht="12" customHeight="1" x14ac:dyDescent="0.2">
      <c r="AM2058" t="str">
        <f t="shared" si="32"/>
        <v>Brockville [CABCK]</v>
      </c>
      <c r="AN2058" t="s">
        <v>3640</v>
      </c>
      <c r="AO2058" t="s">
        <v>3641</v>
      </c>
    </row>
    <row r="2059" spans="39:41" ht="12" customHeight="1" x14ac:dyDescent="0.2">
      <c r="AM2059" t="str">
        <f t="shared" si="32"/>
        <v>Brodenbach [DEBDA]</v>
      </c>
      <c r="AN2059" t="s">
        <v>7195</v>
      </c>
      <c r="AO2059" t="s">
        <v>7196</v>
      </c>
    </row>
    <row r="2060" spans="39:41" ht="12" customHeight="1" x14ac:dyDescent="0.2">
      <c r="AM2060" t="str">
        <f t="shared" si="32"/>
        <v>Brodick, Isle of Arran [GBBDI]</v>
      </c>
      <c r="AN2060" t="s">
        <v>12651</v>
      </c>
      <c r="AO2060" t="s">
        <v>12652</v>
      </c>
    </row>
    <row r="2061" spans="39:41" ht="12" customHeight="1" x14ac:dyDescent="0.2">
      <c r="AM2061" t="str">
        <f t="shared" si="32"/>
        <v>Brofjorden [SEBRO]</v>
      </c>
      <c r="AN2061" t="s">
        <v>27531</v>
      </c>
      <c r="AO2061" t="s">
        <v>27532</v>
      </c>
    </row>
    <row r="2062" spans="39:41" ht="12" customHeight="1" x14ac:dyDescent="0.2">
      <c r="AM2062" t="str">
        <f t="shared" si="32"/>
        <v>Brohl-Lutzing [DEBRO]</v>
      </c>
      <c r="AN2062" t="s">
        <v>7197</v>
      </c>
      <c r="AO2062" t="s">
        <v>35421</v>
      </c>
    </row>
    <row r="2063" spans="39:41" ht="12" customHeight="1" x14ac:dyDescent="0.2">
      <c r="AM2063" t="str">
        <f t="shared" si="32"/>
        <v>Broke [AUNSB]</v>
      </c>
      <c r="AN2063" t="s">
        <v>1487</v>
      </c>
      <c r="AO2063" t="s">
        <v>1488</v>
      </c>
    </row>
    <row r="2064" spans="39:41" ht="12" customHeight="1" x14ac:dyDescent="0.2">
      <c r="AM2064" t="str">
        <f t="shared" si="32"/>
        <v>Bromarv [FIBRO]</v>
      </c>
      <c r="AN2064" t="s">
        <v>10321</v>
      </c>
      <c r="AO2064" t="s">
        <v>10322</v>
      </c>
    </row>
    <row r="2065" spans="39:41" ht="12" customHeight="1" x14ac:dyDescent="0.2">
      <c r="AM2065" t="str">
        <f t="shared" si="32"/>
        <v>Bromborough [GBBHK]</v>
      </c>
      <c r="AN2065" t="s">
        <v>12653</v>
      </c>
      <c r="AO2065" t="s">
        <v>12654</v>
      </c>
    </row>
    <row r="2066" spans="39:41" ht="12" customHeight="1" x14ac:dyDescent="0.2">
      <c r="AM2066" t="str">
        <f t="shared" si="32"/>
        <v>Bromley [USBM3]</v>
      </c>
      <c r="AN2066" t="s">
        <v>29079</v>
      </c>
      <c r="AO2066" t="s">
        <v>29080</v>
      </c>
    </row>
    <row r="2067" spans="39:41" ht="12" customHeight="1" x14ac:dyDescent="0.2">
      <c r="AM2067" t="str">
        <f t="shared" si="32"/>
        <v>Bronka Port [RUBNK]</v>
      </c>
      <c r="AN2067" t="s">
        <v>36681</v>
      </c>
      <c r="AO2067" t="s">
        <v>36682</v>
      </c>
    </row>
    <row r="2068" spans="39:41" ht="12" customHeight="1" x14ac:dyDescent="0.2">
      <c r="AM2068" t="str">
        <f t="shared" si="32"/>
        <v>Bronnoy [NOBRO]</v>
      </c>
      <c r="AN2068" t="s">
        <v>23961</v>
      </c>
      <c r="AO2068" t="s">
        <v>36145</v>
      </c>
    </row>
    <row r="2069" spans="39:41" ht="12" customHeight="1" x14ac:dyDescent="0.2">
      <c r="AM2069" t="str">
        <f t="shared" si="32"/>
        <v>Bronnoysund [NOBNN]</v>
      </c>
      <c r="AN2069" t="s">
        <v>23962</v>
      </c>
      <c r="AO2069" t="s">
        <v>36146</v>
      </c>
    </row>
    <row r="2070" spans="39:41" ht="12" customHeight="1" x14ac:dyDescent="0.2">
      <c r="AM2070" t="str">
        <f t="shared" si="32"/>
        <v>Bronston [USTSZ]</v>
      </c>
      <c r="AN2070" t="s">
        <v>29081</v>
      </c>
      <c r="AO2070" t="s">
        <v>29082</v>
      </c>
    </row>
    <row r="2071" spans="39:41" ht="12" customHeight="1" x14ac:dyDescent="0.2">
      <c r="AM2071" t="str">
        <f t="shared" si="32"/>
        <v>Brookes Point, Palawan [PHBRP]</v>
      </c>
      <c r="AN2071" t="s">
        <v>25623</v>
      </c>
      <c r="AO2071" t="s">
        <v>25624</v>
      </c>
    </row>
    <row r="2072" spans="39:41" ht="12" customHeight="1" x14ac:dyDescent="0.2">
      <c r="AM2072" t="str">
        <f t="shared" si="32"/>
        <v>Brooklyn [CABKN]</v>
      </c>
      <c r="AN2072" t="s">
        <v>3642</v>
      </c>
      <c r="AO2072" t="s">
        <v>3643</v>
      </c>
    </row>
    <row r="2073" spans="39:41" ht="12" customHeight="1" x14ac:dyDescent="0.2">
      <c r="AM2073" t="str">
        <f t="shared" si="32"/>
        <v>Brooklyn [USBOC]</v>
      </c>
      <c r="AN2073" t="s">
        <v>29083</v>
      </c>
      <c r="AO2073" t="s">
        <v>3643</v>
      </c>
    </row>
    <row r="2074" spans="39:41" ht="12" customHeight="1" x14ac:dyDescent="0.2">
      <c r="AM2074" t="str">
        <f t="shared" si="32"/>
        <v>Brooklyn/New York [USBOY]</v>
      </c>
      <c r="AN2074" t="s">
        <v>29084</v>
      </c>
      <c r="AO2074" t="s">
        <v>29085</v>
      </c>
    </row>
    <row r="2075" spans="39:41" ht="12" customHeight="1" x14ac:dyDescent="0.2">
      <c r="AM2075" t="str">
        <f t="shared" si="32"/>
        <v>Brooksville [USBKQ]</v>
      </c>
      <c r="AN2075" t="s">
        <v>29086</v>
      </c>
      <c r="AO2075" t="s">
        <v>29087</v>
      </c>
    </row>
    <row r="2076" spans="39:41" ht="12" customHeight="1" x14ac:dyDescent="0.2">
      <c r="AM2076" t="str">
        <f t="shared" si="32"/>
        <v>Broome [AUBME]</v>
      </c>
      <c r="AN2076" t="s">
        <v>1489</v>
      </c>
      <c r="AO2076" t="s">
        <v>1490</v>
      </c>
    </row>
    <row r="2077" spans="39:41" ht="12" customHeight="1" x14ac:dyDescent="0.2">
      <c r="AM2077" t="str">
        <f t="shared" si="32"/>
        <v>Brora [GBBRJ]</v>
      </c>
      <c r="AN2077" t="s">
        <v>12655</v>
      </c>
      <c r="AO2077" t="s">
        <v>12656</v>
      </c>
    </row>
    <row r="2078" spans="39:41" ht="12" customHeight="1" x14ac:dyDescent="0.2">
      <c r="AM2078" t="str">
        <f t="shared" si="32"/>
        <v>Brottby [SEBRT]</v>
      </c>
      <c r="AN2078" t="s">
        <v>27533</v>
      </c>
      <c r="AO2078" t="s">
        <v>27534</v>
      </c>
    </row>
    <row r="2079" spans="39:41" ht="12" customHeight="1" x14ac:dyDescent="0.2">
      <c r="AM2079" t="str">
        <f t="shared" si="32"/>
        <v>Brotton [GBBXT]</v>
      </c>
      <c r="AN2079" t="s">
        <v>12657</v>
      </c>
      <c r="AO2079" t="s">
        <v>12658</v>
      </c>
    </row>
    <row r="2080" spans="39:41" ht="12" customHeight="1" x14ac:dyDescent="0.2">
      <c r="AM2080" t="str">
        <f t="shared" si="32"/>
        <v>Brough [GBOGH]</v>
      </c>
      <c r="AN2080" t="s">
        <v>12659</v>
      </c>
      <c r="AO2080" t="s">
        <v>12660</v>
      </c>
    </row>
    <row r="2081" spans="39:41" ht="12" customHeight="1" x14ac:dyDescent="0.2">
      <c r="AM2081" t="str">
        <f t="shared" si="32"/>
        <v>Broughton [GBBZT]</v>
      </c>
      <c r="AN2081" t="s">
        <v>33845</v>
      </c>
      <c r="AO2081" t="s">
        <v>33968</v>
      </c>
    </row>
    <row r="2082" spans="39:41" ht="12" customHeight="1" x14ac:dyDescent="0.2">
      <c r="AM2082" t="str">
        <f t="shared" si="32"/>
        <v>Broughton In Furness [GBBFU]</v>
      </c>
      <c r="AN2082" t="s">
        <v>12661</v>
      </c>
      <c r="AO2082" t="s">
        <v>12662</v>
      </c>
    </row>
    <row r="2083" spans="39:41" ht="12" customHeight="1" x14ac:dyDescent="0.2">
      <c r="AM2083" t="str">
        <f t="shared" si="32"/>
        <v>Broughton Is [CABRT]</v>
      </c>
      <c r="AN2083" t="s">
        <v>3644</v>
      </c>
      <c r="AO2083" t="s">
        <v>3645</v>
      </c>
    </row>
    <row r="2084" spans="39:41" ht="12" customHeight="1" x14ac:dyDescent="0.2">
      <c r="AM2084" t="str">
        <f t="shared" si="32"/>
        <v>Brouwershaven [NLBRO]</v>
      </c>
      <c r="AN2084" t="s">
        <v>23088</v>
      </c>
      <c r="AO2084" t="s">
        <v>23089</v>
      </c>
    </row>
    <row r="2085" spans="39:41" ht="12" customHeight="1" x14ac:dyDescent="0.2">
      <c r="AM2085" t="str">
        <f t="shared" si="32"/>
        <v>Browns Mills [USQXY]</v>
      </c>
      <c r="AN2085" t="s">
        <v>29088</v>
      </c>
      <c r="AO2085" t="s">
        <v>29089</v>
      </c>
    </row>
    <row r="2086" spans="39:41" ht="12" customHeight="1" x14ac:dyDescent="0.2">
      <c r="AM2086" t="str">
        <f t="shared" si="32"/>
        <v>Brownsburg [USBWB]</v>
      </c>
      <c r="AN2086" t="s">
        <v>29090</v>
      </c>
      <c r="AO2086" t="s">
        <v>29091</v>
      </c>
    </row>
    <row r="2087" spans="39:41" ht="12" customHeight="1" x14ac:dyDescent="0.2">
      <c r="AM2087" t="str">
        <f t="shared" si="32"/>
        <v>Brownsville [USBV8]</v>
      </c>
      <c r="AN2087" t="s">
        <v>29092</v>
      </c>
      <c r="AO2087" t="s">
        <v>29093</v>
      </c>
    </row>
    <row r="2088" spans="39:41" ht="12" customHeight="1" x14ac:dyDescent="0.2">
      <c r="AM2088" t="str">
        <f t="shared" si="32"/>
        <v>Brownsville [USBRO]</v>
      </c>
      <c r="AN2088" t="s">
        <v>29094</v>
      </c>
      <c r="AO2088" t="s">
        <v>29093</v>
      </c>
    </row>
    <row r="2089" spans="39:41" ht="12" customHeight="1" x14ac:dyDescent="0.2">
      <c r="AM2089" t="str">
        <f t="shared" si="32"/>
        <v>Brownsville [USZVB]</v>
      </c>
      <c r="AN2089" t="s">
        <v>29095</v>
      </c>
      <c r="AO2089" t="s">
        <v>29093</v>
      </c>
    </row>
    <row r="2090" spans="39:41" ht="12" customHeight="1" x14ac:dyDescent="0.2">
      <c r="AM2090" t="str">
        <f t="shared" si="32"/>
        <v>Bruce [USBHI]</v>
      </c>
      <c r="AN2090" t="s">
        <v>29096</v>
      </c>
      <c r="AO2090" t="s">
        <v>29097</v>
      </c>
    </row>
    <row r="2091" spans="39:41" ht="12" customHeight="1" x14ac:dyDescent="0.2">
      <c r="AM2091" t="str">
        <f t="shared" si="32"/>
        <v>Bruceton Mills [USBCM]</v>
      </c>
      <c r="AN2091" t="s">
        <v>29098</v>
      </c>
      <c r="AO2091" t="s">
        <v>29099</v>
      </c>
    </row>
    <row r="2092" spans="39:41" ht="12" customHeight="1" x14ac:dyDescent="0.2">
      <c r="AM2092" t="str">
        <f t="shared" si="32"/>
        <v>Bruch [FRUUC]</v>
      </c>
      <c r="AN2092" t="s">
        <v>10945</v>
      </c>
      <c r="AO2092" t="s">
        <v>10946</v>
      </c>
    </row>
    <row r="2093" spans="39:41" ht="12" customHeight="1" x14ac:dyDescent="0.2">
      <c r="AM2093" t="str">
        <f t="shared" si="32"/>
        <v>Brugge (Bruges) [BEBGS]</v>
      </c>
      <c r="AN2093" t="s">
        <v>2334</v>
      </c>
      <c r="AO2093" t="s">
        <v>2335</v>
      </c>
    </row>
    <row r="2094" spans="39:41" ht="12" customHeight="1" x14ac:dyDescent="0.2">
      <c r="AM2094" t="str">
        <f t="shared" si="32"/>
        <v>Bruichladdich [GBBCH]</v>
      </c>
      <c r="AN2094" t="s">
        <v>12663</v>
      </c>
      <c r="AO2094" t="s">
        <v>12664</v>
      </c>
    </row>
    <row r="2095" spans="39:41" ht="12" customHeight="1" x14ac:dyDescent="0.2">
      <c r="AM2095" t="str">
        <f t="shared" si="32"/>
        <v>Bruinisse [NLBSE]</v>
      </c>
      <c r="AN2095" t="s">
        <v>34099</v>
      </c>
      <c r="AO2095" t="s">
        <v>34145</v>
      </c>
    </row>
    <row r="2096" spans="39:41" ht="12" customHeight="1" x14ac:dyDescent="0.2">
      <c r="AM2096" t="str">
        <f t="shared" si="32"/>
        <v>Brummana [LBBRU]</v>
      </c>
      <c r="AN2096" t="s">
        <v>21786</v>
      </c>
      <c r="AO2096" t="s">
        <v>21787</v>
      </c>
    </row>
    <row r="2097" spans="39:41" ht="12" customHeight="1" x14ac:dyDescent="0.2">
      <c r="AM2097" t="str">
        <f t="shared" si="32"/>
        <v>Brummen [NLBRM]</v>
      </c>
      <c r="AN2097" t="s">
        <v>33868</v>
      </c>
      <c r="AO2097" t="s">
        <v>33990</v>
      </c>
    </row>
    <row r="2098" spans="39:41" ht="12" customHeight="1" x14ac:dyDescent="0.2">
      <c r="AM2098" t="str">
        <f t="shared" si="32"/>
        <v>Brunflo [SEBRU]</v>
      </c>
      <c r="AN2098" t="s">
        <v>27535</v>
      </c>
      <c r="AO2098" t="s">
        <v>27536</v>
      </c>
    </row>
    <row r="2099" spans="39:41" ht="12" customHeight="1" x14ac:dyDescent="0.2">
      <c r="AM2099" t="str">
        <f t="shared" si="32"/>
        <v>Brunnen [CHBRU]</v>
      </c>
      <c r="AN2099" t="s">
        <v>4662</v>
      </c>
      <c r="AO2099" t="s">
        <v>4663</v>
      </c>
    </row>
    <row r="2100" spans="39:41" ht="12" customHeight="1" x14ac:dyDescent="0.2">
      <c r="AM2100" t="str">
        <f t="shared" si="32"/>
        <v>Brunsbuttel [DEBRB]</v>
      </c>
      <c r="AN2100" t="s">
        <v>7198</v>
      </c>
      <c r="AO2100" t="s">
        <v>35422</v>
      </c>
    </row>
    <row r="2101" spans="39:41" ht="12" customHeight="1" x14ac:dyDescent="0.2">
      <c r="AM2101" t="str">
        <f t="shared" si="32"/>
        <v>Brunswick [USSSI]</v>
      </c>
      <c r="AN2101" t="s">
        <v>29100</v>
      </c>
      <c r="AO2101" t="s">
        <v>29101</v>
      </c>
    </row>
    <row r="2102" spans="39:41" ht="12" customHeight="1" x14ac:dyDescent="0.2">
      <c r="AM2102" t="str">
        <f t="shared" si="32"/>
        <v>Bruray, Out Skerries [GBBRU]</v>
      </c>
      <c r="AN2102" t="s">
        <v>12665</v>
      </c>
      <c r="AO2102" t="s">
        <v>12666</v>
      </c>
    </row>
    <row r="2103" spans="39:41" ht="12" customHeight="1" x14ac:dyDescent="0.2">
      <c r="AM2103" t="str">
        <f t="shared" si="32"/>
        <v>Brushvale [USBCH]</v>
      </c>
      <c r="AN2103" t="s">
        <v>29102</v>
      </c>
      <c r="AO2103" t="s">
        <v>29103</v>
      </c>
    </row>
    <row r="2104" spans="39:41" ht="12" customHeight="1" x14ac:dyDescent="0.2">
      <c r="AM2104" t="str">
        <f t="shared" si="32"/>
        <v>Brussel (Bruxelles) [BEBRU]</v>
      </c>
      <c r="AN2104" t="s">
        <v>2336</v>
      </c>
      <c r="AO2104" t="s">
        <v>2337</v>
      </c>
    </row>
    <row r="2105" spans="39:41" ht="12" customHeight="1" x14ac:dyDescent="0.2">
      <c r="AM2105" t="str">
        <f t="shared" si="32"/>
        <v>Brutten [CHBTT]</v>
      </c>
      <c r="AN2105" t="s">
        <v>4664</v>
      </c>
      <c r="AO2105" t="s">
        <v>4665</v>
      </c>
    </row>
    <row r="2106" spans="39:41" ht="12" customHeight="1" x14ac:dyDescent="0.2">
      <c r="AM2106" t="str">
        <f t="shared" si="32"/>
        <v>Bruyelle [BEBRY]</v>
      </c>
      <c r="AN2106" t="s">
        <v>2338</v>
      </c>
      <c r="AO2106" t="s">
        <v>2339</v>
      </c>
    </row>
    <row r="2107" spans="39:41" ht="12" customHeight="1" x14ac:dyDescent="0.2">
      <c r="AM2107" t="str">
        <f t="shared" si="32"/>
        <v>Bryher [GBBZR]</v>
      </c>
      <c r="AN2107" t="s">
        <v>12667</v>
      </c>
      <c r="AO2107" t="s">
        <v>12668</v>
      </c>
    </row>
    <row r="2108" spans="39:41" ht="12" customHeight="1" x14ac:dyDescent="0.2">
      <c r="AM2108" t="str">
        <f t="shared" si="32"/>
        <v>Brynsiencyn [GBBYI]</v>
      </c>
      <c r="AN2108" t="s">
        <v>12669</v>
      </c>
      <c r="AO2108" t="s">
        <v>12670</v>
      </c>
    </row>
    <row r="2109" spans="39:41" ht="12" customHeight="1" x14ac:dyDescent="0.2">
      <c r="AM2109" t="str">
        <f t="shared" si="32"/>
        <v>Brzostek Policzko [PLBRK]</v>
      </c>
      <c r="AN2109" t="s">
        <v>26270</v>
      </c>
      <c r="AO2109" t="s">
        <v>26271</v>
      </c>
    </row>
    <row r="2110" spans="39:41" ht="12" customHeight="1" x14ac:dyDescent="0.2">
      <c r="AM2110" t="str">
        <f t="shared" si="32"/>
        <v>Bu'ayrat al Hasun [LYBUA]</v>
      </c>
      <c r="AN2110" t="s">
        <v>21979</v>
      </c>
      <c r="AO2110" t="s">
        <v>21980</v>
      </c>
    </row>
    <row r="2111" spans="39:41" ht="12" customHeight="1" x14ac:dyDescent="0.2">
      <c r="AM2111" t="str">
        <f t="shared" si="32"/>
        <v>Bubaque [GWBQE]</v>
      </c>
      <c r="AN2111" t="s">
        <v>15623</v>
      </c>
      <c r="AO2111" t="s">
        <v>15624</v>
      </c>
    </row>
    <row r="2112" spans="39:41" ht="12" customHeight="1" x14ac:dyDescent="0.2">
      <c r="AM2112" t="str">
        <f t="shared" ref="AM2112:AM2175" si="33">AO2112 &amp; " [" &amp; AN2112 &amp; "]"</f>
        <v>Bubovice [CZBUB]</v>
      </c>
      <c r="AN2112" t="s">
        <v>6790</v>
      </c>
      <c r="AO2112" t="s">
        <v>6791</v>
      </c>
    </row>
    <row r="2113" spans="39:41" ht="12" customHeight="1" x14ac:dyDescent="0.2">
      <c r="AM2113" t="str">
        <f t="shared" si="33"/>
        <v>Bubsheim [DEBSI]</v>
      </c>
      <c r="AN2113" t="s">
        <v>7199</v>
      </c>
      <c r="AO2113" t="s">
        <v>7200</v>
      </c>
    </row>
    <row r="2114" spans="39:41" ht="12" customHeight="1" x14ac:dyDescent="0.2">
      <c r="AM2114" t="str">
        <f t="shared" si="33"/>
        <v>Bubwith [GBBE2]</v>
      </c>
      <c r="AN2114" t="s">
        <v>12671</v>
      </c>
      <c r="AO2114" t="s">
        <v>12672</v>
      </c>
    </row>
    <row r="2115" spans="39:41" ht="12" customHeight="1" x14ac:dyDescent="0.2">
      <c r="AM2115" t="str">
        <f t="shared" si="33"/>
        <v>Bucar Grande/Suriagao [PHBGR]</v>
      </c>
      <c r="AN2115" t="s">
        <v>25625</v>
      </c>
      <c r="AO2115" t="s">
        <v>25626</v>
      </c>
    </row>
    <row r="2116" spans="39:41" ht="12" customHeight="1" x14ac:dyDescent="0.2">
      <c r="AM2116" t="str">
        <f t="shared" si="33"/>
        <v>Buchan [GBUCN]</v>
      </c>
      <c r="AN2116" t="s">
        <v>12673</v>
      </c>
      <c r="AO2116" t="s">
        <v>12674</v>
      </c>
    </row>
    <row r="2117" spans="39:41" ht="12" customHeight="1" x14ac:dyDescent="0.2">
      <c r="AM2117" t="str">
        <f t="shared" si="33"/>
        <v>Buchanan [LRUCN]</v>
      </c>
      <c r="AN2117" t="s">
        <v>21859</v>
      </c>
      <c r="AO2117" t="s">
        <v>21860</v>
      </c>
    </row>
    <row r="2118" spans="39:41" ht="12" customHeight="1" x14ac:dyDescent="0.2">
      <c r="AM2118" t="str">
        <f t="shared" si="33"/>
        <v>Buckden [GBBKD]</v>
      </c>
      <c r="AN2118" t="s">
        <v>12675</v>
      </c>
      <c r="AO2118" t="s">
        <v>12676</v>
      </c>
    </row>
    <row r="2119" spans="39:41" ht="12" customHeight="1" x14ac:dyDescent="0.2">
      <c r="AM2119" t="str">
        <f t="shared" si="33"/>
        <v>Buckden [GBNY2]</v>
      </c>
      <c r="AN2119" t="s">
        <v>12677</v>
      </c>
      <c r="AO2119" t="s">
        <v>12676</v>
      </c>
    </row>
    <row r="2120" spans="39:41" ht="12" customHeight="1" x14ac:dyDescent="0.2">
      <c r="AM2120" t="str">
        <f t="shared" si="33"/>
        <v>Buckeye Lake [USBFY]</v>
      </c>
      <c r="AN2120" t="s">
        <v>29104</v>
      </c>
      <c r="AO2120" t="s">
        <v>29105</v>
      </c>
    </row>
    <row r="2121" spans="39:41" ht="12" customHeight="1" x14ac:dyDescent="0.2">
      <c r="AM2121" t="str">
        <f t="shared" si="33"/>
        <v>Buckie [GBBUC]</v>
      </c>
      <c r="AN2121" t="s">
        <v>12678</v>
      </c>
      <c r="AO2121" t="s">
        <v>12679</v>
      </c>
    </row>
    <row r="2122" spans="39:41" ht="12" customHeight="1" x14ac:dyDescent="0.2">
      <c r="AM2122" t="str">
        <f t="shared" si="33"/>
        <v>Buck's Cross [GBBCR]</v>
      </c>
      <c r="AN2122" t="s">
        <v>12680</v>
      </c>
      <c r="AO2122" t="s">
        <v>12681</v>
      </c>
    </row>
    <row r="2123" spans="39:41" ht="12" customHeight="1" x14ac:dyDescent="0.2">
      <c r="AM2123" t="str">
        <f t="shared" si="33"/>
        <v>Bucksport [USBUP]</v>
      </c>
      <c r="AN2123" t="s">
        <v>29106</v>
      </c>
      <c r="AO2123" t="s">
        <v>29107</v>
      </c>
    </row>
    <row r="2124" spans="39:41" ht="12" customHeight="1" x14ac:dyDescent="0.2">
      <c r="AM2124" t="str">
        <f t="shared" si="33"/>
        <v>Budapest [HUBUD]</v>
      </c>
      <c r="AN2124" t="s">
        <v>16061</v>
      </c>
      <c r="AO2124" t="s">
        <v>16062</v>
      </c>
    </row>
    <row r="2125" spans="39:41" ht="12" customHeight="1" x14ac:dyDescent="0.2">
      <c r="AM2125" t="str">
        <f t="shared" si="33"/>
        <v>Budardalur [ISBUD]</v>
      </c>
      <c r="AN2125" t="s">
        <v>17688</v>
      </c>
      <c r="AO2125" t="s">
        <v>17689</v>
      </c>
    </row>
    <row r="2126" spans="39:41" ht="12" customHeight="1" x14ac:dyDescent="0.2">
      <c r="AM2126" t="str">
        <f t="shared" si="33"/>
        <v>Budbud/Davao [PHBUD]</v>
      </c>
      <c r="AN2126" t="s">
        <v>25627</v>
      </c>
      <c r="AO2126" t="s">
        <v>25628</v>
      </c>
    </row>
    <row r="2127" spans="39:41" ht="12" customHeight="1" x14ac:dyDescent="0.2">
      <c r="AM2127" t="str">
        <f t="shared" si="33"/>
        <v>Bude [GBBUD]</v>
      </c>
      <c r="AN2127" t="s">
        <v>12682</v>
      </c>
      <c r="AO2127" t="s">
        <v>12683</v>
      </c>
    </row>
    <row r="2128" spans="39:41" ht="12" customHeight="1" x14ac:dyDescent="0.2">
      <c r="AM2128" t="str">
        <f t="shared" si="33"/>
        <v>Budel [NLBUD]</v>
      </c>
      <c r="AN2128" t="s">
        <v>23090</v>
      </c>
      <c r="AO2128" t="s">
        <v>23091</v>
      </c>
    </row>
    <row r="2129" spans="39:41" ht="12" customHeight="1" x14ac:dyDescent="0.2">
      <c r="AM2129" t="str">
        <f t="shared" si="33"/>
        <v>Budelsdorf [DEUSF]</v>
      </c>
      <c r="AN2129" t="s">
        <v>7201</v>
      </c>
      <c r="AO2129" t="s">
        <v>35423</v>
      </c>
    </row>
    <row r="2130" spans="39:41" ht="12" customHeight="1" x14ac:dyDescent="0.2">
      <c r="AM2130" t="str">
        <f t="shared" si="33"/>
        <v>Budge-Budge [INBUD]</v>
      </c>
      <c r="AN2130" t="s">
        <v>17068</v>
      </c>
      <c r="AO2130" t="s">
        <v>17069</v>
      </c>
    </row>
    <row r="2131" spans="39:41" ht="12" customHeight="1" x14ac:dyDescent="0.2">
      <c r="AM2131" t="str">
        <f t="shared" si="33"/>
        <v>Budleigh Salterton [GBBUA]</v>
      </c>
      <c r="AN2131" t="s">
        <v>12684</v>
      </c>
      <c r="AO2131" t="s">
        <v>12685</v>
      </c>
    </row>
    <row r="2132" spans="39:41" ht="12" customHeight="1" x14ac:dyDescent="0.2">
      <c r="AM2132" t="str">
        <f t="shared" si="33"/>
        <v>Budock Water [GBBWV]</v>
      </c>
      <c r="AN2132" t="s">
        <v>12686</v>
      </c>
      <c r="AO2132" t="s">
        <v>12687</v>
      </c>
    </row>
    <row r="2133" spans="39:41" ht="12" customHeight="1" x14ac:dyDescent="0.2">
      <c r="AM2133" t="str">
        <f t="shared" si="33"/>
        <v>Budva [MEBUD]</v>
      </c>
      <c r="AN2133" t="s">
        <v>22080</v>
      </c>
      <c r="AO2133" t="s">
        <v>22081</v>
      </c>
    </row>
    <row r="2134" spans="39:41" ht="12" customHeight="1" x14ac:dyDescent="0.2">
      <c r="AM2134" t="str">
        <f t="shared" si="33"/>
        <v>Buena Vista [USB2V]</v>
      </c>
      <c r="AN2134" t="s">
        <v>29108</v>
      </c>
      <c r="AO2134" t="s">
        <v>29109</v>
      </c>
    </row>
    <row r="2135" spans="39:41" ht="12" customHeight="1" x14ac:dyDescent="0.2">
      <c r="AM2135" t="str">
        <f t="shared" si="33"/>
        <v>Buenaventura [COBUN]</v>
      </c>
      <c r="AN2135" t="s">
        <v>6509</v>
      </c>
      <c r="AO2135" t="s">
        <v>6510</v>
      </c>
    </row>
    <row r="2136" spans="39:41" ht="12" customHeight="1" x14ac:dyDescent="0.2">
      <c r="AM2136" t="str">
        <f t="shared" si="33"/>
        <v>Buenavista del Norte [ESBVN]</v>
      </c>
      <c r="AN2136" t="s">
        <v>9645</v>
      </c>
      <c r="AO2136" t="s">
        <v>9646</v>
      </c>
    </row>
    <row r="2137" spans="39:41" ht="12" customHeight="1" x14ac:dyDescent="0.2">
      <c r="AM2137" t="str">
        <f t="shared" si="33"/>
        <v>Buenos Aires [ARBUE]</v>
      </c>
      <c r="AN2137" t="s">
        <v>986</v>
      </c>
      <c r="AO2137" t="s">
        <v>987</v>
      </c>
    </row>
    <row r="2138" spans="39:41" ht="12" customHeight="1" x14ac:dyDescent="0.2">
      <c r="AM2138" t="str">
        <f t="shared" si="33"/>
        <v>Bufadero [CUBUF]</v>
      </c>
      <c r="AN2138" t="s">
        <v>6670</v>
      </c>
      <c r="AO2138" t="s">
        <v>6671</v>
      </c>
    </row>
    <row r="2139" spans="39:41" ht="12" customHeight="1" x14ac:dyDescent="0.2">
      <c r="AM2139" t="str">
        <f t="shared" si="33"/>
        <v>Buffalo [USBUF]</v>
      </c>
      <c r="AN2139" t="s">
        <v>29111</v>
      </c>
      <c r="AO2139" t="s">
        <v>29110</v>
      </c>
    </row>
    <row r="2140" spans="39:41" ht="12" customHeight="1" x14ac:dyDescent="0.2">
      <c r="AM2140" t="str">
        <f t="shared" si="33"/>
        <v>Buffalo [USFFO]</v>
      </c>
      <c r="AN2140" t="s">
        <v>29112</v>
      </c>
      <c r="AO2140" t="s">
        <v>29110</v>
      </c>
    </row>
    <row r="2141" spans="39:41" ht="12" customHeight="1" x14ac:dyDescent="0.2">
      <c r="AM2141" t="str">
        <f t="shared" si="33"/>
        <v>Buffalo Venture [AUBUV]</v>
      </c>
      <c r="AN2141" t="s">
        <v>1491</v>
      </c>
      <c r="AO2141" t="s">
        <v>1492</v>
      </c>
    </row>
    <row r="2142" spans="39:41" ht="12" customHeight="1" x14ac:dyDescent="0.2">
      <c r="AM2142" t="str">
        <f t="shared" si="33"/>
        <v>Buffalo Venture [XZBUV]</v>
      </c>
      <c r="AN2142" t="s">
        <v>32554</v>
      </c>
      <c r="AO2142" t="s">
        <v>1492</v>
      </c>
    </row>
    <row r="2143" spans="39:41" ht="12" customHeight="1" x14ac:dyDescent="0.2">
      <c r="AM2143" t="str">
        <f t="shared" si="33"/>
        <v>Buffon [FRUFN]</v>
      </c>
      <c r="AN2143" t="s">
        <v>10947</v>
      </c>
      <c r="AO2143" t="s">
        <v>10948</v>
      </c>
    </row>
    <row r="2144" spans="39:41" ht="12" customHeight="1" x14ac:dyDescent="0.2">
      <c r="AM2144" t="str">
        <f t="shared" si="33"/>
        <v>Buggenhout [BEBHU]</v>
      </c>
      <c r="AN2144" t="s">
        <v>2340</v>
      </c>
      <c r="AO2144" t="s">
        <v>2341</v>
      </c>
    </row>
    <row r="2145" spans="39:41" ht="12" customHeight="1" x14ac:dyDescent="0.2">
      <c r="AM2145" t="str">
        <f t="shared" si="33"/>
        <v>Buggenum [NLBNU]</v>
      </c>
      <c r="AN2145" t="s">
        <v>23092</v>
      </c>
      <c r="AO2145" t="s">
        <v>23093</v>
      </c>
    </row>
    <row r="2146" spans="39:41" ht="12" customHeight="1" x14ac:dyDescent="0.2">
      <c r="AM2146" t="str">
        <f t="shared" si="33"/>
        <v>Bugo [PHBUG]</v>
      </c>
      <c r="AN2146" t="s">
        <v>25629</v>
      </c>
      <c r="AO2146" t="s">
        <v>25630</v>
      </c>
    </row>
    <row r="2147" spans="39:41" ht="12" customHeight="1" x14ac:dyDescent="0.2">
      <c r="AM2147" t="str">
        <f t="shared" si="33"/>
        <v>Bugoynes [NOBUG]</v>
      </c>
      <c r="AN2147" t="s">
        <v>23963</v>
      </c>
      <c r="AO2147" t="s">
        <v>36147</v>
      </c>
    </row>
    <row r="2148" spans="39:41" ht="12" customHeight="1" x14ac:dyDescent="0.2">
      <c r="AM2148" t="str">
        <f t="shared" si="33"/>
        <v>Buhe [CNBHE]</v>
      </c>
      <c r="AN2148" t="s">
        <v>5086</v>
      </c>
      <c r="AO2148" t="s">
        <v>5087</v>
      </c>
    </row>
    <row r="2149" spans="39:41" ht="12" customHeight="1" x14ac:dyDescent="0.2">
      <c r="AM2149" t="str">
        <f t="shared" si="33"/>
        <v>Buhl [DEBUL]</v>
      </c>
      <c r="AN2149" t="s">
        <v>7202</v>
      </c>
      <c r="AO2149" t="s">
        <v>35424</v>
      </c>
    </row>
    <row r="2150" spans="39:41" ht="12" customHeight="1" x14ac:dyDescent="0.2">
      <c r="AM2150" t="str">
        <f t="shared" si="33"/>
        <v>Buka [PGBUA]</v>
      </c>
      <c r="AN2150" t="s">
        <v>25364</v>
      </c>
      <c r="AO2150" t="s">
        <v>25365</v>
      </c>
    </row>
    <row r="2151" spans="39:41" ht="12" customHeight="1" x14ac:dyDescent="0.2">
      <c r="AM2151" t="str">
        <f t="shared" si="33"/>
        <v>Bukhta Ol'ga [RUOLB]</v>
      </c>
      <c r="AN2151" t="s">
        <v>26907</v>
      </c>
      <c r="AO2151" t="s">
        <v>26908</v>
      </c>
    </row>
    <row r="2152" spans="39:41" ht="12" customHeight="1" x14ac:dyDescent="0.2">
      <c r="AM2152" t="str">
        <f t="shared" si="33"/>
        <v>Bukit Merah Estate [SGBKM]</v>
      </c>
      <c r="AN2152" t="s">
        <v>27959</v>
      </c>
      <c r="AO2152" t="s">
        <v>27960</v>
      </c>
    </row>
    <row r="2153" spans="39:41" ht="12" customHeight="1" x14ac:dyDescent="0.2">
      <c r="AM2153" t="str">
        <f t="shared" si="33"/>
        <v>Bula [IDBUA]</v>
      </c>
      <c r="AN2153" t="s">
        <v>16221</v>
      </c>
      <c r="AO2153" t="s">
        <v>16222</v>
      </c>
    </row>
    <row r="2154" spans="39:41" ht="12" customHeight="1" x14ac:dyDescent="0.2">
      <c r="AM2154" t="str">
        <f t="shared" si="33"/>
        <v>Bulan, Luzon [PHBUL]</v>
      </c>
      <c r="AN2154" t="s">
        <v>25631</v>
      </c>
      <c r="AO2154" t="s">
        <v>25632</v>
      </c>
    </row>
    <row r="2155" spans="39:41" ht="12" customHeight="1" x14ac:dyDescent="0.2">
      <c r="AM2155" t="str">
        <f t="shared" si="33"/>
        <v>Buleleng, Bali [IDBUG]</v>
      </c>
      <c r="AN2155" t="s">
        <v>16223</v>
      </c>
      <c r="AO2155" t="s">
        <v>16224</v>
      </c>
    </row>
    <row r="2156" spans="39:41" ht="12" customHeight="1" x14ac:dyDescent="0.2">
      <c r="AM2156" t="str">
        <f t="shared" si="33"/>
        <v>Bull Arm [CABUA]</v>
      </c>
      <c r="AN2156" t="s">
        <v>3646</v>
      </c>
      <c r="AO2156" t="s">
        <v>3647</v>
      </c>
    </row>
    <row r="2157" spans="39:41" ht="12" customHeight="1" x14ac:dyDescent="0.2">
      <c r="AM2157" t="str">
        <f t="shared" si="33"/>
        <v>Bullay [DELYY]</v>
      </c>
      <c r="AN2157" t="s">
        <v>7203</v>
      </c>
      <c r="AO2157" t="s">
        <v>7204</v>
      </c>
    </row>
    <row r="2158" spans="39:41" ht="12" customHeight="1" x14ac:dyDescent="0.2">
      <c r="AM2158" t="str">
        <f t="shared" si="33"/>
        <v>Bullenbaai [CWBUB]</v>
      </c>
      <c r="AN2158" t="s">
        <v>6741</v>
      </c>
      <c r="AO2158" t="s">
        <v>6742</v>
      </c>
    </row>
    <row r="2159" spans="39:41" ht="12" customHeight="1" x14ac:dyDescent="0.2">
      <c r="AM2159" t="str">
        <f t="shared" si="33"/>
        <v>Bullenhausen [DEBEU]</v>
      </c>
      <c r="AN2159" t="s">
        <v>7205</v>
      </c>
      <c r="AO2159" t="s">
        <v>7206</v>
      </c>
    </row>
    <row r="2160" spans="39:41" ht="12" customHeight="1" x14ac:dyDescent="0.2">
      <c r="AM2160" t="str">
        <f t="shared" si="33"/>
        <v>Bulli [AUBUL]</v>
      </c>
      <c r="AN2160" t="s">
        <v>1493</v>
      </c>
      <c r="AO2160" t="s">
        <v>1494</v>
      </c>
    </row>
    <row r="2161" spans="39:41" ht="12" customHeight="1" x14ac:dyDescent="0.2">
      <c r="AM2161" t="str">
        <f t="shared" si="33"/>
        <v>Bullsbrook [AUBLL]</v>
      </c>
      <c r="AN2161" t="s">
        <v>1495</v>
      </c>
      <c r="AO2161" t="s">
        <v>1496</v>
      </c>
    </row>
    <row r="2162" spans="39:41" ht="12" customHeight="1" x14ac:dyDescent="0.2">
      <c r="AM2162" t="str">
        <f t="shared" si="33"/>
        <v>Bully [FRBYB]</v>
      </c>
      <c r="AN2162" t="s">
        <v>10949</v>
      </c>
      <c r="AO2162" t="s">
        <v>10950</v>
      </c>
    </row>
    <row r="2163" spans="39:41" ht="12" customHeight="1" x14ac:dyDescent="0.2">
      <c r="AM2163" t="str">
        <f t="shared" si="33"/>
        <v>Bulsar [INBSR]</v>
      </c>
      <c r="AN2163" t="s">
        <v>17070</v>
      </c>
      <c r="AO2163" t="s">
        <v>17071</v>
      </c>
    </row>
    <row r="2164" spans="39:41" ht="12" customHeight="1" x14ac:dyDescent="0.2">
      <c r="AM2164" t="str">
        <f t="shared" si="33"/>
        <v>Bulwer [AUBWI]</v>
      </c>
      <c r="AN2164" t="s">
        <v>1497</v>
      </c>
      <c r="AO2164" t="s">
        <v>1498</v>
      </c>
    </row>
    <row r="2165" spans="39:41" ht="12" customHeight="1" x14ac:dyDescent="0.2">
      <c r="AM2165" t="str">
        <f t="shared" si="33"/>
        <v>Buna [PGBNA]</v>
      </c>
      <c r="AN2165" t="s">
        <v>25366</v>
      </c>
      <c r="AO2165" t="s">
        <v>25367</v>
      </c>
    </row>
    <row r="2166" spans="39:41" ht="12" customHeight="1" x14ac:dyDescent="0.2">
      <c r="AM2166" t="str">
        <f t="shared" si="33"/>
        <v>Bunan Gega, Sarawak [MYBGG]</v>
      </c>
      <c r="AN2166" t="s">
        <v>22536</v>
      </c>
      <c r="AO2166" t="s">
        <v>22537</v>
      </c>
    </row>
    <row r="2167" spans="39:41" ht="12" customHeight="1" x14ac:dyDescent="0.2">
      <c r="AM2167" t="str">
        <f t="shared" si="33"/>
        <v>Bunbury [AUBUY]</v>
      </c>
      <c r="AN2167" t="s">
        <v>1499</v>
      </c>
      <c r="AO2167" t="s">
        <v>1500</v>
      </c>
    </row>
    <row r="2168" spans="39:41" ht="12" customHeight="1" x14ac:dyDescent="0.2">
      <c r="AM2168" t="str">
        <f t="shared" si="33"/>
        <v>Buncrana [IEBUC]</v>
      </c>
      <c r="AN2168" t="s">
        <v>16744</v>
      </c>
      <c r="AO2168" t="s">
        <v>16745</v>
      </c>
    </row>
    <row r="2169" spans="39:41" ht="12" customHeight="1" x14ac:dyDescent="0.2">
      <c r="AM2169" t="str">
        <f t="shared" si="33"/>
        <v>Bundaberg [AUBDB]</v>
      </c>
      <c r="AN2169" t="s">
        <v>1501</v>
      </c>
      <c r="AO2169" t="s">
        <v>1502</v>
      </c>
    </row>
    <row r="2170" spans="39:41" ht="12" customHeight="1" x14ac:dyDescent="0.2">
      <c r="AM2170" t="str">
        <f t="shared" si="33"/>
        <v>Bunde [NLBNE]</v>
      </c>
      <c r="AN2170" t="s">
        <v>23094</v>
      </c>
      <c r="AO2170" t="s">
        <v>23095</v>
      </c>
    </row>
    <row r="2171" spans="39:41" ht="12" customHeight="1" x14ac:dyDescent="0.2">
      <c r="AM2171" t="str">
        <f t="shared" si="33"/>
        <v>Bunessan [GBUNS]</v>
      </c>
      <c r="AN2171" t="s">
        <v>12688</v>
      </c>
      <c r="AO2171" t="s">
        <v>12689</v>
      </c>
    </row>
    <row r="2172" spans="39:41" ht="12" customHeight="1" x14ac:dyDescent="0.2">
      <c r="AM2172" t="str">
        <f t="shared" si="33"/>
        <v>Bunga Kekwa [MYBGK]</v>
      </c>
      <c r="AN2172" t="s">
        <v>22538</v>
      </c>
      <c r="AO2172" t="s">
        <v>22539</v>
      </c>
    </row>
    <row r="2173" spans="39:41" ht="12" customHeight="1" x14ac:dyDescent="0.2">
      <c r="AM2173" t="str">
        <f t="shared" si="33"/>
        <v>Bunga Raya [MYBGR]</v>
      </c>
      <c r="AN2173" t="s">
        <v>22540</v>
      </c>
      <c r="AO2173" t="s">
        <v>22541</v>
      </c>
    </row>
    <row r="2174" spans="39:41" ht="12" customHeight="1" x14ac:dyDescent="0.2">
      <c r="AM2174" t="str">
        <f t="shared" si="33"/>
        <v>Bunker Hill [USZBA]</v>
      </c>
      <c r="AN2174" t="s">
        <v>29113</v>
      </c>
      <c r="AO2174" t="s">
        <v>29114</v>
      </c>
    </row>
    <row r="2175" spans="39:41" ht="12" customHeight="1" x14ac:dyDescent="0.2">
      <c r="AM2175" t="str">
        <f t="shared" si="33"/>
        <v>Bunnahabhain [GBBNB]</v>
      </c>
      <c r="AN2175" t="s">
        <v>12690</v>
      </c>
      <c r="AO2175" t="s">
        <v>12691</v>
      </c>
    </row>
    <row r="2176" spans="39:41" ht="12" customHeight="1" x14ac:dyDescent="0.2">
      <c r="AM2176" t="str">
        <f t="shared" ref="AM2176:AM2239" si="34">AO2176 &amp; " [" &amp; AN2176 &amp; "]"</f>
        <v>Bunola [USULO]</v>
      </c>
      <c r="AN2176" t="s">
        <v>29115</v>
      </c>
      <c r="AO2176" t="s">
        <v>29116</v>
      </c>
    </row>
    <row r="2177" spans="39:41" ht="12" customHeight="1" x14ac:dyDescent="0.2">
      <c r="AM2177" t="str">
        <f t="shared" si="34"/>
        <v>Bunschoten [NLBUN]</v>
      </c>
      <c r="AN2177" t="s">
        <v>33869</v>
      </c>
      <c r="AO2177" t="s">
        <v>33991</v>
      </c>
    </row>
    <row r="2178" spans="39:41" ht="12" customHeight="1" x14ac:dyDescent="0.2">
      <c r="AM2178" t="str">
        <f t="shared" si="34"/>
        <v>Buntingford [GBOOR]</v>
      </c>
      <c r="AN2178" t="s">
        <v>12692</v>
      </c>
      <c r="AO2178" t="s">
        <v>12693</v>
      </c>
    </row>
    <row r="2179" spans="39:41" ht="12" customHeight="1" x14ac:dyDescent="0.2">
      <c r="AM2179" t="str">
        <f t="shared" si="34"/>
        <v>Bunuiel [ESNNN]</v>
      </c>
      <c r="AN2179" t="s">
        <v>9647</v>
      </c>
      <c r="AO2179" t="s">
        <v>9648</v>
      </c>
    </row>
    <row r="2180" spans="39:41" ht="12" customHeight="1" x14ac:dyDescent="0.2">
      <c r="AM2180" t="str">
        <f t="shared" si="34"/>
        <v>Bunyu [IDBYQ]</v>
      </c>
      <c r="AN2180" t="s">
        <v>16225</v>
      </c>
      <c r="AO2180" t="s">
        <v>16226</v>
      </c>
    </row>
    <row r="2181" spans="39:41" ht="12" customHeight="1" x14ac:dyDescent="0.2">
      <c r="AM2181" t="str">
        <f t="shared" si="34"/>
        <v>Bupyong/Incheon [KRBUK]</v>
      </c>
      <c r="AN2181" t="s">
        <v>21608</v>
      </c>
      <c r="AO2181" t="s">
        <v>21609</v>
      </c>
    </row>
    <row r="2182" spans="39:41" ht="12" customHeight="1" x14ac:dyDescent="0.2">
      <c r="AM2182" t="str">
        <f t="shared" si="34"/>
        <v>Buraydah [SABUR]</v>
      </c>
      <c r="AN2182" t="s">
        <v>27382</v>
      </c>
      <c r="AO2182" t="s">
        <v>27383</v>
      </c>
    </row>
    <row r="2183" spans="39:41" ht="12" customHeight="1" x14ac:dyDescent="0.2">
      <c r="AM2183" t="str">
        <f t="shared" si="34"/>
        <v>Burcht [BEBUD]</v>
      </c>
      <c r="AN2183" t="s">
        <v>2342</v>
      </c>
      <c r="AO2183" t="s">
        <v>2343</v>
      </c>
    </row>
    <row r="2184" spans="39:41" ht="12" customHeight="1" x14ac:dyDescent="0.2">
      <c r="AM2184" t="str">
        <f t="shared" si="34"/>
        <v>Burdeos, Polillo Isl [PHBUR]</v>
      </c>
      <c r="AN2184" t="s">
        <v>25633</v>
      </c>
      <c r="AO2184" t="s">
        <v>25634</v>
      </c>
    </row>
    <row r="2185" spans="39:41" ht="12" customHeight="1" x14ac:dyDescent="0.2">
      <c r="AM2185" t="str">
        <f t="shared" si="34"/>
        <v>Burea [SEBUR]</v>
      </c>
      <c r="AN2185" t="s">
        <v>27537</v>
      </c>
      <c r="AO2185" t="s">
        <v>36427</v>
      </c>
    </row>
    <row r="2186" spans="39:41" ht="12" customHeight="1" x14ac:dyDescent="0.2">
      <c r="AM2186" t="str">
        <f t="shared" si="34"/>
        <v>Burela [ESBRL]</v>
      </c>
      <c r="AN2186" t="s">
        <v>9649</v>
      </c>
      <c r="AO2186" t="s">
        <v>9650</v>
      </c>
    </row>
    <row r="2187" spans="39:41" ht="12" customHeight="1" x14ac:dyDescent="0.2">
      <c r="AM2187" t="str">
        <f t="shared" si="34"/>
        <v>Burfjord [NOBUF]</v>
      </c>
      <c r="AN2187" t="s">
        <v>23964</v>
      </c>
      <c r="AO2187" t="s">
        <v>23965</v>
      </c>
    </row>
    <row r="2188" spans="39:41" ht="12" customHeight="1" x14ac:dyDescent="0.2">
      <c r="AM2188" t="str">
        <f t="shared" si="34"/>
        <v>Burg/Dithmarschen [DEBRG]</v>
      </c>
      <c r="AN2188" t="s">
        <v>7207</v>
      </c>
      <c r="AO2188" t="s">
        <v>7208</v>
      </c>
    </row>
    <row r="2189" spans="39:41" ht="12" customHeight="1" x14ac:dyDescent="0.2">
      <c r="AM2189" t="str">
        <f t="shared" si="34"/>
        <v>Burgas [BGBOJ]</v>
      </c>
      <c r="AN2189" t="s">
        <v>3136</v>
      </c>
      <c r="AO2189" t="s">
        <v>3137</v>
      </c>
    </row>
    <row r="2190" spans="39:41" ht="12" customHeight="1" x14ac:dyDescent="0.2">
      <c r="AM2190" t="str">
        <f t="shared" si="34"/>
        <v>Burgau [PTBRG]</v>
      </c>
      <c r="AN2190" t="s">
        <v>26465</v>
      </c>
      <c r="AO2190" t="s">
        <v>26466</v>
      </c>
    </row>
    <row r="2191" spans="39:41" ht="12" customHeight="1" x14ac:dyDescent="0.2">
      <c r="AM2191" t="str">
        <f t="shared" si="34"/>
        <v>Burgeo [CABUO]</v>
      </c>
      <c r="AN2191" t="s">
        <v>3648</v>
      </c>
      <c r="AO2191" t="s">
        <v>3649</v>
      </c>
    </row>
    <row r="2192" spans="39:41" ht="12" customHeight="1" x14ac:dyDescent="0.2">
      <c r="AM2192" t="str">
        <f t="shared" si="34"/>
        <v>Burgervlotbrug [NLBVG]</v>
      </c>
      <c r="AN2192" t="s">
        <v>23096</v>
      </c>
      <c r="AO2192" t="s">
        <v>23097</v>
      </c>
    </row>
    <row r="2193" spans="39:41" ht="12" customHeight="1" x14ac:dyDescent="0.2">
      <c r="AM2193" t="str">
        <f t="shared" si="34"/>
        <v>Burgh [GBRGH]</v>
      </c>
      <c r="AN2193" t="s">
        <v>12694</v>
      </c>
      <c r="AO2193" t="s">
        <v>12695</v>
      </c>
    </row>
    <row r="2194" spans="39:41" ht="12" customHeight="1" x14ac:dyDescent="0.2">
      <c r="AM2194" t="str">
        <f t="shared" si="34"/>
        <v>Burghead [GBBUH]</v>
      </c>
      <c r="AN2194" t="s">
        <v>12696</v>
      </c>
      <c r="AO2194" t="s">
        <v>12697</v>
      </c>
    </row>
    <row r="2195" spans="39:41" ht="12" customHeight="1" x14ac:dyDescent="0.2">
      <c r="AM2195" t="str">
        <f t="shared" si="34"/>
        <v>Burghsluis [NLBHS]</v>
      </c>
      <c r="AN2195" t="s">
        <v>23098</v>
      </c>
      <c r="AO2195" t="s">
        <v>23099</v>
      </c>
    </row>
    <row r="2196" spans="39:41" ht="12" customHeight="1" x14ac:dyDescent="0.2">
      <c r="AM2196" t="str">
        <f t="shared" si="34"/>
        <v>Burglengenfeld [DEBLD]</v>
      </c>
      <c r="AN2196" t="s">
        <v>7209</v>
      </c>
      <c r="AO2196" t="s">
        <v>7210</v>
      </c>
    </row>
    <row r="2197" spans="39:41" ht="12" customHeight="1" x14ac:dyDescent="0.2">
      <c r="AM2197" t="str">
        <f t="shared" si="34"/>
        <v>Burgo de Osma [ESBOS]</v>
      </c>
      <c r="AN2197" t="s">
        <v>9651</v>
      </c>
      <c r="AO2197" t="s">
        <v>9652</v>
      </c>
    </row>
    <row r="2198" spans="39:41" ht="12" customHeight="1" x14ac:dyDescent="0.2">
      <c r="AM2198" t="str">
        <f t="shared" si="34"/>
        <v>Burgstaaken/Fehmarn [DEBSK]</v>
      </c>
      <c r="AN2198" t="s">
        <v>7211</v>
      </c>
      <c r="AO2198" t="s">
        <v>7212</v>
      </c>
    </row>
    <row r="2199" spans="39:41" ht="12" customHeight="1" x14ac:dyDescent="0.2">
      <c r="AM2199" t="str">
        <f t="shared" si="34"/>
        <v>Burgstadt [DEBZQ]</v>
      </c>
      <c r="AN2199" t="s">
        <v>7213</v>
      </c>
      <c r="AO2199" t="s">
        <v>35425</v>
      </c>
    </row>
    <row r="2200" spans="39:41" ht="12" customHeight="1" x14ac:dyDescent="0.2">
      <c r="AM2200" t="str">
        <f t="shared" si="34"/>
        <v>Burgsvik [SEBUV]</v>
      </c>
      <c r="AN2200" t="s">
        <v>27538</v>
      </c>
      <c r="AO2200" t="s">
        <v>27539</v>
      </c>
    </row>
    <row r="2201" spans="39:41" ht="12" customHeight="1" x14ac:dyDescent="0.2">
      <c r="AM2201" t="str">
        <f t="shared" si="34"/>
        <v>Burgwerd [NLBWE]</v>
      </c>
      <c r="AN2201" t="s">
        <v>23100</v>
      </c>
      <c r="AO2201" t="s">
        <v>23101</v>
      </c>
    </row>
    <row r="2202" spans="39:41" ht="12" customHeight="1" x14ac:dyDescent="0.2">
      <c r="AM2202" t="str">
        <f t="shared" si="34"/>
        <v>Burhaniye [TRBHN]</v>
      </c>
      <c r="AN2202" t="s">
        <v>28433</v>
      </c>
      <c r="AO2202" t="s">
        <v>28434</v>
      </c>
    </row>
    <row r="2203" spans="39:41" ht="12" customHeight="1" x14ac:dyDescent="0.2">
      <c r="AM2203" t="str">
        <f t="shared" si="34"/>
        <v>Burin [CABUI]</v>
      </c>
      <c r="AN2203" t="s">
        <v>3650</v>
      </c>
      <c r="AO2203" t="s">
        <v>3651</v>
      </c>
    </row>
    <row r="2204" spans="39:41" ht="12" customHeight="1" x14ac:dyDescent="0.2">
      <c r="AM2204" t="str">
        <f t="shared" si="34"/>
        <v>Burketown [AUBUC]</v>
      </c>
      <c r="AN2204" t="s">
        <v>1503</v>
      </c>
      <c r="AO2204" t="s">
        <v>1504</v>
      </c>
    </row>
    <row r="2205" spans="39:41" ht="12" customHeight="1" x14ac:dyDescent="0.2">
      <c r="AM2205" t="str">
        <f t="shared" si="34"/>
        <v>Burks Falls [CABUK]</v>
      </c>
      <c r="AN2205" t="s">
        <v>3652</v>
      </c>
      <c r="AO2205" t="s">
        <v>3653</v>
      </c>
    </row>
    <row r="2206" spans="39:41" ht="12" customHeight="1" x14ac:dyDescent="0.2">
      <c r="AM2206" t="str">
        <f t="shared" si="34"/>
        <v>Burladingen [DEURR]</v>
      </c>
      <c r="AN2206" t="s">
        <v>7214</v>
      </c>
      <c r="AO2206" t="s">
        <v>7215</v>
      </c>
    </row>
    <row r="2207" spans="39:41" ht="12" customHeight="1" x14ac:dyDescent="0.2">
      <c r="AM2207" t="str">
        <f t="shared" si="34"/>
        <v>Burlington [CABRL]</v>
      </c>
      <c r="AN2207" t="s">
        <v>3654</v>
      </c>
      <c r="AO2207" t="s">
        <v>3655</v>
      </c>
    </row>
    <row r="2208" spans="39:41" ht="12" customHeight="1" x14ac:dyDescent="0.2">
      <c r="AM2208" t="str">
        <f t="shared" si="34"/>
        <v>Burlington [USBHJ]</v>
      </c>
      <c r="AN2208" t="s">
        <v>29117</v>
      </c>
      <c r="AO2208" t="s">
        <v>3655</v>
      </c>
    </row>
    <row r="2209" spans="39:41" ht="12" customHeight="1" x14ac:dyDescent="0.2">
      <c r="AM2209" t="str">
        <f t="shared" si="34"/>
        <v>Burlington [USBTV]</v>
      </c>
      <c r="AN2209" t="s">
        <v>29118</v>
      </c>
      <c r="AO2209" t="s">
        <v>3655</v>
      </c>
    </row>
    <row r="2210" spans="39:41" ht="12" customHeight="1" x14ac:dyDescent="0.2">
      <c r="AM2210" t="str">
        <f t="shared" si="34"/>
        <v>Burlison [USQRI]</v>
      </c>
      <c r="AN2210" t="s">
        <v>29119</v>
      </c>
      <c r="AO2210" t="s">
        <v>29120</v>
      </c>
    </row>
    <row r="2211" spans="39:41" ht="12" customHeight="1" x14ac:dyDescent="0.2">
      <c r="AM2211" t="str">
        <f t="shared" si="34"/>
        <v>Burnham [USBNH]</v>
      </c>
      <c r="AN2211" t="s">
        <v>29121</v>
      </c>
      <c r="AO2211" t="s">
        <v>29122</v>
      </c>
    </row>
    <row r="2212" spans="39:41" ht="12" customHeight="1" x14ac:dyDescent="0.2">
      <c r="AM2212" t="str">
        <f t="shared" si="34"/>
        <v>Burnham on Crouch [GBBOC]</v>
      </c>
      <c r="AN2212" t="s">
        <v>12698</v>
      </c>
      <c r="AO2212" t="s">
        <v>12699</v>
      </c>
    </row>
    <row r="2213" spans="39:41" ht="12" customHeight="1" x14ac:dyDescent="0.2">
      <c r="AM2213" t="str">
        <f t="shared" si="34"/>
        <v>Burnham Wharf [NZBUW]</v>
      </c>
      <c r="AN2213" t="s">
        <v>25057</v>
      </c>
      <c r="AO2213" t="s">
        <v>25058</v>
      </c>
    </row>
    <row r="2214" spans="39:41" ht="12" customHeight="1" x14ac:dyDescent="0.2">
      <c r="AM2214" t="str">
        <f t="shared" si="34"/>
        <v>Burnie [AUBWT]</v>
      </c>
      <c r="AN2214" t="s">
        <v>1505</v>
      </c>
      <c r="AO2214" t="s">
        <v>1506</v>
      </c>
    </row>
    <row r="2215" spans="39:41" ht="12" customHeight="1" x14ac:dyDescent="0.2">
      <c r="AM2215" t="str">
        <f t="shared" si="34"/>
        <v>Burnley [GBBRN]</v>
      </c>
      <c r="AN2215" t="s">
        <v>12700</v>
      </c>
      <c r="AO2215" t="s">
        <v>12701</v>
      </c>
    </row>
    <row r="2216" spans="39:41" ht="12" customHeight="1" x14ac:dyDescent="0.2">
      <c r="AM2216" t="str">
        <f t="shared" si="34"/>
        <v>Burnmouth [GBBMO]</v>
      </c>
      <c r="AN2216" t="s">
        <v>12702</v>
      </c>
      <c r="AO2216" t="s">
        <v>12703</v>
      </c>
    </row>
    <row r="2217" spans="39:41" ht="12" customHeight="1" x14ac:dyDescent="0.2">
      <c r="AM2217" t="str">
        <f t="shared" si="34"/>
        <v>Burns Harbor [USBNB]</v>
      </c>
      <c r="AN2217" t="s">
        <v>34117</v>
      </c>
      <c r="AO2217" t="s">
        <v>34163</v>
      </c>
    </row>
    <row r="2218" spans="39:41" ht="12" customHeight="1" x14ac:dyDescent="0.2">
      <c r="AM2218" t="str">
        <f t="shared" si="34"/>
        <v>Burnside [CABUS]</v>
      </c>
      <c r="AN2218" t="s">
        <v>3656</v>
      </c>
      <c r="AO2218" t="s">
        <v>3657</v>
      </c>
    </row>
    <row r="2219" spans="39:41" ht="12" customHeight="1" x14ac:dyDescent="0.2">
      <c r="AM2219" t="str">
        <f t="shared" si="34"/>
        <v>Burnsville [USBNI]</v>
      </c>
      <c r="AN2219" t="s">
        <v>29123</v>
      </c>
      <c r="AO2219" t="s">
        <v>29124</v>
      </c>
    </row>
    <row r="2220" spans="39:41" ht="12" customHeight="1" x14ac:dyDescent="0.2">
      <c r="AM2220" t="str">
        <f t="shared" si="34"/>
        <v>Burntisland [GBBTL]</v>
      </c>
      <c r="AN2220" t="s">
        <v>12704</v>
      </c>
      <c r="AO2220" t="s">
        <v>12705</v>
      </c>
    </row>
    <row r="2221" spans="39:41" ht="12" customHeight="1" x14ac:dyDescent="0.2">
      <c r="AM2221" t="str">
        <f t="shared" si="34"/>
        <v>Burrard Inlet [CABIN]</v>
      </c>
      <c r="AN2221" t="s">
        <v>3658</v>
      </c>
      <c r="AO2221" t="s">
        <v>3659</v>
      </c>
    </row>
    <row r="2222" spans="39:41" ht="12" customHeight="1" x14ac:dyDescent="0.2">
      <c r="AM2222" t="str">
        <f t="shared" si="34"/>
        <v>Burravoe [GBBVO]</v>
      </c>
      <c r="AN2222" t="s">
        <v>12706</v>
      </c>
      <c r="AO2222" t="s">
        <v>12707</v>
      </c>
    </row>
    <row r="2223" spans="39:41" ht="12" customHeight="1" x14ac:dyDescent="0.2">
      <c r="AM2223" t="str">
        <f t="shared" si="34"/>
        <v>Burray [GBBUF]</v>
      </c>
      <c r="AN2223" t="s">
        <v>12708</v>
      </c>
      <c r="AO2223" t="s">
        <v>12709</v>
      </c>
    </row>
    <row r="2224" spans="39:41" ht="12" customHeight="1" x14ac:dyDescent="0.2">
      <c r="AM2224" t="str">
        <f t="shared" si="34"/>
        <v>Burriana [ESBRX]</v>
      </c>
      <c r="AN2224" t="s">
        <v>9653</v>
      </c>
      <c r="AO2224" t="s">
        <v>9654</v>
      </c>
    </row>
    <row r="2225" spans="39:41" ht="12" customHeight="1" x14ac:dyDescent="0.2">
      <c r="AM2225" t="str">
        <f t="shared" si="34"/>
        <v>Burrow [GBBWR]</v>
      </c>
      <c r="AN2225" t="s">
        <v>12710</v>
      </c>
      <c r="AO2225" t="s">
        <v>12711</v>
      </c>
    </row>
    <row r="2226" spans="39:41" ht="12" customHeight="1" x14ac:dyDescent="0.2">
      <c r="AM2226" t="str">
        <f t="shared" si="34"/>
        <v>Burry Port [GBBPT]</v>
      </c>
      <c r="AN2226" t="s">
        <v>12712</v>
      </c>
      <c r="AO2226" t="s">
        <v>12713</v>
      </c>
    </row>
    <row r="2227" spans="39:41" ht="12" customHeight="1" x14ac:dyDescent="0.2">
      <c r="AM2227" t="str">
        <f t="shared" si="34"/>
        <v>Bursinel [CHBUR]</v>
      </c>
      <c r="AN2227" t="s">
        <v>4666</v>
      </c>
      <c r="AO2227" t="s">
        <v>4667</v>
      </c>
    </row>
    <row r="2228" spans="39:41" ht="12" customHeight="1" x14ac:dyDescent="0.2">
      <c r="AM2228" t="str">
        <f t="shared" si="34"/>
        <v>Burstwick [GBKBK]</v>
      </c>
      <c r="AN2228" t="s">
        <v>12714</v>
      </c>
      <c r="AO2228" t="s">
        <v>12715</v>
      </c>
    </row>
    <row r="2229" spans="39:41" ht="12" customHeight="1" x14ac:dyDescent="0.2">
      <c r="AM2229" t="str">
        <f t="shared" si="34"/>
        <v>Burton Bradstock [GBBBK]</v>
      </c>
      <c r="AN2229" t="s">
        <v>12716</v>
      </c>
      <c r="AO2229" t="s">
        <v>12717</v>
      </c>
    </row>
    <row r="2230" spans="39:41" ht="12" customHeight="1" x14ac:dyDescent="0.2">
      <c r="AM2230" t="str">
        <f t="shared" si="34"/>
        <v>Burton upon Stather [GBBUS]</v>
      </c>
      <c r="AN2230" t="s">
        <v>12718</v>
      </c>
      <c r="AO2230" t="s">
        <v>12719</v>
      </c>
    </row>
    <row r="2231" spans="39:41" ht="12" customHeight="1" x14ac:dyDescent="0.2">
      <c r="AM2231" t="str">
        <f t="shared" si="34"/>
        <v>Burtonport [IEBUR]</v>
      </c>
      <c r="AN2231" t="s">
        <v>16746</v>
      </c>
      <c r="AO2231" t="s">
        <v>16747</v>
      </c>
    </row>
    <row r="2232" spans="39:41" ht="12" customHeight="1" x14ac:dyDescent="0.2">
      <c r="AM2232" t="str">
        <f t="shared" si="34"/>
        <v>Burujon [ESJON]</v>
      </c>
      <c r="AN2232" t="s">
        <v>9655</v>
      </c>
      <c r="AO2232" t="s">
        <v>9656</v>
      </c>
    </row>
    <row r="2233" spans="39:41" ht="12" customHeight="1" x14ac:dyDescent="0.2">
      <c r="AM2233" t="str">
        <f t="shared" si="34"/>
        <v>Burutu [NGBUR]</v>
      </c>
      <c r="AN2233" t="s">
        <v>22923</v>
      </c>
      <c r="AO2233" t="s">
        <v>22924</v>
      </c>
    </row>
    <row r="2234" spans="39:41" ht="12" customHeight="1" x14ac:dyDescent="0.2">
      <c r="AM2234" t="str">
        <f t="shared" si="34"/>
        <v>Burwick [GBBWC]</v>
      </c>
      <c r="AN2234" t="s">
        <v>12720</v>
      </c>
      <c r="AO2234" t="s">
        <v>12721</v>
      </c>
    </row>
    <row r="2235" spans="39:41" ht="12" customHeight="1" x14ac:dyDescent="0.2">
      <c r="AM2235" t="str">
        <f t="shared" si="34"/>
        <v>Bury [GBBUY]</v>
      </c>
      <c r="AN2235" t="s">
        <v>12722</v>
      </c>
      <c r="AO2235" t="s">
        <v>12723</v>
      </c>
    </row>
    <row r="2236" spans="39:41" ht="12" customHeight="1" x14ac:dyDescent="0.2">
      <c r="AM2236" t="str">
        <f t="shared" si="34"/>
        <v>Burzenin [PLBZI]</v>
      </c>
      <c r="AN2236" t="s">
        <v>26272</v>
      </c>
      <c r="AO2236" t="s">
        <v>26273</v>
      </c>
    </row>
    <row r="2237" spans="39:41" ht="12" customHeight="1" x14ac:dyDescent="0.2">
      <c r="AM2237" t="str">
        <f t="shared" si="34"/>
        <v>Busan [KRPUS]</v>
      </c>
      <c r="AN2237" t="s">
        <v>21610</v>
      </c>
      <c r="AO2237" t="s">
        <v>21611</v>
      </c>
    </row>
    <row r="2238" spans="39:41" ht="12" customHeight="1" x14ac:dyDescent="0.2">
      <c r="AM2238" t="str">
        <f t="shared" si="34"/>
        <v>Busan New Port [KRBNP]</v>
      </c>
      <c r="AN2238" t="s">
        <v>21612</v>
      </c>
      <c r="AO2238" t="s">
        <v>21613</v>
      </c>
    </row>
    <row r="2239" spans="39:41" ht="12" customHeight="1" x14ac:dyDescent="0.2">
      <c r="AM2239" t="str">
        <f t="shared" si="34"/>
        <v>Busanjin-Gu [KRBJG]</v>
      </c>
      <c r="AN2239" t="s">
        <v>21614</v>
      </c>
      <c r="AO2239" t="s">
        <v>21615</v>
      </c>
    </row>
    <row r="2240" spans="39:41" ht="12" customHeight="1" x14ac:dyDescent="0.2">
      <c r="AM2240" t="str">
        <f t="shared" ref="AM2240:AM2301" si="35">AO2240 &amp; " [" &amp; AN2240 &amp; "]"</f>
        <v>Bushehr [IRBUZ]</v>
      </c>
      <c r="AN2240" t="s">
        <v>17619</v>
      </c>
      <c r="AO2240" t="s">
        <v>17620</v>
      </c>
    </row>
    <row r="2241" spans="39:41" ht="12" customHeight="1" x14ac:dyDescent="0.2">
      <c r="AM2241" t="str">
        <f t="shared" si="35"/>
        <v>Bushiribana [AWBUS]</v>
      </c>
      <c r="AN2241" t="s">
        <v>2144</v>
      </c>
      <c r="AO2241" t="s">
        <v>2145</v>
      </c>
    </row>
    <row r="2242" spans="39:41" ht="12" customHeight="1" x14ac:dyDescent="0.2">
      <c r="AM2242" t="str">
        <f t="shared" si="35"/>
        <v>Bushkill [USBS9]</v>
      </c>
      <c r="AN2242" t="s">
        <v>29125</v>
      </c>
      <c r="AO2242" t="s">
        <v>29126</v>
      </c>
    </row>
    <row r="2243" spans="39:41" ht="12" customHeight="1" x14ac:dyDescent="0.2">
      <c r="AM2243" t="str">
        <f t="shared" si="35"/>
        <v>Bushy Park [AUBYY]</v>
      </c>
      <c r="AN2243" t="s">
        <v>1507</v>
      </c>
      <c r="AO2243" t="s">
        <v>1508</v>
      </c>
    </row>
    <row r="2244" spans="39:41" ht="12" customHeight="1" x14ac:dyDescent="0.2">
      <c r="AM2244" t="str">
        <f t="shared" si="35"/>
        <v>Busnes [FRP5C]</v>
      </c>
      <c r="AN2244" t="s">
        <v>10951</v>
      </c>
      <c r="AO2244" t="s">
        <v>10952</v>
      </c>
    </row>
    <row r="2245" spans="39:41" ht="12" customHeight="1" x14ac:dyDescent="0.2">
      <c r="AM2245" t="str">
        <f t="shared" si="35"/>
        <v>Busselton [AUBUS]</v>
      </c>
      <c r="AN2245" t="s">
        <v>1509</v>
      </c>
      <c r="AO2245" t="s">
        <v>1510</v>
      </c>
    </row>
    <row r="2246" spans="39:41" ht="12" customHeight="1" x14ac:dyDescent="0.2">
      <c r="AM2246" t="str">
        <f t="shared" si="35"/>
        <v>Bussloo [NLSSO]</v>
      </c>
      <c r="AN2246" t="s">
        <v>23102</v>
      </c>
      <c r="AO2246" t="s">
        <v>23103</v>
      </c>
    </row>
    <row r="2247" spans="39:41" ht="12" customHeight="1" x14ac:dyDescent="0.2">
      <c r="AM2247" t="str">
        <f t="shared" si="35"/>
        <v>Bustos [PTBUS]</v>
      </c>
      <c r="AN2247" t="s">
        <v>26467</v>
      </c>
      <c r="AO2247" t="s">
        <v>26468</v>
      </c>
    </row>
    <row r="2248" spans="39:41" ht="12" customHeight="1" x14ac:dyDescent="0.2">
      <c r="AM2248" t="str">
        <f t="shared" si="35"/>
        <v>Busum [DEBUM]</v>
      </c>
      <c r="AN2248" t="s">
        <v>7216</v>
      </c>
      <c r="AO2248" t="s">
        <v>35426</v>
      </c>
    </row>
    <row r="2249" spans="39:41" ht="12" customHeight="1" x14ac:dyDescent="0.2">
      <c r="AM2249" t="str">
        <f t="shared" si="35"/>
        <v>Butjadingen [DEBUT]</v>
      </c>
      <c r="AN2249" t="s">
        <v>7217</v>
      </c>
      <c r="AO2249" t="s">
        <v>7218</v>
      </c>
    </row>
    <row r="2250" spans="39:41" ht="12" customHeight="1" x14ac:dyDescent="0.2">
      <c r="AM2250" t="str">
        <f t="shared" si="35"/>
        <v>Butler [USBUI]</v>
      </c>
      <c r="AN2250" t="s">
        <v>29127</v>
      </c>
      <c r="AO2250" t="s">
        <v>29128</v>
      </c>
    </row>
    <row r="2251" spans="39:41" ht="12" customHeight="1" x14ac:dyDescent="0.2">
      <c r="AM2251" t="str">
        <f t="shared" si="35"/>
        <v>Butler [USBUJ]</v>
      </c>
      <c r="AN2251" t="s">
        <v>29129</v>
      </c>
      <c r="AO2251" t="s">
        <v>29128</v>
      </c>
    </row>
    <row r="2252" spans="39:41" ht="12" customHeight="1" x14ac:dyDescent="0.2">
      <c r="AM2252" t="str">
        <f t="shared" si="35"/>
        <v>Butrint [ALBUT]</v>
      </c>
      <c r="AN2252" t="s">
        <v>816</v>
      </c>
      <c r="AO2252" t="s">
        <v>817</v>
      </c>
    </row>
    <row r="2253" spans="39:41" ht="12" customHeight="1" x14ac:dyDescent="0.2">
      <c r="AM2253" t="str">
        <f t="shared" si="35"/>
        <v>Butry-sur-Oise [FRUYO]</v>
      </c>
      <c r="AN2253" t="s">
        <v>10953</v>
      </c>
      <c r="AO2253" t="s">
        <v>10954</v>
      </c>
    </row>
    <row r="2254" spans="39:41" ht="12" customHeight="1" x14ac:dyDescent="0.2">
      <c r="AM2254" t="str">
        <f t="shared" si="35"/>
        <v>Butte Meadows [USBU2]</v>
      </c>
      <c r="AN2254" t="s">
        <v>29130</v>
      </c>
      <c r="AO2254" t="s">
        <v>29131</v>
      </c>
    </row>
    <row r="2255" spans="39:41" ht="12" customHeight="1" x14ac:dyDescent="0.2">
      <c r="AM2255" t="str">
        <f t="shared" si="35"/>
        <v>Butterfly Bay [CABTF]</v>
      </c>
      <c r="AN2255" t="s">
        <v>3660</v>
      </c>
      <c r="AO2255" t="s">
        <v>3661</v>
      </c>
    </row>
    <row r="2256" spans="39:41" ht="12" customHeight="1" x14ac:dyDescent="0.2">
      <c r="AM2256" t="str">
        <f t="shared" si="35"/>
        <v>Butterwick [GBBTZ]</v>
      </c>
      <c r="AN2256" t="s">
        <v>12724</v>
      </c>
      <c r="AO2256" t="s">
        <v>12725</v>
      </c>
    </row>
    <row r="2257" spans="39:41" ht="12" customHeight="1" x14ac:dyDescent="0.2">
      <c r="AM2257" t="str">
        <f t="shared" si="35"/>
        <v>Butuan Bay/Masao [PHBXU]</v>
      </c>
      <c r="AN2257" t="s">
        <v>25635</v>
      </c>
      <c r="AO2257" t="s">
        <v>25636</v>
      </c>
    </row>
    <row r="2258" spans="39:41" ht="12" customHeight="1" x14ac:dyDescent="0.2">
      <c r="AM2258" t="str">
        <f t="shared" si="35"/>
        <v>Butuku-Luba [GQBUL]</v>
      </c>
      <c r="AN2258" t="s">
        <v>15067</v>
      </c>
      <c r="AO2258" t="s">
        <v>15068</v>
      </c>
    </row>
    <row r="2259" spans="39:41" ht="12" customHeight="1" x14ac:dyDescent="0.2">
      <c r="AM2259" t="str">
        <f t="shared" si="35"/>
        <v>Butzfleth [DEBUZ]</v>
      </c>
      <c r="AN2259" t="s">
        <v>7219</v>
      </c>
      <c r="AO2259" t="s">
        <v>35427</v>
      </c>
    </row>
    <row r="2260" spans="39:41" ht="12" customHeight="1" x14ac:dyDescent="0.2">
      <c r="AM2260" t="str">
        <f t="shared" si="35"/>
        <v>Buvika [NOBUV]</v>
      </c>
      <c r="AN2260" t="s">
        <v>23966</v>
      </c>
      <c r="AO2260" t="s">
        <v>23967</v>
      </c>
    </row>
    <row r="2261" spans="39:41" ht="12" customHeight="1" x14ac:dyDescent="0.2">
      <c r="AM2261" t="str">
        <f t="shared" si="35"/>
        <v>Buxeuil [FRXEU]</v>
      </c>
      <c r="AN2261" t="s">
        <v>10955</v>
      </c>
      <c r="AO2261" t="s">
        <v>10956</v>
      </c>
    </row>
    <row r="2262" spans="39:41" ht="12" customHeight="1" x14ac:dyDescent="0.2">
      <c r="AM2262" t="str">
        <f t="shared" si="35"/>
        <v>Buxiere-sur-Arce [FRBXE]</v>
      </c>
      <c r="AN2262" t="s">
        <v>10957</v>
      </c>
      <c r="AO2262" t="s">
        <v>10958</v>
      </c>
    </row>
    <row r="2263" spans="39:41" ht="12" customHeight="1" x14ac:dyDescent="0.2">
      <c r="AM2263" t="str">
        <f t="shared" si="35"/>
        <v>Buxtehude [DEBUX]</v>
      </c>
      <c r="AN2263" t="s">
        <v>7220</v>
      </c>
      <c r="AO2263" t="s">
        <v>7221</v>
      </c>
    </row>
    <row r="2264" spans="39:41" ht="12" customHeight="1" x14ac:dyDescent="0.2">
      <c r="AM2264" t="str">
        <f t="shared" si="35"/>
        <v>Buyukcukur [TRBUY]</v>
      </c>
      <c r="AN2264" t="s">
        <v>28435</v>
      </c>
      <c r="AO2264" t="s">
        <v>36565</v>
      </c>
    </row>
    <row r="2265" spans="39:41" ht="12" customHeight="1" x14ac:dyDescent="0.2">
      <c r="AM2265" t="str">
        <f t="shared" si="35"/>
        <v>Buzet-sur-Baise [FRZUI]</v>
      </c>
      <c r="AN2265" t="s">
        <v>10959</v>
      </c>
      <c r="AO2265" t="s">
        <v>10960</v>
      </c>
    </row>
    <row r="2266" spans="39:41" ht="12" customHeight="1" x14ac:dyDescent="0.2">
      <c r="AM2266" t="str">
        <f t="shared" si="35"/>
        <v>Byala Cherkva [BGVT4]</v>
      </c>
      <c r="AN2266" t="s">
        <v>3138</v>
      </c>
      <c r="AO2266" t="s">
        <v>3139</v>
      </c>
    </row>
    <row r="2267" spans="39:41" ht="12" customHeight="1" x14ac:dyDescent="0.2">
      <c r="AM2267" t="str">
        <f t="shared" si="35"/>
        <v>Byala Slatina [BGBSL]</v>
      </c>
      <c r="AN2267" t="s">
        <v>3140</v>
      </c>
      <c r="AO2267" t="s">
        <v>3141</v>
      </c>
    </row>
    <row r="2268" spans="39:41" ht="12" customHeight="1" x14ac:dyDescent="0.2">
      <c r="AM2268" t="str">
        <f t="shared" si="35"/>
        <v>Byblos [LBBYL]</v>
      </c>
      <c r="AN2268" t="s">
        <v>21788</v>
      </c>
      <c r="AO2268" t="s">
        <v>21789</v>
      </c>
    </row>
    <row r="2269" spans="39:41" ht="12" customHeight="1" x14ac:dyDescent="0.2">
      <c r="AM2269" t="str">
        <f t="shared" si="35"/>
        <v>Byczyna [PLBYC]</v>
      </c>
      <c r="AN2269" t="s">
        <v>26274</v>
      </c>
      <c r="AO2269" t="s">
        <v>26275</v>
      </c>
    </row>
    <row r="2270" spans="39:41" ht="12" customHeight="1" x14ac:dyDescent="0.2">
      <c r="AM2270" t="str">
        <f t="shared" si="35"/>
        <v>Bydgoszcz [PLBZG]</v>
      </c>
      <c r="AN2270" t="s">
        <v>26276</v>
      </c>
      <c r="AO2270" t="s">
        <v>26277</v>
      </c>
    </row>
    <row r="2271" spans="39:41" ht="12" customHeight="1" x14ac:dyDescent="0.2">
      <c r="AM2271" t="str">
        <f t="shared" si="35"/>
        <v>Byggnes - Karmoy [NOBYN]</v>
      </c>
      <c r="AN2271" t="s">
        <v>23968</v>
      </c>
      <c r="AO2271" t="s">
        <v>36148</v>
      </c>
    </row>
    <row r="2272" spans="39:41" ht="12" customHeight="1" x14ac:dyDescent="0.2">
      <c r="AM2272" t="str">
        <f t="shared" si="35"/>
        <v>Bygstad [NOBYS]</v>
      </c>
      <c r="AN2272" t="s">
        <v>23969</v>
      </c>
      <c r="AO2272" t="s">
        <v>23970</v>
      </c>
    </row>
    <row r="2273" spans="39:41" ht="12" customHeight="1" x14ac:dyDescent="0.2">
      <c r="AM2273" t="str">
        <f t="shared" si="35"/>
        <v>Byobu [JPBYO]</v>
      </c>
      <c r="AN2273" t="s">
        <v>18668</v>
      </c>
      <c r="AO2273" t="s">
        <v>18669</v>
      </c>
    </row>
    <row r="2274" spans="39:41" ht="12" customHeight="1" x14ac:dyDescent="0.2">
      <c r="AM2274" t="str">
        <f t="shared" si="35"/>
        <v>Byrknesoy [NOBYR]</v>
      </c>
      <c r="AN2274" t="s">
        <v>23971</v>
      </c>
      <c r="AO2274" t="s">
        <v>36149</v>
      </c>
    </row>
    <row r="2275" spans="39:41" ht="12" customHeight="1" x14ac:dyDescent="0.2">
      <c r="AM2275" t="str">
        <f t="shared" si="35"/>
        <v>Byron [USXYB]</v>
      </c>
      <c r="AN2275" t="s">
        <v>29132</v>
      </c>
      <c r="AO2275" t="s">
        <v>29133</v>
      </c>
    </row>
    <row r="2276" spans="39:41" ht="12" customHeight="1" x14ac:dyDescent="0.2">
      <c r="AM2276" t="str">
        <f t="shared" si="35"/>
        <v>Bysice [CZBYS]</v>
      </c>
      <c r="AN2276" t="s">
        <v>6792</v>
      </c>
      <c r="AO2276" t="s">
        <v>6793</v>
      </c>
    </row>
    <row r="2277" spans="39:41" ht="12" customHeight="1" x14ac:dyDescent="0.2">
      <c r="AM2277" t="str">
        <f t="shared" si="35"/>
        <v>Byxelkrok [SEBYX]</v>
      </c>
      <c r="AN2277" t="s">
        <v>27540</v>
      </c>
      <c r="AO2277" t="s">
        <v>27541</v>
      </c>
    </row>
    <row r="2278" spans="39:41" ht="12" customHeight="1" x14ac:dyDescent="0.2">
      <c r="AM2278" t="str">
        <f t="shared" si="35"/>
        <v>Caacupe [PYCAA]</v>
      </c>
      <c r="AN2278" t="s">
        <v>26659</v>
      </c>
      <c r="AO2278" t="s">
        <v>36403</v>
      </c>
    </row>
    <row r="2279" spans="39:41" ht="12" customHeight="1" x14ac:dyDescent="0.2">
      <c r="AM2279" t="str">
        <f t="shared" si="35"/>
        <v>Cabanas [CUCAB]</v>
      </c>
      <c r="AN2279" t="s">
        <v>6672</v>
      </c>
      <c r="AO2279" t="s">
        <v>35385</v>
      </c>
    </row>
    <row r="2280" spans="39:41" ht="12" customHeight="1" x14ac:dyDescent="0.2">
      <c r="AM2280" t="str">
        <f t="shared" si="35"/>
        <v>Cabedelo [BRCDO]</v>
      </c>
      <c r="AN2280" t="s">
        <v>3280</v>
      </c>
      <c r="AO2280" t="s">
        <v>3281</v>
      </c>
    </row>
    <row r="2281" spans="39:41" ht="12" customHeight="1" x14ac:dyDescent="0.2">
      <c r="AM2281" t="str">
        <f t="shared" si="35"/>
        <v>Cabezuela [ESCBZ]</v>
      </c>
      <c r="AN2281" t="s">
        <v>9657</v>
      </c>
      <c r="AO2281" t="s">
        <v>9658</v>
      </c>
    </row>
    <row r="2282" spans="39:41" ht="12" customHeight="1" x14ac:dyDescent="0.2">
      <c r="AM2282" t="str">
        <f t="shared" si="35"/>
        <v>Cabimas/Maracaibo L [VECBS]</v>
      </c>
      <c r="AN2282" t="s">
        <v>32156</v>
      </c>
      <c r="AO2282" t="s">
        <v>32157</v>
      </c>
    </row>
    <row r="2283" spans="39:41" ht="12" customHeight="1" x14ac:dyDescent="0.2">
      <c r="AM2283" t="str">
        <f t="shared" si="35"/>
        <v>Cabinda [AOCAB]</v>
      </c>
      <c r="AN2283" t="s">
        <v>835</v>
      </c>
      <c r="AO2283" t="s">
        <v>836</v>
      </c>
    </row>
    <row r="2284" spans="39:41" ht="12" customHeight="1" x14ac:dyDescent="0.2">
      <c r="AM2284" t="str">
        <f t="shared" si="35"/>
        <v>Cabo Blanco [CRCAB]</v>
      </c>
      <c r="AN2284" t="s">
        <v>6558</v>
      </c>
      <c r="AO2284" t="s">
        <v>6559</v>
      </c>
    </row>
    <row r="2285" spans="39:41" ht="12" customHeight="1" x14ac:dyDescent="0.2">
      <c r="AM2285" t="str">
        <f t="shared" si="35"/>
        <v>Cabo Blanco [PECAB]</v>
      </c>
      <c r="AN2285" t="s">
        <v>25238</v>
      </c>
      <c r="AO2285" t="s">
        <v>6559</v>
      </c>
    </row>
    <row r="2286" spans="39:41" ht="12" customHeight="1" x14ac:dyDescent="0.2">
      <c r="AM2286" t="str">
        <f t="shared" si="35"/>
        <v>Cabo de Hornos [CLCHR]</v>
      </c>
      <c r="AN2286" t="s">
        <v>4824</v>
      </c>
      <c r="AO2286" t="s">
        <v>4825</v>
      </c>
    </row>
    <row r="2287" spans="39:41" ht="12" customHeight="1" x14ac:dyDescent="0.2">
      <c r="AM2287" t="str">
        <f t="shared" si="35"/>
        <v>Cabo de Palos [ESCBP]</v>
      </c>
      <c r="AN2287" t="s">
        <v>9659</v>
      </c>
      <c r="AO2287" t="s">
        <v>9660</v>
      </c>
    </row>
    <row r="2288" spans="39:41" ht="12" customHeight="1" x14ac:dyDescent="0.2">
      <c r="AM2288" t="str">
        <f t="shared" si="35"/>
        <v>Cabo Negro [CLCNX]</v>
      </c>
      <c r="AN2288" t="s">
        <v>4826</v>
      </c>
      <c r="AO2288" t="s">
        <v>4827</v>
      </c>
    </row>
    <row r="2289" spans="39:41" ht="12" customHeight="1" x14ac:dyDescent="0.2">
      <c r="AM2289" t="str">
        <f t="shared" si="35"/>
        <v>Cabo Roig [ESCRG]</v>
      </c>
      <c r="AN2289" t="s">
        <v>9661</v>
      </c>
      <c r="AO2289" t="s">
        <v>9662</v>
      </c>
    </row>
    <row r="2290" spans="39:41" ht="12" customHeight="1" x14ac:dyDescent="0.2">
      <c r="AM2290" t="str">
        <f t="shared" si="35"/>
        <v>Cabo Rojo [DOCBJ]</v>
      </c>
      <c r="AN2290" t="s">
        <v>8992</v>
      </c>
      <c r="AO2290" t="s">
        <v>8993</v>
      </c>
    </row>
    <row r="2291" spans="39:41" ht="12" customHeight="1" x14ac:dyDescent="0.2">
      <c r="AM2291" t="str">
        <f t="shared" si="35"/>
        <v>Cabo San Antonio [ARCSA]</v>
      </c>
      <c r="AN2291" t="s">
        <v>988</v>
      </c>
      <c r="AO2291" t="s">
        <v>989</v>
      </c>
    </row>
    <row r="2292" spans="39:41" ht="12" customHeight="1" x14ac:dyDescent="0.2">
      <c r="AM2292" t="str">
        <f t="shared" si="35"/>
        <v>Cabo San Lucas [MXCSL]</v>
      </c>
      <c r="AN2292" t="s">
        <v>22319</v>
      </c>
      <c r="AO2292" t="s">
        <v>22320</v>
      </c>
    </row>
    <row r="2293" spans="39:41" ht="12" customHeight="1" x14ac:dyDescent="0.2">
      <c r="AM2293" t="str">
        <f t="shared" si="35"/>
        <v>Cabourg [FRCAW]</v>
      </c>
      <c r="AN2293" t="s">
        <v>10961</v>
      </c>
      <c r="AO2293" t="s">
        <v>10962</v>
      </c>
    </row>
    <row r="2294" spans="39:41" ht="12" customHeight="1" x14ac:dyDescent="0.2">
      <c r="AM2294" t="str">
        <f t="shared" si="35"/>
        <v>Cabuenes [ESAS8]</v>
      </c>
      <c r="AN2294" t="s">
        <v>9663</v>
      </c>
      <c r="AO2294" t="s">
        <v>35663</v>
      </c>
    </row>
    <row r="2295" spans="39:41" ht="12" customHeight="1" x14ac:dyDescent="0.2">
      <c r="AM2295" t="str">
        <f t="shared" si="35"/>
        <v>Cabugao Bay/Legaspi [PHCAB]</v>
      </c>
      <c r="AN2295" t="s">
        <v>25637</v>
      </c>
      <c r="AO2295" t="s">
        <v>25638</v>
      </c>
    </row>
    <row r="2296" spans="39:41" ht="12" customHeight="1" x14ac:dyDescent="0.2">
      <c r="AM2296" t="str">
        <f t="shared" si="35"/>
        <v>Cacem [PTCAC]</v>
      </c>
      <c r="AN2296" t="s">
        <v>26469</v>
      </c>
      <c r="AO2296" t="s">
        <v>36380</v>
      </c>
    </row>
    <row r="2297" spans="39:41" ht="12" customHeight="1" x14ac:dyDescent="0.2">
      <c r="AM2297" t="str">
        <f t="shared" si="35"/>
        <v>Cacheu [GWCAC]</v>
      </c>
      <c r="AN2297" t="s">
        <v>15625</v>
      </c>
      <c r="AO2297" t="s">
        <v>15626</v>
      </c>
    </row>
    <row r="2298" spans="39:41" ht="12" customHeight="1" x14ac:dyDescent="0.2">
      <c r="AM2298" t="str">
        <f t="shared" si="35"/>
        <v>Cachoeiras de Macacu [BRCDM]</v>
      </c>
      <c r="AN2298" t="s">
        <v>3282</v>
      </c>
      <c r="AO2298" t="s">
        <v>3283</v>
      </c>
    </row>
    <row r="2299" spans="39:41" ht="12" customHeight="1" x14ac:dyDescent="0.2">
      <c r="AM2299" t="str">
        <f t="shared" si="35"/>
        <v>Cadaques [ESOOP]</v>
      </c>
      <c r="AN2299" t="s">
        <v>9664</v>
      </c>
      <c r="AO2299" t="s">
        <v>35664</v>
      </c>
    </row>
    <row r="2300" spans="39:41" ht="12" customHeight="1" x14ac:dyDescent="0.2">
      <c r="AM2300" t="str">
        <f t="shared" si="35"/>
        <v>Cadereyta Jimenez [MXZCA]</v>
      </c>
      <c r="AN2300" t="s">
        <v>22321</v>
      </c>
      <c r="AO2300" t="s">
        <v>36087</v>
      </c>
    </row>
    <row r="2301" spans="39:41" ht="12" customHeight="1" x14ac:dyDescent="0.2">
      <c r="AM2301" t="str">
        <f t="shared" si="35"/>
        <v>Cadgwith [GBCGZ]</v>
      </c>
      <c r="AN2301" t="s">
        <v>12726</v>
      </c>
      <c r="AO2301" t="s">
        <v>12727</v>
      </c>
    </row>
    <row r="2302" spans="39:41" ht="12" customHeight="1" x14ac:dyDescent="0.2">
      <c r="AM2302" t="str">
        <f t="shared" ref="AM2302:AM2365" si="36">AO2302 &amp; " [" &amp; AN2302 &amp; "]"</f>
        <v>Cadishead [GBCSU]</v>
      </c>
      <c r="AN2302" t="s">
        <v>12728</v>
      </c>
      <c r="AO2302" t="s">
        <v>12729</v>
      </c>
    </row>
    <row r="2303" spans="39:41" ht="12" customHeight="1" x14ac:dyDescent="0.2">
      <c r="AM2303" t="str">
        <f t="shared" si="36"/>
        <v>Cadiz [ESCAD]</v>
      </c>
      <c r="AN2303" t="s">
        <v>9665</v>
      </c>
      <c r="AO2303" t="s">
        <v>9666</v>
      </c>
    </row>
    <row r="2304" spans="39:41" ht="12" customHeight="1" x14ac:dyDescent="0.2">
      <c r="AM2304" t="str">
        <f t="shared" si="36"/>
        <v>Cadiz [PHCAZ]</v>
      </c>
      <c r="AN2304" t="s">
        <v>25639</v>
      </c>
      <c r="AO2304" t="s">
        <v>9666</v>
      </c>
    </row>
    <row r="2305" spans="39:41" ht="12" customHeight="1" x14ac:dyDescent="0.2">
      <c r="AM2305" t="str">
        <f t="shared" si="36"/>
        <v>Cadiz [USYCZ]</v>
      </c>
      <c r="AN2305" t="s">
        <v>29134</v>
      </c>
      <c r="AO2305" t="s">
        <v>9666</v>
      </c>
    </row>
    <row r="2306" spans="39:41" ht="12" customHeight="1" x14ac:dyDescent="0.2">
      <c r="AM2306" t="str">
        <f t="shared" si="36"/>
        <v>Cadzand [NLCZD]</v>
      </c>
      <c r="AN2306" t="s">
        <v>23104</v>
      </c>
      <c r="AO2306" t="s">
        <v>23105</v>
      </c>
    </row>
    <row r="2307" spans="39:41" ht="12" customHeight="1" x14ac:dyDescent="0.2">
      <c r="AM2307" t="str">
        <f t="shared" si="36"/>
        <v>Caen [FRCFR]</v>
      </c>
      <c r="AN2307" t="s">
        <v>10963</v>
      </c>
      <c r="AO2307" t="s">
        <v>10964</v>
      </c>
    </row>
    <row r="2308" spans="39:41" ht="12" customHeight="1" x14ac:dyDescent="0.2">
      <c r="AM2308" t="str">
        <f t="shared" si="36"/>
        <v>Caernarfon [GBCNV]</v>
      </c>
      <c r="AN2308" t="s">
        <v>12730</v>
      </c>
      <c r="AO2308" t="s">
        <v>12731</v>
      </c>
    </row>
    <row r="2309" spans="39:41" ht="12" customHeight="1" x14ac:dyDescent="0.2">
      <c r="AM2309" t="str">
        <f t="shared" si="36"/>
        <v>Cagayan de Oro, Mindanao [PHCGY]</v>
      </c>
      <c r="AN2309" t="s">
        <v>25640</v>
      </c>
      <c r="AO2309" t="s">
        <v>25641</v>
      </c>
    </row>
    <row r="2310" spans="39:41" ht="12" customHeight="1" x14ac:dyDescent="0.2">
      <c r="AM2310" t="str">
        <f t="shared" si="36"/>
        <v>Cagdianao [PHCDN]</v>
      </c>
      <c r="AN2310" t="s">
        <v>25642</v>
      </c>
      <c r="AO2310" t="s">
        <v>25643</v>
      </c>
    </row>
    <row r="2311" spans="39:41" ht="12" customHeight="1" x14ac:dyDescent="0.2">
      <c r="AM2311" t="str">
        <f t="shared" si="36"/>
        <v>Cagliari [ITCAG]</v>
      </c>
      <c r="AN2311" t="s">
        <v>17848</v>
      </c>
      <c r="AO2311" t="s">
        <v>17849</v>
      </c>
    </row>
    <row r="2312" spans="39:41" ht="12" customHeight="1" x14ac:dyDescent="0.2">
      <c r="AM2312" t="str">
        <f t="shared" si="36"/>
        <v>Cahirciveen [IECHE]</v>
      </c>
      <c r="AN2312" t="s">
        <v>16748</v>
      </c>
      <c r="AO2312" t="s">
        <v>16749</v>
      </c>
    </row>
    <row r="2313" spans="39:41" ht="12" customHeight="1" x14ac:dyDescent="0.2">
      <c r="AM2313" t="str">
        <f t="shared" si="36"/>
        <v>Cai Cui Port [VNCCU]</v>
      </c>
      <c r="AN2313" t="s">
        <v>32319</v>
      </c>
      <c r="AO2313" t="s">
        <v>32320</v>
      </c>
    </row>
    <row r="2314" spans="39:41" ht="12" customHeight="1" x14ac:dyDescent="0.2">
      <c r="AM2314" t="str">
        <f t="shared" si="36"/>
        <v>Cai Lan [VNCLN]</v>
      </c>
      <c r="AN2314" t="s">
        <v>32321</v>
      </c>
      <c r="AO2314" t="s">
        <v>32322</v>
      </c>
    </row>
    <row r="2315" spans="39:41" ht="12" customHeight="1" x14ac:dyDescent="0.2">
      <c r="AM2315" t="str">
        <f t="shared" si="36"/>
        <v>Cai Mep [VNTOT]</v>
      </c>
      <c r="AN2315" t="s">
        <v>32323</v>
      </c>
      <c r="AO2315" t="s">
        <v>32324</v>
      </c>
    </row>
    <row r="2316" spans="39:41" ht="12" customHeight="1" x14ac:dyDescent="0.2">
      <c r="AM2316" t="str">
        <f t="shared" si="36"/>
        <v>Cai Mep International Terminal [VNCMT]</v>
      </c>
      <c r="AN2316" t="s">
        <v>32325</v>
      </c>
      <c r="AO2316" t="s">
        <v>32326</v>
      </c>
    </row>
    <row r="2317" spans="39:41" ht="12" customHeight="1" x14ac:dyDescent="0.2">
      <c r="AM2317" t="str">
        <f t="shared" si="36"/>
        <v>Caibarien [CUCAI]</v>
      </c>
      <c r="AN2317" t="s">
        <v>6673</v>
      </c>
      <c r="AO2317" t="s">
        <v>35386</v>
      </c>
    </row>
    <row r="2318" spans="39:41" ht="12" customHeight="1" x14ac:dyDescent="0.2">
      <c r="AM2318" t="str">
        <f t="shared" si="36"/>
        <v>Caicara de Orinoco [VECXA]</v>
      </c>
      <c r="AN2318" t="s">
        <v>32158</v>
      </c>
      <c r="AO2318" t="s">
        <v>32159</v>
      </c>
    </row>
    <row r="2319" spans="39:41" ht="12" customHeight="1" x14ac:dyDescent="0.2">
      <c r="AM2319" t="str">
        <f t="shared" si="36"/>
        <v>Caimital [CRCAI]</v>
      </c>
      <c r="AN2319" t="s">
        <v>6560</v>
      </c>
      <c r="AO2319" t="s">
        <v>6561</v>
      </c>
    </row>
    <row r="2320" spans="39:41" ht="12" customHeight="1" x14ac:dyDescent="0.2">
      <c r="AM2320" t="str">
        <f t="shared" si="36"/>
        <v>Cairnbulg [GBCBL]</v>
      </c>
      <c r="AN2320" t="s">
        <v>12732</v>
      </c>
      <c r="AO2320" t="s">
        <v>12733</v>
      </c>
    </row>
    <row r="2321" spans="39:41" ht="12" customHeight="1" x14ac:dyDescent="0.2">
      <c r="AM2321" t="str">
        <f t="shared" si="36"/>
        <v>Cairnryan [GBCYN]</v>
      </c>
      <c r="AN2321" t="s">
        <v>12734</v>
      </c>
      <c r="AO2321" t="s">
        <v>12735</v>
      </c>
    </row>
    <row r="2322" spans="39:41" ht="12" customHeight="1" x14ac:dyDescent="0.2">
      <c r="AM2322" t="str">
        <f t="shared" si="36"/>
        <v>Cairns [AUCNS]</v>
      </c>
      <c r="AN2322" t="s">
        <v>1511</v>
      </c>
      <c r="AO2322" t="s">
        <v>1512</v>
      </c>
    </row>
    <row r="2323" spans="39:41" ht="12" customHeight="1" x14ac:dyDescent="0.2">
      <c r="AM2323" t="str">
        <f t="shared" si="36"/>
        <v>Cais do Pico [PTCDP]</v>
      </c>
      <c r="AN2323" t="s">
        <v>26470</v>
      </c>
      <c r="AO2323" t="s">
        <v>26471</v>
      </c>
    </row>
    <row r="2324" spans="39:41" ht="12" customHeight="1" x14ac:dyDescent="0.2">
      <c r="AM2324" t="str">
        <f t="shared" si="36"/>
        <v>Caister on Sea [GBCSC]</v>
      </c>
      <c r="AN2324" t="s">
        <v>12736</v>
      </c>
      <c r="AO2324" t="s">
        <v>12737</v>
      </c>
    </row>
    <row r="2325" spans="39:41" ht="12" customHeight="1" x14ac:dyDescent="0.2">
      <c r="AM2325" t="str">
        <f t="shared" si="36"/>
        <v>Cajidiocan, Visayan Isl [PHCAJ]</v>
      </c>
      <c r="AN2325" t="s">
        <v>25644</v>
      </c>
      <c r="AO2325" t="s">
        <v>25645</v>
      </c>
    </row>
    <row r="2326" spans="39:41" ht="12" customHeight="1" x14ac:dyDescent="0.2">
      <c r="AM2326" t="str">
        <f t="shared" si="36"/>
        <v>Cakerawala Terminal [MYCAK]</v>
      </c>
      <c r="AN2326" t="s">
        <v>22542</v>
      </c>
      <c r="AO2326" t="s">
        <v>22543</v>
      </c>
    </row>
    <row r="2327" spans="39:41" ht="12" customHeight="1" x14ac:dyDescent="0.2">
      <c r="AM2327" t="str">
        <f t="shared" si="36"/>
        <v>Cala Gonone [ITNNE]</v>
      </c>
      <c r="AN2327" t="s">
        <v>17850</v>
      </c>
      <c r="AO2327" t="s">
        <v>17851</v>
      </c>
    </row>
    <row r="2328" spans="39:41" ht="12" customHeight="1" x14ac:dyDescent="0.2">
      <c r="AM2328" t="str">
        <f t="shared" si="36"/>
        <v>Cala Sabina [ESCBS]</v>
      </c>
      <c r="AN2328" t="s">
        <v>9667</v>
      </c>
      <c r="AO2328" t="s">
        <v>9668</v>
      </c>
    </row>
    <row r="2329" spans="39:41" ht="12" customHeight="1" x14ac:dyDescent="0.2">
      <c r="AM2329" t="str">
        <f t="shared" si="36"/>
        <v>Calabar [NGCBQ]</v>
      </c>
      <c r="AN2329" t="s">
        <v>22925</v>
      </c>
      <c r="AO2329" t="s">
        <v>22926</v>
      </c>
    </row>
    <row r="2330" spans="39:41" ht="12" customHeight="1" x14ac:dyDescent="0.2">
      <c r="AM2330" t="str">
        <f t="shared" si="36"/>
        <v>Calabash [USLBQ]</v>
      </c>
      <c r="AN2330" t="s">
        <v>29135</v>
      </c>
      <c r="AO2330" t="s">
        <v>29136</v>
      </c>
    </row>
    <row r="2331" spans="39:41" ht="12" customHeight="1" x14ac:dyDescent="0.2">
      <c r="AM2331" t="str">
        <f t="shared" si="36"/>
        <v>Calafat [ROCAF]</v>
      </c>
      <c r="AN2331" t="s">
        <v>26730</v>
      </c>
      <c r="AO2331" t="s">
        <v>26731</v>
      </c>
    </row>
    <row r="2332" spans="39:41" ht="12" customHeight="1" x14ac:dyDescent="0.2">
      <c r="AM2332" t="str">
        <f t="shared" si="36"/>
        <v>Calag-Calag/Dumaguete [PHCCG]</v>
      </c>
      <c r="AN2332" t="s">
        <v>25646</v>
      </c>
      <c r="AO2332" t="s">
        <v>25647</v>
      </c>
    </row>
    <row r="2333" spans="39:41" ht="12" customHeight="1" x14ac:dyDescent="0.2">
      <c r="AM2333" t="str">
        <f t="shared" si="36"/>
        <v>Calaguitan/Tacloban [PHCGT]</v>
      </c>
      <c r="AN2333" t="s">
        <v>25648</v>
      </c>
      <c r="AO2333" t="s">
        <v>25649</v>
      </c>
    </row>
    <row r="2334" spans="39:41" ht="12" customHeight="1" x14ac:dyDescent="0.2">
      <c r="AM2334" t="str">
        <f t="shared" si="36"/>
        <v>Calais [FRCQF]</v>
      </c>
      <c r="AN2334" t="s">
        <v>10965</v>
      </c>
      <c r="AO2334" t="s">
        <v>10966</v>
      </c>
    </row>
    <row r="2335" spans="39:41" ht="12" customHeight="1" x14ac:dyDescent="0.2">
      <c r="AM2335" t="str">
        <f t="shared" si="36"/>
        <v>Calapan/Batangas [PHCLP]</v>
      </c>
      <c r="AN2335" t="s">
        <v>25650</v>
      </c>
      <c r="AO2335" t="s">
        <v>25651</v>
      </c>
    </row>
    <row r="2336" spans="39:41" ht="12" customHeight="1" x14ac:dyDescent="0.2">
      <c r="AM2336" t="str">
        <f t="shared" si="36"/>
        <v>Calarasi [ROCAS]</v>
      </c>
      <c r="AN2336" t="s">
        <v>26732</v>
      </c>
      <c r="AO2336" t="s">
        <v>26733</v>
      </c>
    </row>
    <row r="2337" spans="39:41" ht="12" customHeight="1" x14ac:dyDescent="0.2">
      <c r="AM2337" t="str">
        <f t="shared" si="36"/>
        <v>Calasetta [ITCLS]</v>
      </c>
      <c r="AN2337" t="s">
        <v>17852</v>
      </c>
      <c r="AO2337" t="s">
        <v>17853</v>
      </c>
    </row>
    <row r="2338" spans="39:41" ht="12" customHeight="1" x14ac:dyDescent="0.2">
      <c r="AM2338" t="str">
        <f t="shared" si="36"/>
        <v>Calbayog, Samar [PHCBY]</v>
      </c>
      <c r="AN2338" t="s">
        <v>25652</v>
      </c>
      <c r="AO2338" t="s">
        <v>25653</v>
      </c>
    </row>
    <row r="2339" spans="39:41" ht="12" customHeight="1" x14ac:dyDescent="0.2">
      <c r="AM2339" t="str">
        <f t="shared" si="36"/>
        <v>Calbuco [CLCBC]</v>
      </c>
      <c r="AN2339" t="s">
        <v>4828</v>
      </c>
      <c r="AO2339" t="s">
        <v>4829</v>
      </c>
    </row>
    <row r="2340" spans="39:41" ht="12" customHeight="1" x14ac:dyDescent="0.2">
      <c r="AM2340" t="str">
        <f t="shared" si="36"/>
        <v>Calcite [USMI3]</v>
      </c>
      <c r="AN2340" t="s">
        <v>29137</v>
      </c>
      <c r="AO2340" t="s">
        <v>29138</v>
      </c>
    </row>
    <row r="2341" spans="39:41" ht="12" customHeight="1" x14ac:dyDescent="0.2">
      <c r="AM2341" t="str">
        <f t="shared" si="36"/>
        <v>Caldecote [GBCAA]</v>
      </c>
      <c r="AN2341" t="s">
        <v>12738</v>
      </c>
      <c r="AO2341" t="s">
        <v>12739</v>
      </c>
    </row>
    <row r="2342" spans="39:41" ht="12" customHeight="1" x14ac:dyDescent="0.2">
      <c r="AM2342" t="str">
        <f t="shared" si="36"/>
        <v>Caldera [CLCLD]</v>
      </c>
      <c r="AN2342" t="s">
        <v>4830</v>
      </c>
      <c r="AO2342" t="s">
        <v>4831</v>
      </c>
    </row>
    <row r="2343" spans="39:41" ht="12" customHeight="1" x14ac:dyDescent="0.2">
      <c r="AM2343" t="str">
        <f t="shared" si="36"/>
        <v>Caldera [CRCAL]</v>
      </c>
      <c r="AN2343" t="s">
        <v>6562</v>
      </c>
      <c r="AO2343" t="s">
        <v>4831</v>
      </c>
    </row>
    <row r="2344" spans="39:41" ht="12" customHeight="1" x14ac:dyDescent="0.2">
      <c r="AM2344" t="str">
        <f t="shared" si="36"/>
        <v>Caldera Bay/Zamboanga [PHCDB]</v>
      </c>
      <c r="AN2344" t="s">
        <v>25654</v>
      </c>
      <c r="AO2344" t="s">
        <v>25655</v>
      </c>
    </row>
    <row r="2345" spans="39:41" ht="12" customHeight="1" x14ac:dyDescent="0.2">
      <c r="AM2345" t="str">
        <f t="shared" si="36"/>
        <v>Calderilla [CLCAA]</v>
      </c>
      <c r="AN2345" t="s">
        <v>4832</v>
      </c>
      <c r="AO2345" t="s">
        <v>4833</v>
      </c>
    </row>
    <row r="2346" spans="39:41" ht="12" customHeight="1" x14ac:dyDescent="0.2">
      <c r="AM2346" t="str">
        <f t="shared" si="36"/>
        <v>Caledonia [USCDZ]</v>
      </c>
      <c r="AN2346" t="s">
        <v>29139</v>
      </c>
      <c r="AO2346" t="s">
        <v>29140</v>
      </c>
    </row>
    <row r="2347" spans="39:41" ht="12" customHeight="1" x14ac:dyDescent="0.2">
      <c r="AM2347" t="str">
        <f t="shared" si="36"/>
        <v>Calella [ESLEL]</v>
      </c>
      <c r="AN2347" t="s">
        <v>9669</v>
      </c>
      <c r="AO2347" t="s">
        <v>9670</v>
      </c>
    </row>
    <row r="2348" spans="39:41" ht="12" customHeight="1" x14ac:dyDescent="0.2">
      <c r="AM2348" t="str">
        <f t="shared" si="36"/>
        <v>Calera Cue [PYCAC]</v>
      </c>
      <c r="AN2348" t="s">
        <v>26660</v>
      </c>
      <c r="AO2348" t="s">
        <v>26661</v>
      </c>
    </row>
    <row r="2349" spans="39:41" ht="12" customHeight="1" x14ac:dyDescent="0.2">
      <c r="AM2349" t="str">
        <f t="shared" si="36"/>
        <v>Caleta Clarencia [CLCLR]</v>
      </c>
      <c r="AN2349" t="s">
        <v>4834</v>
      </c>
      <c r="AO2349" t="s">
        <v>4835</v>
      </c>
    </row>
    <row r="2350" spans="39:41" ht="12" customHeight="1" x14ac:dyDescent="0.2">
      <c r="AM2350" t="str">
        <f t="shared" si="36"/>
        <v>Caleta Coloso [CLCOL]</v>
      </c>
      <c r="AN2350" t="s">
        <v>4836</v>
      </c>
      <c r="AO2350" t="s">
        <v>4837</v>
      </c>
    </row>
    <row r="2351" spans="39:41" ht="12" customHeight="1" x14ac:dyDescent="0.2">
      <c r="AM2351" t="str">
        <f t="shared" si="36"/>
        <v>Caleta Cordoba [ARCLC]</v>
      </c>
      <c r="AN2351" t="s">
        <v>990</v>
      </c>
      <c r="AO2351" t="s">
        <v>35241</v>
      </c>
    </row>
    <row r="2352" spans="39:41" ht="12" customHeight="1" x14ac:dyDescent="0.2">
      <c r="AM2352" t="str">
        <f t="shared" si="36"/>
        <v>Caleta de Sebo [ESCHR]</v>
      </c>
      <c r="AN2352" t="s">
        <v>34941</v>
      </c>
      <c r="AO2352" t="s">
        <v>34942</v>
      </c>
    </row>
    <row r="2353" spans="39:41" ht="12" customHeight="1" x14ac:dyDescent="0.2">
      <c r="AM2353" t="str">
        <f t="shared" si="36"/>
        <v>Caleta Olivia [ARCVI]</v>
      </c>
      <c r="AN2353" t="s">
        <v>991</v>
      </c>
      <c r="AO2353" t="s">
        <v>992</v>
      </c>
    </row>
    <row r="2354" spans="39:41" ht="12" customHeight="1" x14ac:dyDescent="0.2">
      <c r="AM2354" t="str">
        <f t="shared" si="36"/>
        <v>Caleta Patillos [CLCAL]</v>
      </c>
      <c r="AN2354" t="s">
        <v>4838</v>
      </c>
      <c r="AO2354" t="s">
        <v>4839</v>
      </c>
    </row>
    <row r="2355" spans="39:41" ht="12" customHeight="1" x14ac:dyDescent="0.2">
      <c r="AM2355" t="str">
        <f t="shared" si="36"/>
        <v>Caleta Tagus [ECCAT]</v>
      </c>
      <c r="AN2355" t="s">
        <v>9082</v>
      </c>
      <c r="AO2355" t="s">
        <v>9083</v>
      </c>
    </row>
    <row r="2356" spans="39:41" ht="12" customHeight="1" x14ac:dyDescent="0.2">
      <c r="AM2356" t="str">
        <f t="shared" si="36"/>
        <v>Calheta, Island Sao Jorge [PTCAL]</v>
      </c>
      <c r="AN2356" t="s">
        <v>26472</v>
      </c>
      <c r="AO2356" t="s">
        <v>36381</v>
      </c>
    </row>
    <row r="2357" spans="39:41" ht="12" customHeight="1" x14ac:dyDescent="0.2">
      <c r="AM2357" t="str">
        <f t="shared" si="36"/>
        <v>Calingapatam [INCAP]</v>
      </c>
      <c r="AN2357" t="s">
        <v>17072</v>
      </c>
      <c r="AO2357" t="s">
        <v>17073</v>
      </c>
    </row>
    <row r="2358" spans="39:41" ht="12" customHeight="1" x14ac:dyDescent="0.2">
      <c r="AM2358" t="str">
        <f t="shared" si="36"/>
        <v>Callao [PECLL]</v>
      </c>
      <c r="AN2358" t="s">
        <v>25239</v>
      </c>
      <c r="AO2358" t="s">
        <v>25240</v>
      </c>
    </row>
    <row r="2359" spans="39:41" ht="12" customHeight="1" x14ac:dyDescent="0.2">
      <c r="AM2359" t="str">
        <f t="shared" si="36"/>
        <v>Calles [ESC9A]</v>
      </c>
      <c r="AN2359" t="s">
        <v>9671</v>
      </c>
      <c r="AO2359" t="s">
        <v>9672</v>
      </c>
    </row>
    <row r="2360" spans="39:41" ht="12" customHeight="1" x14ac:dyDescent="0.2">
      <c r="AM2360" t="str">
        <f t="shared" si="36"/>
        <v>Calonge [ESCGE]</v>
      </c>
      <c r="AN2360" t="s">
        <v>9673</v>
      </c>
      <c r="AO2360" t="s">
        <v>9674</v>
      </c>
    </row>
    <row r="2361" spans="39:41" ht="12" customHeight="1" x14ac:dyDescent="0.2">
      <c r="AM2361" t="str">
        <f t="shared" si="36"/>
        <v>Calonne [BECLN]</v>
      </c>
      <c r="AN2361" t="s">
        <v>2344</v>
      </c>
      <c r="AO2361" t="s">
        <v>2345</v>
      </c>
    </row>
    <row r="2362" spans="39:41" ht="12" customHeight="1" x14ac:dyDescent="0.2">
      <c r="AM2362" t="str">
        <f t="shared" si="36"/>
        <v>Caloundra Head [AUCAL]</v>
      </c>
      <c r="AN2362" t="s">
        <v>1513</v>
      </c>
      <c r="AO2362" t="s">
        <v>1514</v>
      </c>
    </row>
    <row r="2363" spans="39:41" ht="12" customHeight="1" x14ac:dyDescent="0.2">
      <c r="AM2363" t="str">
        <f t="shared" si="36"/>
        <v>Calowayan/Catabalogan [PHCWY]</v>
      </c>
      <c r="AN2363" t="s">
        <v>25656</v>
      </c>
      <c r="AO2363" t="s">
        <v>25657</v>
      </c>
    </row>
    <row r="2364" spans="39:41" ht="12" customHeight="1" x14ac:dyDescent="0.2">
      <c r="AM2364" t="str">
        <f t="shared" si="36"/>
        <v>Calubian, Leyte [PHCUG]</v>
      </c>
      <c r="AN2364" t="s">
        <v>25658</v>
      </c>
      <c r="AO2364" t="s">
        <v>25659</v>
      </c>
    </row>
    <row r="2365" spans="39:41" ht="12" customHeight="1" x14ac:dyDescent="0.2">
      <c r="AM2365" t="str">
        <f t="shared" si="36"/>
        <v>Calug Point/Zamboanga [PHCGP]</v>
      </c>
      <c r="AN2365" t="s">
        <v>25660</v>
      </c>
      <c r="AO2365" t="s">
        <v>25661</v>
      </c>
    </row>
    <row r="2366" spans="39:41" ht="12" customHeight="1" x14ac:dyDescent="0.2">
      <c r="AM2366" t="str">
        <f t="shared" ref="AM2366:AM2429" si="37">AO2366 &amp; " [" &amp; AN2366 &amp; "]"</f>
        <v>Calvert City [USCCT]</v>
      </c>
      <c r="AN2366" t="s">
        <v>29141</v>
      </c>
      <c r="AO2366" t="s">
        <v>29142</v>
      </c>
    </row>
    <row r="2367" spans="39:41" ht="12" customHeight="1" x14ac:dyDescent="0.2">
      <c r="AM2367" t="str">
        <f t="shared" si="37"/>
        <v>Calverton [USAEO]</v>
      </c>
      <c r="AN2367" t="s">
        <v>29143</v>
      </c>
      <c r="AO2367" t="s">
        <v>29144</v>
      </c>
    </row>
    <row r="2368" spans="39:41" ht="12" customHeight="1" x14ac:dyDescent="0.2">
      <c r="AM2368" t="str">
        <f t="shared" si="37"/>
        <v>Calvi [FRCLY]</v>
      </c>
      <c r="AN2368" t="s">
        <v>10967</v>
      </c>
      <c r="AO2368" t="s">
        <v>10968</v>
      </c>
    </row>
    <row r="2369" spans="39:41" ht="12" customHeight="1" x14ac:dyDescent="0.2">
      <c r="AM2369" t="str">
        <f t="shared" si="37"/>
        <v>Cam Lam [VNBAN]</v>
      </c>
      <c r="AN2369" t="s">
        <v>32327</v>
      </c>
      <c r="AO2369" t="s">
        <v>36594</v>
      </c>
    </row>
    <row r="2370" spans="39:41" ht="12" customHeight="1" x14ac:dyDescent="0.2">
      <c r="AM2370" t="str">
        <f t="shared" si="37"/>
        <v>Cam Pha [VNCPH]</v>
      </c>
      <c r="AN2370" t="s">
        <v>32328</v>
      </c>
      <c r="AO2370" t="s">
        <v>32329</v>
      </c>
    </row>
    <row r="2371" spans="39:41" ht="12" customHeight="1" x14ac:dyDescent="0.2">
      <c r="AM2371" t="str">
        <f t="shared" si="37"/>
        <v>Camaguey [CUCMW]</v>
      </c>
      <c r="AN2371" t="s">
        <v>6674</v>
      </c>
      <c r="AO2371" t="s">
        <v>35387</v>
      </c>
    </row>
    <row r="2372" spans="39:41" ht="12" customHeight="1" x14ac:dyDescent="0.2">
      <c r="AM2372" t="str">
        <f t="shared" si="37"/>
        <v>Camalagawan/Aparri [PHCML]</v>
      </c>
      <c r="AN2372" t="s">
        <v>25662</v>
      </c>
      <c r="AO2372" t="s">
        <v>25663</v>
      </c>
    </row>
    <row r="2373" spans="39:41" ht="12" customHeight="1" x14ac:dyDescent="0.2">
      <c r="AM2373" t="str">
        <f t="shared" si="37"/>
        <v>Camalti [TRCAM]</v>
      </c>
      <c r="AN2373" t="s">
        <v>28436</v>
      </c>
      <c r="AO2373" t="s">
        <v>36566</v>
      </c>
    </row>
    <row r="2374" spans="39:41" ht="12" customHeight="1" x14ac:dyDescent="0.2">
      <c r="AM2374" t="str">
        <f t="shared" si="37"/>
        <v>Camar Marine Terminal [XZCMT]</v>
      </c>
      <c r="AN2374" t="s">
        <v>32555</v>
      </c>
      <c r="AO2374" t="s">
        <v>32556</v>
      </c>
    </row>
    <row r="2375" spans="39:41" ht="12" customHeight="1" x14ac:dyDescent="0.2">
      <c r="AM2375" t="str">
        <f t="shared" si="37"/>
        <v>Camara de Lobos [PTCML]</v>
      </c>
      <c r="AN2375" t="s">
        <v>26473</v>
      </c>
      <c r="AO2375" t="s">
        <v>36382</v>
      </c>
    </row>
    <row r="2376" spans="39:41" ht="12" customHeight="1" x14ac:dyDescent="0.2">
      <c r="AM2376" t="str">
        <f t="shared" si="37"/>
        <v>Camargo [MXAAO]</v>
      </c>
      <c r="AN2376" t="s">
        <v>22322</v>
      </c>
      <c r="AO2376" t="s">
        <v>22323</v>
      </c>
    </row>
    <row r="2377" spans="39:41" ht="12" customHeight="1" x14ac:dyDescent="0.2">
      <c r="AM2377" t="str">
        <f t="shared" si="37"/>
        <v>Camarinas [ESIAS]</v>
      </c>
      <c r="AN2377" t="s">
        <v>9675</v>
      </c>
      <c r="AO2377" t="s">
        <v>35665</v>
      </c>
    </row>
    <row r="2378" spans="39:41" ht="12" customHeight="1" x14ac:dyDescent="0.2">
      <c r="AM2378" t="str">
        <f t="shared" si="37"/>
        <v>Camarines Norte/Jose Panganiban [PHCAM]</v>
      </c>
      <c r="AN2378" t="s">
        <v>25664</v>
      </c>
      <c r="AO2378" t="s">
        <v>25665</v>
      </c>
    </row>
    <row r="2379" spans="39:41" ht="12" customHeight="1" x14ac:dyDescent="0.2">
      <c r="AM2379" t="str">
        <f t="shared" si="37"/>
        <v>Camarsac [FRQBR]</v>
      </c>
      <c r="AN2379" t="s">
        <v>10969</v>
      </c>
      <c r="AO2379" t="s">
        <v>10970</v>
      </c>
    </row>
    <row r="2380" spans="39:41" ht="12" customHeight="1" x14ac:dyDescent="0.2">
      <c r="AM2380" t="str">
        <f t="shared" si="37"/>
        <v>Camarzana Tera [ESCZT]</v>
      </c>
      <c r="AN2380" t="s">
        <v>9676</v>
      </c>
      <c r="AO2380" t="s">
        <v>9677</v>
      </c>
    </row>
    <row r="2381" spans="39:41" ht="12" customHeight="1" x14ac:dyDescent="0.2">
      <c r="AM2381" t="str">
        <f t="shared" si="37"/>
        <v>Cambados [ESCBD]</v>
      </c>
      <c r="AN2381" t="s">
        <v>9678</v>
      </c>
      <c r="AO2381" t="s">
        <v>9679</v>
      </c>
    </row>
    <row r="2382" spans="39:41" ht="12" customHeight="1" x14ac:dyDescent="0.2">
      <c r="AM2382" t="str">
        <f t="shared" si="37"/>
        <v>Cambay [INCAM]</v>
      </c>
      <c r="AN2382" t="s">
        <v>17074</v>
      </c>
      <c r="AO2382" t="s">
        <v>17075</v>
      </c>
    </row>
    <row r="2383" spans="39:41" ht="12" customHeight="1" x14ac:dyDescent="0.2">
      <c r="AM2383" t="str">
        <f t="shared" si="37"/>
        <v>Camber [GBCBE]</v>
      </c>
      <c r="AN2383" t="s">
        <v>12740</v>
      </c>
      <c r="AO2383" t="s">
        <v>12741</v>
      </c>
    </row>
    <row r="2384" spans="39:41" ht="12" customHeight="1" x14ac:dyDescent="0.2">
      <c r="AM2384" t="str">
        <f t="shared" si="37"/>
        <v>Camboriu [BRCBU]</v>
      </c>
      <c r="AN2384" t="s">
        <v>3284</v>
      </c>
      <c r="AO2384" t="s">
        <v>35289</v>
      </c>
    </row>
    <row r="2385" spans="39:41" ht="12" customHeight="1" x14ac:dyDescent="0.2">
      <c r="AM2385" t="str">
        <f t="shared" si="37"/>
        <v>Cambres [PTCES]</v>
      </c>
      <c r="AN2385" t="s">
        <v>26474</v>
      </c>
      <c r="AO2385" t="s">
        <v>26475</v>
      </c>
    </row>
    <row r="2386" spans="39:41" ht="12" customHeight="1" x14ac:dyDescent="0.2">
      <c r="AM2386" t="str">
        <f t="shared" si="37"/>
        <v>Cambridge [AUCMB]</v>
      </c>
      <c r="AN2386" t="s">
        <v>1515</v>
      </c>
      <c r="AO2386" t="s">
        <v>1516</v>
      </c>
    </row>
    <row r="2387" spans="39:41" ht="12" customHeight="1" x14ac:dyDescent="0.2">
      <c r="AM2387" t="str">
        <f t="shared" si="37"/>
        <v>Cambridge [USCGE]</v>
      </c>
      <c r="AN2387" t="s">
        <v>29145</v>
      </c>
      <c r="AO2387" t="s">
        <v>1516</v>
      </c>
    </row>
    <row r="2388" spans="39:41" ht="12" customHeight="1" x14ac:dyDescent="0.2">
      <c r="AM2388" t="str">
        <f t="shared" si="37"/>
        <v>Cambridge [USCBD]</v>
      </c>
      <c r="AN2388" t="s">
        <v>29146</v>
      </c>
      <c r="AO2388" t="s">
        <v>1516</v>
      </c>
    </row>
    <row r="2389" spans="39:41" ht="12" customHeight="1" x14ac:dyDescent="0.2">
      <c r="AM2389" t="str">
        <f t="shared" si="37"/>
        <v>Cambridge [USAMG]</v>
      </c>
      <c r="AN2389" t="s">
        <v>29147</v>
      </c>
      <c r="AO2389" t="s">
        <v>1516</v>
      </c>
    </row>
    <row r="2390" spans="39:41" ht="12" customHeight="1" x14ac:dyDescent="0.2">
      <c r="AM2390" t="str">
        <f t="shared" si="37"/>
        <v>Cambridge Bay [CAYCB]</v>
      </c>
      <c r="AN2390" t="s">
        <v>3662</v>
      </c>
      <c r="AO2390" t="s">
        <v>3663</v>
      </c>
    </row>
    <row r="2391" spans="39:41" ht="12" customHeight="1" x14ac:dyDescent="0.2">
      <c r="AM2391" t="str">
        <f t="shared" si="37"/>
        <v>Cambrils [ESCBL]</v>
      </c>
      <c r="AN2391" t="s">
        <v>9680</v>
      </c>
      <c r="AO2391" t="s">
        <v>9681</v>
      </c>
    </row>
    <row r="2392" spans="39:41" ht="12" customHeight="1" x14ac:dyDescent="0.2">
      <c r="AM2392" t="str">
        <f t="shared" si="37"/>
        <v>Camden [USCDD]</v>
      </c>
      <c r="AN2392" t="s">
        <v>29148</v>
      </c>
      <c r="AO2392" t="s">
        <v>29149</v>
      </c>
    </row>
    <row r="2393" spans="39:41" ht="12" customHeight="1" x14ac:dyDescent="0.2">
      <c r="AM2393" t="str">
        <f t="shared" si="37"/>
        <v>Camden [USXAE]</v>
      </c>
      <c r="AN2393" t="s">
        <v>29150</v>
      </c>
      <c r="AO2393" t="s">
        <v>29149</v>
      </c>
    </row>
    <row r="2394" spans="39:41" ht="12" customHeight="1" x14ac:dyDescent="0.2">
      <c r="AM2394" t="str">
        <f t="shared" si="37"/>
        <v>Camden [USAQQ]</v>
      </c>
      <c r="AN2394" t="s">
        <v>29151</v>
      </c>
      <c r="AO2394" t="s">
        <v>29149</v>
      </c>
    </row>
    <row r="2395" spans="39:41" ht="12" customHeight="1" x14ac:dyDescent="0.2">
      <c r="AM2395" t="str">
        <f t="shared" si="37"/>
        <v>Camden [USCDE]</v>
      </c>
      <c r="AN2395" t="s">
        <v>29152</v>
      </c>
      <c r="AO2395" t="s">
        <v>29149</v>
      </c>
    </row>
    <row r="2396" spans="39:41" ht="12" customHeight="1" x14ac:dyDescent="0.2">
      <c r="AM2396" t="str">
        <f t="shared" si="37"/>
        <v>Cameron [USCMU]</v>
      </c>
      <c r="AN2396" t="s">
        <v>29153</v>
      </c>
      <c r="AO2396" t="s">
        <v>29154</v>
      </c>
    </row>
    <row r="2397" spans="39:41" ht="12" customHeight="1" x14ac:dyDescent="0.2">
      <c r="AM2397" t="str">
        <f t="shared" si="37"/>
        <v>Camiguin Island/Aparri [PHCGM]</v>
      </c>
      <c r="AN2397" t="s">
        <v>25666</v>
      </c>
      <c r="AO2397" t="s">
        <v>25667</v>
      </c>
    </row>
    <row r="2398" spans="39:41" ht="12" customHeight="1" x14ac:dyDescent="0.2">
      <c r="AM2398" t="str">
        <f t="shared" si="37"/>
        <v>Camillac [FRQZX]</v>
      </c>
      <c r="AN2398" t="s">
        <v>10971</v>
      </c>
      <c r="AO2398" t="s">
        <v>10972</v>
      </c>
    </row>
    <row r="2399" spans="39:41" ht="12" customHeight="1" x14ac:dyDescent="0.2">
      <c r="AM2399" t="str">
        <f t="shared" si="37"/>
        <v>Camocim [BRCMC]</v>
      </c>
      <c r="AN2399" t="s">
        <v>3285</v>
      </c>
      <c r="AO2399" t="s">
        <v>3286</v>
      </c>
    </row>
    <row r="2400" spans="39:41" ht="12" customHeight="1" x14ac:dyDescent="0.2">
      <c r="AM2400" t="str">
        <f t="shared" si="37"/>
        <v>Camogli [ITGLJ]</v>
      </c>
      <c r="AN2400" t="s">
        <v>17854</v>
      </c>
      <c r="AO2400" t="s">
        <v>17855</v>
      </c>
    </row>
    <row r="2401" spans="39:41" ht="12" customHeight="1" x14ac:dyDescent="0.2">
      <c r="AM2401" t="str">
        <f t="shared" si="37"/>
        <v>Campagnac [FRPHG]</v>
      </c>
      <c r="AN2401" t="s">
        <v>10973</v>
      </c>
      <c r="AO2401" t="s">
        <v>10974</v>
      </c>
    </row>
    <row r="2402" spans="39:41" ht="12" customHeight="1" x14ac:dyDescent="0.2">
      <c r="AM2402" t="str">
        <f t="shared" si="37"/>
        <v>Campagne [FRQMM]</v>
      </c>
      <c r="AN2402" t="s">
        <v>10975</v>
      </c>
      <c r="AO2402" t="s">
        <v>10976</v>
      </c>
    </row>
    <row r="2403" spans="39:41" ht="12" customHeight="1" x14ac:dyDescent="0.2">
      <c r="AM2403" t="str">
        <f t="shared" si="37"/>
        <v>Campana [ARCMP]</v>
      </c>
      <c r="AN2403" t="s">
        <v>993</v>
      </c>
      <c r="AO2403" t="s">
        <v>994</v>
      </c>
    </row>
    <row r="2404" spans="39:41" ht="12" customHeight="1" x14ac:dyDescent="0.2">
      <c r="AM2404" t="str">
        <f t="shared" si="37"/>
        <v>Campanillas [ESCPL]</v>
      </c>
      <c r="AN2404" t="s">
        <v>9682</v>
      </c>
      <c r="AO2404" t="s">
        <v>9683</v>
      </c>
    </row>
    <row r="2405" spans="39:41" ht="12" customHeight="1" x14ac:dyDescent="0.2">
      <c r="AM2405" t="str">
        <f t="shared" si="37"/>
        <v>Campbell River [CACAM]</v>
      </c>
      <c r="AN2405" t="s">
        <v>3664</v>
      </c>
      <c r="AO2405" t="s">
        <v>3665</v>
      </c>
    </row>
    <row r="2406" spans="39:41" ht="12" customHeight="1" x14ac:dyDescent="0.2">
      <c r="AM2406" t="str">
        <f t="shared" si="37"/>
        <v>Campbellford [CACBF]</v>
      </c>
      <c r="AN2406" t="s">
        <v>3666</v>
      </c>
      <c r="AO2406" t="s">
        <v>3667</v>
      </c>
    </row>
    <row r="2407" spans="39:41" ht="12" customHeight="1" x14ac:dyDescent="0.2">
      <c r="AM2407" t="str">
        <f t="shared" si="37"/>
        <v>Campbellton [CACOM]</v>
      </c>
      <c r="AN2407" t="s">
        <v>3668</v>
      </c>
      <c r="AO2407" t="s">
        <v>3669</v>
      </c>
    </row>
    <row r="2408" spans="39:41" ht="12" customHeight="1" x14ac:dyDescent="0.2">
      <c r="AM2408" t="str">
        <f t="shared" si="37"/>
        <v>Campbeltown [GBCBT]</v>
      </c>
      <c r="AN2408" t="s">
        <v>12742</v>
      </c>
      <c r="AO2408" t="s">
        <v>12743</v>
      </c>
    </row>
    <row r="2409" spans="39:41" ht="12" customHeight="1" x14ac:dyDescent="0.2">
      <c r="AM2409" t="str">
        <f t="shared" si="37"/>
        <v>Campden Park [VCCRP]</v>
      </c>
      <c r="AN2409" t="s">
        <v>32133</v>
      </c>
      <c r="AO2409" t="s">
        <v>32134</v>
      </c>
    </row>
    <row r="2410" spans="39:41" ht="12" customHeight="1" x14ac:dyDescent="0.2">
      <c r="AM2410" t="str">
        <f t="shared" si="37"/>
        <v>Camp-du-Castellet [FRUDP]</v>
      </c>
      <c r="AN2410" t="s">
        <v>10977</v>
      </c>
      <c r="AO2410" t="s">
        <v>10978</v>
      </c>
    </row>
    <row r="2411" spans="39:41" ht="12" customHeight="1" x14ac:dyDescent="0.2">
      <c r="AM2411" t="str">
        <f t="shared" si="37"/>
        <v>Campeche [MXCPE]</v>
      </c>
      <c r="AN2411" t="s">
        <v>22324</v>
      </c>
      <c r="AO2411" t="s">
        <v>22325</v>
      </c>
    </row>
    <row r="2412" spans="39:41" ht="12" customHeight="1" x14ac:dyDescent="0.2">
      <c r="AM2412" t="str">
        <f t="shared" si="37"/>
        <v>Camperdown [AUCMP]</v>
      </c>
      <c r="AN2412" t="s">
        <v>1517</v>
      </c>
      <c r="AO2412" t="s">
        <v>1518</v>
      </c>
    </row>
    <row r="2413" spans="39:41" ht="12" customHeight="1" x14ac:dyDescent="0.2">
      <c r="AM2413" t="str">
        <f t="shared" si="37"/>
        <v>Camperduin [NLCPD]</v>
      </c>
      <c r="AN2413" t="s">
        <v>23106</v>
      </c>
      <c r="AO2413" t="s">
        <v>23107</v>
      </c>
    </row>
    <row r="2414" spans="39:41" ht="12" customHeight="1" x14ac:dyDescent="0.2">
      <c r="AM2414" t="str">
        <f t="shared" si="37"/>
        <v>Campllong [ESCGG]</v>
      </c>
      <c r="AN2414" t="s">
        <v>9684</v>
      </c>
      <c r="AO2414" t="s">
        <v>9685</v>
      </c>
    </row>
    <row r="2415" spans="39:41" ht="12" customHeight="1" x14ac:dyDescent="0.2">
      <c r="AM2415" t="str">
        <f t="shared" si="37"/>
        <v>Camplong-d'Aude [FRZXC]</v>
      </c>
      <c r="AN2415" t="s">
        <v>10979</v>
      </c>
      <c r="AO2415" t="s">
        <v>10980</v>
      </c>
    </row>
    <row r="2416" spans="39:41" ht="12" customHeight="1" x14ac:dyDescent="0.2">
      <c r="AM2416" t="str">
        <f t="shared" si="37"/>
        <v>Campoamor [ESCPA]</v>
      </c>
      <c r="AN2416" t="s">
        <v>9686</v>
      </c>
      <c r="AO2416" t="s">
        <v>9687</v>
      </c>
    </row>
    <row r="2417" spans="39:41" ht="12" customHeight="1" x14ac:dyDescent="0.2">
      <c r="AM2417" t="str">
        <f t="shared" si="37"/>
        <v>Campobello [CACPB]</v>
      </c>
      <c r="AN2417" t="s">
        <v>3670</v>
      </c>
      <c r="AO2417" t="s">
        <v>3671</v>
      </c>
    </row>
    <row r="2418" spans="39:41" ht="12" customHeight="1" x14ac:dyDescent="0.2">
      <c r="AM2418" t="str">
        <f t="shared" si="37"/>
        <v>Campouriez [FRLKJ]</v>
      </c>
      <c r="AN2418" t="s">
        <v>10981</v>
      </c>
      <c r="AO2418" t="s">
        <v>10982</v>
      </c>
    </row>
    <row r="2419" spans="39:41" ht="12" customHeight="1" x14ac:dyDescent="0.2">
      <c r="AM2419" t="str">
        <f t="shared" si="37"/>
        <v>Camranh [VNCRB]</v>
      </c>
      <c r="AN2419" t="s">
        <v>32330</v>
      </c>
      <c r="AO2419" t="s">
        <v>32331</v>
      </c>
    </row>
    <row r="2420" spans="39:41" ht="12" customHeight="1" x14ac:dyDescent="0.2">
      <c r="AM2420" t="str">
        <f t="shared" si="37"/>
        <v>Camusnagaul [GBCAU]</v>
      </c>
      <c r="AN2420" t="s">
        <v>12744</v>
      </c>
      <c r="AO2420" t="s">
        <v>12745</v>
      </c>
    </row>
    <row r="2421" spans="39:41" ht="12" customHeight="1" x14ac:dyDescent="0.2">
      <c r="AM2421" t="str">
        <f t="shared" si="37"/>
        <v>Can Tho [VNVCA]</v>
      </c>
      <c r="AN2421" t="s">
        <v>32332</v>
      </c>
      <c r="AO2421" t="s">
        <v>32333</v>
      </c>
    </row>
    <row r="2422" spans="39:41" ht="12" customHeight="1" x14ac:dyDescent="0.2">
      <c r="AM2422" t="str">
        <f t="shared" si="37"/>
        <v>Canaan [USCUM]</v>
      </c>
      <c r="AN2422" t="s">
        <v>29155</v>
      </c>
      <c r="AO2422" t="s">
        <v>29156</v>
      </c>
    </row>
    <row r="2423" spans="39:41" ht="12" customHeight="1" x14ac:dyDescent="0.2">
      <c r="AM2423" t="str">
        <f t="shared" si="37"/>
        <v>Canakkale [TRCKZ]</v>
      </c>
      <c r="AN2423" t="s">
        <v>28437</v>
      </c>
      <c r="AO2423" t="s">
        <v>36567</v>
      </c>
    </row>
    <row r="2424" spans="39:41" ht="12" customHeight="1" x14ac:dyDescent="0.2">
      <c r="AM2424" t="str">
        <f t="shared" si="37"/>
        <v>Canaport [CACPT]</v>
      </c>
      <c r="AN2424" t="s">
        <v>3672</v>
      </c>
      <c r="AO2424" t="s">
        <v>3673</v>
      </c>
    </row>
    <row r="2425" spans="39:41" ht="12" customHeight="1" x14ac:dyDescent="0.2">
      <c r="AM2425" t="str">
        <f t="shared" si="37"/>
        <v>Canaybon/Catbalogan [PHCNY]</v>
      </c>
      <c r="AN2425" t="s">
        <v>25668</v>
      </c>
      <c r="AO2425" t="s">
        <v>25669</v>
      </c>
    </row>
    <row r="2426" spans="39:41" ht="12" customHeight="1" x14ac:dyDescent="0.2">
      <c r="AM2426" t="str">
        <f t="shared" si="37"/>
        <v>Canazas [PACZZ]</v>
      </c>
      <c r="AN2426" t="s">
        <v>25182</v>
      </c>
      <c r="AO2426" t="s">
        <v>36354</v>
      </c>
    </row>
    <row r="2427" spans="39:41" ht="12" customHeight="1" x14ac:dyDescent="0.2">
      <c r="AM2427" t="str">
        <f t="shared" si="37"/>
        <v>Canberra [AUCBR]</v>
      </c>
      <c r="AN2427" t="s">
        <v>1519</v>
      </c>
      <c r="AO2427" t="s">
        <v>1520</v>
      </c>
    </row>
    <row r="2428" spans="39:41" ht="12" customHeight="1" x14ac:dyDescent="0.2">
      <c r="AM2428" t="str">
        <f t="shared" si="37"/>
        <v>Candelaria [ARCDL]</v>
      </c>
      <c r="AN2428" t="s">
        <v>995</v>
      </c>
      <c r="AO2428" t="s">
        <v>996</v>
      </c>
    </row>
    <row r="2429" spans="39:41" ht="12" customHeight="1" x14ac:dyDescent="0.2">
      <c r="AM2429" t="str">
        <f t="shared" si="37"/>
        <v>Candler [USCDF]</v>
      </c>
      <c r="AN2429" t="s">
        <v>29157</v>
      </c>
      <c r="AO2429" t="s">
        <v>29158</v>
      </c>
    </row>
    <row r="2430" spans="39:41" ht="12" customHeight="1" x14ac:dyDescent="0.2">
      <c r="AM2430" t="str">
        <f t="shared" ref="AM2430:AM2493" si="38">AO2430 &amp; " [" &amp; AN2430 &amp; "]"</f>
        <v>Caney [USCUQ]</v>
      </c>
      <c r="AN2430" t="s">
        <v>29159</v>
      </c>
      <c r="AO2430" t="s">
        <v>29160</v>
      </c>
    </row>
    <row r="2431" spans="39:41" ht="12" customHeight="1" x14ac:dyDescent="0.2">
      <c r="AM2431" t="str">
        <f t="shared" si="38"/>
        <v>Cangshan [CNGSA]</v>
      </c>
      <c r="AN2431" t="s">
        <v>5088</v>
      </c>
      <c r="AO2431" t="s">
        <v>5089</v>
      </c>
    </row>
    <row r="2432" spans="39:41" ht="12" customHeight="1" x14ac:dyDescent="0.2">
      <c r="AM2432" t="str">
        <f t="shared" si="38"/>
        <v>Cangwu [CNCGW]</v>
      </c>
      <c r="AN2432" t="s">
        <v>5090</v>
      </c>
      <c r="AO2432" t="s">
        <v>5091</v>
      </c>
    </row>
    <row r="2433" spans="39:41" ht="12" customHeight="1" x14ac:dyDescent="0.2">
      <c r="AM2433" t="str">
        <f t="shared" si="38"/>
        <v>Canical [PTCNL]</v>
      </c>
      <c r="AN2433" t="s">
        <v>26476</v>
      </c>
      <c r="AO2433" t="s">
        <v>36383</v>
      </c>
    </row>
    <row r="2434" spans="39:41" ht="12" customHeight="1" x14ac:dyDescent="0.2">
      <c r="AM2434" t="str">
        <f t="shared" si="38"/>
        <v>Canjaja [GWCJA]</v>
      </c>
      <c r="AN2434" t="s">
        <v>15627</v>
      </c>
      <c r="AO2434" t="s">
        <v>15628</v>
      </c>
    </row>
    <row r="2435" spans="39:41" ht="12" customHeight="1" x14ac:dyDescent="0.2">
      <c r="AM2435" t="str">
        <f t="shared" si="38"/>
        <v>Canna, Inner Hebrides [GBCNA]</v>
      </c>
      <c r="AN2435" t="s">
        <v>12746</v>
      </c>
      <c r="AO2435" t="s">
        <v>12747</v>
      </c>
    </row>
    <row r="2436" spans="39:41" ht="12" customHeight="1" x14ac:dyDescent="0.2">
      <c r="AM2436" t="str">
        <f t="shared" si="38"/>
        <v>Cannanore [INCNN]</v>
      </c>
      <c r="AN2436" t="s">
        <v>17076</v>
      </c>
      <c r="AO2436" t="s">
        <v>17077</v>
      </c>
    </row>
    <row r="2437" spans="39:41" ht="12" customHeight="1" x14ac:dyDescent="0.2">
      <c r="AM2437" t="str">
        <f t="shared" si="38"/>
        <v>Canne (Kanne) [BEKAN]</v>
      </c>
      <c r="AN2437" t="s">
        <v>2346</v>
      </c>
      <c r="AO2437" t="s">
        <v>2347</v>
      </c>
    </row>
    <row r="2438" spans="39:41" ht="12" customHeight="1" x14ac:dyDescent="0.2">
      <c r="AM2438" t="str">
        <f t="shared" si="38"/>
        <v>Cannelton [USCUU]</v>
      </c>
      <c r="AN2438" t="s">
        <v>29161</v>
      </c>
      <c r="AO2438" t="s">
        <v>29162</v>
      </c>
    </row>
    <row r="2439" spans="39:41" ht="12" customHeight="1" x14ac:dyDescent="0.2">
      <c r="AM2439" t="str">
        <f t="shared" si="38"/>
        <v>Cannes [FRCEQ]</v>
      </c>
      <c r="AN2439" t="s">
        <v>10983</v>
      </c>
      <c r="AO2439" t="s">
        <v>10984</v>
      </c>
    </row>
    <row r="2440" spans="39:41" ht="12" customHeight="1" x14ac:dyDescent="0.2">
      <c r="AM2440" t="str">
        <f t="shared" si="38"/>
        <v>Cannigione [ITNIG]</v>
      </c>
      <c r="AN2440" t="s">
        <v>17856</v>
      </c>
      <c r="AO2440" t="s">
        <v>17857</v>
      </c>
    </row>
    <row r="2441" spans="39:41" ht="12" customHeight="1" x14ac:dyDescent="0.2">
      <c r="AM2441" t="str">
        <f t="shared" si="38"/>
        <v>Canouan Island [VCCAN]</v>
      </c>
      <c r="AN2441" t="s">
        <v>32135</v>
      </c>
      <c r="AO2441" t="s">
        <v>32136</v>
      </c>
    </row>
    <row r="2442" spans="39:41" ht="12" customHeight="1" x14ac:dyDescent="0.2">
      <c r="AM2442" t="str">
        <f t="shared" si="38"/>
        <v>Canso [CACAH]</v>
      </c>
      <c r="AN2442" t="s">
        <v>3674</v>
      </c>
      <c r="AO2442" t="s">
        <v>3675</v>
      </c>
    </row>
    <row r="2443" spans="39:41" ht="12" customHeight="1" x14ac:dyDescent="0.2">
      <c r="AM2443" t="str">
        <f t="shared" si="38"/>
        <v>Cantarell [MXCNT]</v>
      </c>
      <c r="AN2443" t="s">
        <v>22326</v>
      </c>
      <c r="AO2443" t="s">
        <v>22327</v>
      </c>
    </row>
    <row r="2444" spans="39:41" ht="12" customHeight="1" x14ac:dyDescent="0.2">
      <c r="AM2444" t="str">
        <f t="shared" si="38"/>
        <v>Cantilan/Surigao [PHCNT]</v>
      </c>
      <c r="AN2444" t="s">
        <v>25670</v>
      </c>
      <c r="AO2444" t="s">
        <v>25671</v>
      </c>
    </row>
    <row r="2445" spans="39:41" ht="12" customHeight="1" x14ac:dyDescent="0.2">
      <c r="AM2445" t="str">
        <f t="shared" si="38"/>
        <v>Cantois [FRCCK]</v>
      </c>
      <c r="AN2445" t="s">
        <v>10985</v>
      </c>
      <c r="AO2445" t="s">
        <v>10986</v>
      </c>
    </row>
    <row r="2446" spans="39:41" ht="12" customHeight="1" x14ac:dyDescent="0.2">
      <c r="AM2446" t="str">
        <f t="shared" si="38"/>
        <v>Canvey Island [GBCAN]</v>
      </c>
      <c r="AN2446" t="s">
        <v>12748</v>
      </c>
      <c r="AO2446" t="s">
        <v>12749</v>
      </c>
    </row>
    <row r="2447" spans="39:41" ht="12" customHeight="1" x14ac:dyDescent="0.2">
      <c r="AM2447" t="str">
        <f t="shared" si="38"/>
        <v>Caofeidian Pt [CNCFD]</v>
      </c>
      <c r="AN2447" t="s">
        <v>5092</v>
      </c>
      <c r="AO2447" t="s">
        <v>5093</v>
      </c>
    </row>
    <row r="2448" spans="39:41" ht="12" customHeight="1" x14ac:dyDescent="0.2">
      <c r="AM2448" t="str">
        <f t="shared" si="38"/>
        <v>Caojing [CNCJG]</v>
      </c>
      <c r="AN2448" t="s">
        <v>5094</v>
      </c>
      <c r="AO2448" t="s">
        <v>5095</v>
      </c>
    </row>
    <row r="2449" spans="39:41" ht="12" customHeight="1" x14ac:dyDescent="0.2">
      <c r="AM2449" t="str">
        <f t="shared" si="38"/>
        <v>Caorle [ITAOR]</v>
      </c>
      <c r="AN2449" t="s">
        <v>17858</v>
      </c>
      <c r="AO2449" t="s">
        <v>17859</v>
      </c>
    </row>
    <row r="2450" spans="39:41" ht="12" customHeight="1" x14ac:dyDescent="0.2">
      <c r="AM2450" t="str">
        <f t="shared" si="38"/>
        <v>Cap Lopez [GACLZ]</v>
      </c>
      <c r="AN2450" t="s">
        <v>12221</v>
      </c>
      <c r="AO2450" t="s">
        <v>12222</v>
      </c>
    </row>
    <row r="2451" spans="39:41" ht="12" customHeight="1" x14ac:dyDescent="0.2">
      <c r="AM2451" t="str">
        <f t="shared" si="38"/>
        <v>Cap Pertusato [FRC2P]</v>
      </c>
      <c r="AN2451" t="s">
        <v>10987</v>
      </c>
      <c r="AO2451" t="s">
        <v>10988</v>
      </c>
    </row>
    <row r="2452" spans="39:41" ht="12" customHeight="1" x14ac:dyDescent="0.2">
      <c r="AM2452" t="str">
        <f t="shared" si="38"/>
        <v>Capalaba [AUCAP]</v>
      </c>
      <c r="AN2452" t="s">
        <v>1521</v>
      </c>
      <c r="AO2452" t="s">
        <v>1522</v>
      </c>
    </row>
    <row r="2453" spans="39:41" ht="12" customHeight="1" x14ac:dyDescent="0.2">
      <c r="AM2453" t="str">
        <f t="shared" si="38"/>
        <v>Capalonga/Siain [PHCPL]</v>
      </c>
      <c r="AN2453" t="s">
        <v>25672</v>
      </c>
      <c r="AO2453" t="s">
        <v>25673</v>
      </c>
    </row>
    <row r="2454" spans="39:41" ht="12" customHeight="1" x14ac:dyDescent="0.2">
      <c r="AM2454" t="str">
        <f t="shared" si="38"/>
        <v>Cap-aux-Meules [CACMS]</v>
      </c>
      <c r="AN2454" t="s">
        <v>36835</v>
      </c>
      <c r="AO2454" t="s">
        <v>36836</v>
      </c>
    </row>
    <row r="2455" spans="39:41" ht="12" customHeight="1" x14ac:dyDescent="0.2">
      <c r="AM2455" t="str">
        <f t="shared" si="38"/>
        <v>Capbreton [FRCBT]</v>
      </c>
      <c r="AN2455" t="s">
        <v>10989</v>
      </c>
      <c r="AO2455" t="s">
        <v>10990</v>
      </c>
    </row>
    <row r="2456" spans="39:41" ht="12" customHeight="1" x14ac:dyDescent="0.2">
      <c r="AM2456" t="str">
        <f t="shared" si="38"/>
        <v>Cap-Chat [CACAC]</v>
      </c>
      <c r="AN2456" t="s">
        <v>36653</v>
      </c>
      <c r="AO2456" t="s">
        <v>36654</v>
      </c>
    </row>
    <row r="2457" spans="39:41" ht="12" customHeight="1" x14ac:dyDescent="0.2">
      <c r="AM2457" t="str">
        <f t="shared" si="38"/>
        <v>Cape Blanco [USPB7]</v>
      </c>
      <c r="AN2457" t="s">
        <v>29163</v>
      </c>
      <c r="AO2457" t="s">
        <v>29164</v>
      </c>
    </row>
    <row r="2458" spans="39:41" ht="12" customHeight="1" x14ac:dyDescent="0.2">
      <c r="AM2458" t="str">
        <f t="shared" si="38"/>
        <v>Cape Carbonara [ITCCB]</v>
      </c>
      <c r="AN2458" t="s">
        <v>17860</v>
      </c>
      <c r="AO2458" t="s">
        <v>17861</v>
      </c>
    </row>
    <row r="2459" spans="39:41" ht="12" customHeight="1" x14ac:dyDescent="0.2">
      <c r="AM2459" t="str">
        <f t="shared" si="38"/>
        <v>Cape Carteret [USTPC]</v>
      </c>
      <c r="AN2459" t="s">
        <v>29165</v>
      </c>
      <c r="AO2459" t="s">
        <v>29166</v>
      </c>
    </row>
    <row r="2460" spans="39:41" ht="12" customHeight="1" x14ac:dyDescent="0.2">
      <c r="AM2460" t="str">
        <f t="shared" si="38"/>
        <v>Cape Charles [USCCJ]</v>
      </c>
      <c r="AN2460" t="s">
        <v>29167</v>
      </c>
      <c r="AO2460" t="s">
        <v>29168</v>
      </c>
    </row>
    <row r="2461" spans="39:41" ht="12" customHeight="1" x14ac:dyDescent="0.2">
      <c r="AM2461" t="str">
        <f t="shared" si="38"/>
        <v>Cape Coast [GHCCT]</v>
      </c>
      <c r="AN2461" t="s">
        <v>14956</v>
      </c>
      <c r="AO2461" t="s">
        <v>14957</v>
      </c>
    </row>
    <row r="2462" spans="39:41" ht="12" customHeight="1" x14ac:dyDescent="0.2">
      <c r="AM2462" t="str">
        <f t="shared" si="38"/>
        <v>Cape Coral [USCC2]</v>
      </c>
      <c r="AN2462" t="s">
        <v>29169</v>
      </c>
      <c r="AO2462" t="s">
        <v>29170</v>
      </c>
    </row>
    <row r="2463" spans="39:41" ht="12" customHeight="1" x14ac:dyDescent="0.2">
      <c r="AM2463" t="str">
        <f t="shared" si="38"/>
        <v>Cape Cornwall [GBCCL]</v>
      </c>
      <c r="AN2463" t="s">
        <v>12750</v>
      </c>
      <c r="AO2463" t="s">
        <v>12751</v>
      </c>
    </row>
    <row r="2464" spans="39:41" ht="12" customHeight="1" x14ac:dyDescent="0.2">
      <c r="AM2464" t="str">
        <f t="shared" si="38"/>
        <v>Cape Cuvier [AUCCU]</v>
      </c>
      <c r="AN2464" t="s">
        <v>1523</v>
      </c>
      <c r="AO2464" t="s">
        <v>1524</v>
      </c>
    </row>
    <row r="2465" spans="39:41" ht="12" customHeight="1" x14ac:dyDescent="0.2">
      <c r="AM2465" t="str">
        <f t="shared" si="38"/>
        <v>Cape Don [AUDON]</v>
      </c>
      <c r="AN2465" t="s">
        <v>1525</v>
      </c>
      <c r="AO2465" t="s">
        <v>1526</v>
      </c>
    </row>
    <row r="2466" spans="39:41" ht="12" customHeight="1" x14ac:dyDescent="0.2">
      <c r="AM2466" t="str">
        <f t="shared" si="38"/>
        <v>Cape Dorset [CACDO]</v>
      </c>
      <c r="AN2466" t="s">
        <v>3676</v>
      </c>
      <c r="AO2466" t="s">
        <v>3677</v>
      </c>
    </row>
    <row r="2467" spans="39:41" ht="12" customHeight="1" x14ac:dyDescent="0.2">
      <c r="AM2467" t="str">
        <f t="shared" si="38"/>
        <v>Cape Eleuthera [BSCEL]</v>
      </c>
      <c r="AN2467" t="s">
        <v>3419</v>
      </c>
      <c r="AO2467" t="s">
        <v>3420</v>
      </c>
    </row>
    <row r="2468" spans="39:41" ht="12" customHeight="1" x14ac:dyDescent="0.2">
      <c r="AM2468" t="str">
        <f t="shared" si="38"/>
        <v>Cape Flattery [AUCQP]</v>
      </c>
      <c r="AN2468" t="s">
        <v>1527</v>
      </c>
      <c r="AO2468" t="s">
        <v>1528</v>
      </c>
    </row>
    <row r="2469" spans="39:41" ht="12" customHeight="1" x14ac:dyDescent="0.2">
      <c r="AM2469" t="str">
        <f t="shared" si="38"/>
        <v>Cape Good Hope [XZCGH]</v>
      </c>
      <c r="AN2469" t="s">
        <v>36616</v>
      </c>
      <c r="AO2469" t="s">
        <v>36617</v>
      </c>
    </row>
    <row r="2470" spans="39:41" ht="12" customHeight="1" x14ac:dyDescent="0.2">
      <c r="AM2470" t="str">
        <f t="shared" si="38"/>
        <v>Cape Henry [USXPY]</v>
      </c>
      <c r="AN2470" t="s">
        <v>29171</v>
      </c>
      <c r="AO2470" t="s">
        <v>29172</v>
      </c>
    </row>
    <row r="2471" spans="39:41" ht="12" customHeight="1" x14ac:dyDescent="0.2">
      <c r="AM2471" t="str">
        <f t="shared" si="38"/>
        <v>Cape Horn [XZCAH]</v>
      </c>
      <c r="AN2471" t="s">
        <v>36614</v>
      </c>
      <c r="AO2471" t="s">
        <v>36615</v>
      </c>
    </row>
    <row r="2472" spans="39:41" ht="12" customHeight="1" x14ac:dyDescent="0.2">
      <c r="AM2472" t="str">
        <f t="shared" si="38"/>
        <v>Cape Lambert [AUCLT]</v>
      </c>
      <c r="AN2472" t="s">
        <v>1529</v>
      </c>
      <c r="AO2472" t="s">
        <v>1530</v>
      </c>
    </row>
    <row r="2473" spans="39:41" ht="12" customHeight="1" x14ac:dyDescent="0.2">
      <c r="AM2473" t="str">
        <f t="shared" si="38"/>
        <v>Cape Leeuwin [AUCLN]</v>
      </c>
      <c r="AN2473" t="s">
        <v>1531</v>
      </c>
      <c r="AO2473" t="s">
        <v>1532</v>
      </c>
    </row>
    <row r="2474" spans="39:41" ht="12" customHeight="1" x14ac:dyDescent="0.2">
      <c r="AM2474" t="str">
        <f t="shared" si="38"/>
        <v>Cape May [USCGF]</v>
      </c>
      <c r="AN2474" t="s">
        <v>29173</v>
      </c>
      <c r="AO2474" t="s">
        <v>29174</v>
      </c>
    </row>
    <row r="2475" spans="39:41" ht="12" customHeight="1" x14ac:dyDescent="0.2">
      <c r="AM2475" t="str">
        <f t="shared" si="38"/>
        <v>Cape Mount [LRCMT]</v>
      </c>
      <c r="AN2475" t="s">
        <v>21861</v>
      </c>
      <c r="AO2475" t="s">
        <v>21862</v>
      </c>
    </row>
    <row r="2476" spans="39:41" ht="12" customHeight="1" x14ac:dyDescent="0.2">
      <c r="AM2476" t="str">
        <f t="shared" si="38"/>
        <v>Cape Palmas [LRCPA]</v>
      </c>
      <c r="AN2476" t="s">
        <v>21863</v>
      </c>
      <c r="AO2476" t="s">
        <v>21864</v>
      </c>
    </row>
    <row r="2477" spans="39:41" ht="12" customHeight="1" x14ac:dyDescent="0.2">
      <c r="AM2477" t="str">
        <f t="shared" si="38"/>
        <v>Cape Preston [AUCPN]</v>
      </c>
      <c r="AN2477" t="s">
        <v>1533</v>
      </c>
      <c r="AO2477" t="s">
        <v>1534</v>
      </c>
    </row>
    <row r="2478" spans="39:41" ht="12" customHeight="1" x14ac:dyDescent="0.2">
      <c r="AM2478" t="str">
        <f t="shared" si="38"/>
        <v>Cape Ray [CACPY]</v>
      </c>
      <c r="AN2478" t="s">
        <v>3678</v>
      </c>
      <c r="AO2478" t="s">
        <v>3679</v>
      </c>
    </row>
    <row r="2479" spans="39:41" ht="12" customHeight="1" x14ac:dyDescent="0.2">
      <c r="AM2479" t="str">
        <f t="shared" si="38"/>
        <v>Cape Sago [IDCSA]</v>
      </c>
      <c r="AN2479" t="s">
        <v>16227</v>
      </c>
      <c r="AO2479" t="s">
        <v>16228</v>
      </c>
    </row>
    <row r="2480" spans="39:41" ht="12" customHeight="1" x14ac:dyDescent="0.2">
      <c r="AM2480" t="str">
        <f t="shared" si="38"/>
        <v>Cape Town [ZACPT]</v>
      </c>
      <c r="AN2480" t="s">
        <v>32673</v>
      </c>
      <c r="AO2480" t="s">
        <v>32674</v>
      </c>
    </row>
    <row r="2481" spans="39:41" ht="12" customHeight="1" x14ac:dyDescent="0.2">
      <c r="AM2481" t="str">
        <f t="shared" si="38"/>
        <v>Cape Vincent [USCVI]</v>
      </c>
      <c r="AN2481" t="s">
        <v>29175</v>
      </c>
      <c r="AO2481" t="s">
        <v>29176</v>
      </c>
    </row>
    <row r="2482" spans="39:41" ht="12" customHeight="1" x14ac:dyDescent="0.2">
      <c r="AM2482" t="str">
        <f t="shared" si="38"/>
        <v>Capellades [ESCES]</v>
      </c>
      <c r="AN2482" t="s">
        <v>9688</v>
      </c>
      <c r="AO2482" t="s">
        <v>9689</v>
      </c>
    </row>
    <row r="2483" spans="39:41" ht="12" customHeight="1" x14ac:dyDescent="0.2">
      <c r="AM2483" t="str">
        <f t="shared" si="38"/>
        <v>Capelle aan den IJssel [NLCPI]</v>
      </c>
      <c r="AN2483" t="s">
        <v>23108</v>
      </c>
      <c r="AO2483" t="s">
        <v>23109</v>
      </c>
    </row>
    <row r="2484" spans="39:41" ht="12" customHeight="1" x14ac:dyDescent="0.2">
      <c r="AM2484" t="str">
        <f t="shared" si="38"/>
        <v>Capelo [PTCPL]</v>
      </c>
      <c r="AN2484" t="s">
        <v>26477</v>
      </c>
      <c r="AO2484" t="s">
        <v>26478</v>
      </c>
    </row>
    <row r="2485" spans="39:41" ht="12" customHeight="1" x14ac:dyDescent="0.2">
      <c r="AM2485" t="str">
        <f t="shared" si="38"/>
        <v>Capendu [FRCDX]</v>
      </c>
      <c r="AN2485" t="s">
        <v>10991</v>
      </c>
      <c r="AO2485" t="s">
        <v>10992</v>
      </c>
    </row>
    <row r="2486" spans="39:41" ht="12" customHeight="1" x14ac:dyDescent="0.2">
      <c r="AM2486" t="str">
        <f t="shared" si="38"/>
        <v>Capesterre-Belle-Eau [GPCBE]</v>
      </c>
      <c r="AN2486" t="s">
        <v>15049</v>
      </c>
      <c r="AO2486" t="s">
        <v>15050</v>
      </c>
    </row>
    <row r="2487" spans="39:41" ht="12" customHeight="1" x14ac:dyDescent="0.2">
      <c r="AM2487" t="str">
        <f t="shared" si="38"/>
        <v>Cap-Haitien [HTCAP]</v>
      </c>
      <c r="AN2487" t="s">
        <v>16026</v>
      </c>
      <c r="AO2487" t="s">
        <v>36002</v>
      </c>
    </row>
    <row r="2488" spans="39:41" ht="12" customHeight="1" x14ac:dyDescent="0.2">
      <c r="AM2488" t="str">
        <f t="shared" si="38"/>
        <v>Capinghem [FRCP3]</v>
      </c>
      <c r="AN2488" t="s">
        <v>10993</v>
      </c>
      <c r="AO2488" t="s">
        <v>10994</v>
      </c>
    </row>
    <row r="2489" spans="39:41" ht="12" customHeight="1" x14ac:dyDescent="0.2">
      <c r="AM2489" t="str">
        <f t="shared" si="38"/>
        <v>Capitan [USCAP]</v>
      </c>
      <c r="AN2489" t="s">
        <v>29177</v>
      </c>
      <c r="AO2489" t="s">
        <v>29178</v>
      </c>
    </row>
    <row r="2490" spans="39:41" ht="12" customHeight="1" x14ac:dyDescent="0.2">
      <c r="AM2490" t="str">
        <f t="shared" si="38"/>
        <v>Capitola [USCGP]</v>
      </c>
      <c r="AN2490" t="s">
        <v>29179</v>
      </c>
      <c r="AO2490" t="s">
        <v>29180</v>
      </c>
    </row>
    <row r="2491" spans="39:41" ht="12" customHeight="1" x14ac:dyDescent="0.2">
      <c r="AM2491" t="str">
        <f t="shared" si="38"/>
        <v>Capivari [BRCPI]</v>
      </c>
      <c r="AN2491" t="s">
        <v>3287</v>
      </c>
      <c r="AO2491" t="s">
        <v>3288</v>
      </c>
    </row>
    <row r="2492" spans="39:41" ht="12" customHeight="1" x14ac:dyDescent="0.2">
      <c r="AM2492" t="str">
        <f t="shared" si="38"/>
        <v>Caplong [FRCQQ]</v>
      </c>
      <c r="AN2492" t="s">
        <v>10995</v>
      </c>
      <c r="AO2492" t="s">
        <v>10996</v>
      </c>
    </row>
    <row r="2493" spans="39:41" ht="12" customHeight="1" x14ac:dyDescent="0.2">
      <c r="AM2493" t="str">
        <f t="shared" si="38"/>
        <v>Capo d'Orlando [ITCOQ]</v>
      </c>
      <c r="AN2493" t="s">
        <v>17862</v>
      </c>
      <c r="AO2493" t="s">
        <v>17863</v>
      </c>
    </row>
    <row r="2494" spans="39:41" ht="12" customHeight="1" x14ac:dyDescent="0.2">
      <c r="AM2494" t="str">
        <f t="shared" ref="AM2494:AM2557" si="39">AO2494 &amp; " [" &amp; AN2494 &amp; "]"</f>
        <v>Capoocan [PHCPC]</v>
      </c>
      <c r="AN2494" t="s">
        <v>25674</v>
      </c>
      <c r="AO2494" t="s">
        <v>25675</v>
      </c>
    </row>
    <row r="2495" spans="39:41" ht="12" customHeight="1" x14ac:dyDescent="0.2">
      <c r="AM2495" t="str">
        <f t="shared" si="39"/>
        <v>Capraia [ITCPA]</v>
      </c>
      <c r="AN2495" t="s">
        <v>17864</v>
      </c>
      <c r="AO2495" t="s">
        <v>17865</v>
      </c>
    </row>
    <row r="2496" spans="39:41" ht="12" customHeight="1" x14ac:dyDescent="0.2">
      <c r="AM2496" t="str">
        <f t="shared" si="39"/>
        <v>Capri [ITPRJ]</v>
      </c>
      <c r="AN2496" t="s">
        <v>17866</v>
      </c>
      <c r="AO2496" t="s">
        <v>17867</v>
      </c>
    </row>
    <row r="2497" spans="39:41" ht="12" customHeight="1" x14ac:dyDescent="0.2">
      <c r="AM2497" t="str">
        <f t="shared" si="39"/>
        <v>Cap-St-Ignace [CACSI]</v>
      </c>
      <c r="AN2497" t="s">
        <v>3680</v>
      </c>
      <c r="AO2497" t="s">
        <v>3681</v>
      </c>
    </row>
    <row r="2498" spans="39:41" ht="12" customHeight="1" x14ac:dyDescent="0.2">
      <c r="AM2498" t="str">
        <f t="shared" si="39"/>
        <v>Captain Field [GBCPF]</v>
      </c>
      <c r="AN2498" t="s">
        <v>12752</v>
      </c>
      <c r="AO2498" t="s">
        <v>12753</v>
      </c>
    </row>
    <row r="2499" spans="39:41" ht="12" customHeight="1" x14ac:dyDescent="0.2">
      <c r="AM2499" t="str">
        <f t="shared" si="39"/>
        <v>Captiva [US4CP]</v>
      </c>
      <c r="AN2499" t="s">
        <v>29181</v>
      </c>
      <c r="AO2499" t="s">
        <v>29182</v>
      </c>
    </row>
    <row r="2500" spans="39:41" ht="12" customHeight="1" x14ac:dyDescent="0.2">
      <c r="AM2500" t="str">
        <f t="shared" si="39"/>
        <v>Capulo [AOCPO]</v>
      </c>
      <c r="AN2500" t="s">
        <v>837</v>
      </c>
      <c r="AO2500" t="s">
        <v>838</v>
      </c>
    </row>
    <row r="2501" spans="39:41" ht="12" customHeight="1" x14ac:dyDescent="0.2">
      <c r="AM2501" t="str">
        <f t="shared" si="39"/>
        <v>Caracas Baai [CWCRB]</v>
      </c>
      <c r="AN2501" t="s">
        <v>6743</v>
      </c>
      <c r="AO2501" t="s">
        <v>6744</v>
      </c>
    </row>
    <row r="2502" spans="39:41" ht="12" customHeight="1" x14ac:dyDescent="0.2">
      <c r="AM2502" t="str">
        <f t="shared" si="39"/>
        <v>Caracol [HTCRC]</v>
      </c>
      <c r="AN2502" t="s">
        <v>16027</v>
      </c>
      <c r="AO2502" t="s">
        <v>16028</v>
      </c>
    </row>
    <row r="2503" spans="39:41" ht="12" customHeight="1" x14ac:dyDescent="0.2">
      <c r="AM2503" t="str">
        <f t="shared" si="39"/>
        <v>Caraga/Mati [PHCRG]</v>
      </c>
      <c r="AN2503" t="s">
        <v>25676</v>
      </c>
      <c r="AO2503" t="s">
        <v>25677</v>
      </c>
    </row>
    <row r="2504" spans="39:41" ht="12" customHeight="1" x14ac:dyDescent="0.2">
      <c r="AM2504" t="str">
        <f t="shared" si="39"/>
        <v>Carahue [CLCRH]</v>
      </c>
      <c r="AN2504" t="s">
        <v>4840</v>
      </c>
      <c r="AO2504" t="s">
        <v>4841</v>
      </c>
    </row>
    <row r="2505" spans="39:41" ht="12" customHeight="1" x14ac:dyDescent="0.2">
      <c r="AM2505" t="str">
        <f t="shared" si="39"/>
        <v>Caraquet [CACAQ]</v>
      </c>
      <c r="AN2505" t="s">
        <v>3682</v>
      </c>
      <c r="AO2505" t="s">
        <v>3683</v>
      </c>
    </row>
    <row r="2506" spans="39:41" ht="12" customHeight="1" x14ac:dyDescent="0.2">
      <c r="AM2506" t="str">
        <f t="shared" si="39"/>
        <v>Carberry [CACBY]</v>
      </c>
      <c r="AN2506" t="s">
        <v>3684</v>
      </c>
      <c r="AO2506" t="s">
        <v>3685</v>
      </c>
    </row>
    <row r="2507" spans="39:41" ht="12" customHeight="1" x14ac:dyDescent="0.2">
      <c r="AM2507" t="str">
        <f t="shared" si="39"/>
        <v>Carbonear [CACRB]</v>
      </c>
      <c r="AN2507" t="s">
        <v>3686</v>
      </c>
      <c r="AO2507" t="s">
        <v>3687</v>
      </c>
    </row>
    <row r="2508" spans="39:41" ht="12" customHeight="1" x14ac:dyDescent="0.2">
      <c r="AM2508" t="str">
        <f t="shared" si="39"/>
        <v>Carboneras [ESCRS]</v>
      </c>
      <c r="AN2508" t="s">
        <v>9690</v>
      </c>
      <c r="AO2508" t="s">
        <v>9691</v>
      </c>
    </row>
    <row r="2509" spans="39:41" ht="12" customHeight="1" x14ac:dyDescent="0.2">
      <c r="AM2509" t="str">
        <f t="shared" si="39"/>
        <v>Carboor [AUCBO]</v>
      </c>
      <c r="AN2509" t="s">
        <v>1535</v>
      </c>
      <c r="AO2509" t="s">
        <v>1536</v>
      </c>
    </row>
    <row r="2510" spans="39:41" ht="12" customHeight="1" x14ac:dyDescent="0.2">
      <c r="AM2510" t="str">
        <f t="shared" si="39"/>
        <v>Carbost [GBCAB]</v>
      </c>
      <c r="AN2510" t="s">
        <v>12754</v>
      </c>
      <c r="AO2510" t="s">
        <v>12755</v>
      </c>
    </row>
    <row r="2511" spans="39:41" ht="12" customHeight="1" x14ac:dyDescent="0.2">
      <c r="AM2511" t="str">
        <f t="shared" si="39"/>
        <v>Carcaixent [ESCCX]</v>
      </c>
      <c r="AN2511" t="s">
        <v>9692</v>
      </c>
      <c r="AO2511" t="s">
        <v>9693</v>
      </c>
    </row>
    <row r="2512" spans="39:41" ht="12" customHeight="1" x14ac:dyDescent="0.2">
      <c r="AM2512" t="str">
        <f t="shared" si="39"/>
        <v>Cardenas [CUCAR]</v>
      </c>
      <c r="AN2512" t="s">
        <v>6675</v>
      </c>
      <c r="AO2512" t="s">
        <v>35388</v>
      </c>
    </row>
    <row r="2513" spans="39:41" ht="12" customHeight="1" x14ac:dyDescent="0.2">
      <c r="AM2513" t="str">
        <f t="shared" si="39"/>
        <v>Cardiff [GBCDF]</v>
      </c>
      <c r="AN2513" t="s">
        <v>12756</v>
      </c>
      <c r="AO2513" t="s">
        <v>12757</v>
      </c>
    </row>
    <row r="2514" spans="39:41" ht="12" customHeight="1" x14ac:dyDescent="0.2">
      <c r="AM2514" t="str">
        <f t="shared" si="39"/>
        <v>Cardigan (Aberteifi) [GBCAR]</v>
      </c>
      <c r="AN2514" t="s">
        <v>12758</v>
      </c>
      <c r="AO2514" t="s">
        <v>12759</v>
      </c>
    </row>
    <row r="2515" spans="39:41" ht="12" customHeight="1" x14ac:dyDescent="0.2">
      <c r="AM2515" t="str">
        <f t="shared" si="39"/>
        <v>Cardinal [CACDN]</v>
      </c>
      <c r="AN2515" t="s">
        <v>3688</v>
      </c>
      <c r="AO2515" t="s">
        <v>3689</v>
      </c>
    </row>
    <row r="2516" spans="39:41" ht="12" customHeight="1" x14ac:dyDescent="0.2">
      <c r="AM2516" t="str">
        <f t="shared" si="39"/>
        <v>Cardington [GBC5T]</v>
      </c>
      <c r="AN2516" t="s">
        <v>12760</v>
      </c>
      <c r="AO2516" t="s">
        <v>12761</v>
      </c>
    </row>
    <row r="2517" spans="39:41" ht="12" customHeight="1" x14ac:dyDescent="0.2">
      <c r="AM2517" t="str">
        <f t="shared" si="39"/>
        <v>Carenage [TTCRN]</v>
      </c>
      <c r="AN2517" t="s">
        <v>28629</v>
      </c>
      <c r="AO2517" t="s">
        <v>28630</v>
      </c>
    </row>
    <row r="2518" spans="39:41" ht="12" customHeight="1" x14ac:dyDescent="0.2">
      <c r="AM2518" t="str">
        <f t="shared" si="39"/>
        <v>Cariati [ITCRT]</v>
      </c>
      <c r="AN2518" t="s">
        <v>17868</v>
      </c>
      <c r="AO2518" t="s">
        <v>17869</v>
      </c>
    </row>
    <row r="2519" spans="39:41" ht="12" customHeight="1" x14ac:dyDescent="0.2">
      <c r="AM2519" t="str">
        <f t="shared" si="39"/>
        <v>Carigara [PHCRA]</v>
      </c>
      <c r="AN2519" t="s">
        <v>25678</v>
      </c>
      <c r="AO2519" t="s">
        <v>25679</v>
      </c>
    </row>
    <row r="2520" spans="39:41" ht="12" customHeight="1" x14ac:dyDescent="0.2">
      <c r="AM2520" t="str">
        <f t="shared" si="39"/>
        <v>Carijam [INCAR]</v>
      </c>
      <c r="AN2520" t="s">
        <v>17078</v>
      </c>
      <c r="AO2520" t="s">
        <v>17079</v>
      </c>
    </row>
    <row r="2521" spans="39:41" ht="12" customHeight="1" x14ac:dyDescent="0.2">
      <c r="AM2521" t="str">
        <f t="shared" si="39"/>
        <v>Carina Heights [AUCAR]</v>
      </c>
      <c r="AN2521" t="s">
        <v>1537</v>
      </c>
      <c r="AO2521" t="s">
        <v>1538</v>
      </c>
    </row>
    <row r="2522" spans="39:41" ht="12" customHeight="1" x14ac:dyDescent="0.2">
      <c r="AM2522" t="str">
        <f t="shared" si="39"/>
        <v>Carino [ESCNO]</v>
      </c>
      <c r="AN2522" t="s">
        <v>9694</v>
      </c>
      <c r="AO2522" t="s">
        <v>35666</v>
      </c>
    </row>
    <row r="2523" spans="39:41" ht="12" customHeight="1" x14ac:dyDescent="0.2">
      <c r="AM2523" t="str">
        <f t="shared" si="39"/>
        <v>Caripito [VECAR]</v>
      </c>
      <c r="AN2523" t="s">
        <v>32160</v>
      </c>
      <c r="AO2523" t="s">
        <v>32161</v>
      </c>
    </row>
    <row r="2524" spans="39:41" ht="12" customHeight="1" x14ac:dyDescent="0.2">
      <c r="AM2524" t="str">
        <f t="shared" si="39"/>
        <v>Carleton [CACLT]</v>
      </c>
      <c r="AN2524" t="s">
        <v>3690</v>
      </c>
      <c r="AO2524" t="s">
        <v>3691</v>
      </c>
    </row>
    <row r="2525" spans="39:41" ht="12" customHeight="1" x14ac:dyDescent="0.2">
      <c r="AM2525" t="str">
        <f t="shared" si="39"/>
        <v>Carlingford [AUCLF]</v>
      </c>
      <c r="AN2525" t="s">
        <v>1539</v>
      </c>
      <c r="AO2525" t="s">
        <v>1540</v>
      </c>
    </row>
    <row r="2526" spans="39:41" ht="12" customHeight="1" x14ac:dyDescent="0.2">
      <c r="AM2526" t="str">
        <f t="shared" si="39"/>
        <v>Carlingford [IECAR]</v>
      </c>
      <c r="AN2526" t="s">
        <v>16750</v>
      </c>
      <c r="AO2526" t="s">
        <v>1540</v>
      </c>
    </row>
    <row r="2527" spans="39:41" ht="12" customHeight="1" x14ac:dyDescent="0.2">
      <c r="AM2527" t="str">
        <f t="shared" si="39"/>
        <v>Carlisle [GBCAX]</v>
      </c>
      <c r="AN2527" t="s">
        <v>12762</v>
      </c>
      <c r="AO2527" t="s">
        <v>12763</v>
      </c>
    </row>
    <row r="2528" spans="39:41" ht="12" customHeight="1" x14ac:dyDescent="0.2">
      <c r="AM2528" t="str">
        <f t="shared" si="39"/>
        <v>Carlisle [USCUZ]</v>
      </c>
      <c r="AN2528" t="s">
        <v>29183</v>
      </c>
      <c r="AO2528" t="s">
        <v>12763</v>
      </c>
    </row>
    <row r="2529" spans="39:41" ht="12" customHeight="1" x14ac:dyDescent="0.2">
      <c r="AM2529" t="str">
        <f t="shared" si="39"/>
        <v>Carlisle [USCSJ]</v>
      </c>
      <c r="AN2529" t="s">
        <v>29184</v>
      </c>
      <c r="AO2529" t="s">
        <v>12763</v>
      </c>
    </row>
    <row r="2530" spans="39:41" ht="12" customHeight="1" x14ac:dyDescent="0.2">
      <c r="AM2530" t="str">
        <f t="shared" si="39"/>
        <v>Carloforte [ITCLF]</v>
      </c>
      <c r="AN2530" t="s">
        <v>17870</v>
      </c>
      <c r="AO2530" t="s">
        <v>17871</v>
      </c>
    </row>
    <row r="2531" spans="39:41" ht="12" customHeight="1" x14ac:dyDescent="0.2">
      <c r="AM2531" t="str">
        <f t="shared" si="39"/>
        <v>Carloway [GBRLW]</v>
      </c>
      <c r="AN2531" t="s">
        <v>12764</v>
      </c>
      <c r="AO2531" t="s">
        <v>12765</v>
      </c>
    </row>
    <row r="2532" spans="39:41" ht="12" customHeight="1" x14ac:dyDescent="0.2">
      <c r="AM2532" t="str">
        <f t="shared" si="39"/>
        <v>Carlsbad [USCNM]</v>
      </c>
      <c r="AN2532" t="s">
        <v>29185</v>
      </c>
      <c r="AO2532" t="s">
        <v>29186</v>
      </c>
    </row>
    <row r="2533" spans="39:41" ht="12" customHeight="1" x14ac:dyDescent="0.2">
      <c r="AM2533" t="str">
        <f t="shared" si="39"/>
        <v>Carlton Colville [GBCRV]</v>
      </c>
      <c r="AN2533" t="s">
        <v>12766</v>
      </c>
      <c r="AO2533" t="s">
        <v>12767</v>
      </c>
    </row>
    <row r="2534" spans="39:41" ht="12" customHeight="1" x14ac:dyDescent="0.2">
      <c r="AM2534" t="str">
        <f t="shared" si="39"/>
        <v>Carlux [FRUXL]</v>
      </c>
      <c r="AN2534" t="s">
        <v>10997</v>
      </c>
      <c r="AO2534" t="s">
        <v>10998</v>
      </c>
    </row>
    <row r="2535" spans="39:41" ht="12" customHeight="1" x14ac:dyDescent="0.2">
      <c r="AM2535" t="str">
        <f t="shared" si="39"/>
        <v>Carmanville [CACMV]</v>
      </c>
      <c r="AN2535" t="s">
        <v>3692</v>
      </c>
      <c r="AO2535" t="s">
        <v>3693</v>
      </c>
    </row>
    <row r="2536" spans="39:41" ht="12" customHeight="1" x14ac:dyDescent="0.2">
      <c r="AM2536" t="str">
        <f t="shared" si="39"/>
        <v>Carmelo [UYCAR]</v>
      </c>
      <c r="AN2536" t="s">
        <v>32101</v>
      </c>
      <c r="AO2536" t="s">
        <v>32102</v>
      </c>
    </row>
    <row r="2537" spans="39:41" ht="12" customHeight="1" x14ac:dyDescent="0.2">
      <c r="AM2537" t="str">
        <f t="shared" si="39"/>
        <v>Carnac [FRNAC]</v>
      </c>
      <c r="AN2537" t="s">
        <v>10999</v>
      </c>
      <c r="AO2537" t="s">
        <v>11000</v>
      </c>
    </row>
    <row r="2538" spans="39:41" ht="12" customHeight="1" x14ac:dyDescent="0.2">
      <c r="AM2538" t="str">
        <f t="shared" si="39"/>
        <v>Carnarvon [AUCVQ]</v>
      </c>
      <c r="AN2538" t="s">
        <v>1541</v>
      </c>
      <c r="AO2538" t="s">
        <v>1542</v>
      </c>
    </row>
    <row r="2539" spans="39:41" ht="12" customHeight="1" x14ac:dyDescent="0.2">
      <c r="AM2539" t="str">
        <f t="shared" si="39"/>
        <v>Carnas [FRVCS]</v>
      </c>
      <c r="AN2539" t="s">
        <v>11001</v>
      </c>
      <c r="AO2539" t="s">
        <v>11002</v>
      </c>
    </row>
    <row r="2540" spans="39:41" ht="12" customHeight="1" x14ac:dyDescent="0.2">
      <c r="AM2540" t="str">
        <f t="shared" si="39"/>
        <v>Carnlough [GBCAH]</v>
      </c>
      <c r="AN2540" t="s">
        <v>12768</v>
      </c>
      <c r="AO2540" t="s">
        <v>12769</v>
      </c>
    </row>
    <row r="2541" spans="39:41" ht="12" customHeight="1" x14ac:dyDescent="0.2">
      <c r="AM2541" t="str">
        <f t="shared" si="39"/>
        <v>Carnoules [FRZZU]</v>
      </c>
      <c r="AN2541" t="s">
        <v>11003</v>
      </c>
      <c r="AO2541" t="s">
        <v>11004</v>
      </c>
    </row>
    <row r="2542" spans="39:41" ht="12" customHeight="1" x14ac:dyDescent="0.2">
      <c r="AM2542" t="str">
        <f t="shared" si="39"/>
        <v>Caro [USCJO]</v>
      </c>
      <c r="AN2542" t="s">
        <v>29187</v>
      </c>
      <c r="AO2542" t="s">
        <v>29188</v>
      </c>
    </row>
    <row r="2543" spans="39:41" ht="12" customHeight="1" x14ac:dyDescent="0.2">
      <c r="AM2543" t="str">
        <f t="shared" si="39"/>
        <v>Carolinensiel [DECAR]</v>
      </c>
      <c r="AN2543" t="s">
        <v>7222</v>
      </c>
      <c r="AO2543" t="s">
        <v>7223</v>
      </c>
    </row>
    <row r="2544" spans="39:41" ht="12" customHeight="1" x14ac:dyDescent="0.2">
      <c r="AM2544" t="str">
        <f t="shared" si="39"/>
        <v>Caromb [FRZMB]</v>
      </c>
      <c r="AN2544" t="s">
        <v>11005</v>
      </c>
      <c r="AO2544" t="s">
        <v>11006</v>
      </c>
    </row>
    <row r="2545" spans="39:41" ht="12" customHeight="1" x14ac:dyDescent="0.2">
      <c r="AM2545" t="str">
        <f t="shared" si="39"/>
        <v>Caronte [FRCOZ]</v>
      </c>
      <c r="AN2545" t="s">
        <v>11007</v>
      </c>
      <c r="AO2545" t="s">
        <v>11008</v>
      </c>
    </row>
    <row r="2546" spans="39:41" ht="12" customHeight="1" x14ac:dyDescent="0.2">
      <c r="AM2546" t="str">
        <f t="shared" si="39"/>
        <v>Carpinteria [USCPT]</v>
      </c>
      <c r="AN2546" t="s">
        <v>29189</v>
      </c>
      <c r="AO2546" t="s">
        <v>29190</v>
      </c>
    </row>
    <row r="2547" spans="39:41" ht="12" customHeight="1" x14ac:dyDescent="0.2">
      <c r="AM2547" t="str">
        <f t="shared" si="39"/>
        <v>Carpio Tajo [ESCRP]</v>
      </c>
      <c r="AN2547" t="s">
        <v>9695</v>
      </c>
      <c r="AO2547" t="s">
        <v>9696</v>
      </c>
    </row>
    <row r="2548" spans="39:41" ht="12" customHeight="1" x14ac:dyDescent="0.2">
      <c r="AM2548" t="str">
        <f t="shared" si="39"/>
        <v>Carrabelle [USCRB]</v>
      </c>
      <c r="AN2548" t="s">
        <v>29191</v>
      </c>
      <c r="AO2548" t="s">
        <v>29192</v>
      </c>
    </row>
    <row r="2549" spans="39:41" ht="12" customHeight="1" x14ac:dyDescent="0.2">
      <c r="AM2549" t="str">
        <f t="shared" si="39"/>
        <v>Carradale [GBCRA]</v>
      </c>
      <c r="AN2549" t="s">
        <v>12770</v>
      </c>
      <c r="AO2549" t="s">
        <v>12771</v>
      </c>
    </row>
    <row r="2550" spans="39:41" ht="12" customHeight="1" x14ac:dyDescent="0.2">
      <c r="AM2550" t="str">
        <f t="shared" si="39"/>
        <v>Carranque [ESCQU]</v>
      </c>
      <c r="AN2550" t="s">
        <v>9697</v>
      </c>
      <c r="AO2550" t="s">
        <v>9698</v>
      </c>
    </row>
    <row r="2551" spans="39:41" ht="12" customHeight="1" x14ac:dyDescent="0.2">
      <c r="AM2551" t="str">
        <f t="shared" si="39"/>
        <v>Carrasqueira [PTCRC]</v>
      </c>
      <c r="AN2551" t="s">
        <v>26479</v>
      </c>
      <c r="AO2551" t="s">
        <v>26480</v>
      </c>
    </row>
    <row r="2552" spans="39:41" ht="12" customHeight="1" x14ac:dyDescent="0.2">
      <c r="AM2552" t="str">
        <f t="shared" si="39"/>
        <v>Carrboro [USZRR]</v>
      </c>
      <c r="AN2552" t="s">
        <v>29193</v>
      </c>
      <c r="AO2552" t="s">
        <v>29194</v>
      </c>
    </row>
    <row r="2553" spans="39:41" ht="12" customHeight="1" x14ac:dyDescent="0.2">
      <c r="AM2553" t="str">
        <f t="shared" si="39"/>
        <v>Carrickfergus [GBCFG]</v>
      </c>
      <c r="AN2553" t="s">
        <v>12772</v>
      </c>
      <c r="AO2553" t="s">
        <v>12773</v>
      </c>
    </row>
    <row r="2554" spans="39:41" ht="12" customHeight="1" x14ac:dyDescent="0.2">
      <c r="AM2554" t="str">
        <f t="shared" si="39"/>
        <v>Carrick-on-Suir [IECRS]</v>
      </c>
      <c r="AN2554" t="s">
        <v>16751</v>
      </c>
      <c r="AO2554" t="s">
        <v>16752</v>
      </c>
    </row>
    <row r="2555" spans="39:41" ht="12" customHeight="1" x14ac:dyDescent="0.2">
      <c r="AM2555" t="str">
        <f t="shared" si="39"/>
        <v>Carrier Mills [USCM9]</v>
      </c>
      <c r="AN2555" t="s">
        <v>29195</v>
      </c>
      <c r="AO2555" t="s">
        <v>29196</v>
      </c>
    </row>
    <row r="2556" spans="39:41" ht="12" customHeight="1" x14ac:dyDescent="0.2">
      <c r="AM2556" t="str">
        <f t="shared" si="39"/>
        <v>Carrington [GBCRT]</v>
      </c>
      <c r="AN2556" t="s">
        <v>12774</v>
      </c>
      <c r="AO2556" t="s">
        <v>12775</v>
      </c>
    </row>
    <row r="2557" spans="39:41" ht="12" customHeight="1" x14ac:dyDescent="0.2">
      <c r="AM2557" t="str">
        <f t="shared" si="39"/>
        <v>Carrizal [ESCDI]</v>
      </c>
      <c r="AN2557" t="s">
        <v>9699</v>
      </c>
      <c r="AO2557" t="s">
        <v>9700</v>
      </c>
    </row>
    <row r="2558" spans="39:41" ht="12" customHeight="1" x14ac:dyDescent="0.2">
      <c r="AM2558" t="str">
        <f t="shared" ref="AM2558:AM2621" si="40">AO2558 &amp; " [" &amp; AN2558 &amp; "]"</f>
        <v>Carroll [USCWU]</v>
      </c>
      <c r="AN2558" t="s">
        <v>29197</v>
      </c>
      <c r="AO2558" t="s">
        <v>29198</v>
      </c>
    </row>
    <row r="2559" spans="39:41" ht="12" customHeight="1" x14ac:dyDescent="0.2">
      <c r="AM2559" t="str">
        <f t="shared" si="40"/>
        <v>Carron [GBRRO]</v>
      </c>
      <c r="AN2559" t="s">
        <v>12776</v>
      </c>
      <c r="AO2559" t="s">
        <v>12777</v>
      </c>
    </row>
    <row r="2560" spans="39:41" ht="12" customHeight="1" x14ac:dyDescent="0.2">
      <c r="AM2560" t="str">
        <f t="shared" si="40"/>
        <v>Carros [FRCOS]</v>
      </c>
      <c r="AN2560" t="s">
        <v>36946</v>
      </c>
      <c r="AO2560" t="s">
        <v>36947</v>
      </c>
    </row>
    <row r="2561" spans="39:41" ht="12" customHeight="1" x14ac:dyDescent="0.2">
      <c r="AM2561" t="str">
        <f t="shared" si="40"/>
        <v>Carsethorn [GBCET]</v>
      </c>
      <c r="AN2561" t="s">
        <v>12778</v>
      </c>
      <c r="AO2561" t="s">
        <v>12779</v>
      </c>
    </row>
    <row r="2562" spans="39:41" ht="12" customHeight="1" x14ac:dyDescent="0.2">
      <c r="AM2562" t="str">
        <f t="shared" si="40"/>
        <v>Cartagena [COCTG]</v>
      </c>
      <c r="AN2562" t="s">
        <v>6511</v>
      </c>
      <c r="AO2562" t="s">
        <v>6512</v>
      </c>
    </row>
    <row r="2563" spans="39:41" ht="12" customHeight="1" x14ac:dyDescent="0.2">
      <c r="AM2563" t="str">
        <f t="shared" si="40"/>
        <v>Cartagena [ESCAR]</v>
      </c>
      <c r="AN2563" t="s">
        <v>9701</v>
      </c>
      <c r="AO2563" t="s">
        <v>6512</v>
      </c>
    </row>
    <row r="2564" spans="39:41" ht="12" customHeight="1" x14ac:dyDescent="0.2">
      <c r="AM2564" t="str">
        <f t="shared" si="40"/>
        <v>Cartago [COCRC]</v>
      </c>
      <c r="AN2564" t="s">
        <v>6513</v>
      </c>
      <c r="AO2564" t="s">
        <v>6514</v>
      </c>
    </row>
    <row r="2565" spans="39:41" ht="12" customHeight="1" x14ac:dyDescent="0.2">
      <c r="AM2565" t="str">
        <f t="shared" si="40"/>
        <v>Carteret [USCSF]</v>
      </c>
      <c r="AN2565" t="s">
        <v>29199</v>
      </c>
      <c r="AO2565" t="s">
        <v>11009</v>
      </c>
    </row>
    <row r="2566" spans="39:41" ht="12" customHeight="1" x14ac:dyDescent="0.2">
      <c r="AM2566" t="str">
        <f t="shared" si="40"/>
        <v>Carthage [USQCH]</v>
      </c>
      <c r="AN2566" t="s">
        <v>29200</v>
      </c>
      <c r="AO2566" t="s">
        <v>29201</v>
      </c>
    </row>
    <row r="2567" spans="39:41" ht="12" customHeight="1" x14ac:dyDescent="0.2">
      <c r="AM2567" t="str">
        <f t="shared" si="40"/>
        <v>Carthage [USCGX]</v>
      </c>
      <c r="AN2567" t="s">
        <v>29202</v>
      </c>
      <c r="AO2567" t="s">
        <v>29201</v>
      </c>
    </row>
    <row r="2568" spans="39:41" ht="12" customHeight="1" x14ac:dyDescent="0.2">
      <c r="AM2568" t="str">
        <f t="shared" si="40"/>
        <v>Carupano [VECUP]</v>
      </c>
      <c r="AN2568" t="s">
        <v>32162</v>
      </c>
      <c r="AO2568" t="s">
        <v>32163</v>
      </c>
    </row>
    <row r="2569" spans="39:41" ht="12" customHeight="1" x14ac:dyDescent="0.2">
      <c r="AM2569" t="str">
        <f t="shared" si="40"/>
        <v>Carver [USYCE]</v>
      </c>
      <c r="AN2569" t="s">
        <v>29203</v>
      </c>
      <c r="AO2569" t="s">
        <v>29204</v>
      </c>
    </row>
    <row r="2570" spans="39:41" ht="12" customHeight="1" x14ac:dyDescent="0.2">
      <c r="AM2570" t="str">
        <f t="shared" si="40"/>
        <v>Casa Branca [PTCRB]</v>
      </c>
      <c r="AN2570" t="s">
        <v>26481</v>
      </c>
      <c r="AO2570" t="s">
        <v>26482</v>
      </c>
    </row>
    <row r="2571" spans="39:41" ht="12" customHeight="1" x14ac:dyDescent="0.2">
      <c r="AM2571" t="str">
        <f t="shared" si="40"/>
        <v>Casa de Campo [DOCDC]</v>
      </c>
      <c r="AN2571" t="s">
        <v>8994</v>
      </c>
      <c r="AO2571" t="s">
        <v>8995</v>
      </c>
    </row>
    <row r="2572" spans="39:41" ht="12" customHeight="1" x14ac:dyDescent="0.2">
      <c r="AM2572" t="str">
        <f t="shared" si="40"/>
        <v>Casa Nova [BRCAV]</v>
      </c>
      <c r="AN2572" t="s">
        <v>3289</v>
      </c>
      <c r="AO2572" t="s">
        <v>3290</v>
      </c>
    </row>
    <row r="2573" spans="39:41" ht="12" customHeight="1" x14ac:dyDescent="0.2">
      <c r="AM2573" t="str">
        <f t="shared" si="40"/>
        <v>Casablanca [MACAS]</v>
      </c>
      <c r="AN2573" t="s">
        <v>22032</v>
      </c>
      <c r="AO2573" t="s">
        <v>22033</v>
      </c>
    </row>
    <row r="2574" spans="39:41" ht="12" customHeight="1" x14ac:dyDescent="0.2">
      <c r="AM2574" t="str">
        <f t="shared" si="40"/>
        <v>Casablanca [ESCSA]</v>
      </c>
      <c r="AN2574" t="s">
        <v>36894</v>
      </c>
      <c r="AO2574" t="s">
        <v>22033</v>
      </c>
    </row>
    <row r="2575" spans="39:41" ht="12" customHeight="1" x14ac:dyDescent="0.2">
      <c r="AM2575" t="str">
        <f t="shared" si="40"/>
        <v>Casamicciola Terme [ITCML]</v>
      </c>
      <c r="AN2575" t="s">
        <v>17872</v>
      </c>
      <c r="AO2575" t="s">
        <v>17873</v>
      </c>
    </row>
    <row r="2576" spans="39:41" ht="12" customHeight="1" x14ac:dyDescent="0.2">
      <c r="AM2576" t="str">
        <f t="shared" si="40"/>
        <v>Casar de Caceres [ESRES]</v>
      </c>
      <c r="AN2576" t="s">
        <v>33843</v>
      </c>
      <c r="AO2576" t="s">
        <v>33966</v>
      </c>
    </row>
    <row r="2577" spans="39:41" ht="12" customHeight="1" x14ac:dyDescent="0.2">
      <c r="AM2577" t="str">
        <f t="shared" si="40"/>
        <v>Casasimarro [ESSIO]</v>
      </c>
      <c r="AN2577" t="s">
        <v>9702</v>
      </c>
      <c r="AO2577" t="s">
        <v>9703</v>
      </c>
    </row>
    <row r="2578" spans="39:41" ht="12" customHeight="1" x14ac:dyDescent="0.2">
      <c r="AM2578" t="str">
        <f t="shared" si="40"/>
        <v>Cascais [PTCAS]</v>
      </c>
      <c r="AN2578" t="s">
        <v>26483</v>
      </c>
      <c r="AO2578" t="s">
        <v>26484</v>
      </c>
    </row>
    <row r="2579" spans="39:41" ht="12" customHeight="1" x14ac:dyDescent="0.2">
      <c r="AM2579" t="str">
        <f t="shared" si="40"/>
        <v>Casey Station [AQCAS]</v>
      </c>
      <c r="AN2579" t="s">
        <v>914</v>
      </c>
      <c r="AO2579" t="s">
        <v>915</v>
      </c>
    </row>
    <row r="2580" spans="39:41" ht="12" customHeight="1" x14ac:dyDescent="0.2">
      <c r="AM2580" t="str">
        <f t="shared" si="40"/>
        <v>Casiguran/Siain [PHCGG]</v>
      </c>
      <c r="AN2580" t="s">
        <v>25680</v>
      </c>
      <c r="AO2580" t="s">
        <v>25681</v>
      </c>
    </row>
    <row r="2581" spans="39:41" ht="12" customHeight="1" x14ac:dyDescent="0.2">
      <c r="AM2581" t="str">
        <f t="shared" si="40"/>
        <v>Casilda [CUCAS]</v>
      </c>
      <c r="AN2581" t="s">
        <v>6676</v>
      </c>
      <c r="AO2581" t="s">
        <v>6677</v>
      </c>
    </row>
    <row r="2582" spans="39:41" ht="12" customHeight="1" x14ac:dyDescent="0.2">
      <c r="AM2582" t="str">
        <f t="shared" si="40"/>
        <v>Casillas Flores [ESCFL]</v>
      </c>
      <c r="AN2582" t="s">
        <v>9704</v>
      </c>
      <c r="AO2582" t="s">
        <v>9705</v>
      </c>
    </row>
    <row r="2583" spans="39:41" ht="12" customHeight="1" x14ac:dyDescent="0.2">
      <c r="AM2583" t="str">
        <f t="shared" si="40"/>
        <v>Cassa de la Selva [ESCSV]</v>
      </c>
      <c r="AN2583" t="s">
        <v>36901</v>
      </c>
      <c r="AO2583" t="s">
        <v>36902</v>
      </c>
    </row>
    <row r="2584" spans="39:41" ht="12" customHeight="1" x14ac:dyDescent="0.2">
      <c r="AM2584" t="str">
        <f t="shared" si="40"/>
        <v>Casselberry [USCIB]</v>
      </c>
      <c r="AN2584" t="s">
        <v>29205</v>
      </c>
      <c r="AO2584" t="s">
        <v>29206</v>
      </c>
    </row>
    <row r="2585" spans="39:41" ht="12" customHeight="1" x14ac:dyDescent="0.2">
      <c r="AM2585" t="str">
        <f t="shared" si="40"/>
        <v>Casselton [USRWX]</v>
      </c>
      <c r="AN2585" t="s">
        <v>29207</v>
      </c>
      <c r="AO2585" t="s">
        <v>29208</v>
      </c>
    </row>
    <row r="2586" spans="39:41" ht="12" customHeight="1" x14ac:dyDescent="0.2">
      <c r="AM2586" t="str">
        <f t="shared" si="40"/>
        <v>Cassopolis [USCZI]</v>
      </c>
      <c r="AN2586" t="s">
        <v>29209</v>
      </c>
      <c r="AO2586" t="s">
        <v>29210</v>
      </c>
    </row>
    <row r="2587" spans="39:41" ht="12" customHeight="1" x14ac:dyDescent="0.2">
      <c r="AM2587" t="str">
        <f t="shared" si="40"/>
        <v>Cassville [USXSS]</v>
      </c>
      <c r="AN2587" t="s">
        <v>29211</v>
      </c>
      <c r="AO2587" t="s">
        <v>29212</v>
      </c>
    </row>
    <row r="2588" spans="39:41" ht="12" customHeight="1" x14ac:dyDescent="0.2">
      <c r="AM2588" t="str">
        <f t="shared" si="40"/>
        <v>Castalla [ESCAA]</v>
      </c>
      <c r="AN2588" t="s">
        <v>36895</v>
      </c>
      <c r="AO2588" t="s">
        <v>36896</v>
      </c>
    </row>
    <row r="2589" spans="39:41" ht="12" customHeight="1" x14ac:dyDescent="0.2">
      <c r="AM2589" t="str">
        <f t="shared" si="40"/>
        <v>Castanas [PHCST]</v>
      </c>
      <c r="AN2589" t="s">
        <v>25682</v>
      </c>
      <c r="AO2589" t="s">
        <v>36362</v>
      </c>
    </row>
    <row r="2590" spans="39:41" ht="12" customHeight="1" x14ac:dyDescent="0.2">
      <c r="AM2590" t="str">
        <f t="shared" si="40"/>
        <v>Castel Volturno [ITAEL]</v>
      </c>
      <c r="AN2590" t="s">
        <v>17874</v>
      </c>
      <c r="AO2590" t="s">
        <v>17875</v>
      </c>
    </row>
    <row r="2591" spans="39:41" ht="12" customHeight="1" x14ac:dyDescent="0.2">
      <c r="AM2591" t="str">
        <f t="shared" si="40"/>
        <v>Castell [DECYN]</v>
      </c>
      <c r="AN2591" t="s">
        <v>7224</v>
      </c>
      <c r="AO2591" t="s">
        <v>7225</v>
      </c>
    </row>
    <row r="2592" spans="39:41" ht="12" customHeight="1" x14ac:dyDescent="0.2">
      <c r="AM2592" t="str">
        <f t="shared" si="40"/>
        <v>Castellammare del Golfo [ITCTR]</v>
      </c>
      <c r="AN2592" t="s">
        <v>17876</v>
      </c>
      <c r="AO2592" t="s">
        <v>17877</v>
      </c>
    </row>
    <row r="2593" spans="39:41" ht="12" customHeight="1" x14ac:dyDescent="0.2">
      <c r="AM2593" t="str">
        <f t="shared" si="40"/>
        <v>Castellammare di Stabia [ITCAS]</v>
      </c>
      <c r="AN2593" t="s">
        <v>17878</v>
      </c>
      <c r="AO2593" t="s">
        <v>17879</v>
      </c>
    </row>
    <row r="2594" spans="39:41" ht="12" customHeight="1" x14ac:dyDescent="0.2">
      <c r="AM2594" t="str">
        <f t="shared" si="40"/>
        <v>Castellon de la Plana [ESCAS]</v>
      </c>
      <c r="AN2594" t="s">
        <v>9706</v>
      </c>
      <c r="AO2594" t="s">
        <v>35667</v>
      </c>
    </row>
    <row r="2595" spans="39:41" ht="12" customHeight="1" x14ac:dyDescent="0.2">
      <c r="AM2595" t="str">
        <f t="shared" si="40"/>
        <v>Castellon de Rugat [ESCDR]</v>
      </c>
      <c r="AN2595" t="s">
        <v>36897</v>
      </c>
      <c r="AO2595" t="s">
        <v>36898</v>
      </c>
    </row>
    <row r="2596" spans="39:41" ht="12" customHeight="1" x14ac:dyDescent="0.2">
      <c r="AM2596" t="str">
        <f t="shared" si="40"/>
        <v>Castelo do Neiva [PTCNV]</v>
      </c>
      <c r="AN2596" t="s">
        <v>26485</v>
      </c>
      <c r="AO2596" t="s">
        <v>26486</v>
      </c>
    </row>
    <row r="2597" spans="39:41" ht="12" customHeight="1" x14ac:dyDescent="0.2">
      <c r="AM2597" t="str">
        <f t="shared" si="40"/>
        <v>Castelsardo [ITCTK]</v>
      </c>
      <c r="AN2597" t="s">
        <v>17880</v>
      </c>
      <c r="AO2597" t="s">
        <v>17881</v>
      </c>
    </row>
    <row r="2598" spans="39:41" ht="12" customHeight="1" x14ac:dyDescent="0.2">
      <c r="AM2598" t="str">
        <f t="shared" si="40"/>
        <v>Castets-en-Dorthe [FRCDH]</v>
      </c>
      <c r="AN2598" t="s">
        <v>11010</v>
      </c>
      <c r="AO2598" t="s">
        <v>11011</v>
      </c>
    </row>
    <row r="2599" spans="39:41" ht="12" customHeight="1" x14ac:dyDescent="0.2">
      <c r="AM2599" t="str">
        <f t="shared" si="40"/>
        <v>Castiglioncello [ITATI]</v>
      </c>
      <c r="AN2599" t="s">
        <v>17882</v>
      </c>
      <c r="AO2599" t="s">
        <v>17883</v>
      </c>
    </row>
    <row r="2600" spans="39:41" ht="12" customHeight="1" x14ac:dyDescent="0.2">
      <c r="AM2600" t="str">
        <f t="shared" si="40"/>
        <v>Castiglione della Pescaia [ITCEQ]</v>
      </c>
      <c r="AN2600" t="s">
        <v>17884</v>
      </c>
      <c r="AO2600" t="s">
        <v>17885</v>
      </c>
    </row>
    <row r="2601" spans="39:41" ht="12" customHeight="1" x14ac:dyDescent="0.2">
      <c r="AM2601" t="str">
        <f t="shared" si="40"/>
        <v>Castile [USOMW]</v>
      </c>
      <c r="AN2601" t="s">
        <v>29213</v>
      </c>
      <c r="AO2601" t="s">
        <v>29214</v>
      </c>
    </row>
    <row r="2602" spans="39:41" ht="12" customHeight="1" x14ac:dyDescent="0.2">
      <c r="AM2602" t="str">
        <f t="shared" si="40"/>
        <v>Castillazuelo [ESHHU]</v>
      </c>
      <c r="AN2602" t="s">
        <v>9707</v>
      </c>
      <c r="AO2602" t="s">
        <v>9708</v>
      </c>
    </row>
    <row r="2603" spans="39:41" ht="12" customHeight="1" x14ac:dyDescent="0.2">
      <c r="AM2603" t="str">
        <f t="shared" si="40"/>
        <v>Castle Hills [USC4H]</v>
      </c>
      <c r="AN2603" t="s">
        <v>29215</v>
      </c>
      <c r="AO2603" t="s">
        <v>29216</v>
      </c>
    </row>
    <row r="2604" spans="39:41" ht="12" customHeight="1" x14ac:dyDescent="0.2">
      <c r="AM2604" t="str">
        <f t="shared" si="40"/>
        <v>Castle Island [USXSD]</v>
      </c>
      <c r="AN2604" t="s">
        <v>29217</v>
      </c>
      <c r="AO2604" t="s">
        <v>29218</v>
      </c>
    </row>
    <row r="2605" spans="39:41" ht="12" customHeight="1" x14ac:dyDescent="0.2">
      <c r="AM2605" t="str">
        <f t="shared" si="40"/>
        <v>Castlebay [GBCBA]</v>
      </c>
      <c r="AN2605" t="s">
        <v>12780</v>
      </c>
      <c r="AO2605" t="s">
        <v>12781</v>
      </c>
    </row>
    <row r="2606" spans="39:41" ht="12" customHeight="1" x14ac:dyDescent="0.2">
      <c r="AM2606" t="str">
        <f t="shared" si="40"/>
        <v>Castlefinn [IECFI]</v>
      </c>
      <c r="AN2606" t="s">
        <v>16753</v>
      </c>
      <c r="AO2606" t="s">
        <v>16754</v>
      </c>
    </row>
    <row r="2607" spans="39:41" ht="12" customHeight="1" x14ac:dyDescent="0.2">
      <c r="AM2607" t="str">
        <f t="shared" si="40"/>
        <v>Castleford [GBCTF]</v>
      </c>
      <c r="AN2607" t="s">
        <v>12782</v>
      </c>
      <c r="AO2607" t="s">
        <v>12783</v>
      </c>
    </row>
    <row r="2608" spans="39:41" ht="12" customHeight="1" x14ac:dyDescent="0.2">
      <c r="AM2608" t="str">
        <f t="shared" si="40"/>
        <v>Castlenock [IETLK]</v>
      </c>
      <c r="AN2608" t="s">
        <v>16755</v>
      </c>
      <c r="AO2608" t="s">
        <v>16756</v>
      </c>
    </row>
    <row r="2609" spans="39:41" ht="12" customHeight="1" x14ac:dyDescent="0.2">
      <c r="AM2609" t="str">
        <f t="shared" si="40"/>
        <v>Castletown [GBCSW]</v>
      </c>
      <c r="AN2609" t="s">
        <v>12784</v>
      </c>
      <c r="AO2609" t="s">
        <v>12785</v>
      </c>
    </row>
    <row r="2610" spans="39:41" ht="12" customHeight="1" x14ac:dyDescent="0.2">
      <c r="AM2610" t="str">
        <f t="shared" si="40"/>
        <v>Castletown [IMCTN]</v>
      </c>
      <c r="AN2610" t="s">
        <v>16986</v>
      </c>
      <c r="AO2610" t="s">
        <v>12785</v>
      </c>
    </row>
    <row r="2611" spans="39:41" ht="12" customHeight="1" x14ac:dyDescent="0.2">
      <c r="AM2611" t="str">
        <f t="shared" si="40"/>
        <v>Castletown Bearhaven [IECTB]</v>
      </c>
      <c r="AN2611" t="s">
        <v>16757</v>
      </c>
      <c r="AO2611" t="s">
        <v>16758</v>
      </c>
    </row>
    <row r="2612" spans="39:41" ht="12" customHeight="1" x14ac:dyDescent="0.2">
      <c r="AM2612" t="str">
        <f t="shared" si="40"/>
        <v>Castries [LCCAS]</v>
      </c>
      <c r="AN2612" t="s">
        <v>21811</v>
      </c>
      <c r="AO2612" t="s">
        <v>21812</v>
      </c>
    </row>
    <row r="2613" spans="39:41" ht="12" customHeight="1" x14ac:dyDescent="0.2">
      <c r="AM2613" t="str">
        <f t="shared" si="40"/>
        <v>Castro [CLWCA]</v>
      </c>
      <c r="AN2613" t="s">
        <v>4842</v>
      </c>
      <c r="AO2613" t="s">
        <v>4843</v>
      </c>
    </row>
    <row r="2614" spans="39:41" ht="12" customHeight="1" x14ac:dyDescent="0.2">
      <c r="AM2614" t="str">
        <f t="shared" si="40"/>
        <v>Castro Marina [ITCRQ]</v>
      </c>
      <c r="AN2614" t="s">
        <v>17886</v>
      </c>
      <c r="AO2614" t="s">
        <v>17887</v>
      </c>
    </row>
    <row r="2615" spans="39:41" ht="12" customHeight="1" x14ac:dyDescent="0.2">
      <c r="AM2615" t="str">
        <f t="shared" si="40"/>
        <v>Castropol [ESCSO]</v>
      </c>
      <c r="AN2615" t="s">
        <v>9709</v>
      </c>
      <c r="AO2615" t="s">
        <v>9710</v>
      </c>
    </row>
    <row r="2616" spans="39:41" ht="12" customHeight="1" x14ac:dyDescent="0.2">
      <c r="AM2616" t="str">
        <f t="shared" si="40"/>
        <v>Castrop-Rauxel [DECRL]</v>
      </c>
      <c r="AN2616" t="s">
        <v>7226</v>
      </c>
      <c r="AO2616" t="s">
        <v>7227</v>
      </c>
    </row>
    <row r="2617" spans="39:41" ht="12" customHeight="1" x14ac:dyDescent="0.2">
      <c r="AM2617" t="str">
        <f t="shared" si="40"/>
        <v>Castro-Urdiales [ESCUR]</v>
      </c>
      <c r="AN2617" t="s">
        <v>9711</v>
      </c>
      <c r="AO2617" t="s">
        <v>9712</v>
      </c>
    </row>
    <row r="2618" spans="39:41" ht="12" customHeight="1" x14ac:dyDescent="0.2">
      <c r="AM2618" t="str">
        <f t="shared" si="40"/>
        <v>Casul Bay/Ozamis [PHCSB]</v>
      </c>
      <c r="AN2618" t="s">
        <v>25683</v>
      </c>
      <c r="AO2618" t="s">
        <v>25684</v>
      </c>
    </row>
    <row r="2619" spans="39:41" ht="12" customHeight="1" x14ac:dyDescent="0.2">
      <c r="AM2619" t="str">
        <f t="shared" si="40"/>
        <v>Cat Lai [VNCLI]</v>
      </c>
      <c r="AN2619" t="s">
        <v>32334</v>
      </c>
      <c r="AO2619" t="s">
        <v>36595</v>
      </c>
    </row>
    <row r="2620" spans="39:41" ht="12" customHeight="1" x14ac:dyDescent="0.2">
      <c r="AM2620" t="str">
        <f t="shared" si="40"/>
        <v>Cat Lai Oil Port [VNOCL]</v>
      </c>
      <c r="AN2620" t="s">
        <v>32335</v>
      </c>
      <c r="AO2620" t="s">
        <v>32336</v>
      </c>
    </row>
    <row r="2621" spans="39:41" ht="12" customHeight="1" x14ac:dyDescent="0.2">
      <c r="AM2621" t="str">
        <f t="shared" si="40"/>
        <v>Catalina [CACAT]</v>
      </c>
      <c r="AN2621" t="s">
        <v>3694</v>
      </c>
      <c r="AO2621" t="s">
        <v>3695</v>
      </c>
    </row>
    <row r="2622" spans="39:41" ht="12" customHeight="1" x14ac:dyDescent="0.2">
      <c r="AM2622" t="str">
        <f t="shared" ref="AM2622:AM2685" si="41">AO2622 &amp; " [" &amp; AN2622 &amp; "]"</f>
        <v>Catalina Island [DOCAI]</v>
      </c>
      <c r="AN2622" t="s">
        <v>8996</v>
      </c>
      <c r="AO2622" t="s">
        <v>8997</v>
      </c>
    </row>
    <row r="2623" spans="39:41" ht="12" customHeight="1" x14ac:dyDescent="0.2">
      <c r="AM2623" t="str">
        <f t="shared" si="41"/>
        <v>Catalina Island [USCKI]</v>
      </c>
      <c r="AN2623" t="s">
        <v>29219</v>
      </c>
      <c r="AO2623" t="s">
        <v>8997</v>
      </c>
    </row>
    <row r="2624" spans="39:41" ht="12" customHeight="1" x14ac:dyDescent="0.2">
      <c r="AM2624" t="str">
        <f t="shared" si="41"/>
        <v>Catamon Bay/Iloilo [PHCTB]</v>
      </c>
      <c r="AN2624" t="s">
        <v>25685</v>
      </c>
      <c r="AO2624" t="s">
        <v>25686</v>
      </c>
    </row>
    <row r="2625" spans="39:41" ht="12" customHeight="1" x14ac:dyDescent="0.2">
      <c r="AM2625" t="str">
        <f t="shared" si="41"/>
        <v>Catanauan [PHCUN]</v>
      </c>
      <c r="AN2625" t="s">
        <v>25687</v>
      </c>
      <c r="AO2625" t="s">
        <v>25688</v>
      </c>
    </row>
    <row r="2626" spans="39:41" ht="12" customHeight="1" x14ac:dyDescent="0.2">
      <c r="AM2626" t="str">
        <f t="shared" si="41"/>
        <v>Catania [ITCTA]</v>
      </c>
      <c r="AN2626" t="s">
        <v>17888</v>
      </c>
      <c r="AO2626" t="s">
        <v>17889</v>
      </c>
    </row>
    <row r="2627" spans="39:41" ht="12" customHeight="1" x14ac:dyDescent="0.2">
      <c r="AM2627" t="str">
        <f t="shared" si="41"/>
        <v>Cataumet [USUMO]</v>
      </c>
      <c r="AN2627" t="s">
        <v>29220</v>
      </c>
      <c r="AO2627" t="s">
        <v>29221</v>
      </c>
    </row>
    <row r="2628" spans="39:41" ht="12" customHeight="1" x14ac:dyDescent="0.2">
      <c r="AM2628" t="str">
        <f t="shared" si="41"/>
        <v>Catbalogan, Samar [PHCTS]</v>
      </c>
      <c r="AN2628" t="s">
        <v>25689</v>
      </c>
      <c r="AO2628" t="s">
        <v>25690</v>
      </c>
    </row>
    <row r="2629" spans="39:41" ht="12" customHeight="1" x14ac:dyDescent="0.2">
      <c r="AM2629" t="str">
        <f t="shared" si="41"/>
        <v>Cathedral City [USYCD]</v>
      </c>
      <c r="AN2629" t="s">
        <v>29222</v>
      </c>
      <c r="AO2629" t="s">
        <v>29223</v>
      </c>
    </row>
    <row r="2630" spans="39:41" ht="12" customHeight="1" x14ac:dyDescent="0.2">
      <c r="AM2630" t="str">
        <f t="shared" si="41"/>
        <v>Catherine Hill Bay [AUCHB]</v>
      </c>
      <c r="AN2630" t="s">
        <v>1543</v>
      </c>
      <c r="AO2630" t="s">
        <v>1544</v>
      </c>
    </row>
    <row r="2631" spans="39:41" ht="12" customHeight="1" x14ac:dyDescent="0.2">
      <c r="AM2631" t="str">
        <f t="shared" si="41"/>
        <v>Cato [USQAC]</v>
      </c>
      <c r="AN2631" t="s">
        <v>29224</v>
      </c>
      <c r="AO2631" t="s">
        <v>29225</v>
      </c>
    </row>
    <row r="2632" spans="39:41" ht="12" customHeight="1" x14ac:dyDescent="0.2">
      <c r="AM2632" t="str">
        <f t="shared" si="41"/>
        <v>Catoira [ESCOI]</v>
      </c>
      <c r="AN2632" t="s">
        <v>9713</v>
      </c>
      <c r="AO2632" t="s">
        <v>9714</v>
      </c>
    </row>
    <row r="2633" spans="39:41" ht="12" customHeight="1" x14ac:dyDescent="0.2">
      <c r="AM2633" t="str">
        <f t="shared" si="41"/>
        <v>Catterline [GBCCE]</v>
      </c>
      <c r="AN2633" t="s">
        <v>12786</v>
      </c>
      <c r="AO2633" t="s">
        <v>12787</v>
      </c>
    </row>
    <row r="2634" spans="39:41" ht="12" customHeight="1" x14ac:dyDescent="0.2">
      <c r="AM2634" t="str">
        <f t="shared" si="41"/>
        <v>Cattolica [ITCCL]</v>
      </c>
      <c r="AN2634" t="s">
        <v>17890</v>
      </c>
      <c r="AO2634" t="s">
        <v>17891</v>
      </c>
    </row>
    <row r="2635" spans="39:41" ht="12" customHeight="1" x14ac:dyDescent="0.2">
      <c r="AM2635" t="str">
        <f t="shared" si="41"/>
        <v>Caucedo [DOCAU]</v>
      </c>
      <c r="AN2635" t="s">
        <v>8998</v>
      </c>
      <c r="AO2635" t="s">
        <v>8999</v>
      </c>
    </row>
    <row r="2636" spans="39:41" ht="12" customHeight="1" x14ac:dyDescent="0.2">
      <c r="AM2636" t="str">
        <f t="shared" si="41"/>
        <v>Caufield North [AUCUN]</v>
      </c>
      <c r="AN2636" t="s">
        <v>1545</v>
      </c>
      <c r="AO2636" t="s">
        <v>1546</v>
      </c>
    </row>
    <row r="2637" spans="39:41" ht="12" customHeight="1" x14ac:dyDescent="0.2">
      <c r="AM2637" t="str">
        <f t="shared" si="41"/>
        <v>Caumont-sur-Garonne [FRCQG]</v>
      </c>
      <c r="AN2637" t="s">
        <v>11012</v>
      </c>
      <c r="AO2637" t="s">
        <v>11013</v>
      </c>
    </row>
    <row r="2638" spans="39:41" ht="12" customHeight="1" x14ac:dyDescent="0.2">
      <c r="AM2638" t="str">
        <f t="shared" si="41"/>
        <v>Cauneille [FRUNL]</v>
      </c>
      <c r="AN2638" t="s">
        <v>11014</v>
      </c>
      <c r="AO2638" t="s">
        <v>11015</v>
      </c>
    </row>
    <row r="2639" spans="39:41" ht="12" customHeight="1" x14ac:dyDescent="0.2">
      <c r="AM2639" t="str">
        <f t="shared" si="41"/>
        <v>Causeway Bay [HKCWB]</v>
      </c>
      <c r="AN2639" t="s">
        <v>15646</v>
      </c>
      <c r="AO2639" t="s">
        <v>15647</v>
      </c>
    </row>
    <row r="2640" spans="39:41" ht="12" customHeight="1" x14ac:dyDescent="0.2">
      <c r="AM2640" t="str">
        <f t="shared" si="41"/>
        <v>Caution Bay [PGCAU]</v>
      </c>
      <c r="AN2640" t="s">
        <v>25368</v>
      </c>
      <c r="AO2640" t="s">
        <v>25369</v>
      </c>
    </row>
    <row r="2641" spans="39:41" ht="12" customHeight="1" x14ac:dyDescent="0.2">
      <c r="AM2641" t="str">
        <f t="shared" si="41"/>
        <v>Cave City [USCCS]</v>
      </c>
      <c r="AN2641" t="s">
        <v>29226</v>
      </c>
      <c r="AO2641" t="s">
        <v>29227</v>
      </c>
    </row>
    <row r="2642" spans="39:41" ht="12" customHeight="1" x14ac:dyDescent="0.2">
      <c r="AM2642" t="str">
        <f t="shared" si="41"/>
        <v>Caversham [AUCVS]</v>
      </c>
      <c r="AN2642" t="s">
        <v>1547</v>
      </c>
      <c r="AO2642" t="s">
        <v>1548</v>
      </c>
    </row>
    <row r="2643" spans="39:41" ht="12" customHeight="1" x14ac:dyDescent="0.2">
      <c r="AM2643" t="str">
        <f t="shared" si="41"/>
        <v>Cavite, Luzon [PHCVE]</v>
      </c>
      <c r="AN2643" t="s">
        <v>25691</v>
      </c>
      <c r="AO2643" t="s">
        <v>25692</v>
      </c>
    </row>
    <row r="2644" spans="39:41" ht="12" customHeight="1" x14ac:dyDescent="0.2">
      <c r="AM2644" t="str">
        <f t="shared" si="41"/>
        <v>Cavo [ITCVX]</v>
      </c>
      <c r="AN2644" t="s">
        <v>17892</v>
      </c>
      <c r="AO2644" t="s">
        <v>17893</v>
      </c>
    </row>
    <row r="2645" spans="39:41" ht="12" customHeight="1" x14ac:dyDescent="0.2">
      <c r="AM2645" t="str">
        <f t="shared" si="41"/>
        <v>Cavtat [HRCVT]</v>
      </c>
      <c r="AN2645" t="s">
        <v>15720</v>
      </c>
      <c r="AO2645" t="s">
        <v>15721</v>
      </c>
    </row>
    <row r="2646" spans="39:41" ht="12" customHeight="1" x14ac:dyDescent="0.2">
      <c r="AM2646" t="str">
        <f t="shared" si="41"/>
        <v>Cawsand [GBCNX]</v>
      </c>
      <c r="AN2646" t="s">
        <v>12788</v>
      </c>
      <c r="AO2646" t="s">
        <v>12789</v>
      </c>
    </row>
    <row r="2647" spans="39:41" ht="12" customHeight="1" x14ac:dyDescent="0.2">
      <c r="AM2647" t="str">
        <f t="shared" si="41"/>
        <v>Cayenne [GFCAY]</v>
      </c>
      <c r="AN2647" t="s">
        <v>14940</v>
      </c>
      <c r="AO2647" t="s">
        <v>14941</v>
      </c>
    </row>
    <row r="2648" spans="39:41" ht="12" customHeight="1" x14ac:dyDescent="0.2">
      <c r="AM2648" t="str">
        <f t="shared" si="41"/>
        <v>Cayo Arcas Terminal [MXCAT]</v>
      </c>
      <c r="AN2648" t="s">
        <v>22328</v>
      </c>
      <c r="AO2648" t="s">
        <v>22329</v>
      </c>
    </row>
    <row r="2649" spans="39:41" ht="12" customHeight="1" x14ac:dyDescent="0.2">
      <c r="AM2649" t="str">
        <f t="shared" si="41"/>
        <v>Cayo Levantado [DOCAL]</v>
      </c>
      <c r="AN2649" t="s">
        <v>9000</v>
      </c>
      <c r="AO2649" t="s">
        <v>9001</v>
      </c>
    </row>
    <row r="2650" spans="39:41" ht="12" customHeight="1" x14ac:dyDescent="0.2">
      <c r="AM2650" t="str">
        <f t="shared" si="41"/>
        <v>Caythorpe [GBCTP]</v>
      </c>
      <c r="AN2650" t="s">
        <v>12790</v>
      </c>
      <c r="AO2650" t="s">
        <v>12791</v>
      </c>
    </row>
    <row r="2651" spans="39:41" ht="12" customHeight="1" x14ac:dyDescent="0.2">
      <c r="AM2651" t="str">
        <f t="shared" si="41"/>
        <v>Cayucos [USYU5]</v>
      </c>
      <c r="AN2651" t="s">
        <v>29228</v>
      </c>
      <c r="AO2651" t="s">
        <v>29229</v>
      </c>
    </row>
    <row r="2652" spans="39:41" ht="12" customHeight="1" x14ac:dyDescent="0.2">
      <c r="AM2652" t="str">
        <f t="shared" si="41"/>
        <v>Cazenovia [USZCZ]</v>
      </c>
      <c r="AN2652" t="s">
        <v>29230</v>
      </c>
      <c r="AO2652" t="s">
        <v>29231</v>
      </c>
    </row>
    <row r="2653" spans="39:41" ht="12" customHeight="1" x14ac:dyDescent="0.2">
      <c r="AM2653" t="str">
        <f t="shared" si="41"/>
        <v>Cazin [BA4CA]</v>
      </c>
      <c r="AN2653" t="s">
        <v>2166</v>
      </c>
      <c r="AO2653" t="s">
        <v>2167</v>
      </c>
    </row>
    <row r="2654" spans="39:41" ht="12" customHeight="1" x14ac:dyDescent="0.2">
      <c r="AM2654" t="str">
        <f t="shared" si="41"/>
        <v>Ceann a Gharaidh, Eriskay [GBCAG]</v>
      </c>
      <c r="AN2654" t="s">
        <v>12792</v>
      </c>
      <c r="AO2654" t="s">
        <v>12793</v>
      </c>
    </row>
    <row r="2655" spans="39:41" ht="12" customHeight="1" x14ac:dyDescent="0.2">
      <c r="AM2655" t="str">
        <f t="shared" si="41"/>
        <v>Ceara Mirim [BRCEA]</v>
      </c>
      <c r="AN2655" t="s">
        <v>3291</v>
      </c>
      <c r="AO2655" t="s">
        <v>3292</v>
      </c>
    </row>
    <row r="2656" spans="39:41" ht="12" customHeight="1" x14ac:dyDescent="0.2">
      <c r="AM2656" t="str">
        <f t="shared" si="41"/>
        <v>Cebolla [ESEBO]</v>
      </c>
      <c r="AN2656" t="s">
        <v>9715</v>
      </c>
      <c r="AO2656" t="s">
        <v>9716</v>
      </c>
    </row>
    <row r="2657" spans="39:41" ht="12" customHeight="1" x14ac:dyDescent="0.2">
      <c r="AM2657" t="str">
        <f t="shared" si="41"/>
        <v>Cebu [PHCEB]</v>
      </c>
      <c r="AN2657" t="s">
        <v>25693</v>
      </c>
      <c r="AO2657" t="s">
        <v>25694</v>
      </c>
    </row>
    <row r="2658" spans="39:41" ht="12" customHeight="1" x14ac:dyDescent="0.2">
      <c r="AM2658" t="str">
        <f t="shared" si="41"/>
        <v>Cecina [ITCEC]</v>
      </c>
      <c r="AN2658" t="s">
        <v>17894</v>
      </c>
      <c r="AO2658" t="s">
        <v>17895</v>
      </c>
    </row>
    <row r="2659" spans="39:41" ht="12" customHeight="1" x14ac:dyDescent="0.2">
      <c r="AM2659" t="str">
        <f t="shared" si="41"/>
        <v>Cedar Bluffs [USC3B]</v>
      </c>
      <c r="AN2659" t="s">
        <v>29232</v>
      </c>
      <c r="AO2659" t="s">
        <v>29233</v>
      </c>
    </row>
    <row r="2660" spans="39:41" ht="12" customHeight="1" x14ac:dyDescent="0.2">
      <c r="AM2660" t="str">
        <f t="shared" si="41"/>
        <v>Cedar Grove [USYCG]</v>
      </c>
      <c r="AN2660" t="s">
        <v>29234</v>
      </c>
      <c r="AO2660" t="s">
        <v>29235</v>
      </c>
    </row>
    <row r="2661" spans="39:41" ht="12" customHeight="1" x14ac:dyDescent="0.2">
      <c r="AM2661" t="str">
        <f t="shared" si="41"/>
        <v>Cedar Grove [USXZA]</v>
      </c>
      <c r="AN2661" t="s">
        <v>29236</v>
      </c>
      <c r="AO2661" t="s">
        <v>29235</v>
      </c>
    </row>
    <row r="2662" spans="39:41" ht="12" customHeight="1" x14ac:dyDescent="0.2">
      <c r="AM2662" t="str">
        <f t="shared" si="41"/>
        <v>Cedar Lake [USCDU]</v>
      </c>
      <c r="AN2662" t="s">
        <v>29237</v>
      </c>
      <c r="AO2662" t="s">
        <v>29238</v>
      </c>
    </row>
    <row r="2663" spans="39:41" ht="12" customHeight="1" x14ac:dyDescent="0.2">
      <c r="AM2663" t="str">
        <f t="shared" si="41"/>
        <v>Cedar River [USDIV]</v>
      </c>
      <c r="AN2663" t="s">
        <v>29239</v>
      </c>
      <c r="AO2663" t="s">
        <v>29240</v>
      </c>
    </row>
    <row r="2664" spans="39:41" ht="12" customHeight="1" x14ac:dyDescent="0.2">
      <c r="AM2664" t="str">
        <f t="shared" si="41"/>
        <v>Cedeira [ESCED]</v>
      </c>
      <c r="AN2664" t="s">
        <v>9717</v>
      </c>
      <c r="AO2664" t="s">
        <v>9718</v>
      </c>
    </row>
    <row r="2665" spans="39:41" ht="12" customHeight="1" x14ac:dyDescent="0.2">
      <c r="AM2665" t="str">
        <f t="shared" si="41"/>
        <v>Cedros [MXCED]</v>
      </c>
      <c r="AN2665" t="s">
        <v>22330</v>
      </c>
      <c r="AO2665" t="s">
        <v>22331</v>
      </c>
    </row>
    <row r="2666" spans="39:41" ht="12" customHeight="1" x14ac:dyDescent="0.2">
      <c r="AM2666" t="str">
        <f t="shared" si="41"/>
        <v>Cedros Island [MXCRI]</v>
      </c>
      <c r="AN2666" t="s">
        <v>22332</v>
      </c>
      <c r="AO2666" t="s">
        <v>22333</v>
      </c>
    </row>
    <row r="2667" spans="39:41" ht="12" customHeight="1" x14ac:dyDescent="0.2">
      <c r="AM2667" t="str">
        <f t="shared" si="41"/>
        <v>Cee [ESCEE]</v>
      </c>
      <c r="AN2667" t="s">
        <v>9719</v>
      </c>
      <c r="AO2667" t="s">
        <v>9720</v>
      </c>
    </row>
    <row r="2668" spans="39:41" ht="12" customHeight="1" x14ac:dyDescent="0.2">
      <c r="AM2668" t="str">
        <f t="shared" si="41"/>
        <v>Cefalu [ITCFU]</v>
      </c>
      <c r="AN2668" t="s">
        <v>17896</v>
      </c>
      <c r="AO2668" t="s">
        <v>36075</v>
      </c>
    </row>
    <row r="2669" spans="39:41" ht="12" customHeight="1" x14ac:dyDescent="0.2">
      <c r="AM2669" t="str">
        <f t="shared" si="41"/>
        <v>Cefn-Mawr [GBCMA]</v>
      </c>
      <c r="AN2669" t="s">
        <v>12794</v>
      </c>
      <c r="AO2669" t="s">
        <v>12795</v>
      </c>
    </row>
    <row r="2670" spans="39:41" ht="12" customHeight="1" x14ac:dyDescent="0.2">
      <c r="AM2670" t="str">
        <f t="shared" si="41"/>
        <v>Ceiba Hueca [CUCEI]</v>
      </c>
      <c r="AN2670" t="s">
        <v>6678</v>
      </c>
      <c r="AO2670" t="s">
        <v>6679</v>
      </c>
    </row>
    <row r="2671" spans="39:41" ht="12" customHeight="1" x14ac:dyDescent="0.2">
      <c r="AM2671" t="str">
        <f t="shared" si="41"/>
        <v>Ceinewydd (New Quay) [GBCEI]</v>
      </c>
      <c r="AN2671" t="s">
        <v>12796</v>
      </c>
      <c r="AO2671" t="s">
        <v>12797</v>
      </c>
    </row>
    <row r="2672" spans="39:41" ht="12" customHeight="1" x14ac:dyDescent="0.2">
      <c r="AM2672" t="str">
        <f t="shared" si="41"/>
        <v>Celeiro [ESCEL]</v>
      </c>
      <c r="AN2672" t="s">
        <v>9721</v>
      </c>
      <c r="AO2672" t="s">
        <v>35668</v>
      </c>
    </row>
    <row r="2673" spans="39:41" ht="12" customHeight="1" x14ac:dyDescent="0.2">
      <c r="AM2673" t="str">
        <f t="shared" si="41"/>
        <v>Cellardyke [GBCEL]</v>
      </c>
      <c r="AN2673" t="s">
        <v>12798</v>
      </c>
      <c r="AO2673" t="s">
        <v>12799</v>
      </c>
    </row>
    <row r="2674" spans="39:41" ht="12" customHeight="1" x14ac:dyDescent="0.2">
      <c r="AM2674" t="str">
        <f t="shared" si="41"/>
        <v>Celukan Bawang, Bl [IDCEB]</v>
      </c>
      <c r="AN2674" t="s">
        <v>16229</v>
      </c>
      <c r="AO2674" t="s">
        <v>16230</v>
      </c>
    </row>
    <row r="2675" spans="39:41" ht="12" customHeight="1" x14ac:dyDescent="0.2">
      <c r="AM2675" t="str">
        <f t="shared" si="41"/>
        <v>Cemaes Bay [GBCEB]</v>
      </c>
      <c r="AN2675" t="s">
        <v>12800</v>
      </c>
      <c r="AO2675" t="s">
        <v>12801</v>
      </c>
    </row>
    <row r="2676" spans="39:41" ht="12" customHeight="1" x14ac:dyDescent="0.2">
      <c r="AM2676" t="str">
        <f t="shared" si="41"/>
        <v>Cementfabriken Dania [DKDAN]</v>
      </c>
      <c r="AN2676" t="s">
        <v>8650</v>
      </c>
      <c r="AO2676" t="s">
        <v>8651</v>
      </c>
    </row>
    <row r="2677" spans="39:41" ht="12" customHeight="1" x14ac:dyDescent="0.2">
      <c r="AM2677" t="str">
        <f t="shared" si="41"/>
        <v>Cementfabrikken Kongsdal Havn [DKKON]</v>
      </c>
      <c r="AN2677" t="s">
        <v>8652</v>
      </c>
      <c r="AO2677" t="s">
        <v>8653</v>
      </c>
    </row>
    <row r="2678" spans="39:41" ht="12" customHeight="1" x14ac:dyDescent="0.2">
      <c r="AM2678" t="str">
        <f t="shared" si="41"/>
        <v>Cendor [MYCEN]</v>
      </c>
      <c r="AN2678" t="s">
        <v>22544</v>
      </c>
      <c r="AO2678" t="s">
        <v>22545</v>
      </c>
    </row>
    <row r="2679" spans="39:41" ht="12" customHeight="1" x14ac:dyDescent="0.2">
      <c r="AM2679" t="str">
        <f t="shared" si="41"/>
        <v>Cendrecourt [FRCQD]</v>
      </c>
      <c r="AN2679" t="s">
        <v>11016</v>
      </c>
      <c r="AO2679" t="s">
        <v>11017</v>
      </c>
    </row>
    <row r="2680" spans="39:41" ht="12" customHeight="1" x14ac:dyDescent="0.2">
      <c r="AM2680" t="str">
        <f t="shared" si="41"/>
        <v>Center Hill [USZRH]</v>
      </c>
      <c r="AN2680" t="s">
        <v>29241</v>
      </c>
      <c r="AO2680" t="s">
        <v>29242</v>
      </c>
    </row>
    <row r="2681" spans="39:41" ht="12" customHeight="1" x14ac:dyDescent="0.2">
      <c r="AM2681" t="str">
        <f t="shared" si="41"/>
        <v>Center Valley [USCWQ]</v>
      </c>
      <c r="AN2681" t="s">
        <v>29243</v>
      </c>
      <c r="AO2681" t="s">
        <v>29244</v>
      </c>
    </row>
    <row r="2682" spans="39:41" ht="12" customHeight="1" x14ac:dyDescent="0.2">
      <c r="AM2682" t="str">
        <f t="shared" si="41"/>
        <v>Centerburg [USCBS]</v>
      </c>
      <c r="AN2682" t="s">
        <v>29245</v>
      </c>
      <c r="AO2682" t="s">
        <v>29246</v>
      </c>
    </row>
    <row r="2683" spans="39:41" ht="12" customHeight="1" x14ac:dyDescent="0.2">
      <c r="AM2683" t="str">
        <f t="shared" si="41"/>
        <v>Centerville [USL99]</v>
      </c>
      <c r="AN2683" t="s">
        <v>29247</v>
      </c>
      <c r="AO2683" t="s">
        <v>29248</v>
      </c>
    </row>
    <row r="2684" spans="39:41" ht="12" customHeight="1" x14ac:dyDescent="0.2">
      <c r="AM2684" t="str">
        <f t="shared" si="41"/>
        <v>Centerville [USCWF]</v>
      </c>
      <c r="AN2684" t="s">
        <v>29249</v>
      </c>
      <c r="AO2684" t="s">
        <v>29248</v>
      </c>
    </row>
    <row r="2685" spans="39:41" ht="12" customHeight="1" x14ac:dyDescent="0.2">
      <c r="AM2685" t="str">
        <f t="shared" si="41"/>
        <v>Centerville [USETI]</v>
      </c>
      <c r="AN2685" t="s">
        <v>29250</v>
      </c>
      <c r="AO2685" t="s">
        <v>29248</v>
      </c>
    </row>
    <row r="2686" spans="39:41" ht="12" customHeight="1" x14ac:dyDescent="0.2">
      <c r="AM2686" t="str">
        <f t="shared" ref="AM2686:AM2749" si="42">AO2686 &amp; " [" &amp; AN2686 &amp; "]"</f>
        <v>Central Mainland (Shetland) [GBCNM]</v>
      </c>
      <c r="AN2686" t="s">
        <v>12802</v>
      </c>
      <c r="AO2686" t="s">
        <v>12803</v>
      </c>
    </row>
    <row r="2687" spans="39:41" ht="12" customHeight="1" x14ac:dyDescent="0.2">
      <c r="AM2687" t="str">
        <f t="shared" si="42"/>
        <v>Central Point [USYCP]</v>
      </c>
      <c r="AN2687" t="s">
        <v>29251</v>
      </c>
      <c r="AO2687" t="s">
        <v>29252</v>
      </c>
    </row>
    <row r="2688" spans="39:41" ht="12" customHeight="1" x14ac:dyDescent="0.2">
      <c r="AM2688" t="str">
        <f t="shared" si="42"/>
        <v>Centralia [USZCT]</v>
      </c>
      <c r="AN2688" t="s">
        <v>29253</v>
      </c>
      <c r="AO2688" t="s">
        <v>29254</v>
      </c>
    </row>
    <row r="2689" spans="39:41" ht="12" customHeight="1" x14ac:dyDescent="0.2">
      <c r="AM2689" t="str">
        <f t="shared" si="42"/>
        <v>Centre Hall [USVVZ]</v>
      </c>
      <c r="AN2689" t="s">
        <v>29255</v>
      </c>
      <c r="AO2689" t="s">
        <v>29256</v>
      </c>
    </row>
    <row r="2690" spans="39:41" ht="12" customHeight="1" x14ac:dyDescent="0.2">
      <c r="AM2690" t="str">
        <f t="shared" si="42"/>
        <v>Cepi [CZCEP]</v>
      </c>
      <c r="AN2690" t="s">
        <v>6794</v>
      </c>
      <c r="AO2690" t="s">
        <v>6795</v>
      </c>
    </row>
    <row r="2691" spans="39:41" ht="12" customHeight="1" x14ac:dyDescent="0.2">
      <c r="AM2691" t="str">
        <f t="shared" si="42"/>
        <v>Cepoy [FRCJO]</v>
      </c>
      <c r="AN2691" t="s">
        <v>11018</v>
      </c>
      <c r="AO2691" t="s">
        <v>11019</v>
      </c>
    </row>
    <row r="2692" spans="39:41" ht="12" customHeight="1" x14ac:dyDescent="0.2">
      <c r="AM2692" t="str">
        <f t="shared" si="42"/>
        <v>Ceredo [USW6T]</v>
      </c>
      <c r="AN2692" t="s">
        <v>29257</v>
      </c>
      <c r="AO2692" t="s">
        <v>29258</v>
      </c>
    </row>
    <row r="2693" spans="39:41" ht="12" customHeight="1" x14ac:dyDescent="0.2">
      <c r="AM2693" t="str">
        <f t="shared" si="42"/>
        <v>Cereweh [IDCER]</v>
      </c>
      <c r="AN2693" t="s">
        <v>16231</v>
      </c>
      <c r="AO2693" t="s">
        <v>16232</v>
      </c>
    </row>
    <row r="2694" spans="39:41" ht="12" customHeight="1" x14ac:dyDescent="0.2">
      <c r="AM2694" t="str">
        <f t="shared" si="42"/>
        <v>Cernavoda [ROCEV]</v>
      </c>
      <c r="AN2694" t="s">
        <v>26734</v>
      </c>
      <c r="AO2694" t="s">
        <v>26735</v>
      </c>
    </row>
    <row r="2695" spans="39:41" ht="12" customHeight="1" x14ac:dyDescent="0.2">
      <c r="AM2695" t="str">
        <f t="shared" si="42"/>
        <v>Cerons [FRCCN]</v>
      </c>
      <c r="AN2695" t="s">
        <v>11020</v>
      </c>
      <c r="AO2695" t="s">
        <v>35786</v>
      </c>
    </row>
    <row r="2696" spans="39:41" ht="12" customHeight="1" x14ac:dyDescent="0.2">
      <c r="AM2696" t="str">
        <f t="shared" si="42"/>
        <v>Cerro Gordo [USCGJ]</v>
      </c>
      <c r="AN2696" t="s">
        <v>29259</v>
      </c>
      <c r="AO2696" t="s">
        <v>29260</v>
      </c>
    </row>
    <row r="2697" spans="39:41" ht="12" customHeight="1" x14ac:dyDescent="0.2">
      <c r="AM2697" t="str">
        <f t="shared" si="42"/>
        <v>Cers [FRER5]</v>
      </c>
      <c r="AN2697" t="s">
        <v>11021</v>
      </c>
      <c r="AO2697" t="s">
        <v>11022</v>
      </c>
    </row>
    <row r="2698" spans="39:41" ht="12" customHeight="1" x14ac:dyDescent="0.2">
      <c r="AM2698" t="str">
        <f t="shared" si="42"/>
        <v>Cervena Voda [CZC7V]</v>
      </c>
      <c r="AN2698" t="s">
        <v>6796</v>
      </c>
      <c r="AO2698" t="s">
        <v>35394</v>
      </c>
    </row>
    <row r="2699" spans="39:41" ht="12" customHeight="1" x14ac:dyDescent="0.2">
      <c r="AM2699" t="str">
        <f t="shared" si="42"/>
        <v>Cervia [ITCEV]</v>
      </c>
      <c r="AN2699" t="s">
        <v>17897</v>
      </c>
      <c r="AO2699" t="s">
        <v>17898</v>
      </c>
    </row>
    <row r="2700" spans="39:41" ht="12" customHeight="1" x14ac:dyDescent="0.2">
      <c r="AM2700" t="str">
        <f t="shared" si="42"/>
        <v>Cesenatico [ITCNT]</v>
      </c>
      <c r="AN2700" t="s">
        <v>17899</v>
      </c>
      <c r="AO2700" t="s">
        <v>17900</v>
      </c>
    </row>
    <row r="2701" spans="39:41" ht="12" customHeight="1" x14ac:dyDescent="0.2">
      <c r="AM2701" t="str">
        <f t="shared" si="42"/>
        <v>Ceska Ves [CZCEV]</v>
      </c>
      <c r="AN2701" t="s">
        <v>6797</v>
      </c>
      <c r="AO2701" t="s">
        <v>35395</v>
      </c>
    </row>
    <row r="2702" spans="39:41" ht="12" customHeight="1" x14ac:dyDescent="0.2">
      <c r="AM2702" t="str">
        <f t="shared" si="42"/>
        <v>Cesme [TRCES]</v>
      </c>
      <c r="AN2702" t="s">
        <v>28438</v>
      </c>
      <c r="AO2702" t="s">
        <v>36568</v>
      </c>
    </row>
    <row r="2703" spans="39:41" ht="12" customHeight="1" x14ac:dyDescent="0.2">
      <c r="AM2703" t="str">
        <f t="shared" si="42"/>
        <v>Cetara [ITTAA]</v>
      </c>
      <c r="AN2703" t="s">
        <v>17901</v>
      </c>
      <c r="AO2703" t="s">
        <v>17902</v>
      </c>
    </row>
    <row r="2704" spans="39:41" ht="12" customHeight="1" x14ac:dyDescent="0.2">
      <c r="AM2704" t="str">
        <f t="shared" si="42"/>
        <v>Cetraro [ITCCQ]</v>
      </c>
      <c r="AN2704" t="s">
        <v>17903</v>
      </c>
      <c r="AO2704" t="s">
        <v>17904</v>
      </c>
    </row>
    <row r="2705" spans="39:41" ht="12" customHeight="1" x14ac:dyDescent="0.2">
      <c r="AM2705" t="str">
        <f t="shared" si="42"/>
        <v>Ceuta [ESCEU]</v>
      </c>
      <c r="AN2705" t="s">
        <v>9722</v>
      </c>
      <c r="AO2705" t="s">
        <v>9723</v>
      </c>
    </row>
    <row r="2706" spans="39:41" ht="12" customHeight="1" x14ac:dyDescent="0.2">
      <c r="AM2706" t="str">
        <f t="shared" si="42"/>
        <v>Ceyhan [TRCEY]</v>
      </c>
      <c r="AN2706" t="s">
        <v>37170</v>
      </c>
      <c r="AO2706" t="s">
        <v>37171</v>
      </c>
    </row>
    <row r="2707" spans="39:41" ht="12" customHeight="1" x14ac:dyDescent="0.2">
      <c r="AM2707" t="str">
        <f t="shared" si="42"/>
        <v>Chacabuco [CLCHB]</v>
      </c>
      <c r="AN2707" t="s">
        <v>4844</v>
      </c>
      <c r="AO2707" t="s">
        <v>4845</v>
      </c>
    </row>
    <row r="2708" spans="39:41" ht="12" customHeight="1" x14ac:dyDescent="0.2">
      <c r="AM2708" t="str">
        <f t="shared" si="42"/>
        <v>Chacao [CLCCA]</v>
      </c>
      <c r="AN2708" t="s">
        <v>4846</v>
      </c>
      <c r="AO2708" t="s">
        <v>4847</v>
      </c>
    </row>
    <row r="2709" spans="39:41" ht="12" customHeight="1" x14ac:dyDescent="0.2">
      <c r="AM2709" t="str">
        <f t="shared" si="42"/>
        <v>Chaguaramas [TTCHA]</v>
      </c>
      <c r="AN2709" t="s">
        <v>28631</v>
      </c>
      <c r="AO2709" t="s">
        <v>28632</v>
      </c>
    </row>
    <row r="2710" spans="39:41" ht="12" customHeight="1" x14ac:dyDescent="0.2">
      <c r="AM2710" t="str">
        <f t="shared" si="42"/>
        <v>Chah Bahar [IRZBR]</v>
      </c>
      <c r="AN2710" t="s">
        <v>17621</v>
      </c>
      <c r="AO2710" t="s">
        <v>17622</v>
      </c>
    </row>
    <row r="2711" spans="39:41" ht="12" customHeight="1" x14ac:dyDescent="0.2">
      <c r="AM2711" t="str">
        <f t="shared" si="42"/>
        <v>Chailly-sur-Armancon [FRYXA]</v>
      </c>
      <c r="AN2711" t="s">
        <v>11023</v>
      </c>
      <c r="AO2711" t="s">
        <v>35787</v>
      </c>
    </row>
    <row r="2712" spans="39:41" ht="12" customHeight="1" x14ac:dyDescent="0.2">
      <c r="AM2712" t="str">
        <f t="shared" si="42"/>
        <v>Chaiten [CLWCH]</v>
      </c>
      <c r="AN2712" t="s">
        <v>4848</v>
      </c>
      <c r="AO2712" t="s">
        <v>35349</v>
      </c>
    </row>
    <row r="2713" spans="39:41" ht="12" customHeight="1" x14ac:dyDescent="0.2">
      <c r="AM2713" t="str">
        <f t="shared" si="42"/>
        <v>Chalkida [GRCLK]</v>
      </c>
      <c r="AN2713" t="s">
        <v>15165</v>
      </c>
      <c r="AO2713" t="s">
        <v>15166</v>
      </c>
    </row>
    <row r="2714" spans="39:41" ht="12" customHeight="1" x14ac:dyDescent="0.2">
      <c r="AM2714" t="str">
        <f t="shared" si="42"/>
        <v>Challis Venture (oil terminal) [AUCHV]</v>
      </c>
      <c r="AN2714" t="s">
        <v>1549</v>
      </c>
      <c r="AO2714" t="s">
        <v>1550</v>
      </c>
    </row>
    <row r="2715" spans="39:41" ht="12" customHeight="1" x14ac:dyDescent="0.2">
      <c r="AM2715" t="str">
        <f t="shared" si="42"/>
        <v>Chalmette [USCLQ]</v>
      </c>
      <c r="AN2715" t="s">
        <v>29261</v>
      </c>
      <c r="AO2715" t="s">
        <v>29262</v>
      </c>
    </row>
    <row r="2716" spans="39:41" ht="12" customHeight="1" x14ac:dyDescent="0.2">
      <c r="AM2716" t="str">
        <f t="shared" si="42"/>
        <v>Chalna [BDCHL]</v>
      </c>
      <c r="AN2716" t="s">
        <v>2194</v>
      </c>
      <c r="AO2716" t="s">
        <v>2195</v>
      </c>
    </row>
    <row r="2717" spans="39:41" ht="12" customHeight="1" x14ac:dyDescent="0.2">
      <c r="AM2717" t="str">
        <f t="shared" si="42"/>
        <v>Chalons-en-Champagne [FRCSM]</v>
      </c>
      <c r="AN2717" t="s">
        <v>11024</v>
      </c>
      <c r="AO2717" t="s">
        <v>35788</v>
      </c>
    </row>
    <row r="2718" spans="39:41" ht="12" customHeight="1" x14ac:dyDescent="0.2">
      <c r="AM2718" t="str">
        <f t="shared" si="42"/>
        <v>Chalon-sur-Saone [FRCSS]</v>
      </c>
      <c r="AN2718" t="s">
        <v>11025</v>
      </c>
      <c r="AO2718" t="s">
        <v>35789</v>
      </c>
    </row>
    <row r="2719" spans="39:41" ht="12" customHeight="1" x14ac:dyDescent="0.2">
      <c r="AM2719" t="str">
        <f t="shared" si="42"/>
        <v>Cham [CHHHM]</v>
      </c>
      <c r="AN2719" t="s">
        <v>4668</v>
      </c>
      <c r="AO2719" t="s">
        <v>4669</v>
      </c>
    </row>
    <row r="2720" spans="39:41" ht="12" customHeight="1" x14ac:dyDescent="0.2">
      <c r="AM2720" t="str">
        <f t="shared" si="42"/>
        <v>Chamblanc [FRCMC]</v>
      </c>
      <c r="AN2720" t="s">
        <v>11026</v>
      </c>
      <c r="AO2720" t="s">
        <v>11027</v>
      </c>
    </row>
    <row r="2721" spans="39:41" ht="12" customHeight="1" x14ac:dyDescent="0.2">
      <c r="AM2721" t="str">
        <f t="shared" si="42"/>
        <v>Chamgu [RUCHA]</v>
      </c>
      <c r="AN2721" t="s">
        <v>26909</v>
      </c>
      <c r="AO2721" t="s">
        <v>26910</v>
      </c>
    </row>
    <row r="2722" spans="39:41" ht="12" customHeight="1" x14ac:dyDescent="0.2">
      <c r="AM2722" t="str">
        <f t="shared" si="42"/>
        <v>Chamilly [FRCYI]</v>
      </c>
      <c r="AN2722" t="s">
        <v>11028</v>
      </c>
      <c r="AO2722" t="s">
        <v>11029</v>
      </c>
    </row>
    <row r="2723" spans="39:41" ht="12" customHeight="1" x14ac:dyDescent="0.2">
      <c r="AM2723" t="str">
        <f t="shared" si="42"/>
        <v>Champerico [GTCHR]</v>
      </c>
      <c r="AN2723" t="s">
        <v>15590</v>
      </c>
      <c r="AO2723" t="s">
        <v>15591</v>
      </c>
    </row>
    <row r="2724" spans="39:41" ht="12" customHeight="1" x14ac:dyDescent="0.2">
      <c r="AM2724" t="str">
        <f t="shared" si="42"/>
        <v>Champlin [USNMH]</v>
      </c>
      <c r="AN2724" t="s">
        <v>29263</v>
      </c>
      <c r="AO2724" t="s">
        <v>29264</v>
      </c>
    </row>
    <row r="2725" spans="39:41" ht="12" customHeight="1" x14ac:dyDescent="0.2">
      <c r="AM2725" t="str">
        <f t="shared" si="42"/>
        <v>Champ-sur-Layon [FRN7E]</v>
      </c>
      <c r="AN2725" t="s">
        <v>11030</v>
      </c>
      <c r="AO2725" t="s">
        <v>11031</v>
      </c>
    </row>
    <row r="2726" spans="39:41" ht="12" customHeight="1" x14ac:dyDescent="0.2">
      <c r="AM2726" t="str">
        <f t="shared" si="42"/>
        <v>Chan May Port [VNCMY]</v>
      </c>
      <c r="AN2726" t="s">
        <v>32337</v>
      </c>
      <c r="AO2726" t="s">
        <v>32338</v>
      </c>
    </row>
    <row r="2727" spans="39:41" ht="12" customHeight="1" x14ac:dyDescent="0.2">
      <c r="AM2727" t="str">
        <f t="shared" si="42"/>
        <v>Chanaral [CLCNR]</v>
      </c>
      <c r="AN2727" t="s">
        <v>4849</v>
      </c>
      <c r="AO2727" t="s">
        <v>35350</v>
      </c>
    </row>
    <row r="2728" spans="39:41" ht="12" customHeight="1" x14ac:dyDescent="0.2">
      <c r="AM2728" t="str">
        <f t="shared" si="42"/>
        <v>Chancay [PECHY]</v>
      </c>
      <c r="AN2728" t="s">
        <v>25241</v>
      </c>
      <c r="AO2728" t="s">
        <v>25242</v>
      </c>
    </row>
    <row r="2729" spans="39:41" ht="12" customHeight="1" x14ac:dyDescent="0.2">
      <c r="AM2729" t="str">
        <f t="shared" si="42"/>
        <v>Chandbali [INCBL]</v>
      </c>
      <c r="AN2729" t="s">
        <v>17080</v>
      </c>
      <c r="AO2729" t="s">
        <v>17081</v>
      </c>
    </row>
    <row r="2730" spans="39:41" ht="12" customHeight="1" x14ac:dyDescent="0.2">
      <c r="AM2730" t="str">
        <f t="shared" si="42"/>
        <v>Chandler [CACHR]</v>
      </c>
      <c r="AN2730" t="s">
        <v>3696</v>
      </c>
      <c r="AO2730" t="s">
        <v>3697</v>
      </c>
    </row>
    <row r="2731" spans="39:41" ht="12" customHeight="1" x14ac:dyDescent="0.2">
      <c r="AM2731" t="str">
        <f t="shared" si="42"/>
        <v>Changdianhekou [CNCDH]</v>
      </c>
      <c r="AN2731" t="s">
        <v>5096</v>
      </c>
      <c r="AO2731" t="s">
        <v>5097</v>
      </c>
    </row>
    <row r="2732" spans="39:41" ht="12" customHeight="1" x14ac:dyDescent="0.2">
      <c r="AM2732" t="str">
        <f t="shared" si="42"/>
        <v>Change Islands [CACIL]</v>
      </c>
      <c r="AN2732" t="s">
        <v>3698</v>
      </c>
      <c r="AO2732" t="s">
        <v>3699</v>
      </c>
    </row>
    <row r="2733" spans="39:41" ht="12" customHeight="1" x14ac:dyDescent="0.2">
      <c r="AM2733" t="str">
        <f t="shared" si="42"/>
        <v>Changhua [CNCAH]</v>
      </c>
      <c r="AN2733" t="s">
        <v>5098</v>
      </c>
      <c r="AO2733" t="s">
        <v>5099</v>
      </c>
    </row>
    <row r="2734" spans="39:41" ht="12" customHeight="1" x14ac:dyDescent="0.2">
      <c r="AM2734" t="str">
        <f t="shared" si="42"/>
        <v>Changi [SGCHG]</v>
      </c>
      <c r="AN2734" t="s">
        <v>27961</v>
      </c>
      <c r="AO2734" t="s">
        <v>27962</v>
      </c>
    </row>
    <row r="2735" spans="39:41" ht="12" customHeight="1" x14ac:dyDescent="0.2">
      <c r="AM2735" t="str">
        <f t="shared" si="42"/>
        <v>Changjing [CNCGJ]</v>
      </c>
      <c r="AN2735" t="s">
        <v>5100</v>
      </c>
      <c r="AO2735" t="s">
        <v>5101</v>
      </c>
    </row>
    <row r="2736" spans="39:41" ht="12" customHeight="1" x14ac:dyDescent="0.2">
      <c r="AM2736" t="str">
        <f t="shared" si="42"/>
        <v>Changsha [CNCSH]</v>
      </c>
      <c r="AN2736" t="s">
        <v>35369</v>
      </c>
      <c r="AO2736" t="s">
        <v>35370</v>
      </c>
    </row>
    <row r="2737" spans="39:41" ht="12" customHeight="1" x14ac:dyDescent="0.2">
      <c r="AM2737" t="str">
        <f t="shared" si="42"/>
        <v>Changshou [CNCSJ]</v>
      </c>
      <c r="AN2737" t="s">
        <v>5102</v>
      </c>
      <c r="AO2737" t="s">
        <v>5103</v>
      </c>
    </row>
    <row r="2738" spans="39:41" ht="12" customHeight="1" x14ac:dyDescent="0.2">
      <c r="AM2738" t="str">
        <f t="shared" si="42"/>
        <v>Changshou [CNCSO]</v>
      </c>
      <c r="AN2738" t="s">
        <v>5104</v>
      </c>
      <c r="AO2738" t="s">
        <v>5103</v>
      </c>
    </row>
    <row r="2739" spans="39:41" ht="12" customHeight="1" x14ac:dyDescent="0.2">
      <c r="AM2739" t="str">
        <f t="shared" si="42"/>
        <v>Changshu Pt [CNCGS]</v>
      </c>
      <c r="AN2739" t="s">
        <v>5105</v>
      </c>
      <c r="AO2739" t="s">
        <v>5106</v>
      </c>
    </row>
    <row r="2740" spans="39:41" ht="12" customHeight="1" x14ac:dyDescent="0.2">
      <c r="AM2740" t="str">
        <f t="shared" si="42"/>
        <v>Changzhou Pt [CNCZX]</v>
      </c>
      <c r="AN2740" t="s">
        <v>5107</v>
      </c>
      <c r="AO2740" t="s">
        <v>5108</v>
      </c>
    </row>
    <row r="2741" spans="39:41" ht="12" customHeight="1" x14ac:dyDescent="0.2">
      <c r="AM2741" t="str">
        <f t="shared" si="42"/>
        <v>Chania [GRCHQ]</v>
      </c>
      <c r="AN2741" t="s">
        <v>15167</v>
      </c>
      <c r="AO2741" t="s">
        <v>15168</v>
      </c>
    </row>
    <row r="2742" spans="39:41" ht="12" customHeight="1" x14ac:dyDescent="0.2">
      <c r="AM2742" t="str">
        <f t="shared" si="42"/>
        <v>Channel-Port aux Basques [CAPBQ]</v>
      </c>
      <c r="AN2742" t="s">
        <v>3700</v>
      </c>
      <c r="AO2742" t="s">
        <v>3701</v>
      </c>
    </row>
    <row r="2743" spans="39:41" ht="12" customHeight="1" x14ac:dyDescent="0.2">
      <c r="AM2743" t="str">
        <f t="shared" si="42"/>
        <v>Channes [FRNNH]</v>
      </c>
      <c r="AN2743" t="s">
        <v>11032</v>
      </c>
      <c r="AO2743" t="s">
        <v>11033</v>
      </c>
    </row>
    <row r="2744" spans="39:41" ht="12" customHeight="1" x14ac:dyDescent="0.2">
      <c r="AM2744" t="str">
        <f t="shared" si="42"/>
        <v>Chanos-Curson [FRC26]</v>
      </c>
      <c r="AN2744" t="s">
        <v>11034</v>
      </c>
      <c r="AO2744" t="s">
        <v>11035</v>
      </c>
    </row>
    <row r="2745" spans="39:41" ht="12" customHeight="1" x14ac:dyDescent="0.2">
      <c r="AM2745" t="str">
        <f t="shared" si="42"/>
        <v>Chanthaburi [THCHA]</v>
      </c>
      <c r="AN2745" t="s">
        <v>28224</v>
      </c>
      <c r="AO2745" t="s">
        <v>28225</v>
      </c>
    </row>
    <row r="2746" spans="39:41" ht="12" customHeight="1" x14ac:dyDescent="0.2">
      <c r="AM2746" t="str">
        <f t="shared" si="42"/>
        <v>Chantillon-Coligny [FRTCJ]</v>
      </c>
      <c r="AN2746" t="s">
        <v>11036</v>
      </c>
      <c r="AO2746" t="s">
        <v>11037</v>
      </c>
    </row>
    <row r="2747" spans="39:41" ht="12" customHeight="1" x14ac:dyDescent="0.2">
      <c r="AM2747" t="str">
        <f t="shared" si="42"/>
        <v>Chaohu [CNCHU]</v>
      </c>
      <c r="AN2747" t="s">
        <v>5109</v>
      </c>
      <c r="AO2747" t="s">
        <v>5110</v>
      </c>
    </row>
    <row r="2748" spans="39:41" ht="12" customHeight="1" x14ac:dyDescent="0.2">
      <c r="AM2748" t="str">
        <f t="shared" si="42"/>
        <v>Chaoyang Pt [CNCHY]</v>
      </c>
      <c r="AN2748" t="s">
        <v>5111</v>
      </c>
      <c r="AO2748" t="s">
        <v>5112</v>
      </c>
    </row>
    <row r="2749" spans="39:41" ht="12" customHeight="1" x14ac:dyDescent="0.2">
      <c r="AM2749" t="str">
        <f t="shared" si="42"/>
        <v>Chaozhou Pt [CNCOZ]</v>
      </c>
      <c r="AN2749" t="s">
        <v>5113</v>
      </c>
      <c r="AO2749" t="s">
        <v>5114</v>
      </c>
    </row>
    <row r="2750" spans="39:41" ht="12" customHeight="1" x14ac:dyDescent="0.2">
      <c r="AM2750" t="str">
        <f t="shared" ref="AM2750:AM2813" si="43">AO2750 &amp; " [" &amp; AN2750 &amp; "]"</f>
        <v>Chapel Saint Leonards [GBCPD]</v>
      </c>
      <c r="AN2750" t="s">
        <v>12804</v>
      </c>
      <c r="AO2750" t="s">
        <v>12805</v>
      </c>
    </row>
    <row r="2751" spans="39:41" ht="12" customHeight="1" x14ac:dyDescent="0.2">
      <c r="AM2751" t="str">
        <f t="shared" si="43"/>
        <v>Chapman [US9CP]</v>
      </c>
      <c r="AN2751" t="s">
        <v>29265</v>
      </c>
      <c r="AO2751" t="s">
        <v>29266</v>
      </c>
    </row>
    <row r="2752" spans="39:41" ht="12" customHeight="1" x14ac:dyDescent="0.2">
      <c r="AM2752" t="str">
        <f t="shared" si="43"/>
        <v>Chapora [INCHR]</v>
      </c>
      <c r="AN2752" t="s">
        <v>17082</v>
      </c>
      <c r="AO2752" t="s">
        <v>17083</v>
      </c>
    </row>
    <row r="2753" spans="39:41" ht="12" customHeight="1" x14ac:dyDescent="0.2">
      <c r="AM2753" t="str">
        <f t="shared" si="43"/>
        <v>Chappaqua [USP3N]</v>
      </c>
      <c r="AN2753" t="s">
        <v>29267</v>
      </c>
      <c r="AO2753" t="s">
        <v>29268</v>
      </c>
    </row>
    <row r="2754" spans="39:41" ht="12" customHeight="1" x14ac:dyDescent="0.2">
      <c r="AM2754" t="str">
        <f t="shared" si="43"/>
        <v>Charco Azul [PACHA]</v>
      </c>
      <c r="AN2754" t="s">
        <v>25183</v>
      </c>
      <c r="AO2754" t="s">
        <v>25184</v>
      </c>
    </row>
    <row r="2755" spans="39:41" ht="12" customHeight="1" x14ac:dyDescent="0.2">
      <c r="AM2755" t="str">
        <f t="shared" si="43"/>
        <v>Chardonnay [FRAO7]</v>
      </c>
      <c r="AN2755" t="s">
        <v>11038</v>
      </c>
      <c r="AO2755" t="s">
        <v>11039</v>
      </c>
    </row>
    <row r="2756" spans="39:41" ht="12" customHeight="1" x14ac:dyDescent="0.2">
      <c r="AM2756" t="str">
        <f t="shared" si="43"/>
        <v>Charentenay [FRHRA]</v>
      </c>
      <c r="AN2756" t="s">
        <v>11040</v>
      </c>
      <c r="AO2756" t="s">
        <v>11041</v>
      </c>
    </row>
    <row r="2757" spans="39:41" ht="12" customHeight="1" x14ac:dyDescent="0.2">
      <c r="AM2757" t="str">
        <f t="shared" si="43"/>
        <v>Charleroi [BECRL]</v>
      </c>
      <c r="AN2757" t="s">
        <v>2348</v>
      </c>
      <c r="AO2757" t="s">
        <v>2349</v>
      </c>
    </row>
    <row r="2758" spans="39:41" ht="12" customHeight="1" x14ac:dyDescent="0.2">
      <c r="AM2758" t="str">
        <f t="shared" si="43"/>
        <v>Charleroi [USZOI]</v>
      </c>
      <c r="AN2758" t="s">
        <v>29269</v>
      </c>
      <c r="AO2758" t="s">
        <v>2349</v>
      </c>
    </row>
    <row r="2759" spans="39:41" ht="12" customHeight="1" x14ac:dyDescent="0.2">
      <c r="AM2759" t="str">
        <f t="shared" si="43"/>
        <v>Charleston [GBCHD]</v>
      </c>
      <c r="AN2759" t="s">
        <v>12806</v>
      </c>
      <c r="AO2759" t="s">
        <v>12807</v>
      </c>
    </row>
    <row r="2760" spans="39:41" ht="12" customHeight="1" x14ac:dyDescent="0.2">
      <c r="AM2760" t="str">
        <f t="shared" si="43"/>
        <v>Charleston [USCHS]</v>
      </c>
      <c r="AN2760" t="s">
        <v>29270</v>
      </c>
      <c r="AO2760" t="s">
        <v>12807</v>
      </c>
    </row>
    <row r="2761" spans="39:41" ht="12" customHeight="1" x14ac:dyDescent="0.2">
      <c r="AM2761" t="str">
        <f t="shared" si="43"/>
        <v>Charleston [USCRW]</v>
      </c>
      <c r="AN2761" t="s">
        <v>29271</v>
      </c>
      <c r="AO2761" t="s">
        <v>12807</v>
      </c>
    </row>
    <row r="2762" spans="39:41" ht="12" customHeight="1" x14ac:dyDescent="0.2">
      <c r="AM2762" t="str">
        <f t="shared" si="43"/>
        <v>Charleston Heights [USZGT]</v>
      </c>
      <c r="AN2762" t="s">
        <v>29272</v>
      </c>
      <c r="AO2762" t="s">
        <v>29273</v>
      </c>
    </row>
    <row r="2763" spans="39:41" ht="12" customHeight="1" x14ac:dyDescent="0.2">
      <c r="AM2763" t="str">
        <f t="shared" si="43"/>
        <v>Charlestown [GBCHF]</v>
      </c>
      <c r="AN2763" t="s">
        <v>12808</v>
      </c>
      <c r="AO2763" t="s">
        <v>12809</v>
      </c>
    </row>
    <row r="2764" spans="39:41" ht="12" customHeight="1" x14ac:dyDescent="0.2">
      <c r="AM2764" t="str">
        <f t="shared" si="43"/>
        <v>Charlestown [GBCWN]</v>
      </c>
      <c r="AN2764" t="s">
        <v>12810</v>
      </c>
      <c r="AO2764" t="s">
        <v>12809</v>
      </c>
    </row>
    <row r="2765" spans="39:41" ht="12" customHeight="1" x14ac:dyDescent="0.2">
      <c r="AM2765" t="str">
        <f t="shared" si="43"/>
        <v>Charlestown [KNCHA]</v>
      </c>
      <c r="AN2765" t="s">
        <v>21575</v>
      </c>
      <c r="AO2765" t="s">
        <v>12809</v>
      </c>
    </row>
    <row r="2766" spans="39:41" ht="12" customHeight="1" x14ac:dyDescent="0.2">
      <c r="AM2766" t="str">
        <f t="shared" si="43"/>
        <v>Charleville-Mezieres [FRCHM]</v>
      </c>
      <c r="AN2766" t="s">
        <v>11042</v>
      </c>
      <c r="AO2766" t="s">
        <v>35790</v>
      </c>
    </row>
    <row r="2767" spans="39:41" ht="12" customHeight="1" x14ac:dyDescent="0.2">
      <c r="AM2767" t="str">
        <f t="shared" si="43"/>
        <v>Charlotte (Skidegate) [CASKI]</v>
      </c>
      <c r="AN2767" t="s">
        <v>3702</v>
      </c>
      <c r="AO2767" t="s">
        <v>3703</v>
      </c>
    </row>
    <row r="2768" spans="39:41" ht="12" customHeight="1" x14ac:dyDescent="0.2">
      <c r="AM2768" t="str">
        <f t="shared" si="43"/>
        <v>Charlotte Amalie, Saint Thomas [VICHA]</v>
      </c>
      <c r="AN2768" t="s">
        <v>32278</v>
      </c>
      <c r="AO2768" t="s">
        <v>32279</v>
      </c>
    </row>
    <row r="2769" spans="39:41" ht="12" customHeight="1" x14ac:dyDescent="0.2">
      <c r="AM2769" t="str">
        <f t="shared" si="43"/>
        <v>Charlottenlund [DKOOT]</v>
      </c>
      <c r="AN2769" t="s">
        <v>8654</v>
      </c>
      <c r="AO2769" t="s">
        <v>8655</v>
      </c>
    </row>
    <row r="2770" spans="39:41" ht="12" customHeight="1" x14ac:dyDescent="0.2">
      <c r="AM2770" t="str">
        <f t="shared" si="43"/>
        <v>Charlottetown [CACHA]</v>
      </c>
      <c r="AN2770" t="s">
        <v>3704</v>
      </c>
      <c r="AO2770" t="s">
        <v>3705</v>
      </c>
    </row>
    <row r="2771" spans="39:41" ht="12" customHeight="1" x14ac:dyDescent="0.2">
      <c r="AM2771" t="str">
        <f t="shared" si="43"/>
        <v>Charlotteville [TTCHV]</v>
      </c>
      <c r="AN2771" t="s">
        <v>28633</v>
      </c>
      <c r="AO2771" t="s">
        <v>28634</v>
      </c>
    </row>
    <row r="2772" spans="39:41" ht="12" customHeight="1" x14ac:dyDescent="0.2">
      <c r="AM2772" t="str">
        <f t="shared" si="43"/>
        <v>Charly-sur-Marne [FRCM4]</v>
      </c>
      <c r="AN2772" t="s">
        <v>11043</v>
      </c>
      <c r="AO2772" t="s">
        <v>11044</v>
      </c>
    </row>
    <row r="2773" spans="39:41" ht="12" customHeight="1" x14ac:dyDescent="0.2">
      <c r="AM2773" t="str">
        <f t="shared" si="43"/>
        <v>Charmes [FRV88]</v>
      </c>
      <c r="AN2773" t="s">
        <v>11045</v>
      </c>
      <c r="AO2773" t="s">
        <v>11046</v>
      </c>
    </row>
    <row r="2774" spans="39:41" ht="12" customHeight="1" x14ac:dyDescent="0.2">
      <c r="AM2774" t="str">
        <f t="shared" si="43"/>
        <v>Charmouth [GBCHJ]</v>
      </c>
      <c r="AN2774" t="s">
        <v>12811</v>
      </c>
      <c r="AO2774" t="s">
        <v>12812</v>
      </c>
    </row>
    <row r="2775" spans="39:41" ht="12" customHeight="1" x14ac:dyDescent="0.2">
      <c r="AM2775" t="str">
        <f t="shared" si="43"/>
        <v>Charnay-en-Beaujolais [FRC69]</v>
      </c>
      <c r="AN2775" t="s">
        <v>11047</v>
      </c>
      <c r="AO2775" t="s">
        <v>11048</v>
      </c>
    </row>
    <row r="2776" spans="39:41" ht="12" customHeight="1" x14ac:dyDescent="0.2">
      <c r="AM2776" t="str">
        <f t="shared" si="43"/>
        <v>Charteves [FRRTV]</v>
      </c>
      <c r="AN2776" t="s">
        <v>11049</v>
      </c>
      <c r="AO2776" t="s">
        <v>11050</v>
      </c>
    </row>
    <row r="2777" spans="39:41" ht="12" customHeight="1" x14ac:dyDescent="0.2">
      <c r="AM2777" t="str">
        <f t="shared" si="43"/>
        <v>Chasselay [FR69R]</v>
      </c>
      <c r="AN2777" t="s">
        <v>11051</v>
      </c>
      <c r="AO2777" t="s">
        <v>11052</v>
      </c>
    </row>
    <row r="2778" spans="39:41" ht="12" customHeight="1" x14ac:dyDescent="0.2">
      <c r="AM2778" t="str">
        <f t="shared" si="43"/>
        <v>Chassey-le-Camp [FRCC4]</v>
      </c>
      <c r="AN2778" t="s">
        <v>11053</v>
      </c>
      <c r="AO2778" t="s">
        <v>11054</v>
      </c>
    </row>
    <row r="2779" spans="39:41" ht="12" customHeight="1" x14ac:dyDescent="0.2">
      <c r="AM2779" t="str">
        <f t="shared" si="43"/>
        <v>Chateau-Landon [FRCQN]</v>
      </c>
      <c r="AN2779" t="s">
        <v>11055</v>
      </c>
      <c r="AO2779" t="s">
        <v>35791</v>
      </c>
    </row>
    <row r="2780" spans="39:41" ht="12" customHeight="1" x14ac:dyDescent="0.2">
      <c r="AM2780" t="str">
        <f t="shared" si="43"/>
        <v>Chateauneuf-de-Gadagne [FREFR]</v>
      </c>
      <c r="AN2780" t="s">
        <v>11056</v>
      </c>
      <c r="AO2780" t="s">
        <v>11057</v>
      </c>
    </row>
    <row r="2781" spans="39:41" ht="12" customHeight="1" x14ac:dyDescent="0.2">
      <c r="AM2781" t="str">
        <f t="shared" si="43"/>
        <v>Chateauneuf-le-Rouge [FRMHJ]</v>
      </c>
      <c r="AN2781" t="s">
        <v>11058</v>
      </c>
      <c r="AO2781" t="s">
        <v>11059</v>
      </c>
    </row>
    <row r="2782" spans="39:41" ht="12" customHeight="1" x14ac:dyDescent="0.2">
      <c r="AM2782" t="str">
        <f t="shared" si="43"/>
        <v>Chateauneuf-sur-Loire [FRFBG]</v>
      </c>
      <c r="AN2782" t="s">
        <v>11060</v>
      </c>
      <c r="AO2782" t="s">
        <v>11061</v>
      </c>
    </row>
    <row r="2783" spans="39:41" ht="12" customHeight="1" x14ac:dyDescent="0.2">
      <c r="AM2783" t="str">
        <f t="shared" si="43"/>
        <v>Chateau-Renard [FRRYG]</v>
      </c>
      <c r="AN2783" t="s">
        <v>11062</v>
      </c>
      <c r="AO2783" t="s">
        <v>11063</v>
      </c>
    </row>
    <row r="2784" spans="39:41" ht="12" customHeight="1" x14ac:dyDescent="0.2">
      <c r="AM2784" t="str">
        <f t="shared" si="43"/>
        <v>Chateau-Richer [CARRE]</v>
      </c>
      <c r="AN2784" t="s">
        <v>3706</v>
      </c>
      <c r="AO2784" t="s">
        <v>35322</v>
      </c>
    </row>
    <row r="2785" spans="39:41" ht="12" customHeight="1" x14ac:dyDescent="0.2">
      <c r="AM2785" t="str">
        <f t="shared" si="43"/>
        <v>Chateauvert [FRQWC]</v>
      </c>
      <c r="AN2785" t="s">
        <v>11064</v>
      </c>
      <c r="AO2785" t="s">
        <v>11065</v>
      </c>
    </row>
    <row r="2786" spans="39:41" ht="12" customHeight="1" x14ac:dyDescent="0.2">
      <c r="AM2786" t="str">
        <f t="shared" si="43"/>
        <v>Chatelet [BECHA]</v>
      </c>
      <c r="AN2786" t="s">
        <v>36759</v>
      </c>
      <c r="AO2786" t="s">
        <v>36760</v>
      </c>
    </row>
    <row r="2787" spans="39:41" ht="12" customHeight="1" x14ac:dyDescent="0.2">
      <c r="AM2787" t="str">
        <f t="shared" si="43"/>
        <v>Chatelineau [BECTL]</v>
      </c>
      <c r="AN2787" t="s">
        <v>2350</v>
      </c>
      <c r="AO2787" t="s">
        <v>35263</v>
      </c>
    </row>
    <row r="2788" spans="39:41" ht="12" customHeight="1" x14ac:dyDescent="0.2">
      <c r="AM2788" t="str">
        <f t="shared" si="43"/>
        <v>Chatham [CACHN]</v>
      </c>
      <c r="AN2788" t="s">
        <v>3707</v>
      </c>
      <c r="AO2788" t="s">
        <v>3708</v>
      </c>
    </row>
    <row r="2789" spans="39:41" ht="12" customHeight="1" x14ac:dyDescent="0.2">
      <c r="AM2789" t="str">
        <f t="shared" si="43"/>
        <v>Chatham [GBCTM]</v>
      </c>
      <c r="AN2789" t="s">
        <v>12813</v>
      </c>
      <c r="AO2789" t="s">
        <v>3708</v>
      </c>
    </row>
    <row r="2790" spans="39:41" ht="12" customHeight="1" x14ac:dyDescent="0.2">
      <c r="AM2790" t="str">
        <f t="shared" si="43"/>
        <v>Chatham [USCA3]</v>
      </c>
      <c r="AN2790" t="s">
        <v>29274</v>
      </c>
      <c r="AO2790" t="s">
        <v>3708</v>
      </c>
    </row>
    <row r="2791" spans="39:41" ht="12" customHeight="1" x14ac:dyDescent="0.2">
      <c r="AM2791" t="str">
        <f t="shared" si="43"/>
        <v>Chatillon-Saint-Jean [FRCXA]</v>
      </c>
      <c r="AN2791" t="s">
        <v>11066</v>
      </c>
      <c r="AO2791" t="s">
        <v>11067</v>
      </c>
    </row>
    <row r="2792" spans="39:41" ht="12" customHeight="1" x14ac:dyDescent="0.2">
      <c r="AM2792" t="str">
        <f t="shared" si="43"/>
        <v>Chatillon-sur-Loire [FRCXS]</v>
      </c>
      <c r="AN2792" t="s">
        <v>11068</v>
      </c>
      <c r="AO2792" t="s">
        <v>35792</v>
      </c>
    </row>
    <row r="2793" spans="39:41" ht="12" customHeight="1" x14ac:dyDescent="0.2">
      <c r="AM2793" t="str">
        <f t="shared" si="43"/>
        <v>Chatswood [AUCHA]</v>
      </c>
      <c r="AN2793" t="s">
        <v>1551</v>
      </c>
      <c r="AO2793" t="s">
        <v>1552</v>
      </c>
    </row>
    <row r="2794" spans="39:41" ht="12" customHeight="1" x14ac:dyDescent="0.2">
      <c r="AM2794" t="str">
        <f t="shared" si="43"/>
        <v>Chatsworth [USTS4]</v>
      </c>
      <c r="AN2794" t="s">
        <v>29275</v>
      </c>
      <c r="AO2794" t="s">
        <v>29276</v>
      </c>
    </row>
    <row r="2795" spans="39:41" ht="12" customHeight="1" x14ac:dyDescent="0.2">
      <c r="AM2795" t="str">
        <f t="shared" si="43"/>
        <v>Chauffour [FRIY8]</v>
      </c>
      <c r="AN2795" t="s">
        <v>11069</v>
      </c>
      <c r="AO2795" t="s">
        <v>11070</v>
      </c>
    </row>
    <row r="2796" spans="39:41" ht="12" customHeight="1" x14ac:dyDescent="0.2">
      <c r="AM2796" t="str">
        <f t="shared" si="43"/>
        <v>Chaumont [FRCMT]</v>
      </c>
      <c r="AN2796" t="s">
        <v>11071</v>
      </c>
      <c r="AO2796" t="s">
        <v>11072</v>
      </c>
    </row>
    <row r="2797" spans="39:41" ht="12" customHeight="1" x14ac:dyDescent="0.2">
      <c r="AM2797" t="str">
        <f t="shared" si="43"/>
        <v>Chaumousey [FRHAO]</v>
      </c>
      <c r="AN2797" t="s">
        <v>11073</v>
      </c>
      <c r="AO2797" t="s">
        <v>11074</v>
      </c>
    </row>
    <row r="2798" spans="39:41" ht="12" customHeight="1" x14ac:dyDescent="0.2">
      <c r="AM2798" t="str">
        <f t="shared" si="43"/>
        <v>Chausey [FRC2H]</v>
      </c>
      <c r="AN2798" t="s">
        <v>11075</v>
      </c>
      <c r="AO2798" t="s">
        <v>11076</v>
      </c>
    </row>
    <row r="2799" spans="39:41" ht="12" customHeight="1" x14ac:dyDescent="0.2">
      <c r="AM2799" t="str">
        <f t="shared" si="43"/>
        <v>Chautauqua [USQCQ]</v>
      </c>
      <c r="AN2799" t="s">
        <v>29277</v>
      </c>
      <c r="AO2799" t="s">
        <v>29278</v>
      </c>
    </row>
    <row r="2800" spans="39:41" ht="12" customHeight="1" x14ac:dyDescent="0.2">
      <c r="AM2800" t="str">
        <f t="shared" si="43"/>
        <v>Chebarkul' [RUCHB]</v>
      </c>
      <c r="AN2800" t="s">
        <v>26911</v>
      </c>
      <c r="AO2800" t="s">
        <v>26912</v>
      </c>
    </row>
    <row r="2801" spans="39:41" ht="12" customHeight="1" x14ac:dyDescent="0.2">
      <c r="AM2801" t="str">
        <f t="shared" si="43"/>
        <v>Chebba [TNCHB]</v>
      </c>
      <c r="AN2801" t="s">
        <v>28338</v>
      </c>
      <c r="AO2801" t="s">
        <v>28339</v>
      </c>
    </row>
    <row r="2802" spans="39:41" ht="12" customHeight="1" x14ac:dyDescent="0.2">
      <c r="AM2802" t="str">
        <f t="shared" si="43"/>
        <v>Chegutu [ZWCHE]</v>
      </c>
      <c r="AN2802" t="s">
        <v>32754</v>
      </c>
      <c r="AO2802" t="s">
        <v>32755</v>
      </c>
    </row>
    <row r="2803" spans="39:41" ht="12" customHeight="1" x14ac:dyDescent="0.2">
      <c r="AM2803" t="str">
        <f t="shared" si="43"/>
        <v>Chekka [LBCHK]</v>
      </c>
      <c r="AN2803" t="s">
        <v>21790</v>
      </c>
      <c r="AO2803" t="s">
        <v>21791</v>
      </c>
    </row>
    <row r="2804" spans="39:41" ht="12" customHeight="1" x14ac:dyDescent="0.2">
      <c r="AM2804" t="str">
        <f t="shared" si="43"/>
        <v>Cheko [KHCHE]</v>
      </c>
      <c r="AN2804" t="s">
        <v>21538</v>
      </c>
      <c r="AO2804" t="s">
        <v>21539</v>
      </c>
    </row>
    <row r="2805" spans="39:41" ht="12" customHeight="1" x14ac:dyDescent="0.2">
      <c r="AM2805" t="str">
        <f t="shared" si="43"/>
        <v>Cheleken [TMCHE]</v>
      </c>
      <c r="AN2805" t="s">
        <v>28318</v>
      </c>
      <c r="AO2805" t="s">
        <v>28319</v>
      </c>
    </row>
    <row r="2806" spans="39:41" ht="12" customHeight="1" x14ac:dyDescent="0.2">
      <c r="AM2806" t="str">
        <f t="shared" si="43"/>
        <v>Chelsea [NZCSA]</v>
      </c>
      <c r="AN2806" t="s">
        <v>25059</v>
      </c>
      <c r="AO2806" t="s">
        <v>25060</v>
      </c>
    </row>
    <row r="2807" spans="39:41" ht="12" customHeight="1" x14ac:dyDescent="0.2">
      <c r="AM2807" t="str">
        <f t="shared" si="43"/>
        <v>Chelsea [USYSC]</v>
      </c>
      <c r="AN2807" t="s">
        <v>29279</v>
      </c>
      <c r="AO2807" t="s">
        <v>25060</v>
      </c>
    </row>
    <row r="2808" spans="39:41" ht="12" customHeight="1" x14ac:dyDescent="0.2">
      <c r="AM2808" t="str">
        <f t="shared" si="43"/>
        <v>Chemainus [CACHM]</v>
      </c>
      <c r="AN2808" t="s">
        <v>3709</v>
      </c>
      <c r="AO2808" t="s">
        <v>3710</v>
      </c>
    </row>
    <row r="2809" spans="39:41" ht="12" customHeight="1" x14ac:dyDescent="0.2">
      <c r="AM2809" t="str">
        <f t="shared" si="43"/>
        <v>Chemashi [RUCHM]</v>
      </c>
      <c r="AN2809" t="s">
        <v>26913</v>
      </c>
      <c r="AO2809" t="s">
        <v>26914</v>
      </c>
    </row>
    <row r="2810" spans="39:41" ht="12" customHeight="1" x14ac:dyDescent="0.2">
      <c r="AM2810" t="str">
        <f t="shared" si="43"/>
        <v>Cheminas [FRDC2]</v>
      </c>
      <c r="AN2810" t="s">
        <v>11077</v>
      </c>
      <c r="AO2810" t="s">
        <v>11078</v>
      </c>
    </row>
    <row r="2811" spans="39:41" ht="12" customHeight="1" x14ac:dyDescent="0.2">
      <c r="AM2811" t="str">
        <f t="shared" si="43"/>
        <v>Chen Barag [CNCBG]</v>
      </c>
      <c r="AN2811" t="s">
        <v>5115</v>
      </c>
      <c r="AO2811" t="s">
        <v>5116</v>
      </c>
    </row>
    <row r="2812" spans="39:41" ht="12" customHeight="1" x14ac:dyDescent="0.2">
      <c r="AM2812" t="str">
        <f t="shared" si="43"/>
        <v>Chenac-Saint-Seurin-d'Uzet [FRCS5]</v>
      </c>
      <c r="AN2812" t="s">
        <v>11079</v>
      </c>
      <c r="AO2812" t="s">
        <v>11080</v>
      </c>
    </row>
    <row r="2813" spans="39:41" ht="12" customHeight="1" x14ac:dyDescent="0.2">
      <c r="AM2813" t="str">
        <f t="shared" si="43"/>
        <v>Chenango Bridge [USDGE]</v>
      </c>
      <c r="AN2813" t="s">
        <v>29280</v>
      </c>
      <c r="AO2813" t="s">
        <v>29281</v>
      </c>
    </row>
    <row r="2814" spans="39:41" ht="12" customHeight="1" x14ac:dyDescent="0.2">
      <c r="AM2814" t="str">
        <f t="shared" ref="AM2814:AM2876" si="44">AO2814 &amp; " [" &amp; AN2814 &amp; "]"</f>
        <v>Chencun [CNCUN]</v>
      </c>
      <c r="AN2814" t="s">
        <v>5117</v>
      </c>
      <c r="AO2814" t="s">
        <v>5118</v>
      </c>
    </row>
    <row r="2815" spans="39:41" ht="12" customHeight="1" x14ac:dyDescent="0.2">
      <c r="AM2815" t="str">
        <f t="shared" si="44"/>
        <v>Chenee [BECHE]</v>
      </c>
      <c r="AN2815" t="s">
        <v>36761</v>
      </c>
      <c r="AO2815" t="s">
        <v>36762</v>
      </c>
    </row>
    <row r="2816" spans="39:41" ht="12" customHeight="1" x14ac:dyDescent="0.2">
      <c r="AM2816" t="str">
        <f t="shared" si="44"/>
        <v>Chengaogang [CNCHE]</v>
      </c>
      <c r="AN2816" t="s">
        <v>5119</v>
      </c>
      <c r="AO2816" t="s">
        <v>5120</v>
      </c>
    </row>
    <row r="2817" spans="39:41" ht="12" customHeight="1" x14ac:dyDescent="0.2">
      <c r="AM2817" t="str">
        <f t="shared" si="44"/>
        <v>Chengde [CNCNG]</v>
      </c>
      <c r="AN2817" t="s">
        <v>5121</v>
      </c>
      <c r="AO2817" t="s">
        <v>5122</v>
      </c>
    </row>
    <row r="2818" spans="39:41" ht="12" customHeight="1" x14ac:dyDescent="0.2">
      <c r="AM2818" t="str">
        <f t="shared" si="44"/>
        <v>Chengjiang [CNCJI]</v>
      </c>
      <c r="AN2818" t="s">
        <v>5123</v>
      </c>
      <c r="AO2818" t="s">
        <v>5124</v>
      </c>
    </row>
    <row r="2819" spans="39:41" ht="12" customHeight="1" x14ac:dyDescent="0.2">
      <c r="AM2819" t="str">
        <f t="shared" si="44"/>
        <v>Chenglingji Pt [CNCLJ]</v>
      </c>
      <c r="AN2819" t="s">
        <v>5125</v>
      </c>
      <c r="AO2819" t="s">
        <v>5126</v>
      </c>
    </row>
    <row r="2820" spans="39:41" ht="12" customHeight="1" x14ac:dyDescent="0.2">
      <c r="AM2820" t="str">
        <f t="shared" si="44"/>
        <v>Chengxi [CNCHX]</v>
      </c>
      <c r="AN2820" t="s">
        <v>5127</v>
      </c>
      <c r="AO2820" t="s">
        <v>5128</v>
      </c>
    </row>
    <row r="2821" spans="39:41" ht="12" customHeight="1" x14ac:dyDescent="0.2">
      <c r="AM2821" t="str">
        <f t="shared" si="44"/>
        <v>Chenjiagang [CNCIG]</v>
      </c>
      <c r="AN2821" t="s">
        <v>5129</v>
      </c>
      <c r="AO2821" t="s">
        <v>5130</v>
      </c>
    </row>
    <row r="2822" spans="39:41" ht="12" customHeight="1" x14ac:dyDescent="0.2">
      <c r="AM2822" t="str">
        <f t="shared" si="44"/>
        <v>Chennai (ex Madras) [INMAA]</v>
      </c>
      <c r="AN2822" t="s">
        <v>17084</v>
      </c>
      <c r="AO2822" t="s">
        <v>17085</v>
      </c>
    </row>
    <row r="2823" spans="39:41" ht="12" customHeight="1" x14ac:dyDescent="0.2">
      <c r="AM2823" t="str">
        <f t="shared" si="44"/>
        <v>Cheny [FRHY9]</v>
      </c>
      <c r="AN2823" t="s">
        <v>11081</v>
      </c>
      <c r="AO2823" t="s">
        <v>11082</v>
      </c>
    </row>
    <row r="2824" spans="39:41" ht="12" customHeight="1" x14ac:dyDescent="0.2">
      <c r="AM2824" t="str">
        <f t="shared" si="44"/>
        <v>Chepstow [GBCHT]</v>
      </c>
      <c r="AN2824" t="s">
        <v>12814</v>
      </c>
      <c r="AO2824" t="s">
        <v>12815</v>
      </c>
    </row>
    <row r="2825" spans="39:41" ht="12" customHeight="1" x14ac:dyDescent="0.2">
      <c r="AM2825" t="str">
        <f t="shared" si="44"/>
        <v>Cheratte [BECRA]</v>
      </c>
      <c r="AN2825" t="s">
        <v>2351</v>
      </c>
      <c r="AO2825" t="s">
        <v>2352</v>
      </c>
    </row>
    <row r="2826" spans="39:41" ht="12" customHeight="1" x14ac:dyDescent="0.2">
      <c r="AM2826" t="str">
        <f t="shared" si="44"/>
        <v>Cherbourg [FRCER]</v>
      </c>
      <c r="AN2826" t="s">
        <v>11083</v>
      </c>
      <c r="AO2826" t="s">
        <v>11084</v>
      </c>
    </row>
    <row r="2827" spans="39:41" ht="12" customHeight="1" x14ac:dyDescent="0.2">
      <c r="AM2827" t="str">
        <f t="shared" si="44"/>
        <v>Cherchell [DZCHE]</v>
      </c>
      <c r="AN2827" t="s">
        <v>9049</v>
      </c>
      <c r="AO2827" t="s">
        <v>9050</v>
      </c>
    </row>
    <row r="2828" spans="39:41" ht="12" customHeight="1" x14ac:dyDescent="0.2">
      <c r="AM2828" t="str">
        <f t="shared" si="44"/>
        <v>Chercq [BECRQ]</v>
      </c>
      <c r="AN2828" t="s">
        <v>2353</v>
      </c>
      <c r="AO2828" t="s">
        <v>2354</v>
      </c>
    </row>
    <row r="2829" spans="39:41" ht="12" customHeight="1" x14ac:dyDescent="0.2">
      <c r="AM2829" t="str">
        <f t="shared" si="44"/>
        <v>Cherepovets [RUCEE]</v>
      </c>
      <c r="AN2829" t="s">
        <v>26915</v>
      </c>
      <c r="AO2829" t="s">
        <v>26916</v>
      </c>
    </row>
    <row r="2830" spans="39:41" ht="12" customHeight="1" x14ac:dyDescent="0.2">
      <c r="AM2830" t="str">
        <f t="shared" si="44"/>
        <v>Chermside [AUCHE]</v>
      </c>
      <c r="AN2830" t="s">
        <v>1553</v>
      </c>
      <c r="AO2830" t="s">
        <v>1554</v>
      </c>
    </row>
    <row r="2831" spans="39:41" ht="12" customHeight="1" x14ac:dyDescent="0.2">
      <c r="AM2831" t="str">
        <f t="shared" si="44"/>
        <v>Cherokee [USCKG]</v>
      </c>
      <c r="AN2831" t="s">
        <v>29282</v>
      </c>
      <c r="AO2831" t="s">
        <v>29283</v>
      </c>
    </row>
    <row r="2832" spans="39:41" ht="12" customHeight="1" x14ac:dyDescent="0.2">
      <c r="AM2832" t="str">
        <f t="shared" si="44"/>
        <v>Cherryfield [USCFF]</v>
      </c>
      <c r="AN2832" t="s">
        <v>29284</v>
      </c>
      <c r="AO2832" t="s">
        <v>29285</v>
      </c>
    </row>
    <row r="2833" spans="39:41" ht="12" customHeight="1" x14ac:dyDescent="0.2">
      <c r="AM2833" t="str">
        <f t="shared" si="44"/>
        <v>Chertal [BECTA]</v>
      </c>
      <c r="AN2833" t="s">
        <v>2355</v>
      </c>
      <c r="AO2833" t="s">
        <v>2356</v>
      </c>
    </row>
    <row r="2834" spans="39:41" ht="12" customHeight="1" x14ac:dyDescent="0.2">
      <c r="AM2834" t="str">
        <f t="shared" si="44"/>
        <v>Chesapeake [USUFG]</v>
      </c>
      <c r="AN2834" t="s">
        <v>29286</v>
      </c>
      <c r="AO2834" t="s">
        <v>29287</v>
      </c>
    </row>
    <row r="2835" spans="39:41" ht="12" customHeight="1" x14ac:dyDescent="0.2">
      <c r="AM2835" t="str">
        <f t="shared" si="44"/>
        <v>Chesapeake City [USCC8]</v>
      </c>
      <c r="AN2835" t="s">
        <v>29288</v>
      </c>
      <c r="AO2835" t="s">
        <v>29289</v>
      </c>
    </row>
    <row r="2836" spans="39:41" ht="12" customHeight="1" x14ac:dyDescent="0.2">
      <c r="AM2836" t="str">
        <f t="shared" si="44"/>
        <v>Cheshire [USKQC]</v>
      </c>
      <c r="AN2836" t="s">
        <v>29290</v>
      </c>
      <c r="AO2836" t="s">
        <v>29291</v>
      </c>
    </row>
    <row r="2837" spans="39:41" ht="12" customHeight="1" x14ac:dyDescent="0.2">
      <c r="AM2837" t="str">
        <f t="shared" si="44"/>
        <v>Chesieres [CHCHS]</v>
      </c>
      <c r="AN2837" t="s">
        <v>4670</v>
      </c>
      <c r="AO2837" t="s">
        <v>4671</v>
      </c>
    </row>
    <row r="2838" spans="39:41" ht="12" customHeight="1" x14ac:dyDescent="0.2">
      <c r="AM2838" t="str">
        <f t="shared" si="44"/>
        <v>Chessy [FRHEY]</v>
      </c>
      <c r="AN2838" t="s">
        <v>11085</v>
      </c>
      <c r="AO2838" t="s">
        <v>11086</v>
      </c>
    </row>
    <row r="2839" spans="39:41" ht="12" customHeight="1" x14ac:dyDescent="0.2">
      <c r="AM2839" t="str">
        <f t="shared" si="44"/>
        <v>Chester [CACST]</v>
      </c>
      <c r="AN2839" t="s">
        <v>3711</v>
      </c>
      <c r="AO2839" t="s">
        <v>3712</v>
      </c>
    </row>
    <row r="2840" spans="39:41" ht="12" customHeight="1" x14ac:dyDescent="0.2">
      <c r="AM2840" t="str">
        <f t="shared" si="44"/>
        <v>Chester [GBCEG]</v>
      </c>
      <c r="AN2840" t="s">
        <v>12816</v>
      </c>
      <c r="AO2840" t="s">
        <v>3712</v>
      </c>
    </row>
    <row r="2841" spans="39:41" ht="12" customHeight="1" x14ac:dyDescent="0.2">
      <c r="AM2841" t="str">
        <f t="shared" si="44"/>
        <v>Chester [GBCSR]</v>
      </c>
      <c r="AN2841" t="s">
        <v>12817</v>
      </c>
      <c r="AO2841" t="s">
        <v>3712</v>
      </c>
    </row>
    <row r="2842" spans="39:41" ht="12" customHeight="1" x14ac:dyDescent="0.2">
      <c r="AM2842" t="str">
        <f t="shared" si="44"/>
        <v>Chester [USCHT]</v>
      </c>
      <c r="AN2842" t="s">
        <v>29292</v>
      </c>
      <c r="AO2842" t="s">
        <v>3712</v>
      </c>
    </row>
    <row r="2843" spans="39:41" ht="12" customHeight="1" x14ac:dyDescent="0.2">
      <c r="AM2843" t="str">
        <f t="shared" si="44"/>
        <v>Chester [USCR5]</v>
      </c>
      <c r="AN2843" t="s">
        <v>29293</v>
      </c>
      <c r="AO2843" t="s">
        <v>3712</v>
      </c>
    </row>
    <row r="2844" spans="39:41" ht="12" customHeight="1" x14ac:dyDescent="0.2">
      <c r="AM2844" t="str">
        <f t="shared" si="44"/>
        <v>Chesterfield [USCFG]</v>
      </c>
      <c r="AN2844" t="s">
        <v>29294</v>
      </c>
      <c r="AO2844" t="s">
        <v>29295</v>
      </c>
    </row>
    <row r="2845" spans="39:41" ht="12" customHeight="1" x14ac:dyDescent="0.2">
      <c r="AM2845" t="str">
        <f t="shared" si="44"/>
        <v>Chesterfield Inlet [CAYCS]</v>
      </c>
      <c r="AN2845" t="s">
        <v>3713</v>
      </c>
      <c r="AO2845" t="s">
        <v>3714</v>
      </c>
    </row>
    <row r="2846" spans="39:41" ht="12" customHeight="1" x14ac:dyDescent="0.2">
      <c r="AM2846" t="str">
        <f t="shared" si="44"/>
        <v>Chestermere [CACTR]</v>
      </c>
      <c r="AN2846" t="s">
        <v>3715</v>
      </c>
      <c r="AO2846" t="s">
        <v>3716</v>
      </c>
    </row>
    <row r="2847" spans="39:41" ht="12" customHeight="1" x14ac:dyDescent="0.2">
      <c r="AM2847" t="str">
        <f t="shared" si="44"/>
        <v>Chetek [USXTK]</v>
      </c>
      <c r="AN2847" t="s">
        <v>29296</v>
      </c>
      <c r="AO2847" t="s">
        <v>29297</v>
      </c>
    </row>
    <row r="2848" spans="39:41" ht="12" customHeight="1" x14ac:dyDescent="0.2">
      <c r="AM2848" t="str">
        <f t="shared" si="44"/>
        <v>Cheticamp [CACHT]</v>
      </c>
      <c r="AN2848" t="s">
        <v>3717</v>
      </c>
      <c r="AO2848" t="s">
        <v>35323</v>
      </c>
    </row>
    <row r="2849" spans="39:41" ht="12" customHeight="1" x14ac:dyDescent="0.2">
      <c r="AM2849" t="str">
        <f t="shared" si="44"/>
        <v>Chetlat Is [INCTI]</v>
      </c>
      <c r="AN2849" t="s">
        <v>17086</v>
      </c>
      <c r="AO2849" t="s">
        <v>17087</v>
      </c>
    </row>
    <row r="2850" spans="39:41" ht="12" customHeight="1" x14ac:dyDescent="0.2">
      <c r="AM2850" t="str">
        <f t="shared" si="44"/>
        <v>Chetumal [MXCTM]</v>
      </c>
      <c r="AN2850" t="s">
        <v>22334</v>
      </c>
      <c r="AO2850" t="s">
        <v>22335</v>
      </c>
    </row>
    <row r="2851" spans="39:41" ht="12" customHeight="1" x14ac:dyDescent="0.2">
      <c r="AM2851" t="str">
        <f t="shared" si="44"/>
        <v>Chevenez [CHCHE]</v>
      </c>
      <c r="AN2851" t="s">
        <v>4672</v>
      </c>
      <c r="AO2851" t="s">
        <v>4673</v>
      </c>
    </row>
    <row r="2852" spans="39:41" ht="12" customHeight="1" x14ac:dyDescent="0.2">
      <c r="AM2852" t="str">
        <f t="shared" si="44"/>
        <v>Cheverny [FRGH7]</v>
      </c>
      <c r="AN2852" t="s">
        <v>11087</v>
      </c>
      <c r="AO2852" t="s">
        <v>11088</v>
      </c>
    </row>
    <row r="2853" spans="39:41" ht="12" customHeight="1" x14ac:dyDescent="0.2">
      <c r="AM2853" t="str">
        <f t="shared" si="44"/>
        <v>Chevy Chase [USQCC]</v>
      </c>
      <c r="AN2853" t="s">
        <v>29298</v>
      </c>
      <c r="AO2853" t="s">
        <v>29299</v>
      </c>
    </row>
    <row r="2854" spans="39:41" ht="12" customHeight="1" x14ac:dyDescent="0.2">
      <c r="AM2854" t="str">
        <f t="shared" si="44"/>
        <v>Cheyenne Wells [USZYN]</v>
      </c>
      <c r="AN2854" t="s">
        <v>29300</v>
      </c>
      <c r="AO2854" t="s">
        <v>29301</v>
      </c>
    </row>
    <row r="2855" spans="39:41" ht="12" customHeight="1" x14ac:dyDescent="0.2">
      <c r="AM2855" t="str">
        <f t="shared" si="44"/>
        <v>Chiang Saen Customs House [THCHS]</v>
      </c>
      <c r="AN2855" t="s">
        <v>34216</v>
      </c>
      <c r="AO2855" t="s">
        <v>34288</v>
      </c>
    </row>
    <row r="2856" spans="39:41" ht="12" customHeight="1" x14ac:dyDescent="0.2">
      <c r="AM2856" t="str">
        <f t="shared" si="44"/>
        <v>Chiavari [ITCHX]</v>
      </c>
      <c r="AN2856" t="s">
        <v>17905</v>
      </c>
      <c r="AO2856" t="s">
        <v>17906</v>
      </c>
    </row>
    <row r="2857" spans="39:41" ht="12" customHeight="1" x14ac:dyDescent="0.2">
      <c r="AM2857" t="str">
        <f t="shared" si="44"/>
        <v>Chiba [JPCHB]</v>
      </c>
      <c r="AN2857" t="s">
        <v>18670</v>
      </c>
      <c r="AO2857" t="s">
        <v>18671</v>
      </c>
    </row>
    <row r="2858" spans="39:41" ht="12" customHeight="1" x14ac:dyDescent="0.2">
      <c r="AM2858" t="str">
        <f t="shared" si="44"/>
        <v>Chibi [CNCBI]</v>
      </c>
      <c r="AN2858" t="s">
        <v>5131</v>
      </c>
      <c r="AO2858" t="s">
        <v>5132</v>
      </c>
    </row>
    <row r="2859" spans="39:41" ht="12" customHeight="1" x14ac:dyDescent="0.2">
      <c r="AM2859" t="str">
        <f t="shared" si="44"/>
        <v>Chicago [USCHI]</v>
      </c>
      <c r="AN2859" t="s">
        <v>29302</v>
      </c>
      <c r="AO2859" t="s">
        <v>29303</v>
      </c>
    </row>
    <row r="2860" spans="39:41" ht="12" customHeight="1" x14ac:dyDescent="0.2">
      <c r="AM2860" t="str">
        <f t="shared" si="44"/>
        <v>Chichester [GBCST]</v>
      </c>
      <c r="AN2860" t="s">
        <v>12818</v>
      </c>
      <c r="AO2860" t="s">
        <v>12819</v>
      </c>
    </row>
    <row r="2861" spans="39:41" ht="12" customHeight="1" x14ac:dyDescent="0.2">
      <c r="AM2861" t="str">
        <f t="shared" si="44"/>
        <v>Chichii [JPCHH]</v>
      </c>
      <c r="AN2861" t="s">
        <v>18672</v>
      </c>
      <c r="AO2861" t="s">
        <v>18673</v>
      </c>
    </row>
    <row r="2862" spans="39:41" ht="12" customHeight="1" x14ac:dyDescent="0.2">
      <c r="AM2862" t="str">
        <f t="shared" si="44"/>
        <v>Chichiriviche [VECHV]</v>
      </c>
      <c r="AN2862" t="s">
        <v>32164</v>
      </c>
      <c r="AO2862" t="s">
        <v>32165</v>
      </c>
    </row>
    <row r="2863" spans="39:41" ht="12" customHeight="1" x14ac:dyDescent="0.2">
      <c r="AM2863" t="str">
        <f t="shared" si="44"/>
        <v>Chickasaw [USCGW]</v>
      </c>
      <c r="AN2863" t="s">
        <v>29304</v>
      </c>
      <c r="AO2863" t="s">
        <v>29305</v>
      </c>
    </row>
    <row r="2864" spans="39:41" ht="12" customHeight="1" x14ac:dyDescent="0.2">
      <c r="AM2864" t="str">
        <f t="shared" si="44"/>
        <v>Chickerell [GBCKR]</v>
      </c>
      <c r="AN2864" t="s">
        <v>12820</v>
      </c>
      <c r="AO2864" t="s">
        <v>12821</v>
      </c>
    </row>
    <row r="2865" spans="39:41" ht="12" customHeight="1" x14ac:dyDescent="0.2">
      <c r="AM2865" t="str">
        <f t="shared" si="44"/>
        <v>Chicoutimi [CACHI]</v>
      </c>
      <c r="AN2865" t="s">
        <v>3718</v>
      </c>
      <c r="AO2865" t="s">
        <v>3719</v>
      </c>
    </row>
    <row r="2866" spans="39:41" ht="12" customHeight="1" x14ac:dyDescent="0.2">
      <c r="AM2866" t="str">
        <f t="shared" si="44"/>
        <v>Chideock [GBCDK]</v>
      </c>
      <c r="AN2866" t="s">
        <v>12822</v>
      </c>
      <c r="AO2866" t="s">
        <v>12823</v>
      </c>
    </row>
    <row r="2867" spans="39:41" ht="12" customHeight="1" x14ac:dyDescent="0.2">
      <c r="AM2867" t="str">
        <f t="shared" si="44"/>
        <v>Chiemsee [DECHI]</v>
      </c>
      <c r="AN2867" t="s">
        <v>7228</v>
      </c>
      <c r="AO2867" t="s">
        <v>7229</v>
      </c>
    </row>
    <row r="2868" spans="39:41" ht="12" customHeight="1" x14ac:dyDescent="0.2">
      <c r="AM2868" t="str">
        <f t="shared" si="44"/>
        <v>Chierry [FRHIY]</v>
      </c>
      <c r="AN2868" t="s">
        <v>11089</v>
      </c>
      <c r="AO2868" t="s">
        <v>11090</v>
      </c>
    </row>
    <row r="2869" spans="39:41" ht="12" customHeight="1" x14ac:dyDescent="0.2">
      <c r="AM2869" t="str">
        <f t="shared" si="44"/>
        <v>Chievres [BECHI]</v>
      </c>
      <c r="AN2869" t="s">
        <v>36763</v>
      </c>
      <c r="AO2869" t="s">
        <v>36764</v>
      </c>
    </row>
    <row r="2870" spans="39:41" ht="12" customHeight="1" x14ac:dyDescent="0.2">
      <c r="AM2870" t="str">
        <f t="shared" si="44"/>
        <v>Chigasaki [JPCHG]</v>
      </c>
      <c r="AN2870" t="s">
        <v>18674</v>
      </c>
      <c r="AO2870" t="s">
        <v>18675</v>
      </c>
    </row>
    <row r="2871" spans="39:41" ht="12" customHeight="1" x14ac:dyDescent="0.2">
      <c r="AM2871" t="str">
        <f t="shared" si="44"/>
        <v>Chiguayante [CLCHI]</v>
      </c>
      <c r="AN2871" t="s">
        <v>4850</v>
      </c>
      <c r="AO2871" t="s">
        <v>4851</v>
      </c>
    </row>
    <row r="2872" spans="39:41" ht="12" customHeight="1" x14ac:dyDescent="0.2">
      <c r="AM2872" t="str">
        <f t="shared" si="44"/>
        <v>Chiju [JPCJU]</v>
      </c>
      <c r="AN2872" t="s">
        <v>18676</v>
      </c>
      <c r="AO2872" t="s">
        <v>18677</v>
      </c>
    </row>
    <row r="2873" spans="39:41" ht="12" customHeight="1" x14ac:dyDescent="0.2">
      <c r="AM2873" t="str">
        <f t="shared" si="44"/>
        <v>Chikaballur [INCHI]</v>
      </c>
      <c r="AN2873" t="s">
        <v>17088</v>
      </c>
      <c r="AO2873" t="s">
        <v>17089</v>
      </c>
    </row>
    <row r="2874" spans="39:41" ht="12" customHeight="1" x14ac:dyDescent="0.2">
      <c r="AM2874" t="str">
        <f t="shared" si="44"/>
        <v>Chikacheva [RUCIH]</v>
      </c>
      <c r="AN2874" t="s">
        <v>26917</v>
      </c>
      <c r="AO2874" t="s">
        <v>26918</v>
      </c>
    </row>
    <row r="2875" spans="39:41" ht="12" customHeight="1" x14ac:dyDescent="0.2">
      <c r="AM2875" t="str">
        <f t="shared" si="44"/>
        <v>Chikubushima [JPCHK]</v>
      </c>
      <c r="AN2875" t="s">
        <v>18678</v>
      </c>
      <c r="AO2875" t="s">
        <v>18679</v>
      </c>
    </row>
    <row r="2876" spans="39:41" ht="12" customHeight="1" x14ac:dyDescent="0.2">
      <c r="AM2876" t="str">
        <f t="shared" si="44"/>
        <v>Chikumi [JPCKM]</v>
      </c>
      <c r="AN2876" t="s">
        <v>18680</v>
      </c>
      <c r="AO2876" t="s">
        <v>18681</v>
      </c>
    </row>
    <row r="2877" spans="39:41" ht="12" customHeight="1" x14ac:dyDescent="0.2">
      <c r="AM2877" t="str">
        <f t="shared" ref="AM2877:AM2940" si="45">AO2877 &amp; " [" &amp; AN2877 &amp; "]"</f>
        <v>Childersburg [USZCG]</v>
      </c>
      <c r="AN2877" t="s">
        <v>29306</v>
      </c>
      <c r="AO2877" t="s">
        <v>29307</v>
      </c>
    </row>
    <row r="2878" spans="39:41" ht="12" customHeight="1" x14ac:dyDescent="0.2">
      <c r="AM2878" t="str">
        <f t="shared" si="45"/>
        <v>Chilecito [ARCHO]</v>
      </c>
      <c r="AN2878" t="s">
        <v>997</v>
      </c>
      <c r="AO2878" t="s">
        <v>998</v>
      </c>
    </row>
    <row r="2879" spans="39:41" ht="12" customHeight="1" x14ac:dyDescent="0.2">
      <c r="AM2879" t="str">
        <f t="shared" si="45"/>
        <v>Chilia Veche [ROCHL]</v>
      </c>
      <c r="AN2879" t="s">
        <v>26736</v>
      </c>
      <c r="AO2879" t="s">
        <v>26737</v>
      </c>
    </row>
    <row r="2880" spans="39:41" ht="12" customHeight="1" x14ac:dyDescent="0.2">
      <c r="AM2880" t="str">
        <f t="shared" si="45"/>
        <v>Chillington [GBCII]</v>
      </c>
      <c r="AN2880" t="s">
        <v>12824</v>
      </c>
      <c r="AO2880" t="s">
        <v>12825</v>
      </c>
    </row>
    <row r="2881" spans="39:41" ht="12" customHeight="1" x14ac:dyDescent="0.2">
      <c r="AM2881" t="str">
        <f t="shared" si="45"/>
        <v>Chiltepec [MXTAB]</v>
      </c>
      <c r="AN2881" t="s">
        <v>34186</v>
      </c>
      <c r="AO2881" t="s">
        <v>34260</v>
      </c>
    </row>
    <row r="2882" spans="39:41" ht="12" customHeight="1" x14ac:dyDescent="0.2">
      <c r="AM2882" t="str">
        <f t="shared" si="45"/>
        <v>Chimayo [USCI6]</v>
      </c>
      <c r="AN2882" t="s">
        <v>29308</v>
      </c>
      <c r="AO2882" t="s">
        <v>29309</v>
      </c>
    </row>
    <row r="2883" spans="39:41" ht="12" customHeight="1" x14ac:dyDescent="0.2">
      <c r="AM2883" t="str">
        <f t="shared" si="45"/>
        <v>Chimbas [ARCBS]</v>
      </c>
      <c r="AN2883" t="s">
        <v>999</v>
      </c>
      <c r="AO2883" t="s">
        <v>1000</v>
      </c>
    </row>
    <row r="2884" spans="39:41" ht="12" customHeight="1" x14ac:dyDescent="0.2">
      <c r="AM2884" t="str">
        <f t="shared" si="45"/>
        <v>Chimbote [PECHM]</v>
      </c>
      <c r="AN2884" t="s">
        <v>25243</v>
      </c>
      <c r="AO2884" t="s">
        <v>25244</v>
      </c>
    </row>
    <row r="2885" spans="39:41" ht="12" customHeight="1" x14ac:dyDescent="0.2">
      <c r="AM2885" t="str">
        <f t="shared" si="45"/>
        <v>Chimu Wan [JPCHW]</v>
      </c>
      <c r="AN2885" t="s">
        <v>18682</v>
      </c>
      <c r="AO2885" t="s">
        <v>18683</v>
      </c>
    </row>
    <row r="2886" spans="39:41" ht="12" customHeight="1" x14ac:dyDescent="0.2">
      <c r="AM2886" t="str">
        <f t="shared" si="45"/>
        <v>China [JPCHI]</v>
      </c>
      <c r="AN2886" t="s">
        <v>18684</v>
      </c>
      <c r="AO2886" t="s">
        <v>18685</v>
      </c>
    </row>
    <row r="2887" spans="39:41" ht="12" customHeight="1" x14ac:dyDescent="0.2">
      <c r="AM2887" t="str">
        <f t="shared" si="45"/>
        <v>Chinase [JPCNS]</v>
      </c>
      <c r="AN2887" t="s">
        <v>18686</v>
      </c>
      <c r="AO2887" t="s">
        <v>18687</v>
      </c>
    </row>
    <row r="2888" spans="39:41" ht="12" customHeight="1" x14ac:dyDescent="0.2">
      <c r="AM2888" t="str">
        <f t="shared" si="45"/>
        <v>Chinde [MZINE]</v>
      </c>
      <c r="AN2888" t="s">
        <v>22837</v>
      </c>
      <c r="AO2888" t="s">
        <v>22838</v>
      </c>
    </row>
    <row r="2889" spans="39:41" ht="12" customHeight="1" x14ac:dyDescent="0.2">
      <c r="AM2889" t="str">
        <f t="shared" si="45"/>
        <v>Chinderah [AUCN6]</v>
      </c>
      <c r="AN2889" t="s">
        <v>1555</v>
      </c>
      <c r="AO2889" t="s">
        <v>1556</v>
      </c>
    </row>
    <row r="2890" spans="39:41" ht="12" customHeight="1" x14ac:dyDescent="0.2">
      <c r="AM2890" t="str">
        <f t="shared" si="45"/>
        <v>Chinook [USCJC]</v>
      </c>
      <c r="AN2890" t="s">
        <v>29310</v>
      </c>
      <c r="AO2890" t="s">
        <v>29311</v>
      </c>
    </row>
    <row r="2891" spans="39:41" ht="12" customHeight="1" x14ac:dyDescent="0.2">
      <c r="AM2891" t="str">
        <f t="shared" si="45"/>
        <v>Chio [JPCIO]</v>
      </c>
      <c r="AN2891" t="s">
        <v>18688</v>
      </c>
      <c r="AO2891" t="s">
        <v>18689</v>
      </c>
    </row>
    <row r="2892" spans="39:41" ht="12" customHeight="1" x14ac:dyDescent="0.2">
      <c r="AM2892" t="str">
        <f t="shared" si="45"/>
        <v>Chioggia [ITCHI]</v>
      </c>
      <c r="AN2892" t="s">
        <v>17907</v>
      </c>
      <c r="AO2892" t="s">
        <v>17908</v>
      </c>
    </row>
    <row r="2893" spans="39:41" ht="12" customHeight="1" x14ac:dyDescent="0.2">
      <c r="AM2893" t="str">
        <f t="shared" si="45"/>
        <v>Chios [GRJKH]</v>
      </c>
      <c r="AN2893" t="s">
        <v>15169</v>
      </c>
      <c r="AO2893" t="s">
        <v>35894</v>
      </c>
    </row>
    <row r="2894" spans="39:41" ht="12" customHeight="1" x14ac:dyDescent="0.2">
      <c r="AM2894" t="str">
        <f t="shared" si="45"/>
        <v>Chipilly [FRHPY]</v>
      </c>
      <c r="AN2894" t="s">
        <v>11091</v>
      </c>
      <c r="AO2894" t="s">
        <v>11092</v>
      </c>
    </row>
    <row r="2895" spans="39:41" ht="12" customHeight="1" x14ac:dyDescent="0.2">
      <c r="AM2895" t="str">
        <f t="shared" si="45"/>
        <v>Chiquinquira [VECHQ]</v>
      </c>
      <c r="AN2895" t="s">
        <v>32166</v>
      </c>
      <c r="AO2895" t="s">
        <v>36585</v>
      </c>
    </row>
    <row r="2896" spans="39:41" ht="12" customHeight="1" x14ac:dyDescent="0.2">
      <c r="AM2896" t="str">
        <f t="shared" si="45"/>
        <v>Chiriqui Grande [PACHG]</v>
      </c>
      <c r="AN2896" t="s">
        <v>25185</v>
      </c>
      <c r="AO2896" t="s">
        <v>36355</v>
      </c>
    </row>
    <row r="2897" spans="39:41" ht="12" customHeight="1" x14ac:dyDescent="0.2">
      <c r="AM2897" t="str">
        <f t="shared" si="45"/>
        <v>Chiscani [ROCHN]</v>
      </c>
      <c r="AN2897" t="s">
        <v>26738</v>
      </c>
      <c r="AO2897" t="s">
        <v>26739</v>
      </c>
    </row>
    <row r="2898" spans="39:41" ht="12" customHeight="1" x14ac:dyDescent="0.2">
      <c r="AM2898" t="str">
        <f t="shared" si="45"/>
        <v>Chita [JPCTA]</v>
      </c>
      <c r="AN2898" t="s">
        <v>18690</v>
      </c>
      <c r="AO2898" t="s">
        <v>18691</v>
      </c>
    </row>
    <row r="2899" spans="39:41" ht="12" customHeight="1" x14ac:dyDescent="0.2">
      <c r="AM2899" t="str">
        <f t="shared" si="45"/>
        <v>Chitose, Hiroshima [JPCHT]</v>
      </c>
      <c r="AN2899" t="s">
        <v>18692</v>
      </c>
      <c r="AO2899" t="s">
        <v>18693</v>
      </c>
    </row>
    <row r="2900" spans="39:41" ht="12" customHeight="1" x14ac:dyDescent="0.2">
      <c r="AM2900" t="str">
        <f t="shared" si="45"/>
        <v>Chitre [PACTD]</v>
      </c>
      <c r="AN2900" t="s">
        <v>25186</v>
      </c>
      <c r="AO2900" t="s">
        <v>25187</v>
      </c>
    </row>
    <row r="2901" spans="39:41" ht="12" customHeight="1" x14ac:dyDescent="0.2">
      <c r="AM2901" t="str">
        <f t="shared" si="45"/>
        <v>Chittagong [BDCGP]</v>
      </c>
      <c r="AN2901" t="s">
        <v>2196</v>
      </c>
      <c r="AO2901" t="s">
        <v>2197</v>
      </c>
    </row>
    <row r="2902" spans="39:41" ht="12" customHeight="1" x14ac:dyDescent="0.2">
      <c r="AM2902" t="str">
        <f t="shared" si="45"/>
        <v>Chittering [AUCHT]</v>
      </c>
      <c r="AN2902" t="s">
        <v>1557</v>
      </c>
      <c r="AO2902" t="s">
        <v>1558</v>
      </c>
    </row>
    <row r="2903" spans="39:41" ht="12" customHeight="1" x14ac:dyDescent="0.2">
      <c r="AM2903" t="str">
        <f t="shared" si="45"/>
        <v>Chiwan Pt [CNCWN]</v>
      </c>
      <c r="AN2903" t="s">
        <v>5133</v>
      </c>
      <c r="AO2903" t="s">
        <v>5134</v>
      </c>
    </row>
    <row r="2904" spans="39:41" ht="12" customHeight="1" x14ac:dyDescent="0.2">
      <c r="AM2904" t="str">
        <f t="shared" si="45"/>
        <v>Chiyozaki [JPCYZ]</v>
      </c>
      <c r="AN2904" t="s">
        <v>18694</v>
      </c>
      <c r="AO2904" t="s">
        <v>18695</v>
      </c>
    </row>
    <row r="2905" spans="39:41" ht="12" customHeight="1" x14ac:dyDescent="0.2">
      <c r="AM2905" t="str">
        <f t="shared" si="45"/>
        <v>Chizhou Pt [CNCHI]</v>
      </c>
      <c r="AN2905" t="s">
        <v>5135</v>
      </c>
      <c r="AO2905" t="s">
        <v>5136</v>
      </c>
    </row>
    <row r="2906" spans="39:41" ht="12" customHeight="1" x14ac:dyDescent="0.2">
      <c r="AM2906" t="str">
        <f t="shared" si="45"/>
        <v>Chobienice [PLCPL]</v>
      </c>
      <c r="AN2906" t="s">
        <v>26278</v>
      </c>
      <c r="AO2906" t="s">
        <v>26279</v>
      </c>
    </row>
    <row r="2907" spans="39:41" ht="12" customHeight="1" x14ac:dyDescent="0.2">
      <c r="AM2907" t="str">
        <f t="shared" si="45"/>
        <v>Chocen [CZCCN]</v>
      </c>
      <c r="AN2907" t="s">
        <v>6798</v>
      </c>
      <c r="AO2907" t="s">
        <v>6799</v>
      </c>
    </row>
    <row r="2908" spans="39:41" ht="12" customHeight="1" x14ac:dyDescent="0.2">
      <c r="AM2908" t="str">
        <f t="shared" si="45"/>
        <v>Choele Choel [ARCHL]</v>
      </c>
      <c r="AN2908" t="s">
        <v>1001</v>
      </c>
      <c r="AO2908" t="s">
        <v>1002</v>
      </c>
    </row>
    <row r="2909" spans="39:41" ht="12" customHeight="1" x14ac:dyDescent="0.2">
      <c r="AM2909" t="str">
        <f t="shared" si="45"/>
        <v>Chofu [JPCHF]</v>
      </c>
      <c r="AN2909" t="s">
        <v>18696</v>
      </c>
      <c r="AO2909" t="s">
        <v>18697</v>
      </c>
    </row>
    <row r="2910" spans="39:41" ht="12" customHeight="1" x14ac:dyDescent="0.2">
      <c r="AM2910" t="str">
        <f t="shared" si="45"/>
        <v>Choindez [CHN66]</v>
      </c>
      <c r="AN2910" t="s">
        <v>4674</v>
      </c>
      <c r="AO2910" t="s">
        <v>4675</v>
      </c>
    </row>
    <row r="2911" spans="39:41" ht="12" customHeight="1" x14ac:dyDescent="0.2">
      <c r="AM2911" t="str">
        <f t="shared" si="45"/>
        <v>Choiseul Bay [SBCHY]</v>
      </c>
      <c r="AN2911" t="s">
        <v>27437</v>
      </c>
      <c r="AO2911" t="s">
        <v>27438</v>
      </c>
    </row>
    <row r="2912" spans="39:41" ht="12" customHeight="1" x14ac:dyDescent="0.2">
      <c r="AM2912" t="str">
        <f t="shared" si="45"/>
        <v>Chomes [CRCOM]</v>
      </c>
      <c r="AN2912" t="s">
        <v>6563</v>
      </c>
      <c r="AO2912" t="s">
        <v>6564</v>
      </c>
    </row>
    <row r="2913" spans="39:41" ht="12" customHeight="1" x14ac:dyDescent="0.2">
      <c r="AM2913" t="str">
        <f t="shared" si="45"/>
        <v>Chonchi [CLCHO]</v>
      </c>
      <c r="AN2913" t="s">
        <v>4852</v>
      </c>
      <c r="AO2913" t="s">
        <v>4853</v>
      </c>
    </row>
    <row r="2914" spans="39:41" ht="12" customHeight="1" x14ac:dyDescent="0.2">
      <c r="AM2914" t="str">
        <f t="shared" si="45"/>
        <v>Chongjin [KPCHO]</v>
      </c>
      <c r="AN2914" t="s">
        <v>21578</v>
      </c>
      <c r="AO2914" t="s">
        <v>21579</v>
      </c>
    </row>
    <row r="2915" spans="39:41" ht="12" customHeight="1" x14ac:dyDescent="0.2">
      <c r="AM2915" t="str">
        <f t="shared" si="45"/>
        <v>Chongming [CNCGM]</v>
      </c>
      <c r="AN2915" t="s">
        <v>5137</v>
      </c>
      <c r="AO2915" t="s">
        <v>5138</v>
      </c>
    </row>
    <row r="2916" spans="39:41" ht="12" customHeight="1" x14ac:dyDescent="0.2">
      <c r="AM2916" t="str">
        <f t="shared" si="45"/>
        <v>Chongqing [CNCQI]</v>
      </c>
      <c r="AN2916" t="s">
        <v>5139</v>
      </c>
      <c r="AO2916" t="s">
        <v>5140</v>
      </c>
    </row>
    <row r="2917" spans="39:41" ht="12" customHeight="1" x14ac:dyDescent="0.2">
      <c r="AM2917" t="str">
        <f t="shared" si="45"/>
        <v>Chongqing Pt [CNCHQ]</v>
      </c>
      <c r="AN2917" t="s">
        <v>5141</v>
      </c>
      <c r="AO2917" t="s">
        <v>5142</v>
      </c>
    </row>
    <row r="2918" spans="39:41" ht="12" customHeight="1" x14ac:dyDescent="0.2">
      <c r="AM2918" t="str">
        <f t="shared" si="45"/>
        <v>Chongwu [CNQZC]</v>
      </c>
      <c r="AN2918" t="s">
        <v>5143</v>
      </c>
      <c r="AO2918" t="s">
        <v>5144</v>
      </c>
    </row>
    <row r="2919" spans="39:41" ht="12" customHeight="1" x14ac:dyDescent="0.2">
      <c r="AM2919" t="str">
        <f t="shared" si="45"/>
        <v>Chongzuo [CNCGZ]</v>
      </c>
      <c r="AN2919" t="s">
        <v>5145</v>
      </c>
      <c r="AO2919" t="s">
        <v>5146</v>
      </c>
    </row>
    <row r="2920" spans="39:41" ht="12" customHeight="1" x14ac:dyDescent="0.2">
      <c r="AM2920" t="str">
        <f t="shared" si="45"/>
        <v>Chooz [FROOZ]</v>
      </c>
      <c r="AN2920" t="s">
        <v>11093</v>
      </c>
      <c r="AO2920" t="s">
        <v>11094</v>
      </c>
    </row>
    <row r="2921" spans="39:41" ht="12" customHeight="1" x14ac:dyDescent="0.2">
      <c r="AM2921" t="str">
        <f t="shared" si="45"/>
        <v>Chorey-les-Beaune [FRLO9]</v>
      </c>
      <c r="AN2921" t="s">
        <v>11095</v>
      </c>
      <c r="AO2921" t="s">
        <v>11096</v>
      </c>
    </row>
    <row r="2922" spans="39:41" ht="12" customHeight="1" x14ac:dyDescent="0.2">
      <c r="AM2922" t="str">
        <f t="shared" si="45"/>
        <v>Chorley [GBCHR]</v>
      </c>
      <c r="AN2922" t="s">
        <v>12826</v>
      </c>
      <c r="AO2922" t="s">
        <v>12827</v>
      </c>
    </row>
    <row r="2923" spans="39:41" ht="12" customHeight="1" x14ac:dyDescent="0.2">
      <c r="AM2923" t="str">
        <f t="shared" si="45"/>
        <v>Choshi [JPCHO]</v>
      </c>
      <c r="AN2923" t="s">
        <v>18698</v>
      </c>
      <c r="AO2923" t="s">
        <v>18699</v>
      </c>
    </row>
    <row r="2924" spans="39:41" ht="12" customHeight="1" x14ac:dyDescent="0.2">
      <c r="AM2924" t="str">
        <f t="shared" si="45"/>
        <v>Chrastava [CZCUL]</v>
      </c>
      <c r="AN2924" t="s">
        <v>6800</v>
      </c>
      <c r="AO2924" t="s">
        <v>6801</v>
      </c>
    </row>
    <row r="2925" spans="39:41" ht="12" customHeight="1" x14ac:dyDescent="0.2">
      <c r="AM2925" t="str">
        <f t="shared" si="45"/>
        <v>Christchurch [GBCCH]</v>
      </c>
      <c r="AN2925" t="s">
        <v>12828</v>
      </c>
      <c r="AO2925" t="s">
        <v>12829</v>
      </c>
    </row>
    <row r="2926" spans="39:41" ht="12" customHeight="1" x14ac:dyDescent="0.2">
      <c r="AM2926" t="str">
        <f t="shared" si="45"/>
        <v>Christianso Havn [DKCSO]</v>
      </c>
      <c r="AN2926" t="s">
        <v>8656</v>
      </c>
      <c r="AO2926" t="s">
        <v>35530</v>
      </c>
    </row>
    <row r="2927" spans="39:41" ht="12" customHeight="1" x14ac:dyDescent="0.2">
      <c r="AM2927" t="str">
        <f t="shared" si="45"/>
        <v>Christiansted, Saint Croix [VICTD]</v>
      </c>
      <c r="AN2927" t="s">
        <v>32280</v>
      </c>
      <c r="AO2927" t="s">
        <v>32281</v>
      </c>
    </row>
    <row r="2928" spans="39:41" ht="12" customHeight="1" x14ac:dyDescent="0.2">
      <c r="AM2928" t="str">
        <f t="shared" si="45"/>
        <v>Chroscice [PLCH3]</v>
      </c>
      <c r="AN2928" t="s">
        <v>26280</v>
      </c>
      <c r="AO2928" t="s">
        <v>36363</v>
      </c>
    </row>
    <row r="2929" spans="39:41" ht="12" customHeight="1" x14ac:dyDescent="0.2">
      <c r="AM2929" t="str">
        <f t="shared" si="45"/>
        <v>Chrustenice [CZCHZ]</v>
      </c>
      <c r="AN2929" t="s">
        <v>6802</v>
      </c>
      <c r="AO2929" t="s">
        <v>6803</v>
      </c>
    </row>
    <row r="2930" spans="39:41" ht="12" customHeight="1" x14ac:dyDescent="0.2">
      <c r="AM2930" t="str">
        <f t="shared" si="45"/>
        <v>Chua Ve Terminal [VNCVE]</v>
      </c>
      <c r="AN2930" t="s">
        <v>32339</v>
      </c>
      <c r="AO2930" t="s">
        <v>32340</v>
      </c>
    </row>
    <row r="2931" spans="39:41" ht="12" customHeight="1" x14ac:dyDescent="0.2">
      <c r="AM2931" t="str">
        <f t="shared" si="45"/>
        <v>Chuanshan [CNCHS]</v>
      </c>
      <c r="AN2931" t="s">
        <v>5147</v>
      </c>
      <c r="AO2931" t="s">
        <v>5148</v>
      </c>
    </row>
    <row r="2932" spans="39:41" ht="12" customHeight="1" x14ac:dyDescent="0.2">
      <c r="AM2932" t="str">
        <f t="shared" si="45"/>
        <v>Chub Cay, Berry Islands [BSCCZ]</v>
      </c>
      <c r="AN2932" t="s">
        <v>3421</v>
      </c>
      <c r="AO2932" t="s">
        <v>3422</v>
      </c>
    </row>
    <row r="2933" spans="39:41" ht="12" customHeight="1" x14ac:dyDescent="0.2">
      <c r="AM2933" t="str">
        <f t="shared" si="45"/>
        <v>Chudobin [CZCHU]</v>
      </c>
      <c r="AN2933" t="s">
        <v>6804</v>
      </c>
      <c r="AO2933" t="s">
        <v>35396</v>
      </c>
    </row>
    <row r="2934" spans="39:41" ht="12" customHeight="1" x14ac:dyDescent="0.2">
      <c r="AM2934" t="str">
        <f t="shared" si="45"/>
        <v>Chuja [KRCJA]</v>
      </c>
      <c r="AN2934" t="s">
        <v>21616</v>
      </c>
      <c r="AO2934" t="s">
        <v>21617</v>
      </c>
    </row>
    <row r="2935" spans="39:41" ht="12" customHeight="1" x14ac:dyDescent="0.2">
      <c r="AM2935" t="str">
        <f t="shared" si="45"/>
        <v>Chumen [CNCUM]</v>
      </c>
      <c r="AN2935" t="s">
        <v>5149</v>
      </c>
      <c r="AO2935" t="s">
        <v>5150</v>
      </c>
    </row>
    <row r="2936" spans="39:41" ht="12" customHeight="1" x14ac:dyDescent="0.2">
      <c r="AM2936" t="str">
        <f t="shared" si="45"/>
        <v>Chumporn [THCHU]</v>
      </c>
      <c r="AN2936" t="s">
        <v>28226</v>
      </c>
      <c r="AO2936" t="s">
        <v>28227</v>
      </c>
    </row>
    <row r="2937" spans="39:41" ht="12" customHeight="1" x14ac:dyDescent="0.2">
      <c r="AM2937" t="str">
        <f t="shared" si="45"/>
        <v>Chungyang [KRCGY]</v>
      </c>
      <c r="AN2937" t="s">
        <v>21618</v>
      </c>
      <c r="AO2937" t="s">
        <v>21619</v>
      </c>
    </row>
    <row r="2938" spans="39:41" ht="12" customHeight="1" x14ac:dyDescent="0.2">
      <c r="AM2938" t="str">
        <f t="shared" si="45"/>
        <v>Church Bay, Rathlin Island [GBCUB]</v>
      </c>
      <c r="AN2938" t="s">
        <v>12830</v>
      </c>
      <c r="AO2938" t="s">
        <v>12831</v>
      </c>
    </row>
    <row r="2939" spans="39:41" ht="12" customHeight="1" x14ac:dyDescent="0.2">
      <c r="AM2939" t="str">
        <f t="shared" si="45"/>
        <v>Churchill [CACHV]</v>
      </c>
      <c r="AN2939" t="s">
        <v>3720</v>
      </c>
      <c r="AO2939" t="s">
        <v>3721</v>
      </c>
    </row>
    <row r="2940" spans="39:41" ht="12" customHeight="1" x14ac:dyDescent="0.2">
      <c r="AM2940" t="str">
        <f t="shared" si="45"/>
        <v>Churui [JPCHU]</v>
      </c>
      <c r="AN2940" t="s">
        <v>18700</v>
      </c>
      <c r="AO2940" t="s">
        <v>18701</v>
      </c>
    </row>
    <row r="2941" spans="39:41" ht="12" customHeight="1" x14ac:dyDescent="0.2">
      <c r="AM2941" t="str">
        <f t="shared" ref="AM2941:AM3003" si="46">AO2941 &amp; " [" &amp; AN2941 &amp; "]"</f>
        <v>Chusclan [FRG8R]</v>
      </c>
      <c r="AN2941" t="s">
        <v>11097</v>
      </c>
      <c r="AO2941" t="s">
        <v>11098</v>
      </c>
    </row>
    <row r="2942" spans="39:41" ht="12" customHeight="1" x14ac:dyDescent="0.2">
      <c r="AM2942" t="str">
        <f t="shared" si="46"/>
        <v>Chuuk (ex Truk) [FMTKK]</v>
      </c>
      <c r="AN2942" t="s">
        <v>10641</v>
      </c>
      <c r="AO2942" t="s">
        <v>10642</v>
      </c>
    </row>
    <row r="2943" spans="39:41" ht="12" customHeight="1" x14ac:dyDescent="0.2">
      <c r="AM2943" t="str">
        <f t="shared" si="46"/>
        <v>Chuya [RUCHU]</v>
      </c>
      <c r="AN2943" t="s">
        <v>26919</v>
      </c>
      <c r="AO2943" t="s">
        <v>26920</v>
      </c>
    </row>
    <row r="2944" spans="39:41" ht="12" customHeight="1" x14ac:dyDescent="0.2">
      <c r="AM2944" t="str">
        <f t="shared" si="46"/>
        <v>Chuzhou [CNCHZ]</v>
      </c>
      <c r="AN2944" t="s">
        <v>5151</v>
      </c>
      <c r="AO2944" t="s">
        <v>5152</v>
      </c>
    </row>
    <row r="2945" spans="39:41" ht="12" customHeight="1" x14ac:dyDescent="0.2">
      <c r="AM2945" t="str">
        <f t="shared" si="46"/>
        <v>Chvalatice [CZG44]</v>
      </c>
      <c r="AN2945" t="s">
        <v>6805</v>
      </c>
      <c r="AO2945" t="s">
        <v>6806</v>
      </c>
    </row>
    <row r="2946" spans="39:41" ht="12" customHeight="1" x14ac:dyDescent="0.2">
      <c r="AM2946" t="str">
        <f t="shared" si="46"/>
        <v>Cibitoke [BICBK]</v>
      </c>
      <c r="AN2946" t="s">
        <v>3187</v>
      </c>
      <c r="AO2946" t="s">
        <v>3188</v>
      </c>
    </row>
    <row r="2947" spans="39:41" ht="12" customHeight="1" x14ac:dyDescent="0.2">
      <c r="AM2947" t="str">
        <f t="shared" si="46"/>
        <v>Cibolo [USZCB]</v>
      </c>
      <c r="AN2947" t="s">
        <v>29312</v>
      </c>
      <c r="AO2947" t="s">
        <v>29313</v>
      </c>
    </row>
    <row r="2948" spans="39:41" ht="12" customHeight="1" x14ac:dyDescent="0.2">
      <c r="AM2948" t="str">
        <f t="shared" si="46"/>
        <v>Cidade de Angra dos Reis FPSO [BRANF]</v>
      </c>
      <c r="AN2948" t="s">
        <v>3293</v>
      </c>
      <c r="AO2948" t="s">
        <v>3294</v>
      </c>
    </row>
    <row r="2949" spans="39:41" ht="12" customHeight="1" x14ac:dyDescent="0.2">
      <c r="AM2949" t="str">
        <f t="shared" si="46"/>
        <v>Cide [TRCID]</v>
      </c>
      <c r="AN2949" t="s">
        <v>28439</v>
      </c>
      <c r="AO2949" t="s">
        <v>28440</v>
      </c>
    </row>
    <row r="2950" spans="39:41" ht="12" customHeight="1" x14ac:dyDescent="0.2">
      <c r="AM2950" t="str">
        <f t="shared" si="46"/>
        <v>Cienaga [COCIE]</v>
      </c>
      <c r="AN2950" t="s">
        <v>36839</v>
      </c>
      <c r="AO2950" t="s">
        <v>36840</v>
      </c>
    </row>
    <row r="2951" spans="39:41" ht="12" customHeight="1" x14ac:dyDescent="0.2">
      <c r="AM2951" t="str">
        <f t="shared" si="46"/>
        <v>Cienfuegos [CUCFG]</v>
      </c>
      <c r="AN2951" t="s">
        <v>6680</v>
      </c>
      <c r="AO2951" t="s">
        <v>6681</v>
      </c>
    </row>
    <row r="2952" spans="39:41" ht="12" customHeight="1" x14ac:dyDescent="0.2">
      <c r="AM2952" t="str">
        <f t="shared" si="46"/>
        <v>Cierbena [ESCRI]</v>
      </c>
      <c r="AN2952" t="s">
        <v>9724</v>
      </c>
      <c r="AO2952" t="s">
        <v>9725</v>
      </c>
    </row>
    <row r="2953" spans="39:41" ht="12" customHeight="1" x14ac:dyDescent="0.2">
      <c r="AM2953" t="str">
        <f t="shared" si="46"/>
        <v>Ciervana [ESCIV]</v>
      </c>
      <c r="AN2953" t="s">
        <v>9726</v>
      </c>
      <c r="AO2953" t="s">
        <v>9727</v>
      </c>
    </row>
    <row r="2954" spans="39:41" ht="12" customHeight="1" x14ac:dyDescent="0.2">
      <c r="AM2954" t="str">
        <f t="shared" si="46"/>
        <v>Cigales [ESGVA]</v>
      </c>
      <c r="AN2954" t="s">
        <v>9728</v>
      </c>
      <c r="AO2954" t="s">
        <v>9729</v>
      </c>
    </row>
    <row r="2955" spans="39:41" ht="12" customHeight="1" x14ac:dyDescent="0.2">
      <c r="AM2955" t="str">
        <f t="shared" si="46"/>
        <v>Cikande [IDSZA]</v>
      </c>
      <c r="AN2955" t="s">
        <v>16233</v>
      </c>
      <c r="AO2955" t="s">
        <v>16234</v>
      </c>
    </row>
    <row r="2956" spans="39:41" ht="12" customHeight="1" x14ac:dyDescent="0.2">
      <c r="AM2956" t="str">
        <f t="shared" si="46"/>
        <v>Cilacap (Tjilatjap) [IDCXP]</v>
      </c>
      <c r="AN2956" t="s">
        <v>16235</v>
      </c>
      <c r="AO2956" t="s">
        <v>16236</v>
      </c>
    </row>
    <row r="2957" spans="39:41" ht="12" customHeight="1" x14ac:dyDescent="0.2">
      <c r="AM2957" t="str">
        <f t="shared" si="46"/>
        <v>Cimelice [CZMCE]</v>
      </c>
      <c r="AN2957" t="s">
        <v>6807</v>
      </c>
      <c r="AO2957" t="s">
        <v>6808</v>
      </c>
    </row>
    <row r="2958" spans="39:41" ht="12" customHeight="1" x14ac:dyDescent="0.2">
      <c r="AM2958" t="str">
        <f t="shared" si="46"/>
        <v>Cincinnati [USCVG]</v>
      </c>
      <c r="AN2958" t="s">
        <v>29314</v>
      </c>
      <c r="AO2958" t="s">
        <v>29315</v>
      </c>
    </row>
    <row r="2959" spans="39:41" ht="12" customHeight="1" x14ac:dyDescent="0.2">
      <c r="AM2959" t="str">
        <f t="shared" si="46"/>
        <v>Circle Pines [USZLP]</v>
      </c>
      <c r="AN2959" t="s">
        <v>29316</v>
      </c>
      <c r="AO2959" t="s">
        <v>29317</v>
      </c>
    </row>
    <row r="2960" spans="39:41" ht="12" customHeight="1" x14ac:dyDescent="0.2">
      <c r="AM2960" t="str">
        <f t="shared" si="46"/>
        <v>Cirebon (Tjeribon) [IDCBN]</v>
      </c>
      <c r="AN2960" t="s">
        <v>16237</v>
      </c>
      <c r="AO2960" t="s">
        <v>16238</v>
      </c>
    </row>
    <row r="2961" spans="39:41" ht="12" customHeight="1" x14ac:dyDescent="0.2">
      <c r="AM2961" t="str">
        <f t="shared" si="46"/>
        <v>Cirkewwa [MTCKW]</v>
      </c>
      <c r="AN2961" t="s">
        <v>22248</v>
      </c>
      <c r="AO2961" t="s">
        <v>22249</v>
      </c>
    </row>
    <row r="2962" spans="39:41" ht="12" customHeight="1" x14ac:dyDescent="0.2">
      <c r="AM2962" t="str">
        <f t="shared" si="46"/>
        <v>Ciro Marina [ITMRM]</v>
      </c>
      <c r="AN2962" t="s">
        <v>17909</v>
      </c>
      <c r="AO2962" t="s">
        <v>36076</v>
      </c>
    </row>
    <row r="2963" spans="39:41" ht="12" customHeight="1" x14ac:dyDescent="0.2">
      <c r="AM2963" t="str">
        <f t="shared" si="46"/>
        <v>Ciruelas [CRCIR]</v>
      </c>
      <c r="AN2963" t="s">
        <v>6565</v>
      </c>
      <c r="AO2963" t="s">
        <v>6566</v>
      </c>
    </row>
    <row r="2964" spans="39:41" ht="12" customHeight="1" x14ac:dyDescent="0.2">
      <c r="AM2964" t="str">
        <f t="shared" si="46"/>
        <v>Cisneros [ESCSN]</v>
      </c>
      <c r="AN2964" t="s">
        <v>9730</v>
      </c>
      <c r="AO2964" t="s">
        <v>9731</v>
      </c>
    </row>
    <row r="2965" spans="39:41" ht="12" customHeight="1" x14ac:dyDescent="0.2">
      <c r="AM2965" t="str">
        <f t="shared" si="46"/>
        <v>City Island [USIS3]</v>
      </c>
      <c r="AN2965" t="s">
        <v>29318</v>
      </c>
      <c r="AO2965" t="s">
        <v>29319</v>
      </c>
    </row>
    <row r="2966" spans="39:41" ht="12" customHeight="1" x14ac:dyDescent="0.2">
      <c r="AM2966" t="str">
        <f t="shared" si="46"/>
        <v>Ciudad Bolivar [VECBL]</v>
      </c>
      <c r="AN2966" t="s">
        <v>32167</v>
      </c>
      <c r="AO2966" t="s">
        <v>36586</v>
      </c>
    </row>
    <row r="2967" spans="39:41" ht="12" customHeight="1" x14ac:dyDescent="0.2">
      <c r="AM2967" t="str">
        <f t="shared" si="46"/>
        <v>Ciudad del Carmen [MXCME]</v>
      </c>
      <c r="AN2967" t="s">
        <v>22336</v>
      </c>
      <c r="AO2967" t="s">
        <v>22337</v>
      </c>
    </row>
    <row r="2968" spans="39:41" ht="12" customHeight="1" x14ac:dyDescent="0.2">
      <c r="AM2968" t="str">
        <f t="shared" si="46"/>
        <v>Ciudad del Este [PYAGT]</v>
      </c>
      <c r="AN2968" t="s">
        <v>26662</v>
      </c>
      <c r="AO2968" t="s">
        <v>26663</v>
      </c>
    </row>
    <row r="2969" spans="39:41" ht="12" customHeight="1" x14ac:dyDescent="0.2">
      <c r="AM2969" t="str">
        <f t="shared" si="46"/>
        <v>Ciudad Guayana [VECGU]</v>
      </c>
      <c r="AN2969" t="s">
        <v>32168</v>
      </c>
      <c r="AO2969" t="s">
        <v>32169</v>
      </c>
    </row>
    <row r="2970" spans="39:41" ht="12" customHeight="1" x14ac:dyDescent="0.2">
      <c r="AM2970" t="str">
        <f t="shared" si="46"/>
        <v>Ciudad Madero [MXCDD]</v>
      </c>
      <c r="AN2970" t="s">
        <v>22338</v>
      </c>
      <c r="AO2970" t="s">
        <v>22339</v>
      </c>
    </row>
    <row r="2971" spans="39:41" ht="12" customHeight="1" x14ac:dyDescent="0.2">
      <c r="AM2971" t="str">
        <f t="shared" si="46"/>
        <v>Ciudad Rio Bravo [MXRBV]</v>
      </c>
      <c r="AN2971" t="s">
        <v>22340</v>
      </c>
      <c r="AO2971" t="s">
        <v>36088</v>
      </c>
    </row>
    <row r="2972" spans="39:41" ht="12" customHeight="1" x14ac:dyDescent="0.2">
      <c r="AM2972" t="str">
        <f t="shared" si="46"/>
        <v>Ciudad Sahagun [MXCSG]</v>
      </c>
      <c r="AN2972" t="s">
        <v>22341</v>
      </c>
      <c r="AO2972" t="s">
        <v>36089</v>
      </c>
    </row>
    <row r="2973" spans="39:41" ht="12" customHeight="1" x14ac:dyDescent="0.2">
      <c r="AM2973" t="str">
        <f t="shared" si="46"/>
        <v>Ciudadela [ESQIU]</v>
      </c>
      <c r="AN2973" t="s">
        <v>9732</v>
      </c>
      <c r="AO2973" t="s">
        <v>9733</v>
      </c>
    </row>
    <row r="2974" spans="39:41" ht="12" customHeight="1" x14ac:dyDescent="0.2">
      <c r="AM2974" t="str">
        <f t="shared" si="46"/>
        <v>Civet / Guandong [CNCIV]</v>
      </c>
      <c r="AN2974" t="s">
        <v>5153</v>
      </c>
      <c r="AO2974" t="s">
        <v>5154</v>
      </c>
    </row>
    <row r="2975" spans="39:41" ht="12" customHeight="1" x14ac:dyDescent="0.2">
      <c r="AM2975" t="str">
        <f t="shared" si="46"/>
        <v>Civitavecchia [ITCVV]</v>
      </c>
      <c r="AN2975" t="s">
        <v>17910</v>
      </c>
      <c r="AO2975" t="s">
        <v>17911</v>
      </c>
    </row>
    <row r="2976" spans="39:41" ht="12" customHeight="1" x14ac:dyDescent="0.2">
      <c r="AM2976" t="str">
        <f t="shared" si="46"/>
        <v>Civrac-de-Blaye [FRXLZ]</v>
      </c>
      <c r="AN2976" t="s">
        <v>11099</v>
      </c>
      <c r="AO2976" t="s">
        <v>11100</v>
      </c>
    </row>
    <row r="2977" spans="39:41" ht="12" customHeight="1" x14ac:dyDescent="0.2">
      <c r="AM2977" t="str">
        <f t="shared" si="46"/>
        <v>Ciwandan [IDCIW]</v>
      </c>
      <c r="AN2977" t="s">
        <v>16239</v>
      </c>
      <c r="AO2977" t="s">
        <v>16240</v>
      </c>
    </row>
    <row r="2978" spans="39:41" ht="12" customHeight="1" x14ac:dyDescent="0.2">
      <c r="AM2978" t="str">
        <f t="shared" si="46"/>
        <v>Cixi [CNCIX]</v>
      </c>
      <c r="AN2978" t="s">
        <v>5155</v>
      </c>
      <c r="AO2978" t="s">
        <v>5156</v>
      </c>
    </row>
    <row r="2979" spans="39:41" ht="12" customHeight="1" x14ac:dyDescent="0.2">
      <c r="AM2979" t="str">
        <f t="shared" si="46"/>
        <v>Clabecq [BECBQ]</v>
      </c>
      <c r="AN2979" t="s">
        <v>2357</v>
      </c>
      <c r="AO2979" t="s">
        <v>2358</v>
      </c>
    </row>
    <row r="2980" spans="39:41" ht="12" customHeight="1" x14ac:dyDescent="0.2">
      <c r="AM2980" t="str">
        <f t="shared" si="46"/>
        <v>Clachan, Raasay [GBRAS]</v>
      </c>
      <c r="AN2980" t="s">
        <v>12832</v>
      </c>
      <c r="AO2980" t="s">
        <v>12833</v>
      </c>
    </row>
    <row r="2981" spans="39:41" ht="12" customHeight="1" x14ac:dyDescent="0.2">
      <c r="AM2981" t="str">
        <f t="shared" si="46"/>
        <v>Clacton-on-Sea [GBCLS]</v>
      </c>
      <c r="AN2981" t="s">
        <v>12834</v>
      </c>
      <c r="AO2981" t="s">
        <v>12835</v>
      </c>
    </row>
    <row r="2982" spans="39:41" ht="12" customHeight="1" x14ac:dyDescent="0.2">
      <c r="AM2982" t="str">
        <f t="shared" si="46"/>
        <v>Clallam Bay [USXMY]</v>
      </c>
      <c r="AN2982" t="s">
        <v>29320</v>
      </c>
      <c r="AO2982" t="s">
        <v>29321</v>
      </c>
    </row>
    <row r="2983" spans="39:41" ht="12" customHeight="1" x14ac:dyDescent="0.2">
      <c r="AM2983" t="str">
        <f t="shared" si="46"/>
        <v>Clancy [USZCY]</v>
      </c>
      <c r="AN2983" t="s">
        <v>29322</v>
      </c>
      <c r="AO2983" t="s">
        <v>29323</v>
      </c>
    </row>
    <row r="2984" spans="39:41" ht="12" customHeight="1" x14ac:dyDescent="0.2">
      <c r="AM2984" t="str">
        <f t="shared" si="46"/>
        <v>Claonaig [GBCLJ]</v>
      </c>
      <c r="AN2984" t="s">
        <v>12836</v>
      </c>
      <c r="AO2984" t="s">
        <v>12837</v>
      </c>
    </row>
    <row r="2985" spans="39:41" ht="12" customHeight="1" x14ac:dyDescent="0.2">
      <c r="AM2985" t="str">
        <f t="shared" si="46"/>
        <v>Clara City [USZCC]</v>
      </c>
      <c r="AN2985" t="s">
        <v>29324</v>
      </c>
      <c r="AO2985" t="s">
        <v>29325</v>
      </c>
    </row>
    <row r="2986" spans="39:41" ht="12" customHeight="1" x14ac:dyDescent="0.2">
      <c r="AM2986" t="str">
        <f t="shared" si="46"/>
        <v>Clare [AUSCL]</v>
      </c>
      <c r="AN2986" t="s">
        <v>1559</v>
      </c>
      <c r="AO2986" t="s">
        <v>1560</v>
      </c>
    </row>
    <row r="2987" spans="39:41" ht="12" customHeight="1" x14ac:dyDescent="0.2">
      <c r="AM2987" t="str">
        <f t="shared" si="46"/>
        <v>Clare [USQAI]</v>
      </c>
      <c r="AN2987" t="s">
        <v>29326</v>
      </c>
      <c r="AO2987" t="s">
        <v>1560</v>
      </c>
    </row>
    <row r="2988" spans="39:41" ht="12" customHeight="1" x14ac:dyDescent="0.2">
      <c r="AM2988" t="str">
        <f t="shared" si="46"/>
        <v>Clarecastle [IECLC]</v>
      </c>
      <c r="AN2988" t="s">
        <v>16759</v>
      </c>
      <c r="AO2988" t="s">
        <v>16760</v>
      </c>
    </row>
    <row r="2989" spans="39:41" ht="12" customHeight="1" x14ac:dyDescent="0.2">
      <c r="AM2989" t="str">
        <f t="shared" si="46"/>
        <v>Claremont [AUCLM]</v>
      </c>
      <c r="AN2989" t="s">
        <v>1561</v>
      </c>
      <c r="AO2989" t="s">
        <v>1562</v>
      </c>
    </row>
    <row r="2990" spans="39:41" ht="12" customHeight="1" x14ac:dyDescent="0.2">
      <c r="AM2990" t="str">
        <f t="shared" si="46"/>
        <v>Claremont [USCO3]</v>
      </c>
      <c r="AN2990" t="s">
        <v>29327</v>
      </c>
      <c r="AO2990" t="s">
        <v>1562</v>
      </c>
    </row>
    <row r="2991" spans="39:41" ht="12" customHeight="1" x14ac:dyDescent="0.2">
      <c r="AM2991" t="str">
        <f t="shared" si="46"/>
        <v>Clarence River [AUCLR]</v>
      </c>
      <c r="AN2991" t="s">
        <v>1563</v>
      </c>
      <c r="AO2991" t="s">
        <v>1564</v>
      </c>
    </row>
    <row r="2992" spans="39:41" ht="12" customHeight="1" x14ac:dyDescent="0.2">
      <c r="AM2992" t="str">
        <f t="shared" si="46"/>
        <v>Clarendon [AUCDN]</v>
      </c>
      <c r="AN2992" t="s">
        <v>1565</v>
      </c>
      <c r="AO2992" t="s">
        <v>1566</v>
      </c>
    </row>
    <row r="2993" spans="39:41" ht="12" customHeight="1" x14ac:dyDescent="0.2">
      <c r="AM2993" t="str">
        <f t="shared" si="46"/>
        <v>Clarendon [USRNN]</v>
      </c>
      <c r="AN2993" t="s">
        <v>29328</v>
      </c>
      <c r="AO2993" t="s">
        <v>1566</v>
      </c>
    </row>
    <row r="2994" spans="39:41" ht="12" customHeight="1" x14ac:dyDescent="0.2">
      <c r="AM2994" t="str">
        <f t="shared" si="46"/>
        <v>Clarendon Heights [USZDC]</v>
      </c>
      <c r="AN2994" t="s">
        <v>29329</v>
      </c>
      <c r="AO2994" t="s">
        <v>29330</v>
      </c>
    </row>
    <row r="2995" spans="39:41" ht="12" customHeight="1" x14ac:dyDescent="0.2">
      <c r="AM2995" t="str">
        <f t="shared" si="46"/>
        <v>Clarenville [CACLE]</v>
      </c>
      <c r="AN2995" t="s">
        <v>3722</v>
      </c>
      <c r="AO2995" t="s">
        <v>3723</v>
      </c>
    </row>
    <row r="2996" spans="39:41" ht="12" customHeight="1" x14ac:dyDescent="0.2">
      <c r="AM2996" t="str">
        <f t="shared" si="46"/>
        <v>Clarke City [CACLC]</v>
      </c>
      <c r="AN2996" t="s">
        <v>3724</v>
      </c>
      <c r="AO2996" t="s">
        <v>3725</v>
      </c>
    </row>
    <row r="2997" spans="39:41" ht="12" customHeight="1" x14ac:dyDescent="0.2">
      <c r="AM2997" t="str">
        <f t="shared" si="46"/>
        <v>Clarkesville [USCWW]</v>
      </c>
      <c r="AN2997" t="s">
        <v>29331</v>
      </c>
      <c r="AO2997" t="s">
        <v>29332</v>
      </c>
    </row>
    <row r="2998" spans="39:41" ht="12" customHeight="1" x14ac:dyDescent="0.2">
      <c r="AM2998" t="str">
        <f t="shared" si="46"/>
        <v>Clark's Harbour [CACLH]</v>
      </c>
      <c r="AN2998" t="s">
        <v>3726</v>
      </c>
      <c r="AO2998" t="s">
        <v>3727</v>
      </c>
    </row>
    <row r="2999" spans="39:41" ht="12" customHeight="1" x14ac:dyDescent="0.2">
      <c r="AM2999" t="str">
        <f t="shared" si="46"/>
        <v>Clarksburg [USCG4]</v>
      </c>
      <c r="AN2999" t="s">
        <v>29333</v>
      </c>
      <c r="AO2999" t="s">
        <v>29334</v>
      </c>
    </row>
    <row r="3000" spans="39:41" ht="12" customHeight="1" x14ac:dyDescent="0.2">
      <c r="AM3000" t="str">
        <f t="shared" si="46"/>
        <v>Clarkson [CACSN]</v>
      </c>
      <c r="AN3000" t="s">
        <v>3728</v>
      </c>
      <c r="AO3000" t="s">
        <v>3729</v>
      </c>
    </row>
    <row r="3001" spans="39:41" ht="12" customHeight="1" x14ac:dyDescent="0.2">
      <c r="AM3001" t="str">
        <f t="shared" si="46"/>
        <v>Clatskanie [USYCK]</v>
      </c>
      <c r="AN3001" t="s">
        <v>29335</v>
      </c>
      <c r="AO3001" t="s">
        <v>29336</v>
      </c>
    </row>
    <row r="3002" spans="39:41" ht="12" customHeight="1" x14ac:dyDescent="0.2">
      <c r="AM3002" t="str">
        <f t="shared" si="46"/>
        <v>Claveria/Aparri [PHCLV]</v>
      </c>
      <c r="AN3002" t="s">
        <v>25695</v>
      </c>
      <c r="AO3002" t="s">
        <v>25696</v>
      </c>
    </row>
    <row r="3003" spans="39:41" ht="12" customHeight="1" x14ac:dyDescent="0.2">
      <c r="AM3003" t="str">
        <f t="shared" si="46"/>
        <v>Claves [USVXJ]</v>
      </c>
      <c r="AN3003" t="s">
        <v>29337</v>
      </c>
      <c r="AO3003" t="s">
        <v>29338</v>
      </c>
    </row>
    <row r="3004" spans="39:41" ht="12" customHeight="1" x14ac:dyDescent="0.2">
      <c r="AM3004" t="str">
        <f t="shared" ref="AM3004:AM3067" si="47">AO3004 &amp; " [" &amp; AN3004 &amp; "]"</f>
        <v>Clawson [USZCS]</v>
      </c>
      <c r="AN3004" t="s">
        <v>29339</v>
      </c>
      <c r="AO3004" t="s">
        <v>29340</v>
      </c>
    </row>
    <row r="3005" spans="39:41" ht="12" customHeight="1" x14ac:dyDescent="0.2">
      <c r="AM3005" t="str">
        <f t="shared" si="47"/>
        <v>Claxton Bay [TTCLA]</v>
      </c>
      <c r="AN3005" t="s">
        <v>28635</v>
      </c>
      <c r="AO3005" t="s">
        <v>28636</v>
      </c>
    </row>
    <row r="3006" spans="39:41" ht="12" customHeight="1" x14ac:dyDescent="0.2">
      <c r="AM3006" t="str">
        <f t="shared" si="47"/>
        <v>Claydon [GBCYG]</v>
      </c>
      <c r="AN3006" t="s">
        <v>12838</v>
      </c>
      <c r="AO3006" t="s">
        <v>12839</v>
      </c>
    </row>
    <row r="3007" spans="39:41" ht="12" customHeight="1" x14ac:dyDescent="0.2">
      <c r="AM3007" t="str">
        <f t="shared" si="47"/>
        <v>Claymont [USCLA]</v>
      </c>
      <c r="AN3007" t="s">
        <v>29341</v>
      </c>
      <c r="AO3007" t="s">
        <v>29342</v>
      </c>
    </row>
    <row r="3008" spans="39:41" ht="12" customHeight="1" x14ac:dyDescent="0.2">
      <c r="AM3008" t="str">
        <f t="shared" si="47"/>
        <v>Claysburg [USQCB]</v>
      </c>
      <c r="AN3008" t="s">
        <v>29343</v>
      </c>
      <c r="AO3008" t="s">
        <v>29344</v>
      </c>
    </row>
    <row r="3009" spans="39:41" ht="12" customHeight="1" x14ac:dyDescent="0.2">
      <c r="AM3009" t="str">
        <f t="shared" si="47"/>
        <v>Clayton [USCN3]</v>
      </c>
      <c r="AN3009" t="s">
        <v>29345</v>
      </c>
      <c r="AO3009" t="s">
        <v>29346</v>
      </c>
    </row>
    <row r="3010" spans="39:41" ht="12" customHeight="1" x14ac:dyDescent="0.2">
      <c r="AM3010" t="str">
        <f t="shared" si="47"/>
        <v>Clayton [USCLY]</v>
      </c>
      <c r="AN3010" t="s">
        <v>29347</v>
      </c>
      <c r="AO3010" t="s">
        <v>29346</v>
      </c>
    </row>
    <row r="3011" spans="39:41" ht="12" customHeight="1" x14ac:dyDescent="0.2">
      <c r="AM3011" t="str">
        <f t="shared" si="47"/>
        <v>Clearlake Oaks [USRXO]</v>
      </c>
      <c r="AN3011" t="s">
        <v>29348</v>
      </c>
      <c r="AO3011" t="s">
        <v>29349</v>
      </c>
    </row>
    <row r="3012" spans="39:41" ht="12" customHeight="1" x14ac:dyDescent="0.2">
      <c r="AM3012" t="str">
        <f t="shared" si="47"/>
        <v>Clearville [US2PA]</v>
      </c>
      <c r="AN3012" t="s">
        <v>29350</v>
      </c>
      <c r="AO3012" t="s">
        <v>29351</v>
      </c>
    </row>
    <row r="3013" spans="39:41" ht="12" customHeight="1" x14ac:dyDescent="0.2">
      <c r="AM3013" t="str">
        <f t="shared" si="47"/>
        <v>Clearwater [CACWT]</v>
      </c>
      <c r="AN3013" t="s">
        <v>3730</v>
      </c>
      <c r="AO3013" t="s">
        <v>3731</v>
      </c>
    </row>
    <row r="3014" spans="39:41" ht="12" customHeight="1" x14ac:dyDescent="0.2">
      <c r="AM3014" t="str">
        <f t="shared" si="47"/>
        <v>Clearwater [USEWG]</v>
      </c>
      <c r="AN3014" t="s">
        <v>29352</v>
      </c>
      <c r="AO3014" t="s">
        <v>3731</v>
      </c>
    </row>
    <row r="3015" spans="39:41" ht="12" customHeight="1" x14ac:dyDescent="0.2">
      <c r="AM3015" t="str">
        <f t="shared" si="47"/>
        <v>Clendenin [USIUH]</v>
      </c>
      <c r="AN3015" t="s">
        <v>29353</v>
      </c>
      <c r="AO3015" t="s">
        <v>29354</v>
      </c>
    </row>
    <row r="3016" spans="39:41" ht="12" customHeight="1" x14ac:dyDescent="0.2">
      <c r="AM3016" t="str">
        <f t="shared" si="47"/>
        <v>Clermont [USERN]</v>
      </c>
      <c r="AN3016" t="s">
        <v>29355</v>
      </c>
      <c r="AO3016" t="s">
        <v>29356</v>
      </c>
    </row>
    <row r="3017" spans="39:41" ht="12" customHeight="1" x14ac:dyDescent="0.2">
      <c r="AM3017" t="str">
        <f t="shared" si="47"/>
        <v>Clevedon [GBQZL]</v>
      </c>
      <c r="AN3017" t="s">
        <v>12840</v>
      </c>
      <c r="AO3017" t="s">
        <v>12841</v>
      </c>
    </row>
    <row r="3018" spans="39:41" ht="12" customHeight="1" x14ac:dyDescent="0.2">
      <c r="AM3018" t="str">
        <f t="shared" si="47"/>
        <v>Cleveland [AUCVN]</v>
      </c>
      <c r="AN3018" t="s">
        <v>1567</v>
      </c>
      <c r="AO3018" t="s">
        <v>1568</v>
      </c>
    </row>
    <row r="3019" spans="39:41" ht="12" customHeight="1" x14ac:dyDescent="0.2">
      <c r="AM3019" t="str">
        <f t="shared" si="47"/>
        <v>Cleveland [CACVA]</v>
      </c>
      <c r="AN3019" t="s">
        <v>3732</v>
      </c>
      <c r="AO3019" t="s">
        <v>1568</v>
      </c>
    </row>
    <row r="3020" spans="39:41" ht="12" customHeight="1" x14ac:dyDescent="0.2">
      <c r="AM3020" t="str">
        <f t="shared" si="47"/>
        <v>Cleveland [USCWX]</v>
      </c>
      <c r="AN3020" t="s">
        <v>29357</v>
      </c>
      <c r="AO3020" t="s">
        <v>1568</v>
      </c>
    </row>
    <row r="3021" spans="39:41" ht="12" customHeight="1" x14ac:dyDescent="0.2">
      <c r="AM3021" t="str">
        <f t="shared" si="47"/>
        <v>Cleveland [USCLE]</v>
      </c>
      <c r="AN3021" t="s">
        <v>29358</v>
      </c>
      <c r="AO3021" t="s">
        <v>1568</v>
      </c>
    </row>
    <row r="3022" spans="39:41" ht="12" customHeight="1" x14ac:dyDescent="0.2">
      <c r="AM3022" t="str">
        <f t="shared" si="47"/>
        <v>Clifden [IECLI]</v>
      </c>
      <c r="AN3022" t="s">
        <v>16761</v>
      </c>
      <c r="AO3022" t="s">
        <v>16762</v>
      </c>
    </row>
    <row r="3023" spans="39:41" ht="12" customHeight="1" x14ac:dyDescent="0.2">
      <c r="AM3023" t="str">
        <f t="shared" si="47"/>
        <v>Cliffe [GBCLF]</v>
      </c>
      <c r="AN3023" t="s">
        <v>12842</v>
      </c>
      <c r="AO3023" t="s">
        <v>12843</v>
      </c>
    </row>
    <row r="3024" spans="39:41" ht="12" customHeight="1" x14ac:dyDescent="0.2">
      <c r="AM3024" t="str">
        <f t="shared" si="47"/>
        <v>Clifford [CALLF]</v>
      </c>
      <c r="AN3024" t="s">
        <v>3733</v>
      </c>
      <c r="AO3024" t="s">
        <v>3734</v>
      </c>
    </row>
    <row r="3025" spans="39:41" ht="12" customHeight="1" x14ac:dyDescent="0.2">
      <c r="AM3025" t="str">
        <f t="shared" si="47"/>
        <v>Clifford Township [US2TO]</v>
      </c>
      <c r="AN3025" t="s">
        <v>29359</v>
      </c>
      <c r="AO3025" t="s">
        <v>29360</v>
      </c>
    </row>
    <row r="3026" spans="39:41" ht="12" customHeight="1" x14ac:dyDescent="0.2">
      <c r="AM3026" t="str">
        <f t="shared" si="47"/>
        <v>Clifton [USIFT]</v>
      </c>
      <c r="AN3026" t="s">
        <v>29361</v>
      </c>
      <c r="AO3026" t="s">
        <v>29362</v>
      </c>
    </row>
    <row r="3027" spans="39:41" ht="12" customHeight="1" x14ac:dyDescent="0.2">
      <c r="AM3027" t="str">
        <f t="shared" si="47"/>
        <v>Clifton Point [BSCLP]</v>
      </c>
      <c r="AN3027" t="s">
        <v>3423</v>
      </c>
      <c r="AO3027" t="s">
        <v>3424</v>
      </c>
    </row>
    <row r="3028" spans="39:41" ht="12" customHeight="1" x14ac:dyDescent="0.2">
      <c r="AM3028" t="str">
        <f t="shared" si="47"/>
        <v>Climax [USJMX]</v>
      </c>
      <c r="AN3028" t="s">
        <v>29363</v>
      </c>
      <c r="AO3028" t="s">
        <v>29364</v>
      </c>
    </row>
    <row r="3029" spans="39:41" ht="12" customHeight="1" x14ac:dyDescent="0.2">
      <c r="AM3029" t="str">
        <f t="shared" si="47"/>
        <v>Clinchfield [USZQC]</v>
      </c>
      <c r="AN3029" t="s">
        <v>29365</v>
      </c>
      <c r="AO3029" t="s">
        <v>29366</v>
      </c>
    </row>
    <row r="3030" spans="39:41" ht="12" customHeight="1" x14ac:dyDescent="0.2">
      <c r="AM3030" t="str">
        <f t="shared" si="47"/>
        <v>Clinton [USC4N]</v>
      </c>
      <c r="AN3030" t="s">
        <v>29367</v>
      </c>
      <c r="AO3030" t="s">
        <v>29368</v>
      </c>
    </row>
    <row r="3031" spans="39:41" ht="12" customHeight="1" x14ac:dyDescent="0.2">
      <c r="AM3031" t="str">
        <f t="shared" si="47"/>
        <v>Clinton [USCBT]</v>
      </c>
      <c r="AN3031" t="s">
        <v>29369</v>
      </c>
      <c r="AO3031" t="s">
        <v>29368</v>
      </c>
    </row>
    <row r="3032" spans="39:41" ht="12" customHeight="1" x14ac:dyDescent="0.2">
      <c r="AM3032" t="str">
        <f t="shared" si="47"/>
        <v>Clinton [USCWZ]</v>
      </c>
      <c r="AN3032" t="s">
        <v>29370</v>
      </c>
      <c r="AO3032" t="s">
        <v>29368</v>
      </c>
    </row>
    <row r="3033" spans="39:41" ht="12" customHeight="1" x14ac:dyDescent="0.2">
      <c r="AM3033" t="str">
        <f t="shared" si="47"/>
        <v>Cloghan Point/Carrickfergus [GBCGP]</v>
      </c>
      <c r="AN3033" t="s">
        <v>12844</v>
      </c>
      <c r="AO3033" t="s">
        <v>12845</v>
      </c>
    </row>
    <row r="3034" spans="39:41" ht="12" customHeight="1" x14ac:dyDescent="0.2">
      <c r="AM3034" t="str">
        <f t="shared" si="47"/>
        <v>Clogherhead [IECLG]</v>
      </c>
      <c r="AN3034" t="s">
        <v>16763</v>
      </c>
      <c r="AO3034" t="s">
        <v>16764</v>
      </c>
    </row>
    <row r="3035" spans="39:41" ht="12" customHeight="1" x14ac:dyDescent="0.2">
      <c r="AM3035" t="str">
        <f t="shared" si="47"/>
        <v>CLOV FPSO [AOCLV]</v>
      </c>
      <c r="AN3035" t="s">
        <v>839</v>
      </c>
      <c r="AO3035" t="s">
        <v>840</v>
      </c>
    </row>
    <row r="3036" spans="39:41" ht="12" customHeight="1" x14ac:dyDescent="0.2">
      <c r="AM3036" t="str">
        <f t="shared" si="47"/>
        <v>Clovelly [AUCVL]</v>
      </c>
      <c r="AN3036" t="s">
        <v>1569</v>
      </c>
      <c r="AO3036" t="s">
        <v>1570</v>
      </c>
    </row>
    <row r="3037" spans="39:41" ht="12" customHeight="1" x14ac:dyDescent="0.2">
      <c r="AM3037" t="str">
        <f t="shared" si="47"/>
        <v>Clovelly [GBCVL]</v>
      </c>
      <c r="AN3037" t="s">
        <v>12846</v>
      </c>
      <c r="AO3037" t="s">
        <v>1570</v>
      </c>
    </row>
    <row r="3038" spans="39:41" ht="12" customHeight="1" x14ac:dyDescent="0.2">
      <c r="AM3038" t="str">
        <f t="shared" si="47"/>
        <v>Clover [USCXV]</v>
      </c>
      <c r="AN3038" t="s">
        <v>29371</v>
      </c>
      <c r="AO3038" t="s">
        <v>29372</v>
      </c>
    </row>
    <row r="3039" spans="39:41" ht="12" customHeight="1" x14ac:dyDescent="0.2">
      <c r="AM3039" t="str">
        <f t="shared" si="47"/>
        <v>Clover [USXVR]</v>
      </c>
      <c r="AN3039" t="s">
        <v>29373</v>
      </c>
      <c r="AO3039" t="s">
        <v>29372</v>
      </c>
    </row>
    <row r="3040" spans="39:41" ht="12" customHeight="1" x14ac:dyDescent="0.2">
      <c r="AM3040" t="str">
        <f t="shared" si="47"/>
        <v>Cloverdale [USCYI]</v>
      </c>
      <c r="AN3040" t="s">
        <v>29374</v>
      </c>
      <c r="AO3040" t="s">
        <v>29375</v>
      </c>
    </row>
    <row r="3041" spans="39:41" ht="12" customHeight="1" x14ac:dyDescent="0.2">
      <c r="AM3041" t="str">
        <f t="shared" si="47"/>
        <v>Clunbury [GBCZV]</v>
      </c>
      <c r="AN3041" t="s">
        <v>12847</v>
      </c>
      <c r="AO3041" t="s">
        <v>12848</v>
      </c>
    </row>
    <row r="3042" spans="39:41" ht="12" customHeight="1" x14ac:dyDescent="0.2">
      <c r="AM3042" t="str">
        <f t="shared" si="47"/>
        <v>Clute [USCU2]</v>
      </c>
      <c r="AN3042" t="s">
        <v>29376</v>
      </c>
      <c r="AO3042" t="s">
        <v>29377</v>
      </c>
    </row>
    <row r="3043" spans="39:41" ht="12" customHeight="1" x14ac:dyDescent="0.2">
      <c r="AM3043" t="str">
        <f t="shared" si="47"/>
        <v>Clyde River [CACLR]</v>
      </c>
      <c r="AN3043" t="s">
        <v>3735</v>
      </c>
      <c r="AO3043" t="s">
        <v>3736</v>
      </c>
    </row>
    <row r="3044" spans="39:41" ht="12" customHeight="1" x14ac:dyDescent="0.2">
      <c r="AM3044" t="str">
        <f t="shared" si="47"/>
        <v>Clydebank [GBCLY]</v>
      </c>
      <c r="AN3044" t="s">
        <v>12849</v>
      </c>
      <c r="AO3044" t="s">
        <v>12850</v>
      </c>
    </row>
    <row r="3045" spans="39:41" ht="12" customHeight="1" x14ac:dyDescent="0.2">
      <c r="AM3045" t="str">
        <f t="shared" si="47"/>
        <v>Clydeport [GBCYP]</v>
      </c>
      <c r="AN3045" t="s">
        <v>12851</v>
      </c>
      <c r="AO3045" t="s">
        <v>12852</v>
      </c>
    </row>
    <row r="3046" spans="39:41" ht="12" customHeight="1" x14ac:dyDescent="0.2">
      <c r="AM3046" t="str">
        <f t="shared" si="47"/>
        <v>Clynderwen [GBCYD]</v>
      </c>
      <c r="AN3046" t="s">
        <v>12853</v>
      </c>
      <c r="AO3046" t="s">
        <v>12854</v>
      </c>
    </row>
    <row r="3047" spans="39:41" ht="12" customHeight="1" x14ac:dyDescent="0.2">
      <c r="AM3047" t="str">
        <f t="shared" si="47"/>
        <v>Coal Center [USQCN]</v>
      </c>
      <c r="AN3047" t="s">
        <v>29378</v>
      </c>
      <c r="AO3047" t="s">
        <v>29379</v>
      </c>
    </row>
    <row r="3048" spans="39:41" ht="12" customHeight="1" x14ac:dyDescent="0.2">
      <c r="AM3048" t="str">
        <f t="shared" si="47"/>
        <v>Coal Harbour [CACAU]</v>
      </c>
      <c r="AN3048" t="s">
        <v>3737</v>
      </c>
      <c r="AO3048" t="s">
        <v>3738</v>
      </c>
    </row>
    <row r="3049" spans="39:41" ht="12" customHeight="1" x14ac:dyDescent="0.2">
      <c r="AM3049" t="str">
        <f t="shared" si="47"/>
        <v>Coal Valley [USZCV]</v>
      </c>
      <c r="AN3049" t="s">
        <v>29380</v>
      </c>
      <c r="AO3049" t="s">
        <v>29381</v>
      </c>
    </row>
    <row r="3050" spans="39:41" ht="12" customHeight="1" x14ac:dyDescent="0.2">
      <c r="AM3050" t="str">
        <f t="shared" si="47"/>
        <v>Coalfield [USZQZ]</v>
      </c>
      <c r="AN3050" t="s">
        <v>29382</v>
      </c>
      <c r="AO3050" t="s">
        <v>29383</v>
      </c>
    </row>
    <row r="3051" spans="39:41" ht="12" customHeight="1" x14ac:dyDescent="0.2">
      <c r="AM3051" t="str">
        <f t="shared" si="47"/>
        <v>Coastal Control Terminal [IECCT]</v>
      </c>
      <c r="AN3051" t="s">
        <v>16765</v>
      </c>
      <c r="AO3051" t="s">
        <v>16766</v>
      </c>
    </row>
    <row r="3052" spans="39:41" ht="12" customHeight="1" x14ac:dyDescent="0.2">
      <c r="AM3052" t="str">
        <f t="shared" si="47"/>
        <v>Coatzacoalcos [MXCOA]</v>
      </c>
      <c r="AN3052" t="s">
        <v>22342</v>
      </c>
      <c r="AO3052" t="s">
        <v>22343</v>
      </c>
    </row>
    <row r="3053" spans="39:41" ht="12" customHeight="1" x14ac:dyDescent="0.2">
      <c r="AM3053" t="str">
        <f t="shared" si="47"/>
        <v>Cobbs Creek [USCK2]</v>
      </c>
      <c r="AN3053" t="s">
        <v>29384</v>
      </c>
      <c r="AO3053" t="s">
        <v>29385</v>
      </c>
    </row>
    <row r="3054" spans="39:41" ht="12" customHeight="1" x14ac:dyDescent="0.2">
      <c r="AM3054" t="str">
        <f t="shared" si="47"/>
        <v>Cobh [IECOB]</v>
      </c>
      <c r="AN3054" t="s">
        <v>16767</v>
      </c>
      <c r="AO3054" t="s">
        <v>16768</v>
      </c>
    </row>
    <row r="3055" spans="39:41" ht="12" customHeight="1" x14ac:dyDescent="0.2">
      <c r="AM3055" t="str">
        <f t="shared" si="47"/>
        <v>Cobourg [CACBG]</v>
      </c>
      <c r="AN3055" t="s">
        <v>3739</v>
      </c>
      <c r="AO3055" t="s">
        <v>3740</v>
      </c>
    </row>
    <row r="3056" spans="39:41" ht="12" customHeight="1" x14ac:dyDescent="0.2">
      <c r="AM3056" t="str">
        <f t="shared" si="47"/>
        <v>Coca [ECOCC]</v>
      </c>
      <c r="AN3056" t="s">
        <v>9084</v>
      </c>
      <c r="AO3056" t="s">
        <v>9085</v>
      </c>
    </row>
    <row r="3057" spans="39:41" ht="12" customHeight="1" x14ac:dyDescent="0.2">
      <c r="AM3057" t="str">
        <f t="shared" si="47"/>
        <v>Cochem [DECOC]</v>
      </c>
      <c r="AN3057" t="s">
        <v>7230</v>
      </c>
      <c r="AO3057" t="s">
        <v>7231</v>
      </c>
    </row>
    <row r="3058" spans="39:41" ht="12" customHeight="1" x14ac:dyDescent="0.2">
      <c r="AM3058" t="str">
        <f t="shared" si="47"/>
        <v>Cochin [INCOK]</v>
      </c>
      <c r="AN3058" t="s">
        <v>17090</v>
      </c>
      <c r="AO3058" t="s">
        <v>17091</v>
      </c>
    </row>
    <row r="3059" spans="39:41" ht="12" customHeight="1" x14ac:dyDescent="0.2">
      <c r="AM3059" t="str">
        <f t="shared" si="47"/>
        <v>Cochise [USC55]</v>
      </c>
      <c r="AN3059" t="s">
        <v>29386</v>
      </c>
      <c r="AO3059" t="s">
        <v>29387</v>
      </c>
    </row>
    <row r="3060" spans="39:41" ht="12" customHeight="1" x14ac:dyDescent="0.2">
      <c r="AM3060" t="str">
        <f t="shared" si="47"/>
        <v>Cochranton [USCOJ]</v>
      </c>
      <c r="AN3060" t="s">
        <v>29388</v>
      </c>
      <c r="AO3060" t="s">
        <v>29389</v>
      </c>
    </row>
    <row r="3061" spans="39:41" ht="12" customHeight="1" x14ac:dyDescent="0.2">
      <c r="AM3061" t="str">
        <f t="shared" si="47"/>
        <v>Cockatoo Island [AUCTI]</v>
      </c>
      <c r="AN3061" t="s">
        <v>1571</v>
      </c>
      <c r="AO3061" t="s">
        <v>1572</v>
      </c>
    </row>
    <row r="3062" spans="39:41" ht="12" customHeight="1" x14ac:dyDescent="0.2">
      <c r="AM3062" t="str">
        <f t="shared" si="47"/>
        <v>Cockburn Town [BSCBT]</v>
      </c>
      <c r="AN3062" t="s">
        <v>3425</v>
      </c>
      <c r="AO3062" t="s">
        <v>3426</v>
      </c>
    </row>
    <row r="3063" spans="39:41" ht="12" customHeight="1" x14ac:dyDescent="0.2">
      <c r="AM3063" t="str">
        <f t="shared" si="47"/>
        <v>Cockenzie [GBCNZ]</v>
      </c>
      <c r="AN3063" t="s">
        <v>12855</v>
      </c>
      <c r="AO3063" t="s">
        <v>12856</v>
      </c>
    </row>
    <row r="3064" spans="39:41" ht="12" customHeight="1" x14ac:dyDescent="0.2">
      <c r="AM3064" t="str">
        <f t="shared" si="47"/>
        <v>Cockermouth [GBCKM]</v>
      </c>
      <c r="AN3064" t="s">
        <v>12857</v>
      </c>
      <c r="AO3064" t="s">
        <v>12858</v>
      </c>
    </row>
    <row r="3065" spans="39:41" ht="12" customHeight="1" x14ac:dyDescent="0.2">
      <c r="AM3065" t="str">
        <f t="shared" si="47"/>
        <v>Cockrell Hill [USCK9]</v>
      </c>
      <c r="AN3065" t="s">
        <v>29390</v>
      </c>
      <c r="AO3065" t="s">
        <v>29391</v>
      </c>
    </row>
    <row r="3066" spans="39:41" ht="12" customHeight="1" x14ac:dyDescent="0.2">
      <c r="AM3066" t="str">
        <f t="shared" si="47"/>
        <v>Cockwood [GBCQQ]</v>
      </c>
      <c r="AN3066" t="s">
        <v>12859</v>
      </c>
      <c r="AO3066" t="s">
        <v>12860</v>
      </c>
    </row>
    <row r="3067" spans="39:41" ht="12" customHeight="1" x14ac:dyDescent="0.2">
      <c r="AM3067" t="str">
        <f t="shared" si="47"/>
        <v>Cocobeach [GACCB]</v>
      </c>
      <c r="AN3067" t="s">
        <v>12223</v>
      </c>
      <c r="AO3067" t="s">
        <v>12224</v>
      </c>
    </row>
    <row r="3068" spans="39:41" ht="12" customHeight="1" x14ac:dyDescent="0.2">
      <c r="AM3068" t="str">
        <f t="shared" ref="AM3068:AM3131" si="48">AO3068 &amp; " [" &amp; AN3068 &amp; "]"</f>
        <v>Coconut Grove [USNVV]</v>
      </c>
      <c r="AN3068" t="s">
        <v>29392</v>
      </c>
      <c r="AO3068" t="s">
        <v>29393</v>
      </c>
    </row>
    <row r="3069" spans="39:41" ht="12" customHeight="1" x14ac:dyDescent="0.2">
      <c r="AM3069" t="str">
        <f t="shared" si="48"/>
        <v>Cocos Islands [CCCCK]</v>
      </c>
      <c r="AN3069" t="s">
        <v>4615</v>
      </c>
      <c r="AO3069" t="s">
        <v>4616</v>
      </c>
    </row>
    <row r="3070" spans="39:41" ht="12" customHeight="1" x14ac:dyDescent="0.2">
      <c r="AM3070" t="str">
        <f t="shared" si="48"/>
        <v>Codajas [BRCDA]</v>
      </c>
      <c r="AN3070" t="s">
        <v>3295</v>
      </c>
      <c r="AO3070" t="s">
        <v>35290</v>
      </c>
    </row>
    <row r="3071" spans="39:41" ht="12" customHeight="1" x14ac:dyDescent="0.2">
      <c r="AM3071" t="str">
        <f t="shared" si="48"/>
        <v>Coevorden [NLCOE]</v>
      </c>
      <c r="AN3071" t="s">
        <v>33870</v>
      </c>
      <c r="AO3071" t="s">
        <v>33992</v>
      </c>
    </row>
    <row r="3072" spans="39:41" ht="12" customHeight="1" x14ac:dyDescent="0.2">
      <c r="AM3072" t="str">
        <f t="shared" si="48"/>
        <v>Coffs Harbour [AUCFS]</v>
      </c>
      <c r="AN3072" t="s">
        <v>1573</v>
      </c>
      <c r="AO3072" t="s">
        <v>1574</v>
      </c>
    </row>
    <row r="3073" spans="39:41" ht="12" customHeight="1" x14ac:dyDescent="0.2">
      <c r="AM3073" t="str">
        <f t="shared" si="48"/>
        <v>Cognac [FRCNG]</v>
      </c>
      <c r="AN3073" t="s">
        <v>11101</v>
      </c>
      <c r="AO3073" t="s">
        <v>11102</v>
      </c>
    </row>
    <row r="3074" spans="39:41" ht="12" customHeight="1" x14ac:dyDescent="0.2">
      <c r="AM3074" t="str">
        <f t="shared" si="48"/>
        <v>Cognocoli [FRONY]</v>
      </c>
      <c r="AN3074" t="s">
        <v>11103</v>
      </c>
      <c r="AO3074" t="s">
        <v>11104</v>
      </c>
    </row>
    <row r="3075" spans="39:41" ht="12" customHeight="1" x14ac:dyDescent="0.2">
      <c r="AM3075" t="str">
        <f t="shared" si="48"/>
        <v>Cogo [GQCOG]</v>
      </c>
      <c r="AN3075" t="s">
        <v>15069</v>
      </c>
      <c r="AO3075" t="s">
        <v>15070</v>
      </c>
    </row>
    <row r="3076" spans="39:41" ht="12" customHeight="1" x14ac:dyDescent="0.2">
      <c r="AM3076" t="str">
        <f t="shared" si="48"/>
        <v>Cohasset [CACHS]</v>
      </c>
      <c r="AN3076" t="s">
        <v>3741</v>
      </c>
      <c r="AO3076" t="s">
        <v>3742</v>
      </c>
    </row>
    <row r="3077" spans="39:41" ht="12" customHeight="1" x14ac:dyDescent="0.2">
      <c r="AM3077" t="str">
        <f t="shared" si="48"/>
        <v>Coina [PTCNA]</v>
      </c>
      <c r="AN3077" t="s">
        <v>26487</v>
      </c>
      <c r="AO3077" t="s">
        <v>26488</v>
      </c>
    </row>
    <row r="3078" spans="39:41" ht="12" customHeight="1" x14ac:dyDescent="0.2">
      <c r="AM3078" t="str">
        <f t="shared" si="48"/>
        <v>Cokeville [USYWW]</v>
      </c>
      <c r="AN3078" t="s">
        <v>29394</v>
      </c>
      <c r="AO3078" t="s">
        <v>29395</v>
      </c>
    </row>
    <row r="3079" spans="39:41" ht="12" customHeight="1" x14ac:dyDescent="0.2">
      <c r="AM3079" t="str">
        <f t="shared" si="48"/>
        <v>Colayrac [FRAYR]</v>
      </c>
      <c r="AN3079" t="s">
        <v>11105</v>
      </c>
      <c r="AO3079" t="s">
        <v>11106</v>
      </c>
    </row>
    <row r="3080" spans="39:41" ht="12" customHeight="1" x14ac:dyDescent="0.2">
      <c r="AM3080" t="str">
        <f t="shared" si="48"/>
        <v>Colborne [CACLB]</v>
      </c>
      <c r="AN3080" t="s">
        <v>3743</v>
      </c>
      <c r="AO3080" t="s">
        <v>3744</v>
      </c>
    </row>
    <row r="3081" spans="39:41" ht="12" customHeight="1" x14ac:dyDescent="0.2">
      <c r="AM3081" t="str">
        <f t="shared" si="48"/>
        <v>Colchester [GBCOL]</v>
      </c>
      <c r="AN3081" t="s">
        <v>12861</v>
      </c>
      <c r="AO3081" t="s">
        <v>12862</v>
      </c>
    </row>
    <row r="3082" spans="39:41" ht="12" customHeight="1" x14ac:dyDescent="0.2">
      <c r="AM3082" t="str">
        <f t="shared" si="48"/>
        <v>Cold Spring Harbor [USHQ2]</v>
      </c>
      <c r="AN3082" t="s">
        <v>29396</v>
      </c>
      <c r="AO3082" t="s">
        <v>29397</v>
      </c>
    </row>
    <row r="3083" spans="39:41" ht="12" customHeight="1" x14ac:dyDescent="0.2">
      <c r="AM3083" t="str">
        <f t="shared" si="48"/>
        <v>Coldingham [GBCGB]</v>
      </c>
      <c r="AN3083" t="s">
        <v>12863</v>
      </c>
      <c r="AO3083" t="s">
        <v>12864</v>
      </c>
    </row>
    <row r="3084" spans="39:41" ht="12" customHeight="1" x14ac:dyDescent="0.2">
      <c r="AM3084" t="str">
        <f t="shared" si="48"/>
        <v>Coldstream [AUCST]</v>
      </c>
      <c r="AN3084" t="s">
        <v>1575</v>
      </c>
      <c r="AO3084" t="s">
        <v>1576</v>
      </c>
    </row>
    <row r="3085" spans="39:41" ht="12" customHeight="1" x14ac:dyDescent="0.2">
      <c r="AM3085" t="str">
        <f t="shared" si="48"/>
        <v>Coldwater [USQIM]</v>
      </c>
      <c r="AN3085" t="s">
        <v>29398</v>
      </c>
      <c r="AO3085" t="s">
        <v>29399</v>
      </c>
    </row>
    <row r="3086" spans="39:41" ht="12" customHeight="1" x14ac:dyDescent="0.2">
      <c r="AM3086" t="str">
        <f t="shared" si="48"/>
        <v>Coleraine [GBCLR]</v>
      </c>
      <c r="AN3086" t="s">
        <v>12865</v>
      </c>
      <c r="AO3086" t="s">
        <v>12866</v>
      </c>
    </row>
    <row r="3087" spans="39:41" ht="12" customHeight="1" x14ac:dyDescent="0.2">
      <c r="AM3087" t="str">
        <f t="shared" si="48"/>
        <v>Colesburg [USCU6]</v>
      </c>
      <c r="AN3087" t="s">
        <v>29400</v>
      </c>
      <c r="AO3087" t="s">
        <v>29401</v>
      </c>
    </row>
    <row r="3088" spans="39:41" ht="12" customHeight="1" x14ac:dyDescent="0.2">
      <c r="AM3088" t="str">
        <f t="shared" si="48"/>
        <v>Coley's Point [CACYP]</v>
      </c>
      <c r="AN3088" t="s">
        <v>3745</v>
      </c>
      <c r="AO3088" t="s">
        <v>3746</v>
      </c>
    </row>
    <row r="3089" spans="39:41" ht="12" customHeight="1" x14ac:dyDescent="0.2">
      <c r="AM3089" t="str">
        <f t="shared" si="48"/>
        <v>Colfax [USOFX]</v>
      </c>
      <c r="AN3089" t="s">
        <v>29402</v>
      </c>
      <c r="AO3089" t="s">
        <v>29403</v>
      </c>
    </row>
    <row r="3090" spans="39:41" ht="12" customHeight="1" x14ac:dyDescent="0.2">
      <c r="AM3090" t="str">
        <f t="shared" si="48"/>
        <v>Colinto [BZCOL]</v>
      </c>
      <c r="AN3090" t="s">
        <v>3508</v>
      </c>
      <c r="AO3090" t="s">
        <v>3509</v>
      </c>
    </row>
    <row r="3091" spans="39:41" ht="12" customHeight="1" x14ac:dyDescent="0.2">
      <c r="AM3091" t="str">
        <f t="shared" si="48"/>
        <v>Colintraive [GBCVA]</v>
      </c>
      <c r="AN3091" t="s">
        <v>12867</v>
      </c>
      <c r="AO3091" t="s">
        <v>12868</v>
      </c>
    </row>
    <row r="3092" spans="39:41" ht="12" customHeight="1" x14ac:dyDescent="0.2">
      <c r="AM3092" t="str">
        <f t="shared" si="48"/>
        <v>Coll [GBOLL]</v>
      </c>
      <c r="AN3092" t="s">
        <v>12869</v>
      </c>
      <c r="AO3092" t="s">
        <v>12870</v>
      </c>
    </row>
    <row r="3093" spans="39:41" ht="12" customHeight="1" x14ac:dyDescent="0.2">
      <c r="AM3093" t="str">
        <f t="shared" si="48"/>
        <v>Collafirth [GBCAF]</v>
      </c>
      <c r="AN3093" t="s">
        <v>12871</v>
      </c>
      <c r="AO3093" t="s">
        <v>12872</v>
      </c>
    </row>
    <row r="3094" spans="39:41" ht="12" customHeight="1" x14ac:dyDescent="0.2">
      <c r="AM3094" t="str">
        <f t="shared" si="48"/>
        <v>Collan Islands [AUCLL]</v>
      </c>
      <c r="AN3094" t="s">
        <v>1577</v>
      </c>
      <c r="AO3094" t="s">
        <v>1578</v>
      </c>
    </row>
    <row r="3095" spans="39:41" ht="12" customHeight="1" x14ac:dyDescent="0.2">
      <c r="AM3095" t="str">
        <f t="shared" si="48"/>
        <v>Collegeville [USL55]</v>
      </c>
      <c r="AN3095" t="s">
        <v>29404</v>
      </c>
      <c r="AO3095" t="s">
        <v>29405</v>
      </c>
    </row>
    <row r="3096" spans="39:41" ht="12" customHeight="1" x14ac:dyDescent="0.2">
      <c r="AM3096" t="str">
        <f t="shared" si="48"/>
        <v>Collieston [GBCIT]</v>
      </c>
      <c r="AN3096" t="s">
        <v>12873</v>
      </c>
      <c r="AO3096" t="s">
        <v>12874</v>
      </c>
    </row>
    <row r="3097" spans="39:41" ht="12" customHeight="1" x14ac:dyDescent="0.2">
      <c r="AM3097" t="str">
        <f t="shared" si="48"/>
        <v>Collingwood [CACOL]</v>
      </c>
      <c r="AN3097" t="s">
        <v>3747</v>
      </c>
      <c r="AO3097" t="s">
        <v>3748</v>
      </c>
    </row>
    <row r="3098" spans="39:41" ht="12" customHeight="1" x14ac:dyDescent="0.2">
      <c r="AM3098" t="str">
        <f t="shared" si="48"/>
        <v>Collo [DZCOL]</v>
      </c>
      <c r="AN3098" t="s">
        <v>9051</v>
      </c>
      <c r="AO3098" t="s">
        <v>9052</v>
      </c>
    </row>
    <row r="3099" spans="39:41" ht="12" customHeight="1" x14ac:dyDescent="0.2">
      <c r="AM3099" t="str">
        <f t="shared" si="48"/>
        <v>Collonge-Bellerive [CHCBL]</v>
      </c>
      <c r="AN3099" t="s">
        <v>4676</v>
      </c>
      <c r="AO3099" t="s">
        <v>4677</v>
      </c>
    </row>
    <row r="3100" spans="39:41" ht="12" customHeight="1" x14ac:dyDescent="0.2">
      <c r="AM3100" t="str">
        <f t="shared" si="48"/>
        <v>Collorgues [FRZT7]</v>
      </c>
      <c r="AN3100" t="s">
        <v>11107</v>
      </c>
      <c r="AO3100" t="s">
        <v>11108</v>
      </c>
    </row>
    <row r="3101" spans="39:41" ht="12" customHeight="1" x14ac:dyDescent="0.2">
      <c r="AM3101" t="str">
        <f t="shared" si="48"/>
        <v>Colmar [FRCMR]</v>
      </c>
      <c r="AN3101" t="s">
        <v>11109</v>
      </c>
      <c r="AO3101" t="s">
        <v>11110</v>
      </c>
    </row>
    <row r="3102" spans="39:41" ht="12" customHeight="1" x14ac:dyDescent="0.2">
      <c r="AM3102" t="str">
        <f t="shared" si="48"/>
        <v>Colochel [INCOL]</v>
      </c>
      <c r="AN3102" t="s">
        <v>17092</v>
      </c>
      <c r="AO3102" t="s">
        <v>17093</v>
      </c>
    </row>
    <row r="3103" spans="39:41" ht="12" customHeight="1" x14ac:dyDescent="0.2">
      <c r="AM3103" t="str">
        <f t="shared" si="48"/>
        <v>Colombier [FRMJY]</v>
      </c>
      <c r="AN3103" t="s">
        <v>11111</v>
      </c>
      <c r="AO3103" t="s">
        <v>11112</v>
      </c>
    </row>
    <row r="3104" spans="39:41" ht="12" customHeight="1" x14ac:dyDescent="0.2">
      <c r="AM3104" t="str">
        <f t="shared" si="48"/>
        <v>Colombiers [FRQYV]</v>
      </c>
      <c r="AN3104" t="s">
        <v>11113</v>
      </c>
      <c r="AO3104" t="s">
        <v>11114</v>
      </c>
    </row>
    <row r="3105" spans="39:41" ht="12" customHeight="1" x14ac:dyDescent="0.2">
      <c r="AM3105" t="str">
        <f t="shared" si="48"/>
        <v>Colombo [LKCMB]</v>
      </c>
      <c r="AN3105" t="s">
        <v>21821</v>
      </c>
      <c r="AO3105" t="s">
        <v>21822</v>
      </c>
    </row>
    <row r="3106" spans="39:41" ht="12" customHeight="1" x14ac:dyDescent="0.2">
      <c r="AM3106" t="str">
        <f t="shared" si="48"/>
        <v>Colon [ARCOL]</v>
      </c>
      <c r="AN3106" t="s">
        <v>1003</v>
      </c>
      <c r="AO3106" t="s">
        <v>6683</v>
      </c>
    </row>
    <row r="3107" spans="39:41" ht="12" customHeight="1" x14ac:dyDescent="0.2">
      <c r="AM3107" t="str">
        <f t="shared" si="48"/>
        <v>Colon [CUQCO]</v>
      </c>
      <c r="AN3107" t="s">
        <v>6682</v>
      </c>
      <c r="AO3107" t="s">
        <v>6683</v>
      </c>
    </row>
    <row r="3108" spans="39:41" ht="12" customHeight="1" x14ac:dyDescent="0.2">
      <c r="AM3108" t="str">
        <f t="shared" si="48"/>
        <v>Colon [PAONX]</v>
      </c>
      <c r="AN3108" t="s">
        <v>25188</v>
      </c>
      <c r="AO3108" t="s">
        <v>6683</v>
      </c>
    </row>
    <row r="3109" spans="39:41" ht="12" customHeight="1" x14ac:dyDescent="0.2">
      <c r="AM3109" t="str">
        <f t="shared" si="48"/>
        <v>Colonia [UYCYR]</v>
      </c>
      <c r="AN3109" t="s">
        <v>32103</v>
      </c>
      <c r="AO3109" t="s">
        <v>32104</v>
      </c>
    </row>
    <row r="3110" spans="39:41" ht="12" customHeight="1" x14ac:dyDescent="0.2">
      <c r="AM3110" t="str">
        <f t="shared" si="48"/>
        <v>Colonia Caroya [ARCRY]</v>
      </c>
      <c r="AN3110" t="s">
        <v>1004</v>
      </c>
      <c r="AO3110" t="s">
        <v>1005</v>
      </c>
    </row>
    <row r="3111" spans="39:41" ht="12" customHeight="1" x14ac:dyDescent="0.2">
      <c r="AM3111" t="str">
        <f t="shared" si="48"/>
        <v>Colonia Mariano Roque Alonso [PYMRA]</v>
      </c>
      <c r="AN3111" t="s">
        <v>26664</v>
      </c>
      <c r="AO3111" t="s">
        <v>26665</v>
      </c>
    </row>
    <row r="3112" spans="39:41" ht="12" customHeight="1" x14ac:dyDescent="0.2">
      <c r="AM3112" t="str">
        <f t="shared" si="48"/>
        <v>Colos [PTCLS]</v>
      </c>
      <c r="AN3112" t="s">
        <v>26489</v>
      </c>
      <c r="AO3112" t="s">
        <v>26490</v>
      </c>
    </row>
    <row r="3113" spans="39:41" ht="12" customHeight="1" x14ac:dyDescent="0.2">
      <c r="AM3113" t="str">
        <f t="shared" si="48"/>
        <v>Columbia [USYNJ]</v>
      </c>
      <c r="AN3113" t="s">
        <v>29406</v>
      </c>
      <c r="AO3113" t="s">
        <v>29407</v>
      </c>
    </row>
    <row r="3114" spans="39:41" ht="12" customHeight="1" x14ac:dyDescent="0.2">
      <c r="AM3114" t="str">
        <f t="shared" si="48"/>
        <v>Columbia Falls [USYCU]</v>
      </c>
      <c r="AN3114" t="s">
        <v>29408</v>
      </c>
      <c r="AO3114" t="s">
        <v>29409</v>
      </c>
    </row>
    <row r="3115" spans="39:41" ht="12" customHeight="1" x14ac:dyDescent="0.2">
      <c r="AM3115" t="str">
        <f t="shared" si="48"/>
        <v>Colwyn Bay (Bae Colwyn) [GBCYY]</v>
      </c>
      <c r="AN3115" t="s">
        <v>12875</v>
      </c>
      <c r="AO3115" t="s">
        <v>12876</v>
      </c>
    </row>
    <row r="3116" spans="39:41" ht="12" customHeight="1" x14ac:dyDescent="0.2">
      <c r="AM3116" t="str">
        <f t="shared" si="48"/>
        <v>Comandante Ferraz [AQCFZ]</v>
      </c>
      <c r="AN3116" t="s">
        <v>916</v>
      </c>
      <c r="AO3116" t="s">
        <v>917</v>
      </c>
    </row>
    <row r="3117" spans="39:41" ht="12" customHeight="1" x14ac:dyDescent="0.2">
      <c r="AM3117" t="str">
        <f t="shared" si="48"/>
        <v>Combaillaux [FRRZW]</v>
      </c>
      <c r="AN3117" t="s">
        <v>11115</v>
      </c>
      <c r="AO3117" t="s">
        <v>11116</v>
      </c>
    </row>
    <row r="3118" spans="39:41" ht="12" customHeight="1" x14ac:dyDescent="0.2">
      <c r="AM3118" t="str">
        <f t="shared" si="48"/>
        <v>Combe Martin [GBCBM]</v>
      </c>
      <c r="AN3118" t="s">
        <v>12877</v>
      </c>
      <c r="AO3118" t="s">
        <v>12878</v>
      </c>
    </row>
    <row r="3119" spans="39:41" ht="12" customHeight="1" x14ac:dyDescent="0.2">
      <c r="AM3119" t="str">
        <f t="shared" si="48"/>
        <v>Combertault [FRJMQ]</v>
      </c>
      <c r="AN3119" t="s">
        <v>11117</v>
      </c>
      <c r="AO3119" t="s">
        <v>11118</v>
      </c>
    </row>
    <row r="3120" spans="39:41" ht="12" customHeight="1" x14ac:dyDescent="0.2">
      <c r="AM3120" t="str">
        <f t="shared" si="48"/>
        <v>Come By Chance [CACBC]</v>
      </c>
      <c r="AN3120" t="s">
        <v>3749</v>
      </c>
      <c r="AO3120" t="s">
        <v>3750</v>
      </c>
    </row>
    <row r="3121" spans="39:41" ht="12" customHeight="1" x14ac:dyDescent="0.2">
      <c r="AM3121" t="str">
        <f t="shared" si="48"/>
        <v>Comfort Cove [CACCV]</v>
      </c>
      <c r="AN3121" t="s">
        <v>3751</v>
      </c>
      <c r="AO3121" t="s">
        <v>3752</v>
      </c>
    </row>
    <row r="3122" spans="39:41" ht="12" customHeight="1" x14ac:dyDescent="0.2">
      <c r="AM3122" t="str">
        <f t="shared" si="48"/>
        <v>Comines [BECOM]</v>
      </c>
      <c r="AN3122" t="s">
        <v>2359</v>
      </c>
      <c r="AO3122" t="s">
        <v>2360</v>
      </c>
    </row>
    <row r="3123" spans="39:41" ht="12" customHeight="1" x14ac:dyDescent="0.2">
      <c r="AM3123" t="str">
        <f t="shared" si="48"/>
        <v>Comisani [ROCNM]</v>
      </c>
      <c r="AN3123" t="s">
        <v>26740</v>
      </c>
      <c r="AO3123" t="s">
        <v>26741</v>
      </c>
    </row>
    <row r="3124" spans="39:41" ht="12" customHeight="1" x14ac:dyDescent="0.2">
      <c r="AM3124" t="str">
        <f t="shared" si="48"/>
        <v>Commerce [USZEC]</v>
      </c>
      <c r="AN3124" t="s">
        <v>29410</v>
      </c>
      <c r="AO3124" t="s">
        <v>29411</v>
      </c>
    </row>
    <row r="3125" spans="39:41" ht="12" customHeight="1" x14ac:dyDescent="0.2">
      <c r="AM3125" t="str">
        <f t="shared" si="48"/>
        <v>Commerce Township [USOMM]</v>
      </c>
      <c r="AN3125" t="s">
        <v>29412</v>
      </c>
      <c r="AO3125" t="s">
        <v>29413</v>
      </c>
    </row>
    <row r="3126" spans="39:41" ht="12" customHeight="1" x14ac:dyDescent="0.2">
      <c r="AM3126" t="str">
        <f t="shared" si="48"/>
        <v>Communay [FRQPL]</v>
      </c>
      <c r="AN3126" t="s">
        <v>11119</v>
      </c>
      <c r="AO3126" t="s">
        <v>11120</v>
      </c>
    </row>
    <row r="3127" spans="39:41" ht="12" customHeight="1" x14ac:dyDescent="0.2">
      <c r="AM3127" t="str">
        <f t="shared" si="48"/>
        <v>Como [AUCMO]</v>
      </c>
      <c r="AN3127" t="s">
        <v>1579</v>
      </c>
      <c r="AO3127" t="s">
        <v>1580</v>
      </c>
    </row>
    <row r="3128" spans="39:41" ht="12" customHeight="1" x14ac:dyDescent="0.2">
      <c r="AM3128" t="str">
        <f t="shared" si="48"/>
        <v>Comodoro Rivadavia [ARCRD]</v>
      </c>
      <c r="AN3128" t="s">
        <v>1006</v>
      </c>
      <c r="AO3128" t="s">
        <v>1007</v>
      </c>
    </row>
    <row r="3129" spans="39:41" ht="12" customHeight="1" x14ac:dyDescent="0.2">
      <c r="AM3129" t="str">
        <f t="shared" si="48"/>
        <v>Comox [CACOX]</v>
      </c>
      <c r="AN3129" t="s">
        <v>3753</v>
      </c>
      <c r="AO3129" t="s">
        <v>3754</v>
      </c>
    </row>
    <row r="3130" spans="39:41" ht="12" customHeight="1" x14ac:dyDescent="0.2">
      <c r="AM3130" t="str">
        <f t="shared" si="48"/>
        <v>Compiegne [FRCMP]</v>
      </c>
      <c r="AN3130" t="s">
        <v>11121</v>
      </c>
      <c r="AO3130" t="s">
        <v>35793</v>
      </c>
    </row>
    <row r="3131" spans="39:41" ht="12" customHeight="1" x14ac:dyDescent="0.2">
      <c r="AM3131" t="str">
        <f t="shared" si="48"/>
        <v>Comps [FREZX]</v>
      </c>
      <c r="AN3131" t="s">
        <v>11122</v>
      </c>
      <c r="AO3131" t="s">
        <v>11123</v>
      </c>
    </row>
    <row r="3132" spans="39:41" ht="12" customHeight="1" x14ac:dyDescent="0.2">
      <c r="AM3132" t="str">
        <f t="shared" ref="AM3132:AM3193" si="49">AO3132 &amp; " [" &amp; AN3132 &amp; "]"</f>
        <v>Conakry [GNCKY]</v>
      </c>
      <c r="AN3132" t="s">
        <v>15039</v>
      </c>
      <c r="AO3132" t="s">
        <v>15040</v>
      </c>
    </row>
    <row r="3133" spans="39:41" ht="12" customHeight="1" x14ac:dyDescent="0.2">
      <c r="AM3133" t="str">
        <f t="shared" si="49"/>
        <v>Concarneau [FRCOC]</v>
      </c>
      <c r="AN3133" t="s">
        <v>11124</v>
      </c>
      <c r="AO3133" t="s">
        <v>11125</v>
      </c>
    </row>
    <row r="3134" spans="39:41" ht="12" customHeight="1" x14ac:dyDescent="0.2">
      <c r="AM3134" t="str">
        <f t="shared" si="49"/>
        <v>Concepcion [CLCCP]</v>
      </c>
      <c r="AN3134" t="s">
        <v>4854</v>
      </c>
      <c r="AO3134" t="s">
        <v>35351</v>
      </c>
    </row>
    <row r="3135" spans="39:41" ht="12" customHeight="1" x14ac:dyDescent="0.2">
      <c r="AM3135" t="str">
        <f t="shared" si="49"/>
        <v>Concepcion [PYCNP]</v>
      </c>
      <c r="AN3135" t="s">
        <v>26666</v>
      </c>
      <c r="AO3135" t="s">
        <v>35351</v>
      </c>
    </row>
    <row r="3136" spans="39:41" ht="12" customHeight="1" x14ac:dyDescent="0.2">
      <c r="AM3136" t="str">
        <f t="shared" si="49"/>
        <v>Concepcion del Uruguay [ARCOU]</v>
      </c>
      <c r="AN3136" t="s">
        <v>1008</v>
      </c>
      <c r="AO3136" t="s">
        <v>35242</v>
      </c>
    </row>
    <row r="3137" spans="39:41" ht="12" customHeight="1" x14ac:dyDescent="0.2">
      <c r="AM3137" t="str">
        <f t="shared" si="49"/>
        <v>Conchan [PECON]</v>
      </c>
      <c r="AN3137" t="s">
        <v>25245</v>
      </c>
      <c r="AO3137" t="s">
        <v>36359</v>
      </c>
    </row>
    <row r="3138" spans="39:41" ht="12" customHeight="1" x14ac:dyDescent="0.2">
      <c r="AM3138" t="str">
        <f t="shared" si="49"/>
        <v>Concoeur-et-Corboin [FRLKZ]</v>
      </c>
      <c r="AN3138" t="s">
        <v>11126</v>
      </c>
      <c r="AO3138" t="s">
        <v>11127</v>
      </c>
    </row>
    <row r="3139" spans="39:41" ht="12" customHeight="1" x14ac:dyDescent="0.2">
      <c r="AM3139" t="str">
        <f t="shared" si="49"/>
        <v>Concord [USJQQ]</v>
      </c>
      <c r="AN3139" t="s">
        <v>29414</v>
      </c>
      <c r="AO3139" t="s">
        <v>29415</v>
      </c>
    </row>
    <row r="3140" spans="39:41" ht="12" customHeight="1" x14ac:dyDescent="0.2">
      <c r="AM3140" t="str">
        <f t="shared" si="49"/>
        <v>Condamine [AUCDE]</v>
      </c>
      <c r="AN3140" t="s">
        <v>1581</v>
      </c>
      <c r="AO3140" t="s">
        <v>1582</v>
      </c>
    </row>
    <row r="3141" spans="39:41" ht="12" customHeight="1" x14ac:dyDescent="0.2">
      <c r="AM3141" t="str">
        <f t="shared" si="49"/>
        <v>Conflans-Sainte-Honorine [FRCSH]</v>
      </c>
      <c r="AN3141" t="s">
        <v>36948</v>
      </c>
      <c r="AO3141" t="s">
        <v>36949</v>
      </c>
    </row>
    <row r="3142" spans="39:41" ht="12" customHeight="1" x14ac:dyDescent="0.2">
      <c r="AM3142" t="str">
        <f t="shared" si="49"/>
        <v>Conflict Group [PGCFG]</v>
      </c>
      <c r="AN3142" t="s">
        <v>25370</v>
      </c>
      <c r="AO3142" t="s">
        <v>25371</v>
      </c>
    </row>
    <row r="3143" spans="39:41" ht="12" customHeight="1" x14ac:dyDescent="0.2">
      <c r="AM3143" t="str">
        <f t="shared" si="49"/>
        <v>Congjiang [CNCJA]</v>
      </c>
      <c r="AN3143" t="s">
        <v>5157</v>
      </c>
      <c r="AO3143" t="s">
        <v>5158</v>
      </c>
    </row>
    <row r="3144" spans="39:41" ht="12" customHeight="1" x14ac:dyDescent="0.2">
      <c r="AM3144" t="str">
        <f t="shared" si="49"/>
        <v>Congo Town [BSCOX]</v>
      </c>
      <c r="AN3144" t="s">
        <v>3427</v>
      </c>
      <c r="AO3144" t="s">
        <v>3428</v>
      </c>
    </row>
    <row r="3145" spans="39:41" ht="12" customHeight="1" x14ac:dyDescent="0.2">
      <c r="AM3145" t="str">
        <f t="shared" si="49"/>
        <v>Congresbury [GBCGY]</v>
      </c>
      <c r="AN3145" t="s">
        <v>12879</v>
      </c>
      <c r="AO3145" t="s">
        <v>12880</v>
      </c>
    </row>
    <row r="3146" spans="39:41" ht="12" customHeight="1" x14ac:dyDescent="0.2">
      <c r="AM3146" t="str">
        <f t="shared" si="49"/>
        <v>Coniston [CACSJ]</v>
      </c>
      <c r="AN3146" t="s">
        <v>3755</v>
      </c>
      <c r="AO3146" t="s">
        <v>3756</v>
      </c>
    </row>
    <row r="3147" spans="39:41" ht="12" customHeight="1" x14ac:dyDescent="0.2">
      <c r="AM3147" t="str">
        <f t="shared" si="49"/>
        <v>Coniston [GBCIS]</v>
      </c>
      <c r="AN3147" t="s">
        <v>12881</v>
      </c>
      <c r="AO3147" t="s">
        <v>3756</v>
      </c>
    </row>
    <row r="3148" spans="39:41" ht="12" customHeight="1" x14ac:dyDescent="0.2">
      <c r="AM3148" t="str">
        <f t="shared" si="49"/>
        <v>Connahs Quay [GBCQY]</v>
      </c>
      <c r="AN3148" t="s">
        <v>12882</v>
      </c>
      <c r="AO3148" t="s">
        <v>12883</v>
      </c>
    </row>
    <row r="3149" spans="39:41" ht="12" customHeight="1" x14ac:dyDescent="0.2">
      <c r="AM3149" t="str">
        <f t="shared" si="49"/>
        <v>Connah's Quay [GBCOQ]</v>
      </c>
      <c r="AN3149" t="s">
        <v>12884</v>
      </c>
      <c r="AO3149" t="s">
        <v>12885</v>
      </c>
    </row>
    <row r="3150" spans="39:41" ht="12" customHeight="1" x14ac:dyDescent="0.2">
      <c r="AM3150" t="str">
        <f t="shared" si="49"/>
        <v>Conneaut [USCDY]</v>
      </c>
      <c r="AN3150" t="s">
        <v>29416</v>
      </c>
      <c r="AO3150" t="s">
        <v>29417</v>
      </c>
    </row>
    <row r="3151" spans="39:41" ht="12" customHeight="1" x14ac:dyDescent="0.2">
      <c r="AM3151" t="str">
        <f t="shared" si="49"/>
        <v>Connelly Springs [USC25]</v>
      </c>
      <c r="AN3151" t="s">
        <v>29418</v>
      </c>
      <c r="AO3151" t="s">
        <v>29419</v>
      </c>
    </row>
    <row r="3152" spans="39:41" ht="12" customHeight="1" x14ac:dyDescent="0.2">
      <c r="AM3152" t="str">
        <f t="shared" si="49"/>
        <v>Conquitlam [CACQT]</v>
      </c>
      <c r="AN3152" t="s">
        <v>3757</v>
      </c>
      <c r="AO3152" t="s">
        <v>3758</v>
      </c>
    </row>
    <row r="3153" spans="39:41" ht="12" customHeight="1" x14ac:dyDescent="0.2">
      <c r="AM3153" t="str">
        <f t="shared" si="49"/>
        <v>Constanta [ROCND]</v>
      </c>
      <c r="AN3153" t="s">
        <v>26742</v>
      </c>
      <c r="AO3153" t="s">
        <v>26743</v>
      </c>
    </row>
    <row r="3154" spans="39:41" ht="12" customHeight="1" x14ac:dyDescent="0.2">
      <c r="AM3154" t="str">
        <f t="shared" si="49"/>
        <v>Constantine [GBCZZ]</v>
      </c>
      <c r="AN3154" t="s">
        <v>12886</v>
      </c>
      <c r="AO3154" t="s">
        <v>12887</v>
      </c>
    </row>
    <row r="3155" spans="39:41" ht="12" customHeight="1" x14ac:dyDescent="0.2">
      <c r="AM3155" t="str">
        <f t="shared" si="49"/>
        <v>Constitucion [CLCST]</v>
      </c>
      <c r="AN3155" t="s">
        <v>4855</v>
      </c>
      <c r="AO3155" t="s">
        <v>35352</v>
      </c>
    </row>
    <row r="3156" spans="39:41" ht="12" customHeight="1" x14ac:dyDescent="0.2">
      <c r="AM3156" t="str">
        <f t="shared" si="49"/>
        <v>Consuegra [ESCGR]</v>
      </c>
      <c r="AN3156" t="s">
        <v>9734</v>
      </c>
      <c r="AO3156" t="s">
        <v>9735</v>
      </c>
    </row>
    <row r="3157" spans="39:41" ht="12" customHeight="1" x14ac:dyDescent="0.2">
      <c r="AM3157" t="str">
        <f t="shared" si="49"/>
        <v>Contecar [COCNR]</v>
      </c>
      <c r="AN3157" t="s">
        <v>33831</v>
      </c>
      <c r="AO3157" t="s">
        <v>33954</v>
      </c>
    </row>
    <row r="3158" spans="39:41" ht="12" customHeight="1" x14ac:dyDescent="0.2">
      <c r="AM3158" t="str">
        <f t="shared" si="49"/>
        <v>Contrecoeur [CACOC]</v>
      </c>
      <c r="AN3158" t="s">
        <v>3759</v>
      </c>
      <c r="AO3158" t="s">
        <v>3760</v>
      </c>
    </row>
    <row r="3159" spans="39:41" ht="12" customHeight="1" x14ac:dyDescent="0.2">
      <c r="AM3159" t="str">
        <f t="shared" si="49"/>
        <v>Convoys Wharf [GBCVW]</v>
      </c>
      <c r="AN3159" t="s">
        <v>12888</v>
      </c>
      <c r="AO3159" t="s">
        <v>12889</v>
      </c>
    </row>
    <row r="3160" spans="39:41" ht="12" customHeight="1" x14ac:dyDescent="0.2">
      <c r="AM3160" t="str">
        <f t="shared" si="49"/>
        <v>Conwy (Conway) [GBCWA]</v>
      </c>
      <c r="AN3160" t="s">
        <v>12890</v>
      </c>
      <c r="AO3160" t="s">
        <v>12891</v>
      </c>
    </row>
    <row r="3161" spans="39:41" ht="12" customHeight="1" x14ac:dyDescent="0.2">
      <c r="AM3161" t="str">
        <f t="shared" si="49"/>
        <v>Cooktown [AUCTN]</v>
      </c>
      <c r="AN3161" t="s">
        <v>1583</v>
      </c>
      <c r="AO3161" t="s">
        <v>1584</v>
      </c>
    </row>
    <row r="3162" spans="39:41" ht="12" customHeight="1" x14ac:dyDescent="0.2">
      <c r="AM3162" t="str">
        <f t="shared" si="49"/>
        <v>Coolidge [USGCL]</v>
      </c>
      <c r="AN3162" t="s">
        <v>29420</v>
      </c>
      <c r="AO3162" t="s">
        <v>29421</v>
      </c>
    </row>
    <row r="3163" spans="39:41" ht="12" customHeight="1" x14ac:dyDescent="0.2">
      <c r="AM3163" t="str">
        <f t="shared" si="49"/>
        <v>Coolock [IEFGY]</v>
      </c>
      <c r="AN3163" t="s">
        <v>16769</v>
      </c>
      <c r="AO3163" t="s">
        <v>16770</v>
      </c>
    </row>
    <row r="3164" spans="39:41" ht="12" customHeight="1" x14ac:dyDescent="0.2">
      <c r="AM3164" t="str">
        <f t="shared" si="49"/>
        <v>Coolum [AUCOU]</v>
      </c>
      <c r="AN3164" t="s">
        <v>1585</v>
      </c>
      <c r="AO3164" t="s">
        <v>1586</v>
      </c>
    </row>
    <row r="3165" spans="39:41" ht="12" customHeight="1" x14ac:dyDescent="0.2">
      <c r="AM3165" t="str">
        <f t="shared" si="49"/>
        <v>Coomera [AUCOO]</v>
      </c>
      <c r="AN3165" t="s">
        <v>1587</v>
      </c>
      <c r="AO3165" t="s">
        <v>1588</v>
      </c>
    </row>
    <row r="3166" spans="39:41" ht="12" customHeight="1" x14ac:dyDescent="0.2">
      <c r="AM3166" t="str">
        <f t="shared" si="49"/>
        <v>Coomhola Bridge [IECBR]</v>
      </c>
      <c r="AN3166" t="s">
        <v>36997</v>
      </c>
      <c r="AO3166" t="s">
        <v>36998</v>
      </c>
    </row>
    <row r="3167" spans="39:41" ht="12" customHeight="1" x14ac:dyDescent="0.2">
      <c r="AM3167" t="str">
        <f t="shared" si="49"/>
        <v>Coonawarra [AUCNW]</v>
      </c>
      <c r="AN3167" t="s">
        <v>1589</v>
      </c>
      <c r="AO3167" t="s">
        <v>1590</v>
      </c>
    </row>
    <row r="3168" spans="39:41" ht="12" customHeight="1" x14ac:dyDescent="0.2">
      <c r="AM3168" t="str">
        <f t="shared" si="49"/>
        <v>Coondapur (Ganguly) [INCOO]</v>
      </c>
      <c r="AN3168" t="s">
        <v>17094</v>
      </c>
      <c r="AO3168" t="s">
        <v>17095</v>
      </c>
    </row>
    <row r="3169" spans="39:41" ht="12" customHeight="1" x14ac:dyDescent="0.2">
      <c r="AM3169" t="str">
        <f t="shared" si="49"/>
        <v>Cooper Cliff [CACFL]</v>
      </c>
      <c r="AN3169" t="s">
        <v>3761</v>
      </c>
      <c r="AO3169" t="s">
        <v>3762</v>
      </c>
    </row>
    <row r="3170" spans="39:41" ht="12" customHeight="1" x14ac:dyDescent="0.2">
      <c r="AM3170" t="str">
        <f t="shared" si="49"/>
        <v>Co-operation Zone A (AU,ID) [XZOCA]</v>
      </c>
      <c r="AN3170" t="s">
        <v>32557</v>
      </c>
      <c r="AO3170" t="s">
        <v>32558</v>
      </c>
    </row>
    <row r="3171" spans="39:41" ht="12" customHeight="1" x14ac:dyDescent="0.2">
      <c r="AM3171" t="str">
        <f t="shared" si="49"/>
        <v>Coorparoo [AUCPR]</v>
      </c>
      <c r="AN3171" t="s">
        <v>1591</v>
      </c>
      <c r="AO3171" t="s">
        <v>1592</v>
      </c>
    </row>
    <row r="3172" spans="39:41" ht="12" customHeight="1" x14ac:dyDescent="0.2">
      <c r="AM3172" t="str">
        <f t="shared" si="49"/>
        <v>Coos Bay [USCOB]</v>
      </c>
      <c r="AN3172" t="s">
        <v>29422</v>
      </c>
      <c r="AO3172" t="s">
        <v>29423</v>
      </c>
    </row>
    <row r="3173" spans="39:41" ht="12" customHeight="1" x14ac:dyDescent="0.2">
      <c r="AM3173" t="str">
        <f t="shared" si="49"/>
        <v>Copan [USOPB]</v>
      </c>
      <c r="AN3173" t="s">
        <v>29424</v>
      </c>
      <c r="AO3173" t="s">
        <v>29425</v>
      </c>
    </row>
    <row r="3174" spans="39:41" ht="12" customHeight="1" x14ac:dyDescent="0.2">
      <c r="AM3174" t="str">
        <f t="shared" si="49"/>
        <v>Copanello [ITCPN]</v>
      </c>
      <c r="AN3174" t="s">
        <v>17912</v>
      </c>
      <c r="AO3174" t="s">
        <v>17913</v>
      </c>
    </row>
    <row r="3175" spans="39:41" ht="12" customHeight="1" x14ac:dyDescent="0.2">
      <c r="AM3175" t="str">
        <f t="shared" si="49"/>
        <v>Copiapo [CLCPO]</v>
      </c>
      <c r="AN3175" t="s">
        <v>4856</v>
      </c>
      <c r="AO3175" t="s">
        <v>35353</v>
      </c>
    </row>
    <row r="3176" spans="39:41" ht="12" customHeight="1" x14ac:dyDescent="0.2">
      <c r="AM3176" t="str">
        <f t="shared" si="49"/>
        <v>Copitz [DECPZ]</v>
      </c>
      <c r="AN3176" t="s">
        <v>7232</v>
      </c>
      <c r="AO3176" t="s">
        <v>7233</v>
      </c>
    </row>
    <row r="3177" spans="39:41" ht="12" customHeight="1" x14ac:dyDescent="0.2">
      <c r="AM3177" t="str">
        <f t="shared" si="49"/>
        <v>Copper Canyon [USCO9]</v>
      </c>
      <c r="AN3177" t="s">
        <v>29426</v>
      </c>
      <c r="AO3177" t="s">
        <v>29427</v>
      </c>
    </row>
    <row r="3178" spans="39:41" ht="12" customHeight="1" x14ac:dyDescent="0.2">
      <c r="AM3178" t="str">
        <f t="shared" si="49"/>
        <v>Coppermine [CACOP]</v>
      </c>
      <c r="AN3178" t="s">
        <v>3763</v>
      </c>
      <c r="AO3178" t="s">
        <v>3764</v>
      </c>
    </row>
    <row r="3179" spans="39:41" ht="12" customHeight="1" x14ac:dyDescent="0.2">
      <c r="AM3179" t="str">
        <f t="shared" si="49"/>
        <v>Coppet [CHCOP]</v>
      </c>
      <c r="AN3179" t="s">
        <v>4678</v>
      </c>
      <c r="AO3179" t="s">
        <v>4679</v>
      </c>
    </row>
    <row r="3180" spans="39:41" ht="12" customHeight="1" x14ac:dyDescent="0.2">
      <c r="AM3180" t="str">
        <f t="shared" si="49"/>
        <v>Coquimbito [ARIQO]</v>
      </c>
      <c r="AN3180" t="s">
        <v>1009</v>
      </c>
      <c r="AO3180" t="s">
        <v>1010</v>
      </c>
    </row>
    <row r="3181" spans="39:41" ht="12" customHeight="1" x14ac:dyDescent="0.2">
      <c r="AM3181" t="str">
        <f t="shared" si="49"/>
        <v>Coquimbo [CLCQQ]</v>
      </c>
      <c r="AN3181" t="s">
        <v>4857</v>
      </c>
      <c r="AO3181" t="s">
        <v>4858</v>
      </c>
    </row>
    <row r="3182" spans="39:41" ht="12" customHeight="1" x14ac:dyDescent="0.2">
      <c r="AM3182" t="str">
        <f t="shared" si="49"/>
        <v>Corabia [ROCOB]</v>
      </c>
      <c r="AN3182" t="s">
        <v>26744</v>
      </c>
      <c r="AO3182" t="s">
        <v>26745</v>
      </c>
    </row>
    <row r="3183" spans="39:41" ht="12" customHeight="1" x14ac:dyDescent="0.2">
      <c r="AM3183" t="str">
        <f t="shared" si="49"/>
        <v>Coral Bay [AUCRL]</v>
      </c>
      <c r="AN3183" t="s">
        <v>1593</v>
      </c>
      <c r="AO3183" t="s">
        <v>1594</v>
      </c>
    </row>
    <row r="3184" spans="39:41" ht="12" customHeight="1" x14ac:dyDescent="0.2">
      <c r="AM3184" t="str">
        <f t="shared" si="49"/>
        <v>Coral Harbour [CAYZS]</v>
      </c>
      <c r="AN3184" t="s">
        <v>3765</v>
      </c>
      <c r="AO3184" t="s">
        <v>3766</v>
      </c>
    </row>
    <row r="3185" spans="39:41" ht="12" customHeight="1" x14ac:dyDescent="0.2">
      <c r="AM3185" t="str">
        <f t="shared" si="49"/>
        <v>Coral Sea [AUCRS]</v>
      </c>
      <c r="AN3185" t="s">
        <v>1595</v>
      </c>
      <c r="AO3185" t="s">
        <v>1596</v>
      </c>
    </row>
    <row r="3186" spans="39:41" ht="12" customHeight="1" x14ac:dyDescent="0.2">
      <c r="AM3186" t="str">
        <f t="shared" si="49"/>
        <v>Corcelles-en-Beaujolais [FRXCB]</v>
      </c>
      <c r="AN3186" t="s">
        <v>11128</v>
      </c>
      <c r="AO3186" t="s">
        <v>11129</v>
      </c>
    </row>
    <row r="3187" spans="39:41" ht="12" customHeight="1" x14ac:dyDescent="0.2">
      <c r="AM3187" t="str">
        <f t="shared" si="49"/>
        <v>Corcelles-les-Arts [FRZLL]</v>
      </c>
      <c r="AN3187" t="s">
        <v>11130</v>
      </c>
      <c r="AO3187" t="s">
        <v>11131</v>
      </c>
    </row>
    <row r="3188" spans="39:41" ht="12" customHeight="1" x14ac:dyDescent="0.2">
      <c r="AM3188" t="str">
        <f t="shared" si="49"/>
        <v>Corcelles-les-Citeaux [FRCTX]</v>
      </c>
      <c r="AN3188" t="s">
        <v>11132</v>
      </c>
      <c r="AO3188" t="s">
        <v>11133</v>
      </c>
    </row>
    <row r="3189" spans="39:41" ht="12" customHeight="1" x14ac:dyDescent="0.2">
      <c r="AM3189" t="str">
        <f t="shared" si="49"/>
        <v>Corconne [FRZNN]</v>
      </c>
      <c r="AN3189" t="s">
        <v>11134</v>
      </c>
      <c r="AO3189" t="s">
        <v>11135</v>
      </c>
    </row>
    <row r="3190" spans="39:41" ht="12" customHeight="1" x14ac:dyDescent="0.2">
      <c r="AM3190" t="str">
        <f t="shared" si="49"/>
        <v>Corcubion [ESCCN]</v>
      </c>
      <c r="AN3190" t="s">
        <v>9736</v>
      </c>
      <c r="AO3190" t="s">
        <v>35669</v>
      </c>
    </row>
    <row r="3191" spans="39:41" ht="12" customHeight="1" x14ac:dyDescent="0.2">
      <c r="AM3191" t="str">
        <f t="shared" si="49"/>
        <v>Cordemais [FRCXY]</v>
      </c>
      <c r="AN3191" t="s">
        <v>11136</v>
      </c>
      <c r="AO3191" t="s">
        <v>11137</v>
      </c>
    </row>
    <row r="3192" spans="39:41" ht="12" customHeight="1" x14ac:dyDescent="0.2">
      <c r="AM3192" t="str">
        <f t="shared" si="49"/>
        <v>Cordova [USCDV]</v>
      </c>
      <c r="AN3192" t="s">
        <v>29428</v>
      </c>
      <c r="AO3192" t="s">
        <v>29429</v>
      </c>
    </row>
    <row r="3193" spans="39:41" ht="12" customHeight="1" x14ac:dyDescent="0.2">
      <c r="AM3193" t="str">
        <f t="shared" si="49"/>
        <v>Corfe Mullen [GBCFM]</v>
      </c>
      <c r="AN3193" t="s">
        <v>12892</v>
      </c>
      <c r="AO3193" t="s">
        <v>12893</v>
      </c>
    </row>
    <row r="3194" spans="39:41" ht="12" customHeight="1" x14ac:dyDescent="0.2">
      <c r="AM3194" t="str">
        <f t="shared" ref="AM3194:AM3257" si="50">AO3194 &amp; " [" &amp; AN3194 &amp; "]"</f>
        <v>Corigliano Calabro [ITCGC]</v>
      </c>
      <c r="AN3194" t="s">
        <v>17914</v>
      </c>
      <c r="AO3194" t="s">
        <v>17915</v>
      </c>
    </row>
    <row r="3195" spans="39:41" ht="12" customHeight="1" x14ac:dyDescent="0.2">
      <c r="AM3195" t="str">
        <f t="shared" si="50"/>
        <v>Corinto [NICIO]</v>
      </c>
      <c r="AN3195" t="s">
        <v>22990</v>
      </c>
      <c r="AO3195" t="s">
        <v>22991</v>
      </c>
    </row>
    <row r="3196" spans="39:41" ht="12" customHeight="1" x14ac:dyDescent="0.2">
      <c r="AM3196" t="str">
        <f t="shared" si="50"/>
        <v>Corio Bay [AUCBA]</v>
      </c>
      <c r="AN3196" t="s">
        <v>1597</v>
      </c>
      <c r="AO3196" t="s">
        <v>1598</v>
      </c>
    </row>
    <row r="3197" spans="39:41" ht="12" customHeight="1" x14ac:dyDescent="0.2">
      <c r="AM3197" t="str">
        <f t="shared" si="50"/>
        <v>Coristanco [ESNCO]</v>
      </c>
      <c r="AN3197" t="s">
        <v>9737</v>
      </c>
      <c r="AO3197" t="s">
        <v>9738</v>
      </c>
    </row>
    <row r="3198" spans="39:41" ht="12" customHeight="1" x14ac:dyDescent="0.2">
      <c r="AM3198" t="str">
        <f t="shared" si="50"/>
        <v>Cork [IEORK]</v>
      </c>
      <c r="AN3198" t="s">
        <v>16771</v>
      </c>
      <c r="AO3198" t="s">
        <v>16772</v>
      </c>
    </row>
    <row r="3199" spans="39:41" ht="12" customHeight="1" x14ac:dyDescent="0.2">
      <c r="AM3199" t="str">
        <f t="shared" si="50"/>
        <v>Cormeilles [FRZMM]</v>
      </c>
      <c r="AN3199" t="s">
        <v>11138</v>
      </c>
      <c r="AO3199" t="s">
        <v>11139</v>
      </c>
    </row>
    <row r="3200" spans="39:41" ht="12" customHeight="1" x14ac:dyDescent="0.2">
      <c r="AM3200" t="str">
        <f t="shared" si="50"/>
        <v>Cormeray [FRZMY]</v>
      </c>
      <c r="AN3200" t="s">
        <v>11140</v>
      </c>
      <c r="AO3200" t="s">
        <v>11141</v>
      </c>
    </row>
    <row r="3201" spans="39:41" ht="12" customHeight="1" x14ac:dyDescent="0.2">
      <c r="AM3201" t="str">
        <f t="shared" si="50"/>
        <v>Cormicy [FRQQQ]</v>
      </c>
      <c r="AN3201" t="s">
        <v>11142</v>
      </c>
      <c r="AO3201" t="s">
        <v>11143</v>
      </c>
    </row>
    <row r="3202" spans="39:41" ht="12" customHeight="1" x14ac:dyDescent="0.2">
      <c r="AM3202" t="str">
        <f t="shared" si="50"/>
        <v>Corner Brook [CACBK]</v>
      </c>
      <c r="AN3202" t="s">
        <v>3767</v>
      </c>
      <c r="AO3202" t="s">
        <v>3768</v>
      </c>
    </row>
    <row r="3203" spans="39:41" ht="12" customHeight="1" x14ac:dyDescent="0.2">
      <c r="AM3203" t="str">
        <f t="shared" si="50"/>
        <v>Cornville [USC35]</v>
      </c>
      <c r="AN3203" t="s">
        <v>29430</v>
      </c>
      <c r="AO3203" t="s">
        <v>29431</v>
      </c>
    </row>
    <row r="3204" spans="39:41" ht="12" customHeight="1" x14ac:dyDescent="0.2">
      <c r="AM3204" t="str">
        <f t="shared" si="50"/>
        <v>Cornwall [CACWL]</v>
      </c>
      <c r="AN3204" t="s">
        <v>3769</v>
      </c>
      <c r="AO3204" t="s">
        <v>3770</v>
      </c>
    </row>
    <row r="3205" spans="39:41" ht="12" customHeight="1" x14ac:dyDescent="0.2">
      <c r="AM3205" t="str">
        <f t="shared" si="50"/>
        <v>Cornwallis [INCRN]</v>
      </c>
      <c r="AN3205" t="s">
        <v>17096</v>
      </c>
      <c r="AO3205" t="s">
        <v>17097</v>
      </c>
    </row>
    <row r="3206" spans="39:41" ht="12" customHeight="1" x14ac:dyDescent="0.2">
      <c r="AM3206" t="str">
        <f t="shared" si="50"/>
        <v>Cornwallis Is [CACWI]</v>
      </c>
      <c r="AN3206" t="s">
        <v>3771</v>
      </c>
      <c r="AO3206" t="s">
        <v>3772</v>
      </c>
    </row>
    <row r="3207" spans="39:41" ht="12" customHeight="1" x14ac:dyDescent="0.2">
      <c r="AM3207" t="str">
        <f t="shared" si="50"/>
        <v>Coro [VECZE]</v>
      </c>
      <c r="AN3207" t="s">
        <v>32170</v>
      </c>
      <c r="AO3207" t="s">
        <v>32171</v>
      </c>
    </row>
    <row r="3208" spans="39:41" ht="12" customHeight="1" x14ac:dyDescent="0.2">
      <c r="AM3208" t="str">
        <f t="shared" si="50"/>
        <v>Corolla [USZZC]</v>
      </c>
      <c r="AN3208" t="s">
        <v>29432</v>
      </c>
      <c r="AO3208" t="s">
        <v>29433</v>
      </c>
    </row>
    <row r="3209" spans="39:41" ht="12" customHeight="1" x14ac:dyDescent="0.2">
      <c r="AM3209" t="str">
        <f t="shared" si="50"/>
        <v>Coromandel Valley [AUCRV]</v>
      </c>
      <c r="AN3209" t="s">
        <v>1599</v>
      </c>
      <c r="AO3209" t="s">
        <v>1600</v>
      </c>
    </row>
    <row r="3210" spans="39:41" ht="12" customHeight="1" x14ac:dyDescent="0.2">
      <c r="AM3210" t="str">
        <f t="shared" si="50"/>
        <v>Coronado [USCD4]</v>
      </c>
      <c r="AN3210" t="s">
        <v>29434</v>
      </c>
      <c r="AO3210" t="s">
        <v>29435</v>
      </c>
    </row>
    <row r="3211" spans="39:41" ht="12" customHeight="1" x14ac:dyDescent="0.2">
      <c r="AM3211" t="str">
        <f t="shared" si="50"/>
        <v>Coronel [CLCNL]</v>
      </c>
      <c r="AN3211" t="s">
        <v>4859</v>
      </c>
      <c r="AO3211" t="s">
        <v>4860</v>
      </c>
    </row>
    <row r="3212" spans="39:41" ht="12" customHeight="1" x14ac:dyDescent="0.2">
      <c r="AM3212" t="str">
        <f t="shared" si="50"/>
        <v>Corpach [GBCOR]</v>
      </c>
      <c r="AN3212" t="s">
        <v>12894</v>
      </c>
      <c r="AO3212" t="s">
        <v>12895</v>
      </c>
    </row>
    <row r="3213" spans="39:41" ht="12" customHeight="1" x14ac:dyDescent="0.2">
      <c r="AM3213" t="str">
        <f t="shared" si="50"/>
        <v>Corpus Christi [USCRP]</v>
      </c>
      <c r="AN3213" t="s">
        <v>29436</v>
      </c>
      <c r="AO3213" t="s">
        <v>29437</v>
      </c>
    </row>
    <row r="3214" spans="39:41" ht="12" customHeight="1" x14ac:dyDescent="0.2">
      <c r="AM3214" t="str">
        <f t="shared" si="50"/>
        <v>Corral [CLCRR]</v>
      </c>
      <c r="AN3214" t="s">
        <v>4861</v>
      </c>
      <c r="AO3214" t="s">
        <v>4862</v>
      </c>
    </row>
    <row r="3215" spans="39:41" ht="12" customHeight="1" x14ac:dyDescent="0.2">
      <c r="AM3215" t="str">
        <f t="shared" si="50"/>
        <v>Corralejo [ESQFU]</v>
      </c>
      <c r="AN3215" t="s">
        <v>9739</v>
      </c>
      <c r="AO3215" t="s">
        <v>9740</v>
      </c>
    </row>
    <row r="3216" spans="39:41" ht="12" customHeight="1" x14ac:dyDescent="0.2">
      <c r="AM3216" t="str">
        <f t="shared" si="50"/>
        <v>Corralitos [USTO3]</v>
      </c>
      <c r="AN3216" t="s">
        <v>29438</v>
      </c>
      <c r="AO3216" t="s">
        <v>29439</v>
      </c>
    </row>
    <row r="3217" spans="39:41" ht="12" customHeight="1" x14ac:dyDescent="0.2">
      <c r="AM3217" t="str">
        <f t="shared" si="50"/>
        <v>Corran [GBORR]</v>
      </c>
      <c r="AN3217" t="s">
        <v>12896</v>
      </c>
      <c r="AO3217" t="s">
        <v>12897</v>
      </c>
    </row>
    <row r="3218" spans="39:41" ht="12" customHeight="1" x14ac:dyDescent="0.2">
      <c r="AM3218" t="str">
        <f t="shared" si="50"/>
        <v>Corregidor Island [PHCGI]</v>
      </c>
      <c r="AN3218" t="s">
        <v>25697</v>
      </c>
      <c r="AO3218" t="s">
        <v>25698</v>
      </c>
    </row>
    <row r="3219" spans="39:41" ht="12" customHeight="1" x14ac:dyDescent="0.2">
      <c r="AM3219" t="str">
        <f t="shared" si="50"/>
        <v>Corrientes [ARCNQ]</v>
      </c>
      <c r="AN3219" t="s">
        <v>1011</v>
      </c>
      <c r="AO3219" t="s">
        <v>1012</v>
      </c>
    </row>
    <row r="3220" spans="39:41" ht="12" customHeight="1" x14ac:dyDescent="0.2">
      <c r="AM3220" t="str">
        <f t="shared" si="50"/>
        <v>Cortland [USCJ8]</v>
      </c>
      <c r="AN3220" t="s">
        <v>29440</v>
      </c>
      <c r="AO3220" t="s">
        <v>29441</v>
      </c>
    </row>
    <row r="3221" spans="39:41" ht="12" customHeight="1" x14ac:dyDescent="0.2">
      <c r="AM3221" t="str">
        <f t="shared" si="50"/>
        <v>Corumba [BRCMG]</v>
      </c>
      <c r="AN3221" t="s">
        <v>3296</v>
      </c>
      <c r="AO3221" t="s">
        <v>3297</v>
      </c>
    </row>
    <row r="3222" spans="39:41" ht="12" customHeight="1" x14ac:dyDescent="0.2">
      <c r="AM3222" t="str">
        <f t="shared" si="50"/>
        <v>Corunna [CACOR]</v>
      </c>
      <c r="AN3222" t="s">
        <v>3773</v>
      </c>
      <c r="AO3222" t="s">
        <v>3774</v>
      </c>
    </row>
    <row r="3223" spans="39:41" ht="12" customHeight="1" x14ac:dyDescent="0.2">
      <c r="AM3223" t="str">
        <f t="shared" si="50"/>
        <v>Coryton [GBCOY]</v>
      </c>
      <c r="AN3223" t="s">
        <v>12898</v>
      </c>
      <c r="AO3223" t="s">
        <v>12899</v>
      </c>
    </row>
    <row r="3224" spans="39:41" ht="12" customHeight="1" x14ac:dyDescent="0.2">
      <c r="AM3224" t="str">
        <f t="shared" si="50"/>
        <v>Cossack Pioneer (oil terminal) [AUCOP]</v>
      </c>
      <c r="AN3224" t="s">
        <v>1601</v>
      </c>
      <c r="AO3224" t="s">
        <v>1602</v>
      </c>
    </row>
    <row r="3225" spans="39:41" ht="12" customHeight="1" x14ac:dyDescent="0.2">
      <c r="AM3225" t="str">
        <f t="shared" si="50"/>
        <v>Costa da Caparica [PTCAP]</v>
      </c>
      <c r="AN3225" t="s">
        <v>26491</v>
      </c>
      <c r="AO3225" t="s">
        <v>26492</v>
      </c>
    </row>
    <row r="3226" spans="39:41" ht="12" customHeight="1" x14ac:dyDescent="0.2">
      <c r="AM3226" t="str">
        <f t="shared" si="50"/>
        <v>Cotabato, Mindanao [PHCBO]</v>
      </c>
      <c r="AN3226" t="s">
        <v>25699</v>
      </c>
      <c r="AO3226" t="s">
        <v>25700</v>
      </c>
    </row>
    <row r="3227" spans="39:41" ht="12" customHeight="1" x14ac:dyDescent="0.2">
      <c r="AM3227" t="str">
        <f t="shared" si="50"/>
        <v>Cotaxtla [MXCTX]</v>
      </c>
      <c r="AN3227" t="s">
        <v>22344</v>
      </c>
      <c r="AO3227" t="s">
        <v>22345</v>
      </c>
    </row>
    <row r="3228" spans="39:41" ht="12" customHeight="1" x14ac:dyDescent="0.2">
      <c r="AM3228" t="str">
        <f t="shared" si="50"/>
        <v>Coteau du Lac [CACQA]</v>
      </c>
      <c r="AN3228" t="s">
        <v>3775</v>
      </c>
      <c r="AO3228" t="s">
        <v>3776</v>
      </c>
    </row>
    <row r="3229" spans="39:41" ht="12" customHeight="1" x14ac:dyDescent="0.2">
      <c r="AM3229" t="str">
        <f t="shared" si="50"/>
        <v>Cote-Sainte-Catherine [CACSC]</v>
      </c>
      <c r="AN3229" t="s">
        <v>3777</v>
      </c>
      <c r="AO3229" t="s">
        <v>35324</v>
      </c>
    </row>
    <row r="3230" spans="39:41" ht="12" customHeight="1" x14ac:dyDescent="0.2">
      <c r="AM3230" t="str">
        <f t="shared" si="50"/>
        <v>Cotonou [BJCOO]</v>
      </c>
      <c r="AN3230" t="s">
        <v>3189</v>
      </c>
      <c r="AO3230" t="s">
        <v>3190</v>
      </c>
    </row>
    <row r="3231" spans="39:41" ht="12" customHeight="1" x14ac:dyDescent="0.2">
      <c r="AM3231" t="str">
        <f t="shared" si="50"/>
        <v>Cottesloe [AUCTE]</v>
      </c>
      <c r="AN3231" t="s">
        <v>1603</v>
      </c>
      <c r="AO3231" t="s">
        <v>1604</v>
      </c>
    </row>
    <row r="3232" spans="39:41" ht="12" customHeight="1" x14ac:dyDescent="0.2">
      <c r="AM3232" t="str">
        <f t="shared" si="50"/>
        <v>Cottles Bridge [AUCTT]</v>
      </c>
      <c r="AN3232" t="s">
        <v>1605</v>
      </c>
      <c r="AO3232" t="s">
        <v>1606</v>
      </c>
    </row>
    <row r="3233" spans="39:41" ht="12" customHeight="1" x14ac:dyDescent="0.2">
      <c r="AM3233" t="str">
        <f t="shared" si="50"/>
        <v>Cottrellville [US2TT]</v>
      </c>
      <c r="AN3233" t="s">
        <v>29442</v>
      </c>
      <c r="AO3233" t="s">
        <v>29443</v>
      </c>
    </row>
    <row r="3234" spans="39:41" ht="12" customHeight="1" x14ac:dyDescent="0.2">
      <c r="AM3234" t="str">
        <f t="shared" si="50"/>
        <v>Couillet [BECOU]</v>
      </c>
      <c r="AN3234" t="s">
        <v>2361</v>
      </c>
      <c r="AO3234" t="s">
        <v>2362</v>
      </c>
    </row>
    <row r="3235" spans="39:41" ht="12" customHeight="1" x14ac:dyDescent="0.2">
      <c r="AM3235" t="str">
        <f t="shared" si="50"/>
        <v>Council Grove [USUGE]</v>
      </c>
      <c r="AN3235" t="s">
        <v>29444</v>
      </c>
      <c r="AO3235" t="s">
        <v>29445</v>
      </c>
    </row>
    <row r="3236" spans="39:41" ht="12" customHeight="1" x14ac:dyDescent="0.2">
      <c r="AM3236" t="str">
        <f t="shared" si="50"/>
        <v>Country Harbour [CACOH]</v>
      </c>
      <c r="AN3236" t="s">
        <v>3778</v>
      </c>
      <c r="AO3236" t="s">
        <v>3779</v>
      </c>
    </row>
    <row r="3237" spans="39:41" ht="12" customHeight="1" x14ac:dyDescent="0.2">
      <c r="AM3237" t="str">
        <f t="shared" si="50"/>
        <v>Courcelles [BECCS]</v>
      </c>
      <c r="AN3237" t="s">
        <v>2363</v>
      </c>
      <c r="AO3237" t="s">
        <v>2364</v>
      </c>
    </row>
    <row r="3238" spans="39:41" ht="12" customHeight="1" x14ac:dyDescent="0.2">
      <c r="AM3238" t="str">
        <f t="shared" si="50"/>
        <v>Courmelons [FRUML]</v>
      </c>
      <c r="AN3238" t="s">
        <v>11144</v>
      </c>
      <c r="AO3238" t="s">
        <v>11145</v>
      </c>
    </row>
    <row r="3239" spans="39:41" ht="12" customHeight="1" x14ac:dyDescent="0.2">
      <c r="AM3239" t="str">
        <f t="shared" si="50"/>
        <v>Courtenay [CACOU]</v>
      </c>
      <c r="AN3239" t="s">
        <v>3780</v>
      </c>
      <c r="AO3239" t="s">
        <v>3781</v>
      </c>
    </row>
    <row r="3240" spans="39:41" ht="12" customHeight="1" x14ac:dyDescent="0.2">
      <c r="AM3240" t="str">
        <f t="shared" si="50"/>
        <v>Courtisols [FRCS3]</v>
      </c>
      <c r="AN3240" t="s">
        <v>11146</v>
      </c>
      <c r="AO3240" t="s">
        <v>11147</v>
      </c>
    </row>
    <row r="3241" spans="39:41" ht="12" customHeight="1" x14ac:dyDescent="0.2">
      <c r="AM3241" t="str">
        <f t="shared" si="50"/>
        <v>Courtright [CACRR]</v>
      </c>
      <c r="AN3241" t="s">
        <v>3782</v>
      </c>
      <c r="AO3241" t="s">
        <v>3783</v>
      </c>
    </row>
    <row r="3242" spans="39:41" ht="12" customHeight="1" x14ac:dyDescent="0.2">
      <c r="AM3242" t="str">
        <f t="shared" si="50"/>
        <v>Coussay-les-Bois [FRZSD]</v>
      </c>
      <c r="AN3242" t="s">
        <v>11148</v>
      </c>
      <c r="AO3242" t="s">
        <v>11149</v>
      </c>
    </row>
    <row r="3243" spans="39:41" ht="12" customHeight="1" x14ac:dyDescent="0.2">
      <c r="AM3243" t="str">
        <f t="shared" si="50"/>
        <v>Coustellet [FRCT2]</v>
      </c>
      <c r="AN3243" t="s">
        <v>11150</v>
      </c>
      <c r="AO3243" t="s">
        <v>11151</v>
      </c>
    </row>
    <row r="3244" spans="39:41" ht="12" customHeight="1" x14ac:dyDescent="0.2">
      <c r="AM3244" t="str">
        <f t="shared" si="50"/>
        <v>Couva [TTCVA]</v>
      </c>
      <c r="AN3244" t="s">
        <v>28637</v>
      </c>
      <c r="AO3244" t="s">
        <v>28638</v>
      </c>
    </row>
    <row r="3245" spans="39:41" ht="12" customHeight="1" x14ac:dyDescent="0.2">
      <c r="AM3245" t="str">
        <f t="shared" si="50"/>
        <v>Couvet [CHCVT]</v>
      </c>
      <c r="AN3245" t="s">
        <v>4680</v>
      </c>
      <c r="AO3245" t="s">
        <v>4681</v>
      </c>
    </row>
    <row r="3246" spans="39:41" ht="12" customHeight="1" x14ac:dyDescent="0.2">
      <c r="AM3246" t="str">
        <f t="shared" si="50"/>
        <v>Cove [GBCVE]</v>
      </c>
      <c r="AN3246" t="s">
        <v>12900</v>
      </c>
      <c r="AO3246" t="s">
        <v>12901</v>
      </c>
    </row>
    <row r="3247" spans="39:41" ht="12" customHeight="1" x14ac:dyDescent="0.2">
      <c r="AM3247" t="str">
        <f t="shared" si="50"/>
        <v>Cove (Aberdeen) [GBACV]</v>
      </c>
      <c r="AN3247" t="s">
        <v>12902</v>
      </c>
      <c r="AO3247" t="s">
        <v>12903</v>
      </c>
    </row>
    <row r="3248" spans="39:41" ht="12" customHeight="1" x14ac:dyDescent="0.2">
      <c r="AM3248" t="str">
        <f t="shared" si="50"/>
        <v>Cove (Leith) [GBCVI]</v>
      </c>
      <c r="AN3248" t="s">
        <v>12904</v>
      </c>
      <c r="AO3248" t="s">
        <v>12905</v>
      </c>
    </row>
    <row r="3249" spans="39:41" ht="12" customHeight="1" x14ac:dyDescent="0.2">
      <c r="AM3249" t="str">
        <f t="shared" si="50"/>
        <v>Cove Point [USCP6]</v>
      </c>
      <c r="AN3249" t="s">
        <v>29446</v>
      </c>
      <c r="AO3249" t="s">
        <v>29447</v>
      </c>
    </row>
    <row r="3250" spans="39:41" ht="12" customHeight="1" x14ac:dyDescent="0.2">
      <c r="AM3250" t="str">
        <f t="shared" si="50"/>
        <v>Covenas Off Shore Terminal [COCOV]</v>
      </c>
      <c r="AN3250" t="s">
        <v>6515</v>
      </c>
      <c r="AO3250" t="s">
        <v>35372</v>
      </c>
    </row>
    <row r="3251" spans="39:41" ht="12" customHeight="1" x14ac:dyDescent="0.2">
      <c r="AM3251" t="str">
        <f t="shared" si="50"/>
        <v>Covent Garden [GBCGT]</v>
      </c>
      <c r="AN3251" t="s">
        <v>12906</v>
      </c>
      <c r="AO3251" t="s">
        <v>12907</v>
      </c>
    </row>
    <row r="3252" spans="39:41" ht="12" customHeight="1" x14ac:dyDescent="0.2">
      <c r="AM3252" t="str">
        <f t="shared" si="50"/>
        <v>Coventry [GBCVT]</v>
      </c>
      <c r="AN3252" t="s">
        <v>12908</v>
      </c>
      <c r="AO3252" t="s">
        <v>12909</v>
      </c>
    </row>
    <row r="3253" spans="39:41" ht="12" customHeight="1" x14ac:dyDescent="0.2">
      <c r="AM3253" t="str">
        <f t="shared" si="50"/>
        <v>Coverack [GBCOV]</v>
      </c>
      <c r="AN3253" t="s">
        <v>12910</v>
      </c>
      <c r="AO3253" t="s">
        <v>12911</v>
      </c>
    </row>
    <row r="3254" spans="39:41" ht="12" customHeight="1" x14ac:dyDescent="0.2">
      <c r="AM3254" t="str">
        <f t="shared" si="50"/>
        <v>Cow Head [CACWH]</v>
      </c>
      <c r="AN3254" t="s">
        <v>3784</v>
      </c>
      <c r="AO3254" t="s">
        <v>3785</v>
      </c>
    </row>
    <row r="3255" spans="39:41" ht="12" customHeight="1" x14ac:dyDescent="0.2">
      <c r="AM3255" t="str">
        <f t="shared" si="50"/>
        <v>Cowandilla [AUDIL]</v>
      </c>
      <c r="AN3255" t="s">
        <v>1607</v>
      </c>
      <c r="AO3255" t="s">
        <v>1608</v>
      </c>
    </row>
    <row r="3256" spans="39:41" ht="12" customHeight="1" x14ac:dyDescent="0.2">
      <c r="AM3256" t="str">
        <f t="shared" si="50"/>
        <v>Cowaramup [AUCOW]</v>
      </c>
      <c r="AN3256" t="s">
        <v>1609</v>
      </c>
      <c r="AO3256" t="s">
        <v>1610</v>
      </c>
    </row>
    <row r="3257" spans="39:41" ht="12" customHeight="1" x14ac:dyDescent="0.2">
      <c r="AM3257" t="str">
        <f t="shared" si="50"/>
        <v>Cowes [GBCOW]</v>
      </c>
      <c r="AN3257" t="s">
        <v>12912</v>
      </c>
      <c r="AO3257" t="s">
        <v>12913</v>
      </c>
    </row>
    <row r="3258" spans="39:41" ht="12" customHeight="1" x14ac:dyDescent="0.2">
      <c r="AM3258" t="str">
        <f t="shared" ref="AM3258:AM3321" si="51">AO3258 &amp; " [" &amp; AN3258 &amp; "]"</f>
        <v>Cowichan Bay [CACCB]</v>
      </c>
      <c r="AN3258" t="s">
        <v>3786</v>
      </c>
      <c r="AO3258" t="s">
        <v>3787</v>
      </c>
    </row>
    <row r="3259" spans="39:41" ht="12" customHeight="1" x14ac:dyDescent="0.2">
      <c r="AM3259" t="str">
        <f t="shared" si="51"/>
        <v>Cowiche [USYHE]</v>
      </c>
      <c r="AN3259" t="s">
        <v>29448</v>
      </c>
      <c r="AO3259" t="s">
        <v>29449</v>
      </c>
    </row>
    <row r="3260" spans="39:41" ht="12" customHeight="1" x14ac:dyDescent="0.2">
      <c r="AM3260" t="str">
        <f t="shared" si="51"/>
        <v>Coxsackie, Greene [USCS6]</v>
      </c>
      <c r="AN3260" t="s">
        <v>29450</v>
      </c>
      <c r="AO3260" t="s">
        <v>29451</v>
      </c>
    </row>
    <row r="3261" spans="39:41" ht="12" customHeight="1" x14ac:dyDescent="0.2">
      <c r="AM3261" t="str">
        <f t="shared" si="51"/>
        <v>Coyol [CRCYL]</v>
      </c>
      <c r="AN3261" t="s">
        <v>6567</v>
      </c>
      <c r="AO3261" t="s">
        <v>6568</v>
      </c>
    </row>
    <row r="3262" spans="39:41" ht="12" customHeight="1" x14ac:dyDescent="0.2">
      <c r="AM3262" t="str">
        <f t="shared" si="51"/>
        <v>Cozad [USQCZ]</v>
      </c>
      <c r="AN3262" t="s">
        <v>29452</v>
      </c>
      <c r="AO3262" t="s">
        <v>29453</v>
      </c>
    </row>
    <row r="3263" spans="39:41" ht="12" customHeight="1" x14ac:dyDescent="0.2">
      <c r="AM3263" t="str">
        <f t="shared" si="51"/>
        <v>Cozes [FRCZZ]</v>
      </c>
      <c r="AN3263" t="s">
        <v>11152</v>
      </c>
      <c r="AO3263" t="s">
        <v>11153</v>
      </c>
    </row>
    <row r="3264" spans="39:41" ht="12" customHeight="1" x14ac:dyDescent="0.2">
      <c r="AM3264" t="str">
        <f t="shared" si="51"/>
        <v>Cozumel [MXCZM]</v>
      </c>
      <c r="AN3264" t="s">
        <v>22346</v>
      </c>
      <c r="AO3264" t="s">
        <v>22347</v>
      </c>
    </row>
    <row r="3265" spans="39:41" ht="12" customHeight="1" x14ac:dyDescent="0.2">
      <c r="AM3265" t="str">
        <f t="shared" si="51"/>
        <v>Cpc Terminal [RUCPC]</v>
      </c>
      <c r="AN3265" t="s">
        <v>26921</v>
      </c>
      <c r="AO3265" t="s">
        <v>26922</v>
      </c>
    </row>
    <row r="3266" spans="39:41" ht="12" customHeight="1" x14ac:dyDescent="0.2">
      <c r="AM3266" t="str">
        <f t="shared" si="51"/>
        <v>Crafers [AUCRF]</v>
      </c>
      <c r="AN3266" t="s">
        <v>1611</v>
      </c>
      <c r="AO3266" t="s">
        <v>1612</v>
      </c>
    </row>
    <row r="3267" spans="39:41" ht="12" customHeight="1" x14ac:dyDescent="0.2">
      <c r="AM3267" t="str">
        <f t="shared" si="51"/>
        <v>Craighouse, Isle of Jura [GBCGJ]</v>
      </c>
      <c r="AN3267" t="s">
        <v>12914</v>
      </c>
      <c r="AO3267" t="s">
        <v>12915</v>
      </c>
    </row>
    <row r="3268" spans="39:41" ht="12" customHeight="1" x14ac:dyDescent="0.2">
      <c r="AM3268" t="str">
        <f t="shared" si="51"/>
        <v>Craignure [GBCNU]</v>
      </c>
      <c r="AN3268" t="s">
        <v>12916</v>
      </c>
      <c r="AO3268" t="s">
        <v>12917</v>
      </c>
    </row>
    <row r="3269" spans="39:41" ht="12" customHeight="1" x14ac:dyDescent="0.2">
      <c r="AM3269" t="str">
        <f t="shared" si="51"/>
        <v>Crail [GBCRJ]</v>
      </c>
      <c r="AN3269" t="s">
        <v>12918</v>
      </c>
      <c r="AO3269" t="s">
        <v>12919</v>
      </c>
    </row>
    <row r="3270" spans="39:41" ht="12" customHeight="1" x14ac:dyDescent="0.2">
      <c r="AM3270" t="str">
        <f t="shared" si="51"/>
        <v>Cramerton [USZRC]</v>
      </c>
      <c r="AN3270" t="s">
        <v>29454</v>
      </c>
      <c r="AO3270" t="s">
        <v>29455</v>
      </c>
    </row>
    <row r="3271" spans="39:41" ht="12" customHeight="1" x14ac:dyDescent="0.2">
      <c r="AM3271" t="str">
        <f t="shared" si="51"/>
        <v>Cramond [GBCMD]</v>
      </c>
      <c r="AN3271" t="s">
        <v>12920</v>
      </c>
      <c r="AO3271" t="s">
        <v>12921</v>
      </c>
    </row>
    <row r="3272" spans="39:41" ht="12" customHeight="1" x14ac:dyDescent="0.2">
      <c r="AM3272" t="str">
        <f t="shared" si="51"/>
        <v>Cranborne [GBCBO]</v>
      </c>
      <c r="AN3272" t="s">
        <v>12922</v>
      </c>
      <c r="AO3272" t="s">
        <v>12923</v>
      </c>
    </row>
    <row r="3273" spans="39:41" ht="12" customHeight="1" x14ac:dyDescent="0.2">
      <c r="AM3273" t="str">
        <f t="shared" si="51"/>
        <v>Cranford [CACRA]</v>
      </c>
      <c r="AN3273" t="s">
        <v>3788</v>
      </c>
      <c r="AO3273" t="s">
        <v>3789</v>
      </c>
    </row>
    <row r="3274" spans="39:41" ht="12" customHeight="1" x14ac:dyDescent="0.2">
      <c r="AM3274" t="str">
        <f t="shared" si="51"/>
        <v>Craster [GBCRX]</v>
      </c>
      <c r="AN3274" t="s">
        <v>12924</v>
      </c>
      <c r="AO3274" t="s">
        <v>12925</v>
      </c>
    </row>
    <row r="3275" spans="39:41" ht="12" customHeight="1" x14ac:dyDescent="0.2">
      <c r="AM3275" t="str">
        <f t="shared" si="51"/>
        <v>Cravant [FRRAV]</v>
      </c>
      <c r="AN3275" t="s">
        <v>11154</v>
      </c>
      <c r="AO3275" t="s">
        <v>11155</v>
      </c>
    </row>
    <row r="3276" spans="39:41" ht="12" customHeight="1" x14ac:dyDescent="0.2">
      <c r="AM3276" t="str">
        <f t="shared" si="51"/>
        <v>Creac'h-Point [FRRHP]</v>
      </c>
      <c r="AN3276" t="s">
        <v>11156</v>
      </c>
      <c r="AO3276" t="s">
        <v>11157</v>
      </c>
    </row>
    <row r="3277" spans="39:41" ht="12" customHeight="1" x14ac:dyDescent="0.2">
      <c r="AM3277" t="str">
        <f t="shared" si="51"/>
        <v>Creancey [FRCR4]</v>
      </c>
      <c r="AN3277" t="s">
        <v>11158</v>
      </c>
      <c r="AO3277" t="s">
        <v>35794</v>
      </c>
    </row>
    <row r="3278" spans="39:41" ht="12" customHeight="1" x14ac:dyDescent="0.2">
      <c r="AM3278" t="str">
        <f t="shared" si="51"/>
        <v>Creches-sur-Saone [FRCSD]</v>
      </c>
      <c r="AN3278" t="s">
        <v>11159</v>
      </c>
      <c r="AO3278" t="s">
        <v>35795</v>
      </c>
    </row>
    <row r="3279" spans="39:41" ht="12" customHeight="1" x14ac:dyDescent="0.2">
      <c r="AM3279" t="str">
        <f t="shared" si="51"/>
        <v>Crecy-sur-Serre [FRCYE]</v>
      </c>
      <c r="AN3279" t="s">
        <v>11160</v>
      </c>
      <c r="AO3279" t="s">
        <v>37194</v>
      </c>
    </row>
    <row r="3280" spans="39:41" ht="12" customHeight="1" x14ac:dyDescent="0.2">
      <c r="AM3280" t="str">
        <f t="shared" si="51"/>
        <v>Creedmoor [USZCE]</v>
      </c>
      <c r="AN3280" t="s">
        <v>29456</v>
      </c>
      <c r="AO3280" t="s">
        <v>29457</v>
      </c>
    </row>
    <row r="3281" spans="39:41" ht="12" customHeight="1" x14ac:dyDescent="0.2">
      <c r="AM3281" t="str">
        <f t="shared" si="51"/>
        <v>Creeksea [GBCKS]</v>
      </c>
      <c r="AN3281" t="s">
        <v>12926</v>
      </c>
      <c r="AO3281" t="s">
        <v>12927</v>
      </c>
    </row>
    <row r="3282" spans="39:41" ht="12" customHeight="1" x14ac:dyDescent="0.2">
      <c r="AM3282" t="str">
        <f t="shared" si="51"/>
        <v>Creekside [USQAP]</v>
      </c>
      <c r="AN3282" t="s">
        <v>29458</v>
      </c>
      <c r="AO3282" t="s">
        <v>29459</v>
      </c>
    </row>
    <row r="3283" spans="39:41" ht="12" customHeight="1" x14ac:dyDescent="0.2">
      <c r="AM3283" t="str">
        <f t="shared" si="51"/>
        <v>Crehange [FRRH9]</v>
      </c>
      <c r="AN3283" t="s">
        <v>11161</v>
      </c>
      <c r="AO3283" t="s">
        <v>11162</v>
      </c>
    </row>
    <row r="3284" spans="39:41" ht="12" customHeight="1" x14ac:dyDescent="0.2">
      <c r="AM3284" t="str">
        <f t="shared" si="51"/>
        <v>Creil [FRCRL]</v>
      </c>
      <c r="AN3284" t="s">
        <v>11163</v>
      </c>
      <c r="AO3284" t="s">
        <v>11164</v>
      </c>
    </row>
    <row r="3285" spans="39:41" ht="12" customHeight="1" x14ac:dyDescent="0.2">
      <c r="AM3285" t="str">
        <f t="shared" si="51"/>
        <v>Creil [NLCRI]</v>
      </c>
      <c r="AN3285" t="s">
        <v>23110</v>
      </c>
      <c r="AO3285" t="s">
        <v>11164</v>
      </c>
    </row>
    <row r="3286" spans="39:41" ht="12" customHeight="1" x14ac:dyDescent="0.2">
      <c r="AM3286" t="str">
        <f t="shared" si="51"/>
        <v>Creissan [FRERW]</v>
      </c>
      <c r="AN3286" t="s">
        <v>11165</v>
      </c>
      <c r="AO3286" t="s">
        <v>11166</v>
      </c>
    </row>
    <row r="3287" spans="39:41" ht="12" customHeight="1" x14ac:dyDescent="0.2">
      <c r="AM3287" t="str">
        <f t="shared" si="51"/>
        <v>Creney [FRYEN]</v>
      </c>
      <c r="AN3287" t="s">
        <v>11167</v>
      </c>
      <c r="AO3287" t="s">
        <v>11168</v>
      </c>
    </row>
    <row r="3288" spans="39:41" ht="12" customHeight="1" x14ac:dyDescent="0.2">
      <c r="AM3288" t="str">
        <f t="shared" si="51"/>
        <v>Cres [HRCRS]</v>
      </c>
      <c r="AN3288" t="s">
        <v>15722</v>
      </c>
      <c r="AO3288" t="s">
        <v>15723</v>
      </c>
    </row>
    <row r="3289" spans="39:41" ht="12" customHeight="1" x14ac:dyDescent="0.2">
      <c r="AM3289" t="str">
        <f t="shared" si="51"/>
        <v>Crescent City [USCEC]</v>
      </c>
      <c r="AN3289" t="s">
        <v>29460</v>
      </c>
      <c r="AO3289" t="s">
        <v>29461</v>
      </c>
    </row>
    <row r="3290" spans="39:41" ht="12" customHeight="1" x14ac:dyDescent="0.2">
      <c r="AM3290" t="str">
        <f t="shared" si="51"/>
        <v>Crespian [FRPEP]</v>
      </c>
      <c r="AN3290" t="s">
        <v>11169</v>
      </c>
      <c r="AO3290" t="s">
        <v>11170</v>
      </c>
    </row>
    <row r="3291" spans="39:41" ht="12" customHeight="1" x14ac:dyDescent="0.2">
      <c r="AM3291" t="str">
        <f t="shared" si="51"/>
        <v>Crestet [FRHZK]</v>
      </c>
      <c r="AN3291" t="s">
        <v>11171</v>
      </c>
      <c r="AO3291" t="s">
        <v>11172</v>
      </c>
    </row>
    <row r="3292" spans="39:41" ht="12" customHeight="1" x14ac:dyDescent="0.2">
      <c r="AM3292" t="str">
        <f t="shared" si="51"/>
        <v>Crestmead [AUCRE]</v>
      </c>
      <c r="AN3292" t="s">
        <v>1613</v>
      </c>
      <c r="AO3292" t="s">
        <v>1614</v>
      </c>
    </row>
    <row r="3293" spans="39:41" ht="12" customHeight="1" x14ac:dyDescent="0.2">
      <c r="AM3293" t="str">
        <f t="shared" si="51"/>
        <v>Creston [USC8T]</v>
      </c>
      <c r="AN3293" t="s">
        <v>29462</v>
      </c>
      <c r="AO3293" t="s">
        <v>29463</v>
      </c>
    </row>
    <row r="3294" spans="39:41" ht="12" customHeight="1" x14ac:dyDescent="0.2">
      <c r="AM3294" t="str">
        <f t="shared" si="51"/>
        <v>Crezancy-en-Sancerre [FRVH4]</v>
      </c>
      <c r="AN3294" t="s">
        <v>11173</v>
      </c>
      <c r="AO3294" t="s">
        <v>11174</v>
      </c>
    </row>
    <row r="3295" spans="39:41" ht="12" customHeight="1" x14ac:dyDescent="0.2">
      <c r="AM3295" t="str">
        <f t="shared" si="51"/>
        <v>Criccieth [GBCCC]</v>
      </c>
      <c r="AN3295" t="s">
        <v>12928</v>
      </c>
      <c r="AO3295" t="s">
        <v>12929</v>
      </c>
    </row>
    <row r="3296" spans="39:41" ht="12" customHeight="1" x14ac:dyDescent="0.2">
      <c r="AM3296" t="str">
        <f t="shared" si="51"/>
        <v>Crieff [GBCFE]</v>
      </c>
      <c r="AN3296" t="s">
        <v>12930</v>
      </c>
      <c r="AO3296" t="s">
        <v>12931</v>
      </c>
    </row>
    <row r="3297" spans="39:41" ht="12" customHeight="1" x14ac:dyDescent="0.2">
      <c r="AM3297" t="str">
        <f t="shared" si="51"/>
        <v>Crikvenica [HRCRA]</v>
      </c>
      <c r="AN3297" t="s">
        <v>15724</v>
      </c>
      <c r="AO3297" t="s">
        <v>15725</v>
      </c>
    </row>
    <row r="3298" spans="39:41" ht="12" customHeight="1" x14ac:dyDescent="0.2">
      <c r="AM3298" t="str">
        <f t="shared" si="51"/>
        <v>Crimolois [FROIO]</v>
      </c>
      <c r="AN3298" t="s">
        <v>11175</v>
      </c>
      <c r="AO3298" t="s">
        <v>11176</v>
      </c>
    </row>
    <row r="3299" spans="39:41" ht="12" customHeight="1" x14ac:dyDescent="0.2">
      <c r="AM3299" t="str">
        <f t="shared" si="51"/>
        <v>Crimora [USC74]</v>
      </c>
      <c r="AN3299" t="s">
        <v>29464</v>
      </c>
      <c r="AO3299" t="s">
        <v>29465</v>
      </c>
    </row>
    <row r="3300" spans="39:41" ht="12" customHeight="1" x14ac:dyDescent="0.2">
      <c r="AM3300" t="str">
        <f t="shared" si="51"/>
        <v>Crinan [GBCNC]</v>
      </c>
      <c r="AN3300" t="s">
        <v>12932</v>
      </c>
      <c r="AO3300" t="s">
        <v>12933</v>
      </c>
    </row>
    <row r="3301" spans="39:41" ht="12" customHeight="1" x14ac:dyDescent="0.2">
      <c r="AM3301" t="str">
        <f t="shared" si="51"/>
        <v>Crissay-sur-Mans [FRMKX]</v>
      </c>
      <c r="AN3301" t="s">
        <v>11177</v>
      </c>
      <c r="AO3301" t="s">
        <v>11178</v>
      </c>
    </row>
    <row r="3302" spans="39:41" ht="12" customHeight="1" x14ac:dyDescent="0.2">
      <c r="AM3302" t="str">
        <f t="shared" si="51"/>
        <v>Cristobal [PACTB]</v>
      </c>
      <c r="AN3302" t="s">
        <v>25189</v>
      </c>
      <c r="AO3302" t="s">
        <v>36356</v>
      </c>
    </row>
    <row r="3303" spans="39:41" ht="12" customHeight="1" x14ac:dyDescent="0.2">
      <c r="AM3303" t="str">
        <f t="shared" si="51"/>
        <v>Cristuru Secuiesc [ROCTS]</v>
      </c>
      <c r="AN3303" t="s">
        <v>26746</v>
      </c>
      <c r="AO3303" t="s">
        <v>26747</v>
      </c>
    </row>
    <row r="3304" spans="39:41" ht="12" customHeight="1" x14ac:dyDescent="0.2">
      <c r="AM3304" t="str">
        <f t="shared" si="51"/>
        <v>Criteuil-la-Magdeleine [FRCM3]</v>
      </c>
      <c r="AN3304" t="s">
        <v>11179</v>
      </c>
      <c r="AO3304" t="s">
        <v>11180</v>
      </c>
    </row>
    <row r="3305" spans="39:41" ht="12" customHeight="1" x14ac:dyDescent="0.2">
      <c r="AM3305" t="str">
        <f t="shared" si="51"/>
        <v>Crockett [USCRM]</v>
      </c>
      <c r="AN3305" t="s">
        <v>29466</v>
      </c>
      <c r="AO3305" t="s">
        <v>29467</v>
      </c>
    </row>
    <row r="3306" spans="39:41" ht="12" customHeight="1" x14ac:dyDescent="0.2">
      <c r="AM3306" t="str">
        <f t="shared" si="51"/>
        <v>Crofton [CACRO]</v>
      </c>
      <c r="AN3306" t="s">
        <v>3790</v>
      </c>
      <c r="AO3306" t="s">
        <v>3791</v>
      </c>
    </row>
    <row r="3307" spans="39:41" ht="12" customHeight="1" x14ac:dyDescent="0.2">
      <c r="AM3307" t="str">
        <f t="shared" si="51"/>
        <v>Cromarty [GBCRN]</v>
      </c>
      <c r="AN3307" t="s">
        <v>12934</v>
      </c>
      <c r="AO3307" t="s">
        <v>12935</v>
      </c>
    </row>
    <row r="3308" spans="39:41" ht="12" customHeight="1" x14ac:dyDescent="0.2">
      <c r="AM3308" t="str">
        <f t="shared" si="51"/>
        <v>Crombie [GBCMP]</v>
      </c>
      <c r="AN3308" t="s">
        <v>12936</v>
      </c>
      <c r="AO3308" t="s">
        <v>12937</v>
      </c>
    </row>
    <row r="3309" spans="39:41" ht="12" customHeight="1" x14ac:dyDescent="0.2">
      <c r="AM3309" t="str">
        <f t="shared" si="51"/>
        <v>Cromer [AUC8R]</v>
      </c>
      <c r="AN3309" t="s">
        <v>1615</v>
      </c>
      <c r="AO3309" t="s">
        <v>1616</v>
      </c>
    </row>
    <row r="3310" spans="39:41" ht="12" customHeight="1" x14ac:dyDescent="0.2">
      <c r="AM3310" t="str">
        <f t="shared" si="51"/>
        <v>Cromer [GBCRR]</v>
      </c>
      <c r="AN3310" t="s">
        <v>12938</v>
      </c>
      <c r="AO3310" t="s">
        <v>1616</v>
      </c>
    </row>
    <row r="3311" spans="39:41" ht="12" customHeight="1" x14ac:dyDescent="0.2">
      <c r="AM3311" t="str">
        <f t="shared" si="51"/>
        <v>Cromwell [USZCW]</v>
      </c>
      <c r="AN3311" t="s">
        <v>29468</v>
      </c>
      <c r="AO3311" t="s">
        <v>29469</v>
      </c>
    </row>
    <row r="3312" spans="39:41" ht="12" customHeight="1" x14ac:dyDescent="0.2">
      <c r="AM3312" t="str">
        <f t="shared" si="51"/>
        <v>Cronulla [AUCRU]</v>
      </c>
      <c r="AN3312" t="s">
        <v>1617</v>
      </c>
      <c r="AO3312" t="s">
        <v>1618</v>
      </c>
    </row>
    <row r="3313" spans="39:41" ht="12" customHeight="1" x14ac:dyDescent="0.2">
      <c r="AM3313" t="str">
        <f t="shared" si="51"/>
        <v>Crooked Island [BSCRI]</v>
      </c>
      <c r="AN3313" t="s">
        <v>3429</v>
      </c>
      <c r="AO3313" t="s">
        <v>3430</v>
      </c>
    </row>
    <row r="3314" spans="39:41" ht="12" customHeight="1" x14ac:dyDescent="0.2">
      <c r="AM3314" t="str">
        <f t="shared" si="51"/>
        <v>Crookhaven [IECRO]</v>
      </c>
      <c r="AN3314" t="s">
        <v>16773</v>
      </c>
      <c r="AO3314" t="s">
        <v>16774</v>
      </c>
    </row>
    <row r="3315" spans="39:41" ht="12" customHeight="1" x14ac:dyDescent="0.2">
      <c r="AM3315" t="str">
        <f t="shared" si="51"/>
        <v>Cropton [GBCR5]</v>
      </c>
      <c r="AN3315" t="s">
        <v>12939</v>
      </c>
      <c r="AO3315" t="s">
        <v>12940</v>
      </c>
    </row>
    <row r="3316" spans="39:41" ht="12" customHeight="1" x14ac:dyDescent="0.2">
      <c r="AM3316" t="str">
        <f t="shared" si="51"/>
        <v>Crossen an der Elster [DECRR]</v>
      </c>
      <c r="AN3316" t="s">
        <v>7234</v>
      </c>
      <c r="AO3316" t="s">
        <v>7235</v>
      </c>
    </row>
    <row r="3317" spans="39:41" ht="12" customHeight="1" x14ac:dyDescent="0.2">
      <c r="AM3317" t="str">
        <f t="shared" si="51"/>
        <v>Crosses [FRSS8]</v>
      </c>
      <c r="AN3317" t="s">
        <v>11181</v>
      </c>
      <c r="AO3317" t="s">
        <v>11182</v>
      </c>
    </row>
    <row r="3318" spans="39:41" ht="12" customHeight="1" x14ac:dyDescent="0.2">
      <c r="AM3318" t="str">
        <f t="shared" si="51"/>
        <v>Crosskirk [GBCKK]</v>
      </c>
      <c r="AN3318" t="s">
        <v>12941</v>
      </c>
      <c r="AO3318" t="s">
        <v>12942</v>
      </c>
    </row>
    <row r="3319" spans="39:41" ht="12" customHeight="1" x14ac:dyDescent="0.2">
      <c r="AM3319" t="str">
        <f t="shared" si="51"/>
        <v>Crotone [ITCRV]</v>
      </c>
      <c r="AN3319" t="s">
        <v>17916</v>
      </c>
      <c r="AO3319" t="s">
        <v>17917</v>
      </c>
    </row>
    <row r="3320" spans="39:41" ht="12" customHeight="1" x14ac:dyDescent="0.2">
      <c r="AM3320" t="str">
        <f t="shared" si="51"/>
        <v>Croton-on-Hudson [USTHU]</v>
      </c>
      <c r="AN3320" t="s">
        <v>29470</v>
      </c>
      <c r="AO3320" t="s">
        <v>29471</v>
      </c>
    </row>
    <row r="3321" spans="39:41" ht="12" customHeight="1" x14ac:dyDescent="0.2">
      <c r="AM3321" t="str">
        <f t="shared" si="51"/>
        <v>Crouttes-sur-Marne [FRQSM]</v>
      </c>
      <c r="AN3321" t="s">
        <v>11183</v>
      </c>
      <c r="AO3321" t="s">
        <v>11184</v>
      </c>
    </row>
    <row r="3322" spans="39:41" ht="12" customHeight="1" x14ac:dyDescent="0.2">
      <c r="AM3322" t="str">
        <f t="shared" ref="AM3322:AM3385" si="52">AO3322 &amp; " [" &amp; AN3322 &amp; "]"</f>
        <v>Crown Dry-Dock [GBJHW]</v>
      </c>
      <c r="AN3322" t="s">
        <v>12943</v>
      </c>
      <c r="AO3322" t="s">
        <v>12944</v>
      </c>
    </row>
    <row r="3323" spans="39:41" ht="12" customHeight="1" x14ac:dyDescent="0.2">
      <c r="AM3323" t="str">
        <f t="shared" si="52"/>
        <v>Croxton [USV7X]</v>
      </c>
      <c r="AN3323" t="s">
        <v>29472</v>
      </c>
      <c r="AO3323" t="s">
        <v>29473</v>
      </c>
    </row>
    <row r="3324" spans="39:41" ht="12" customHeight="1" x14ac:dyDescent="0.2">
      <c r="AM3324" t="str">
        <f t="shared" si="52"/>
        <v>Cruet [FRCKT]</v>
      </c>
      <c r="AN3324" t="s">
        <v>11185</v>
      </c>
      <c r="AO3324" t="s">
        <v>11186</v>
      </c>
    </row>
    <row r="3325" spans="39:41" ht="12" customHeight="1" x14ac:dyDescent="0.2">
      <c r="AM3325" t="str">
        <f t="shared" si="52"/>
        <v>Cruscades [FRCQR]</v>
      </c>
      <c r="AN3325" t="s">
        <v>11187</v>
      </c>
      <c r="AO3325" t="s">
        <v>11188</v>
      </c>
    </row>
    <row r="3326" spans="39:41" ht="12" customHeight="1" x14ac:dyDescent="0.2">
      <c r="AM3326" t="str">
        <f t="shared" si="52"/>
        <v>Cruz Bay, Saint John [VICZB]</v>
      </c>
      <c r="AN3326" t="s">
        <v>32282</v>
      </c>
      <c r="AO3326" t="s">
        <v>32283</v>
      </c>
    </row>
    <row r="3327" spans="39:41" ht="12" customHeight="1" x14ac:dyDescent="0.2">
      <c r="AM3327" t="str">
        <f t="shared" si="52"/>
        <v>Cruz Grande [CLCGR]</v>
      </c>
      <c r="AN3327" t="s">
        <v>4863</v>
      </c>
      <c r="AO3327" t="s">
        <v>4864</v>
      </c>
    </row>
    <row r="3328" spans="39:41" ht="12" customHeight="1" x14ac:dyDescent="0.2">
      <c r="AM3328" t="str">
        <f t="shared" si="52"/>
        <v>Cruzille [FRXKY]</v>
      </c>
      <c r="AN3328" t="s">
        <v>11189</v>
      </c>
      <c r="AO3328" t="s">
        <v>11190</v>
      </c>
    </row>
    <row r="3329" spans="39:41" ht="12" customHeight="1" x14ac:dyDescent="0.2">
      <c r="AM3329" t="str">
        <f t="shared" si="52"/>
        <v>Cruzy [FRKLY]</v>
      </c>
      <c r="AN3329" t="s">
        <v>11191</v>
      </c>
      <c r="AO3329" t="s">
        <v>11192</v>
      </c>
    </row>
    <row r="3330" spans="39:41" ht="12" customHeight="1" x14ac:dyDescent="0.2">
      <c r="AM3330" t="str">
        <f t="shared" si="52"/>
        <v>Crystal City [CACCI]</v>
      </c>
      <c r="AN3330" t="s">
        <v>3792</v>
      </c>
      <c r="AO3330" t="s">
        <v>3793</v>
      </c>
    </row>
    <row r="3331" spans="39:41" ht="12" customHeight="1" x14ac:dyDescent="0.2">
      <c r="AM3331" t="str">
        <f t="shared" si="52"/>
        <v>Csepel [HUCPE]</v>
      </c>
      <c r="AN3331" t="s">
        <v>16063</v>
      </c>
      <c r="AO3331" t="s">
        <v>16064</v>
      </c>
    </row>
    <row r="3332" spans="39:41" ht="12" customHeight="1" x14ac:dyDescent="0.2">
      <c r="AM3332" t="str">
        <f t="shared" si="52"/>
        <v>Csomor [HUCMR]</v>
      </c>
      <c r="AN3332" t="s">
        <v>16065</v>
      </c>
      <c r="AO3332" t="s">
        <v>36011</v>
      </c>
    </row>
    <row r="3333" spans="39:41" ht="12" customHeight="1" x14ac:dyDescent="0.2">
      <c r="AM3333" t="str">
        <f t="shared" si="52"/>
        <v>Cua Cam Terminal [VNCCA]</v>
      </c>
      <c r="AN3333" t="s">
        <v>32341</v>
      </c>
      <c r="AO3333" t="s">
        <v>32342</v>
      </c>
    </row>
    <row r="3334" spans="39:41" ht="12" customHeight="1" x14ac:dyDescent="0.2">
      <c r="AM3334" t="str">
        <f t="shared" si="52"/>
        <v>Cua Viet Port [VNCUV]</v>
      </c>
      <c r="AN3334" t="s">
        <v>32343</v>
      </c>
      <c r="AO3334" t="s">
        <v>32344</v>
      </c>
    </row>
    <row r="3335" spans="39:41" ht="12" customHeight="1" x14ac:dyDescent="0.2">
      <c r="AM3335" t="str">
        <f t="shared" si="52"/>
        <v>Cuan Ferry, Seil [GBCUA]</v>
      </c>
      <c r="AN3335" t="s">
        <v>12945</v>
      </c>
      <c r="AO3335" t="s">
        <v>12946</v>
      </c>
    </row>
    <row r="3336" spans="39:41" ht="12" customHeight="1" x14ac:dyDescent="0.2">
      <c r="AM3336" t="str">
        <f t="shared" si="52"/>
        <v>Cuarte de Huerva [ESCUD]</v>
      </c>
      <c r="AN3336" t="s">
        <v>9741</v>
      </c>
      <c r="AO3336" t="s">
        <v>9742</v>
      </c>
    </row>
    <row r="3337" spans="39:41" ht="12" customHeight="1" x14ac:dyDescent="0.2">
      <c r="AM3337" t="str">
        <f t="shared" si="52"/>
        <v>Cuatreros/Bahia Blanca [ARCUA]</v>
      </c>
      <c r="AN3337" t="s">
        <v>1013</v>
      </c>
      <c r="AO3337" t="s">
        <v>1014</v>
      </c>
    </row>
    <row r="3338" spans="39:41" ht="12" customHeight="1" x14ac:dyDescent="0.2">
      <c r="AM3338" t="str">
        <f t="shared" si="52"/>
        <v>Cuautla [MXCTL]</v>
      </c>
      <c r="AN3338" t="s">
        <v>22348</v>
      </c>
      <c r="AO3338" t="s">
        <v>22349</v>
      </c>
    </row>
    <row r="3339" spans="39:41" ht="12" customHeight="1" x14ac:dyDescent="0.2">
      <c r="AM3339" t="str">
        <f t="shared" si="52"/>
        <v>Cubry-les-Soing [FRYOG]</v>
      </c>
      <c r="AN3339" t="s">
        <v>11193</v>
      </c>
      <c r="AO3339" t="s">
        <v>11194</v>
      </c>
    </row>
    <row r="3340" spans="39:41" ht="12" customHeight="1" x14ac:dyDescent="0.2">
      <c r="AM3340" t="str">
        <f t="shared" si="52"/>
        <v>Cubuklu [TRCUB]</v>
      </c>
      <c r="AN3340" t="s">
        <v>28441</v>
      </c>
      <c r="AO3340" t="s">
        <v>28442</v>
      </c>
    </row>
    <row r="3341" spans="39:41" ht="12" customHeight="1" x14ac:dyDescent="0.2">
      <c r="AM3341" t="str">
        <f t="shared" si="52"/>
        <v>Cubzac-les-Ponts [FRCCP]</v>
      </c>
      <c r="AN3341" t="s">
        <v>11195</v>
      </c>
      <c r="AO3341" t="s">
        <v>11196</v>
      </c>
    </row>
    <row r="3342" spans="39:41" ht="12" customHeight="1" x14ac:dyDescent="0.2">
      <c r="AM3342" t="str">
        <f t="shared" si="52"/>
        <v>Cuchery [FRHHY]</v>
      </c>
      <c r="AN3342" t="s">
        <v>11197</v>
      </c>
      <c r="AO3342" t="s">
        <v>11198</v>
      </c>
    </row>
    <row r="3343" spans="39:41" ht="12" customHeight="1" x14ac:dyDescent="0.2">
      <c r="AM3343" t="str">
        <f t="shared" si="52"/>
        <v>Cucugnan [FRGYY]</v>
      </c>
      <c r="AN3343" t="s">
        <v>11199</v>
      </c>
      <c r="AO3343" t="s">
        <v>11200</v>
      </c>
    </row>
    <row r="3344" spans="39:41" ht="12" customHeight="1" x14ac:dyDescent="0.2">
      <c r="AM3344" t="str">
        <f t="shared" si="52"/>
        <v>Cuddalore [INCDL]</v>
      </c>
      <c r="AN3344" t="s">
        <v>17098</v>
      </c>
      <c r="AO3344" t="s">
        <v>17099</v>
      </c>
    </row>
    <row r="3345" spans="39:41" ht="12" customHeight="1" x14ac:dyDescent="0.2">
      <c r="AM3345" t="str">
        <f t="shared" si="52"/>
        <v>Cuenca del Plata [UYCPP]</v>
      </c>
      <c r="AN3345" t="s">
        <v>32105</v>
      </c>
      <c r="AO3345" t="s">
        <v>32106</v>
      </c>
    </row>
    <row r="3346" spans="39:41" ht="12" customHeight="1" x14ac:dyDescent="0.2">
      <c r="AM3346" t="str">
        <f t="shared" si="52"/>
        <v>Cuffies [FRUFF]</v>
      </c>
      <c r="AN3346" t="s">
        <v>11201</v>
      </c>
      <c r="AO3346" t="s">
        <v>11202</v>
      </c>
    </row>
    <row r="3347" spans="39:41" ht="12" customHeight="1" x14ac:dyDescent="0.2">
      <c r="AM3347" t="str">
        <f t="shared" si="52"/>
        <v>Cuio [AOCUI]</v>
      </c>
      <c r="AN3347" t="s">
        <v>841</v>
      </c>
      <c r="AO3347" t="s">
        <v>842</v>
      </c>
    </row>
    <row r="3348" spans="39:41" ht="12" customHeight="1" x14ac:dyDescent="0.2">
      <c r="AM3348" t="str">
        <f t="shared" si="52"/>
        <v>Cul de Sac [LCCDS]</v>
      </c>
      <c r="AN3348" t="s">
        <v>21813</v>
      </c>
      <c r="AO3348" t="s">
        <v>21814</v>
      </c>
    </row>
    <row r="3349" spans="39:41" ht="12" customHeight="1" x14ac:dyDescent="0.2">
      <c r="AM3349" t="str">
        <f t="shared" si="52"/>
        <v>Culao [VNCLO]</v>
      </c>
      <c r="AN3349" t="s">
        <v>32345</v>
      </c>
      <c r="AO3349" t="s">
        <v>32346</v>
      </c>
    </row>
    <row r="3350" spans="39:41" ht="12" customHeight="1" x14ac:dyDescent="0.2">
      <c r="AM3350" t="str">
        <f t="shared" si="52"/>
        <v>Culasi [PHCSI]</v>
      </c>
      <c r="AN3350" t="s">
        <v>25701</v>
      </c>
      <c r="AO3350" t="s">
        <v>25702</v>
      </c>
    </row>
    <row r="3351" spans="39:41" ht="12" customHeight="1" x14ac:dyDescent="0.2">
      <c r="AM3351" t="str">
        <f t="shared" si="52"/>
        <v>Culemborg [NLCUB]</v>
      </c>
      <c r="AN3351" t="s">
        <v>33871</v>
      </c>
      <c r="AO3351" t="s">
        <v>33993</v>
      </c>
    </row>
    <row r="3352" spans="39:41" ht="12" customHeight="1" x14ac:dyDescent="0.2">
      <c r="AM3352" t="str">
        <f t="shared" si="52"/>
        <v>Culion [PHCUJ]</v>
      </c>
      <c r="AN3352" t="s">
        <v>25703</v>
      </c>
      <c r="AO3352" t="s">
        <v>25704</v>
      </c>
    </row>
    <row r="3353" spans="39:41" ht="12" customHeight="1" x14ac:dyDescent="0.2">
      <c r="AM3353" t="str">
        <f t="shared" si="52"/>
        <v>Culkein [GBCKN]</v>
      </c>
      <c r="AN3353" t="s">
        <v>12947</v>
      </c>
      <c r="AO3353" t="s">
        <v>12948</v>
      </c>
    </row>
    <row r="3354" spans="39:41" ht="12" customHeight="1" x14ac:dyDescent="0.2">
      <c r="AM3354" t="str">
        <f t="shared" si="52"/>
        <v>Culkein/Drumbeg [GBCLM]</v>
      </c>
      <c r="AN3354" t="s">
        <v>12949</v>
      </c>
      <c r="AO3354" t="s">
        <v>12950</v>
      </c>
    </row>
    <row r="3355" spans="39:41" ht="12" customHeight="1" x14ac:dyDescent="0.2">
      <c r="AM3355" t="str">
        <f t="shared" si="52"/>
        <v>Cullen [GBCUN]</v>
      </c>
      <c r="AN3355" t="s">
        <v>12951</v>
      </c>
      <c r="AO3355" t="s">
        <v>12952</v>
      </c>
    </row>
    <row r="3356" spans="39:41" ht="12" customHeight="1" x14ac:dyDescent="0.2">
      <c r="AM3356" t="str">
        <f t="shared" si="52"/>
        <v>Cullivoe, Yell [GBCUV]</v>
      </c>
      <c r="AN3356" t="s">
        <v>12953</v>
      </c>
      <c r="AO3356" t="s">
        <v>12954</v>
      </c>
    </row>
    <row r="3357" spans="39:41" ht="12" customHeight="1" x14ac:dyDescent="0.2">
      <c r="AM3357" t="str">
        <f t="shared" si="52"/>
        <v>Cumana [VECUM]</v>
      </c>
      <c r="AN3357" t="s">
        <v>32172</v>
      </c>
      <c r="AO3357" t="s">
        <v>32173</v>
      </c>
    </row>
    <row r="3358" spans="39:41" ht="12" customHeight="1" x14ac:dyDescent="0.2">
      <c r="AM3358" t="str">
        <f t="shared" si="52"/>
        <v>Cumberland [USHXD]</v>
      </c>
      <c r="AN3358" t="s">
        <v>29474</v>
      </c>
      <c r="AO3358" t="s">
        <v>29475</v>
      </c>
    </row>
    <row r="3359" spans="39:41" ht="12" customHeight="1" x14ac:dyDescent="0.2">
      <c r="AM3359" t="str">
        <f t="shared" si="52"/>
        <v>Cumberland Bay [CACUM]</v>
      </c>
      <c r="AN3359" t="s">
        <v>3794</v>
      </c>
      <c r="AO3359" t="s">
        <v>3795</v>
      </c>
    </row>
    <row r="3360" spans="39:41" ht="12" customHeight="1" x14ac:dyDescent="0.2">
      <c r="AM3360" t="str">
        <f t="shared" si="52"/>
        <v>Cumberland City [USUDC]</v>
      </c>
      <c r="AN3360" t="s">
        <v>29476</v>
      </c>
      <c r="AO3360" t="s">
        <v>29477</v>
      </c>
    </row>
    <row r="3361" spans="39:41" ht="12" customHeight="1" x14ac:dyDescent="0.2">
      <c r="AM3361" t="str">
        <f t="shared" si="52"/>
        <v>Cumbrae Slip, Great Cumbrae [GBCMS]</v>
      </c>
      <c r="AN3361" t="s">
        <v>12955</v>
      </c>
      <c r="AO3361" t="s">
        <v>12956</v>
      </c>
    </row>
    <row r="3362" spans="39:41" ht="12" customHeight="1" x14ac:dyDescent="0.2">
      <c r="AM3362" t="str">
        <f t="shared" si="52"/>
        <v>Cumbraes [GBCUM]</v>
      </c>
      <c r="AN3362" t="s">
        <v>12957</v>
      </c>
      <c r="AO3362" t="s">
        <v>12958</v>
      </c>
    </row>
    <row r="3363" spans="39:41" ht="12" customHeight="1" x14ac:dyDescent="0.2">
      <c r="AM3363" t="str">
        <f t="shared" si="52"/>
        <v>Cumbria [GBCUJ]</v>
      </c>
      <c r="AN3363" t="s">
        <v>12959</v>
      </c>
      <c r="AO3363" t="s">
        <v>12960</v>
      </c>
    </row>
    <row r="3364" spans="39:41" ht="12" customHeight="1" x14ac:dyDescent="0.2">
      <c r="AM3364" t="str">
        <f t="shared" si="52"/>
        <v>Cumlosen [DECUM]</v>
      </c>
      <c r="AN3364" t="s">
        <v>7236</v>
      </c>
      <c r="AO3364" t="s">
        <v>7237</v>
      </c>
    </row>
    <row r="3365" spans="39:41" ht="12" customHeight="1" x14ac:dyDescent="0.2">
      <c r="AM3365" t="str">
        <f t="shared" si="52"/>
        <v>Cuneges [FRCGZ]</v>
      </c>
      <c r="AN3365" t="s">
        <v>11203</v>
      </c>
      <c r="AO3365" t="s">
        <v>11204</v>
      </c>
    </row>
    <row r="3366" spans="39:41" ht="12" customHeight="1" x14ac:dyDescent="0.2">
      <c r="AM3366" t="str">
        <f t="shared" si="52"/>
        <v>Cupra Marittima [ITCPM]</v>
      </c>
      <c r="AN3366" t="s">
        <v>17918</v>
      </c>
      <c r="AO3366" t="s">
        <v>17919</v>
      </c>
    </row>
    <row r="3367" spans="39:41" ht="12" customHeight="1" x14ac:dyDescent="0.2">
      <c r="AM3367" t="str">
        <f t="shared" si="52"/>
        <v>Cuqueron [FRCQE]</v>
      </c>
      <c r="AN3367" t="s">
        <v>11205</v>
      </c>
      <c r="AO3367" t="s">
        <v>11206</v>
      </c>
    </row>
    <row r="3368" spans="39:41" ht="12" customHeight="1" x14ac:dyDescent="0.2">
      <c r="AM3368" t="str">
        <f t="shared" si="52"/>
        <v>Curaca [BRCUA]</v>
      </c>
      <c r="AN3368" t="s">
        <v>3298</v>
      </c>
      <c r="AO3368" t="s">
        <v>35291</v>
      </c>
    </row>
    <row r="3369" spans="39:41" ht="12" customHeight="1" x14ac:dyDescent="0.2">
      <c r="AM3369" t="str">
        <f t="shared" si="52"/>
        <v>Curacao [CWCUR]</v>
      </c>
      <c r="AN3369" t="s">
        <v>6745</v>
      </c>
      <c r="AO3369" t="s">
        <v>35392</v>
      </c>
    </row>
    <row r="3370" spans="39:41" ht="12" customHeight="1" x14ac:dyDescent="0.2">
      <c r="AM3370" t="str">
        <f t="shared" si="52"/>
        <v>Curaco de Velez [CLCDV]</v>
      </c>
      <c r="AN3370" t="s">
        <v>4865</v>
      </c>
      <c r="AO3370" t="s">
        <v>35354</v>
      </c>
    </row>
    <row r="3371" spans="39:41" ht="12" customHeight="1" x14ac:dyDescent="0.2">
      <c r="AM3371" t="str">
        <f t="shared" si="52"/>
        <v>Curbar [GBCU8]</v>
      </c>
      <c r="AN3371" t="s">
        <v>12961</v>
      </c>
      <c r="AO3371" t="s">
        <v>12962</v>
      </c>
    </row>
    <row r="3372" spans="39:41" ht="12" customHeight="1" x14ac:dyDescent="0.2">
      <c r="AM3372" t="str">
        <f t="shared" si="52"/>
        <v>Curepipe [MUCUR]</v>
      </c>
      <c r="AN3372" t="s">
        <v>22282</v>
      </c>
      <c r="AO3372" t="s">
        <v>22283</v>
      </c>
    </row>
    <row r="3373" spans="39:41" ht="12" customHeight="1" x14ac:dyDescent="0.2">
      <c r="AM3373" t="str">
        <f t="shared" si="52"/>
        <v>Curlew [GBCUR]</v>
      </c>
      <c r="AN3373" t="s">
        <v>12963</v>
      </c>
      <c r="AO3373" t="s">
        <v>12964</v>
      </c>
    </row>
    <row r="3374" spans="39:41" ht="12" customHeight="1" x14ac:dyDescent="0.2">
      <c r="AM3374" t="str">
        <f t="shared" si="52"/>
        <v>Curridabat [CRCRR]</v>
      </c>
      <c r="AN3374" t="s">
        <v>6569</v>
      </c>
      <c r="AO3374" t="s">
        <v>6570</v>
      </c>
    </row>
    <row r="3375" spans="39:41" ht="12" customHeight="1" x14ac:dyDescent="0.2">
      <c r="AM3375" t="str">
        <f t="shared" si="52"/>
        <v>Currimao [PHCMO]</v>
      </c>
      <c r="AN3375" t="s">
        <v>25705</v>
      </c>
      <c r="AO3375" t="s">
        <v>25706</v>
      </c>
    </row>
    <row r="3376" spans="39:41" ht="12" customHeight="1" x14ac:dyDescent="0.2">
      <c r="AM3376" t="str">
        <f t="shared" si="52"/>
        <v>Curtil-Vergy [FRCV2]</v>
      </c>
      <c r="AN3376" t="s">
        <v>11207</v>
      </c>
      <c r="AO3376" t="s">
        <v>11208</v>
      </c>
    </row>
    <row r="3377" spans="39:41" ht="12" customHeight="1" x14ac:dyDescent="0.2">
      <c r="AM3377" t="str">
        <f t="shared" si="52"/>
        <v>Curtis Bay, Baltimore [USUSB]</v>
      </c>
      <c r="AN3377" t="s">
        <v>29478</v>
      </c>
      <c r="AO3377" t="s">
        <v>29479</v>
      </c>
    </row>
    <row r="3378" spans="39:41" ht="12" customHeight="1" x14ac:dyDescent="0.2">
      <c r="AM3378" t="str">
        <f t="shared" si="52"/>
        <v>Curuan/Zamboanga [PHCUR]</v>
      </c>
      <c r="AN3378" t="s">
        <v>25707</v>
      </c>
      <c r="AO3378" t="s">
        <v>25708</v>
      </c>
    </row>
    <row r="3379" spans="39:41" ht="12" customHeight="1" x14ac:dyDescent="0.2">
      <c r="AM3379" t="str">
        <f t="shared" si="52"/>
        <v>Cushendall [GBCUS]</v>
      </c>
      <c r="AN3379" t="s">
        <v>12965</v>
      </c>
      <c r="AO3379" t="s">
        <v>12966</v>
      </c>
    </row>
    <row r="3380" spans="39:41" ht="12" customHeight="1" x14ac:dyDescent="0.2">
      <c r="AM3380" t="str">
        <f t="shared" si="52"/>
        <v>Cushendun [GBCUE]</v>
      </c>
      <c r="AN3380" t="s">
        <v>12967</v>
      </c>
      <c r="AO3380" t="s">
        <v>12968</v>
      </c>
    </row>
    <row r="3381" spans="39:41" ht="12" customHeight="1" x14ac:dyDescent="0.2">
      <c r="AM3381" t="str">
        <f t="shared" si="52"/>
        <v>Cutris [CRCUT]</v>
      </c>
      <c r="AN3381" t="s">
        <v>6571</v>
      </c>
      <c r="AO3381" t="s">
        <v>6572</v>
      </c>
    </row>
    <row r="3382" spans="39:41" ht="12" customHeight="1" x14ac:dyDescent="0.2">
      <c r="AM3382" t="str">
        <f t="shared" si="52"/>
        <v>Cuxac-d'Aude [FRCA2]</v>
      </c>
      <c r="AN3382" t="s">
        <v>11209</v>
      </c>
      <c r="AO3382" t="s">
        <v>11210</v>
      </c>
    </row>
    <row r="3383" spans="39:41" ht="12" customHeight="1" x14ac:dyDescent="0.2">
      <c r="AM3383" t="str">
        <f t="shared" si="52"/>
        <v>Cuxhaven [DECUX]</v>
      </c>
      <c r="AN3383" t="s">
        <v>7238</v>
      </c>
      <c r="AO3383" t="s">
        <v>7239</v>
      </c>
    </row>
    <row r="3384" spans="39:41" ht="12" customHeight="1" x14ac:dyDescent="0.2">
      <c r="AM3384" t="str">
        <f t="shared" si="52"/>
        <v>Cypress Bend [USYXB]</v>
      </c>
      <c r="AN3384" t="s">
        <v>29480</v>
      </c>
      <c r="AO3384" t="s">
        <v>29481</v>
      </c>
    </row>
    <row r="3385" spans="39:41" ht="12" customHeight="1" x14ac:dyDescent="0.2">
      <c r="AM3385" t="str">
        <f t="shared" si="52"/>
        <v>Czarna [PLZAA]</v>
      </c>
      <c r="AN3385" t="s">
        <v>26281</v>
      </c>
      <c r="AO3385" t="s">
        <v>26282</v>
      </c>
    </row>
    <row r="3386" spans="39:41" ht="12" customHeight="1" x14ac:dyDescent="0.2">
      <c r="AM3386" t="str">
        <f t="shared" ref="AM3386:AM3449" si="53">AO3386 &amp; " [" &amp; AN3386 &amp; "]"</f>
        <v>Czarna Dabrowka [PLCDB]</v>
      </c>
      <c r="AN3386" t="s">
        <v>26283</v>
      </c>
      <c r="AO3386" t="s">
        <v>26284</v>
      </c>
    </row>
    <row r="3387" spans="39:41" ht="12" customHeight="1" x14ac:dyDescent="0.2">
      <c r="AM3387" t="str">
        <f t="shared" si="53"/>
        <v>Da Nang [VNDAD]</v>
      </c>
      <c r="AN3387" t="s">
        <v>32347</v>
      </c>
      <c r="AO3387" t="s">
        <v>32348</v>
      </c>
    </row>
    <row r="3388" spans="39:41" ht="12" customHeight="1" x14ac:dyDescent="0.2">
      <c r="AM3388" t="str">
        <f t="shared" si="53"/>
        <v>Daaden [DEDAD]</v>
      </c>
      <c r="AN3388" t="s">
        <v>7240</v>
      </c>
      <c r="AO3388" t="s">
        <v>7241</v>
      </c>
    </row>
    <row r="3389" spans="39:41" ht="12" customHeight="1" x14ac:dyDescent="0.2">
      <c r="AM3389" t="str">
        <f t="shared" si="53"/>
        <v>Daan [CNDAN]</v>
      </c>
      <c r="AN3389" t="s">
        <v>5159</v>
      </c>
      <c r="AO3389" t="s">
        <v>5160</v>
      </c>
    </row>
    <row r="3390" spans="39:41" ht="12" customHeight="1" x14ac:dyDescent="0.2">
      <c r="AM3390" t="str">
        <f t="shared" si="53"/>
        <v>Dabhol Port [INDHP]</v>
      </c>
      <c r="AN3390" t="s">
        <v>17100</v>
      </c>
      <c r="AO3390" t="s">
        <v>17101</v>
      </c>
    </row>
    <row r="3391" spans="39:41" ht="12" customHeight="1" x14ac:dyDescent="0.2">
      <c r="AM3391" t="str">
        <f t="shared" si="53"/>
        <v>Dabo, Singkep Isl [IDDAS]</v>
      </c>
      <c r="AN3391" t="s">
        <v>16241</v>
      </c>
      <c r="AO3391" t="s">
        <v>16242</v>
      </c>
    </row>
    <row r="3392" spans="39:41" ht="12" customHeight="1" x14ac:dyDescent="0.2">
      <c r="AM3392" t="str">
        <f t="shared" si="53"/>
        <v>Dabolim [INDRL]</v>
      </c>
      <c r="AN3392" t="s">
        <v>17102</v>
      </c>
      <c r="AO3392" t="s">
        <v>17103</v>
      </c>
    </row>
    <row r="3393" spans="39:41" ht="12" customHeight="1" x14ac:dyDescent="0.2">
      <c r="AM3393" t="str">
        <f t="shared" si="53"/>
        <v>Dabou [CIDAB]</v>
      </c>
      <c r="AN3393" t="s">
        <v>4779</v>
      </c>
      <c r="AO3393" t="s">
        <v>4780</v>
      </c>
    </row>
    <row r="3394" spans="39:41" ht="12" customHeight="1" x14ac:dyDescent="0.2">
      <c r="AM3394" t="str">
        <f t="shared" si="53"/>
        <v>Dabrowka [PL6MA]</v>
      </c>
      <c r="AN3394" t="s">
        <v>26285</v>
      </c>
      <c r="AO3394" t="s">
        <v>36364</v>
      </c>
    </row>
    <row r="3395" spans="39:41" ht="12" customHeight="1" x14ac:dyDescent="0.2">
      <c r="AM3395" t="str">
        <f t="shared" si="53"/>
        <v>Dachenbei [CNDCB]</v>
      </c>
      <c r="AN3395" t="s">
        <v>5161</v>
      </c>
      <c r="AO3395" t="s">
        <v>5162</v>
      </c>
    </row>
    <row r="3396" spans="39:41" ht="12" customHeight="1" x14ac:dyDescent="0.2">
      <c r="AM3396" t="str">
        <f t="shared" si="53"/>
        <v>Dadeng I. [CNDDD]</v>
      </c>
      <c r="AN3396" t="s">
        <v>5163</v>
      </c>
      <c r="AO3396" t="s">
        <v>5164</v>
      </c>
    </row>
    <row r="3397" spans="39:41" ht="12" customHeight="1" x14ac:dyDescent="0.2">
      <c r="AM3397" t="str">
        <f t="shared" si="53"/>
        <v>Dadingzi [CNDIZ]</v>
      </c>
      <c r="AN3397" t="s">
        <v>5165</v>
      </c>
      <c r="AO3397" t="s">
        <v>5166</v>
      </c>
    </row>
    <row r="3398" spans="39:41" ht="12" customHeight="1" x14ac:dyDescent="0.2">
      <c r="AM3398" t="str">
        <f t="shared" si="53"/>
        <v>Dadukou [CNDDK]</v>
      </c>
      <c r="AN3398" t="s">
        <v>5167</v>
      </c>
      <c r="AO3398" t="s">
        <v>5168</v>
      </c>
    </row>
    <row r="3399" spans="39:41" ht="12" customHeight="1" x14ac:dyDescent="0.2">
      <c r="AM3399" t="str">
        <f t="shared" si="53"/>
        <v>Daebul/Yeongam-gun [KRDBL]</v>
      </c>
      <c r="AN3399" t="s">
        <v>21620</v>
      </c>
      <c r="AO3399" t="s">
        <v>21621</v>
      </c>
    </row>
    <row r="3400" spans="39:41" ht="12" customHeight="1" x14ac:dyDescent="0.2">
      <c r="AM3400" t="str">
        <f t="shared" si="53"/>
        <v>Daecheon [KRDCN]</v>
      </c>
      <c r="AN3400" t="s">
        <v>21622</v>
      </c>
      <c r="AO3400" t="s">
        <v>21623</v>
      </c>
    </row>
    <row r="3401" spans="39:41" ht="12" customHeight="1" x14ac:dyDescent="0.2">
      <c r="AM3401" t="str">
        <f t="shared" si="53"/>
        <v>Daeheuksando [KRDHS]</v>
      </c>
      <c r="AN3401" t="s">
        <v>21624</v>
      </c>
      <c r="AO3401" t="s">
        <v>21625</v>
      </c>
    </row>
    <row r="3402" spans="39:41" ht="12" customHeight="1" x14ac:dyDescent="0.2">
      <c r="AM3402" t="str">
        <f t="shared" si="53"/>
        <v>Daesan/Seosan [KRTSN]</v>
      </c>
      <c r="AN3402" t="s">
        <v>21626</v>
      </c>
      <c r="AO3402" t="s">
        <v>21627</v>
      </c>
    </row>
    <row r="3403" spans="39:41" ht="12" customHeight="1" x14ac:dyDescent="0.2">
      <c r="AM3403" t="str">
        <f t="shared" si="53"/>
        <v>Dafeng Pt [CNDFG]</v>
      </c>
      <c r="AN3403" t="s">
        <v>5169</v>
      </c>
      <c r="AO3403" t="s">
        <v>5170</v>
      </c>
    </row>
    <row r="3404" spans="39:41" ht="12" customHeight="1" x14ac:dyDescent="0.2">
      <c r="AM3404" t="str">
        <f t="shared" si="53"/>
        <v>Dafjord [NODFJ]</v>
      </c>
      <c r="AN3404" t="s">
        <v>23972</v>
      </c>
      <c r="AO3404" t="s">
        <v>36150</v>
      </c>
    </row>
    <row r="3405" spans="39:41" ht="12" customHeight="1" x14ac:dyDescent="0.2">
      <c r="AM3405" t="str">
        <f t="shared" si="53"/>
        <v>Dafni [GRDAF]</v>
      </c>
      <c r="AN3405" t="s">
        <v>15170</v>
      </c>
      <c r="AO3405" t="s">
        <v>35895</v>
      </c>
    </row>
    <row r="3406" spans="39:41" ht="12" customHeight="1" x14ac:dyDescent="0.2">
      <c r="AM3406" t="str">
        <f t="shared" si="53"/>
        <v>Dagang [CNDAA]</v>
      </c>
      <c r="AN3406" t="s">
        <v>5171</v>
      </c>
      <c r="AO3406" t="s">
        <v>5172</v>
      </c>
    </row>
    <row r="3407" spans="39:41" ht="12" customHeight="1" x14ac:dyDescent="0.2">
      <c r="AM3407" t="str">
        <f t="shared" si="53"/>
        <v>Dagebull [DEDAG]</v>
      </c>
      <c r="AN3407" t="s">
        <v>7242</v>
      </c>
      <c r="AO3407" t="s">
        <v>35428</v>
      </c>
    </row>
    <row r="3408" spans="39:41" ht="12" customHeight="1" x14ac:dyDescent="0.2">
      <c r="AM3408" t="str">
        <f t="shared" si="53"/>
        <v>Dagenham [GBDAG]</v>
      </c>
      <c r="AN3408" t="s">
        <v>12969</v>
      </c>
      <c r="AO3408" t="s">
        <v>12970</v>
      </c>
    </row>
    <row r="3409" spans="39:41" ht="12" customHeight="1" x14ac:dyDescent="0.2">
      <c r="AM3409" t="str">
        <f t="shared" si="53"/>
        <v>Dagsboro [USD5W]</v>
      </c>
      <c r="AN3409" t="s">
        <v>29482</v>
      </c>
      <c r="AO3409" t="s">
        <v>29483</v>
      </c>
    </row>
    <row r="3410" spans="39:41" ht="12" customHeight="1" x14ac:dyDescent="0.2">
      <c r="AM3410" t="str">
        <f t="shared" si="53"/>
        <v>Dahanu [INDHU]</v>
      </c>
      <c r="AN3410" t="s">
        <v>17104</v>
      </c>
      <c r="AO3410" t="s">
        <v>17105</v>
      </c>
    </row>
    <row r="3411" spans="39:41" ht="12" customHeight="1" x14ac:dyDescent="0.2">
      <c r="AM3411" t="str">
        <f t="shared" si="53"/>
        <v>Dahej [INDAH]</v>
      </c>
      <c r="AN3411" t="s">
        <v>17106</v>
      </c>
      <c r="AO3411" t="s">
        <v>17107</v>
      </c>
    </row>
    <row r="3412" spans="39:41" ht="12" customHeight="1" x14ac:dyDescent="0.2">
      <c r="AM3412" t="str">
        <f t="shared" si="53"/>
        <v>Dahikan Bay [PHDCB]</v>
      </c>
      <c r="AN3412" t="s">
        <v>25709</v>
      </c>
      <c r="AO3412" t="s">
        <v>25710</v>
      </c>
    </row>
    <row r="3413" spans="39:41" ht="12" customHeight="1" x14ac:dyDescent="0.2">
      <c r="AM3413" t="str">
        <f t="shared" si="53"/>
        <v>Dahuangpu [CNDHP]</v>
      </c>
      <c r="AN3413" t="s">
        <v>5173</v>
      </c>
      <c r="AO3413" t="s">
        <v>5174</v>
      </c>
    </row>
    <row r="3414" spans="39:41" ht="12" customHeight="1" x14ac:dyDescent="0.2">
      <c r="AM3414" t="str">
        <f t="shared" si="53"/>
        <v>Dai Hung (STS Load) [XZDHS]</v>
      </c>
      <c r="AN3414" t="s">
        <v>32559</v>
      </c>
      <c r="AO3414" t="s">
        <v>32560</v>
      </c>
    </row>
    <row r="3415" spans="39:41" ht="12" customHeight="1" x14ac:dyDescent="0.2">
      <c r="AM3415" t="str">
        <f t="shared" si="53"/>
        <v>Dai Hung (Tandem Load) [XZDHT]</v>
      </c>
      <c r="AN3415" t="s">
        <v>32561</v>
      </c>
      <c r="AO3415" t="s">
        <v>32562</v>
      </c>
    </row>
    <row r="3416" spans="39:41" ht="12" customHeight="1" x14ac:dyDescent="0.2">
      <c r="AM3416" t="str">
        <f t="shared" si="53"/>
        <v>Daito [JPDTU]</v>
      </c>
      <c r="AN3416" t="s">
        <v>18702</v>
      </c>
      <c r="AO3416" t="s">
        <v>18703</v>
      </c>
    </row>
    <row r="3417" spans="39:41" ht="12" customHeight="1" x14ac:dyDescent="0.2">
      <c r="AM3417" t="str">
        <f t="shared" si="53"/>
        <v>Dajing [CNDJI]</v>
      </c>
      <c r="AN3417" t="s">
        <v>5175</v>
      </c>
      <c r="AO3417" t="s">
        <v>5176</v>
      </c>
    </row>
    <row r="3418" spans="39:41" ht="12" customHeight="1" x14ac:dyDescent="0.2">
      <c r="AM3418" t="str">
        <f t="shared" si="53"/>
        <v>Dakar [SNDKR]</v>
      </c>
      <c r="AN3418" t="s">
        <v>28090</v>
      </c>
      <c r="AO3418" t="s">
        <v>28091</v>
      </c>
    </row>
    <row r="3419" spans="39:41" ht="12" customHeight="1" x14ac:dyDescent="0.2">
      <c r="AM3419" t="str">
        <f t="shared" si="53"/>
        <v>Dakhla [MAVIL]</v>
      </c>
      <c r="AN3419" t="s">
        <v>22034</v>
      </c>
      <c r="AO3419" t="s">
        <v>22035</v>
      </c>
    </row>
    <row r="3420" spans="39:41" ht="12" customHeight="1" x14ac:dyDescent="0.2">
      <c r="AM3420" t="str">
        <f t="shared" si="53"/>
        <v>Daknam [BEDKN]</v>
      </c>
      <c r="AN3420" t="s">
        <v>2365</v>
      </c>
      <c r="AO3420" t="s">
        <v>2366</v>
      </c>
    </row>
    <row r="3421" spans="39:41" ht="12" customHeight="1" x14ac:dyDescent="0.2">
      <c r="AM3421" t="str">
        <f t="shared" si="53"/>
        <v>Dalaro [SEDLA]</v>
      </c>
      <c r="AN3421" t="s">
        <v>27542</v>
      </c>
      <c r="AO3421" t="s">
        <v>36428</v>
      </c>
    </row>
    <row r="3422" spans="39:41" ht="12" customHeight="1" x14ac:dyDescent="0.2">
      <c r="AM3422" t="str">
        <f t="shared" si="53"/>
        <v>Dalbeattie [GBDIG]</v>
      </c>
      <c r="AN3422" t="s">
        <v>12971</v>
      </c>
      <c r="AO3422" t="s">
        <v>12972</v>
      </c>
    </row>
    <row r="3423" spans="39:41" ht="12" customHeight="1" x14ac:dyDescent="0.2">
      <c r="AM3423" t="str">
        <f t="shared" si="53"/>
        <v>Dalcahue [CLDCH]</v>
      </c>
      <c r="AN3423" t="s">
        <v>4866</v>
      </c>
      <c r="AO3423" t="s">
        <v>4867</v>
      </c>
    </row>
    <row r="3424" spans="39:41" ht="12" customHeight="1" x14ac:dyDescent="0.2">
      <c r="AM3424" t="str">
        <f t="shared" si="53"/>
        <v>Dale [NODSF]</v>
      </c>
      <c r="AN3424" t="s">
        <v>23973</v>
      </c>
      <c r="AO3424" t="s">
        <v>23974</v>
      </c>
    </row>
    <row r="3425" spans="39:41" ht="12" customHeight="1" x14ac:dyDescent="0.2">
      <c r="AM3425" t="str">
        <f t="shared" si="53"/>
        <v>Dale [USYDE]</v>
      </c>
      <c r="AN3425" t="s">
        <v>29484</v>
      </c>
      <c r="AO3425" t="s">
        <v>23974</v>
      </c>
    </row>
    <row r="3426" spans="39:41" ht="12" customHeight="1" x14ac:dyDescent="0.2">
      <c r="AM3426" t="str">
        <f t="shared" si="53"/>
        <v>Dale Roads [GBDOS]</v>
      </c>
      <c r="AN3426" t="s">
        <v>12973</v>
      </c>
      <c r="AO3426" t="s">
        <v>12974</v>
      </c>
    </row>
    <row r="3427" spans="39:41" ht="12" customHeight="1" x14ac:dyDescent="0.2">
      <c r="AM3427" t="str">
        <f t="shared" si="53"/>
        <v>Dalgety Bay [GBDYB]</v>
      </c>
      <c r="AN3427" t="s">
        <v>12975</v>
      </c>
      <c r="AO3427" t="s">
        <v>12976</v>
      </c>
    </row>
    <row r="3428" spans="39:41" ht="12" customHeight="1" x14ac:dyDescent="0.2">
      <c r="AM3428" t="str">
        <f t="shared" si="53"/>
        <v>Dalhousie [CADHS]</v>
      </c>
      <c r="AN3428" t="s">
        <v>3796</v>
      </c>
      <c r="AO3428" t="s">
        <v>3797</v>
      </c>
    </row>
    <row r="3429" spans="39:41" ht="12" customHeight="1" x14ac:dyDescent="0.2">
      <c r="AM3429" t="str">
        <f t="shared" si="53"/>
        <v>Dalia [AODAL]</v>
      </c>
      <c r="AN3429" t="s">
        <v>843</v>
      </c>
      <c r="AO3429" t="s">
        <v>844</v>
      </c>
    </row>
    <row r="3430" spans="39:41" ht="12" customHeight="1" x14ac:dyDescent="0.2">
      <c r="AM3430" t="str">
        <f t="shared" si="53"/>
        <v>Dalian [CNDAL]</v>
      </c>
      <c r="AN3430" t="s">
        <v>5177</v>
      </c>
      <c r="AO3430" t="s">
        <v>5178</v>
      </c>
    </row>
    <row r="3431" spans="39:41" ht="12" customHeight="1" x14ac:dyDescent="0.2">
      <c r="AM3431" t="str">
        <f t="shared" si="53"/>
        <v>Dalian Pt [CNDAG]</v>
      </c>
      <c r="AN3431" t="s">
        <v>5179</v>
      </c>
      <c r="AO3431" t="s">
        <v>5180</v>
      </c>
    </row>
    <row r="3432" spans="39:41" ht="12" customHeight="1" x14ac:dyDescent="0.2">
      <c r="AM3432" t="str">
        <f t="shared" si="53"/>
        <v>Dalj [HRDLJ]</v>
      </c>
      <c r="AN3432" t="s">
        <v>15726</v>
      </c>
      <c r="AO3432" t="s">
        <v>15727</v>
      </c>
    </row>
    <row r="3433" spans="39:41" ht="12" customHeight="1" x14ac:dyDescent="0.2">
      <c r="AM3433" t="str">
        <f t="shared" si="53"/>
        <v>Dallas Center [USDC6]</v>
      </c>
      <c r="AN3433" t="s">
        <v>29485</v>
      </c>
      <c r="AO3433" t="s">
        <v>29486</v>
      </c>
    </row>
    <row r="3434" spans="39:41" ht="12" customHeight="1" x14ac:dyDescent="0.2">
      <c r="AM3434" t="str">
        <f t="shared" si="53"/>
        <v>Dallon [FRDAL]</v>
      </c>
      <c r="AN3434" t="s">
        <v>11211</v>
      </c>
      <c r="AO3434" t="s">
        <v>11212</v>
      </c>
    </row>
    <row r="3435" spans="39:41" ht="12" customHeight="1" x14ac:dyDescent="0.2">
      <c r="AM3435" t="str">
        <f t="shared" si="53"/>
        <v>Dalmacia [HRDAL]</v>
      </c>
      <c r="AN3435" t="s">
        <v>15728</v>
      </c>
      <c r="AO3435" t="s">
        <v>15729</v>
      </c>
    </row>
    <row r="3436" spans="39:41" ht="12" customHeight="1" x14ac:dyDescent="0.2">
      <c r="AM3436" t="str">
        <f t="shared" si="53"/>
        <v>Dalrymple Islet [AUDIT]</v>
      </c>
      <c r="AN3436" t="s">
        <v>1619</v>
      </c>
      <c r="AO3436" t="s">
        <v>1620</v>
      </c>
    </row>
    <row r="3437" spans="39:41" ht="12" customHeight="1" x14ac:dyDescent="0.2">
      <c r="AM3437" t="str">
        <f t="shared" si="53"/>
        <v>Dalsbruk (Taalintehdas) [FIDLS]</v>
      </c>
      <c r="AN3437" t="s">
        <v>10323</v>
      </c>
      <c r="AO3437" t="s">
        <v>10324</v>
      </c>
    </row>
    <row r="3438" spans="39:41" ht="12" customHeight="1" x14ac:dyDescent="0.2">
      <c r="AM3438" t="str">
        <f t="shared" si="53"/>
        <v>Dalton [AUDAL]</v>
      </c>
      <c r="AN3438" t="s">
        <v>1621</v>
      </c>
      <c r="AO3438" t="s">
        <v>1622</v>
      </c>
    </row>
    <row r="3439" spans="39:41" ht="12" customHeight="1" x14ac:dyDescent="0.2">
      <c r="AM3439" t="str">
        <f t="shared" si="53"/>
        <v>Dalton in Furness [GBDAL]</v>
      </c>
      <c r="AN3439" t="s">
        <v>12977</v>
      </c>
      <c r="AO3439" t="s">
        <v>12978</v>
      </c>
    </row>
    <row r="3440" spans="39:41" ht="12" customHeight="1" x14ac:dyDescent="0.2">
      <c r="AM3440" t="str">
        <f t="shared" si="53"/>
        <v>Dalu Island [CNDLD]</v>
      </c>
      <c r="AN3440" t="s">
        <v>5181</v>
      </c>
      <c r="AO3440" t="s">
        <v>5182</v>
      </c>
    </row>
    <row r="3441" spans="39:41" ht="12" customHeight="1" x14ac:dyDescent="0.2">
      <c r="AM3441" t="str">
        <f t="shared" si="53"/>
        <v>Dalvik [ISDAL]</v>
      </c>
      <c r="AN3441" t="s">
        <v>17690</v>
      </c>
      <c r="AO3441" t="s">
        <v>36040</v>
      </c>
    </row>
    <row r="3442" spans="39:41" ht="12" customHeight="1" x14ac:dyDescent="0.2">
      <c r="AM3442" t="str">
        <f t="shared" si="53"/>
        <v>Dalwhinnie [GBDWI]</v>
      </c>
      <c r="AN3442" t="s">
        <v>12979</v>
      </c>
      <c r="AO3442" t="s">
        <v>12980</v>
      </c>
    </row>
    <row r="3443" spans="39:41" ht="12" customHeight="1" x14ac:dyDescent="0.2">
      <c r="AM3443" t="str">
        <f t="shared" si="53"/>
        <v>Dam Mon [VNDMO]</v>
      </c>
      <c r="AN3443" t="s">
        <v>32349</v>
      </c>
      <c r="AO3443" t="s">
        <v>32350</v>
      </c>
    </row>
    <row r="3444" spans="39:41" ht="12" customHeight="1" x14ac:dyDescent="0.2">
      <c r="AM3444" t="str">
        <f t="shared" si="53"/>
        <v>Damaiyu [CNDMY]</v>
      </c>
      <c r="AN3444" t="s">
        <v>5183</v>
      </c>
      <c r="AO3444" t="s">
        <v>5184</v>
      </c>
    </row>
    <row r="3445" spans="39:41" ht="12" customHeight="1" x14ac:dyDescent="0.2">
      <c r="AM3445" t="str">
        <f t="shared" si="53"/>
        <v>Daman [INDAM]</v>
      </c>
      <c r="AN3445" t="s">
        <v>17108</v>
      </c>
      <c r="AO3445" t="s">
        <v>17109</v>
      </c>
    </row>
    <row r="3446" spans="39:41" ht="12" customHeight="1" x14ac:dyDescent="0.2">
      <c r="AM3446" t="str">
        <f t="shared" si="53"/>
        <v>Damascus [USAR5]</v>
      </c>
      <c r="AN3446" t="s">
        <v>29487</v>
      </c>
      <c r="AO3446" t="s">
        <v>29488</v>
      </c>
    </row>
    <row r="3447" spans="39:41" ht="12" customHeight="1" x14ac:dyDescent="0.2">
      <c r="AM3447" t="str">
        <f t="shared" si="53"/>
        <v>Damascus (Damas) [SYDAM]</v>
      </c>
      <c r="AN3447" t="s">
        <v>28170</v>
      </c>
      <c r="AO3447" t="s">
        <v>28171</v>
      </c>
    </row>
    <row r="3448" spans="39:41" ht="12" customHeight="1" x14ac:dyDescent="0.2">
      <c r="AM3448" t="str">
        <f t="shared" si="53"/>
        <v>Damp [DEDAP]</v>
      </c>
      <c r="AN3448" t="s">
        <v>7243</v>
      </c>
      <c r="AO3448" t="s">
        <v>7244</v>
      </c>
    </row>
    <row r="3449" spans="39:41" ht="12" customHeight="1" x14ac:dyDescent="0.2">
      <c r="AM3449" t="str">
        <f t="shared" si="53"/>
        <v>Dampier [AUDAM]</v>
      </c>
      <c r="AN3449" t="s">
        <v>1623</v>
      </c>
      <c r="AO3449" t="s">
        <v>1624</v>
      </c>
    </row>
    <row r="3450" spans="39:41" ht="12" customHeight="1" x14ac:dyDescent="0.2">
      <c r="AM3450" t="str">
        <f t="shared" ref="AM3450:AM3513" si="54">AO3450 &amp; " [" &amp; AN3450 &amp; "]"</f>
        <v>Dampremy [BEDPY]</v>
      </c>
      <c r="AN3450" t="s">
        <v>2367</v>
      </c>
      <c r="AO3450" t="s">
        <v>2368</v>
      </c>
    </row>
    <row r="3451" spans="39:41" ht="12" customHeight="1" x14ac:dyDescent="0.2">
      <c r="AM3451" t="str">
        <f t="shared" si="54"/>
        <v>Danao [PHDNO]</v>
      </c>
      <c r="AN3451" t="s">
        <v>25711</v>
      </c>
      <c r="AO3451" t="s">
        <v>25712</v>
      </c>
    </row>
    <row r="3452" spans="39:41" ht="12" customHeight="1" x14ac:dyDescent="0.2">
      <c r="AM3452" t="str">
        <f t="shared" si="54"/>
        <v>Dandong [CNDDZ]</v>
      </c>
      <c r="AN3452" t="s">
        <v>5185</v>
      </c>
      <c r="AO3452" t="s">
        <v>5186</v>
      </c>
    </row>
    <row r="3453" spans="39:41" ht="12" customHeight="1" x14ac:dyDescent="0.2">
      <c r="AM3453" t="str">
        <f t="shared" si="54"/>
        <v>Dandong Pt [CNDDG]</v>
      </c>
      <c r="AN3453" t="s">
        <v>5187</v>
      </c>
      <c r="AO3453" t="s">
        <v>5188</v>
      </c>
    </row>
    <row r="3454" spans="39:41" ht="12" customHeight="1" x14ac:dyDescent="0.2">
      <c r="AM3454" t="str">
        <f t="shared" si="54"/>
        <v>Dane [USDNE]</v>
      </c>
      <c r="AN3454" t="s">
        <v>29489</v>
      </c>
      <c r="AO3454" t="s">
        <v>29490</v>
      </c>
    </row>
    <row r="3455" spans="39:41" ht="12" customHeight="1" x14ac:dyDescent="0.2">
      <c r="AM3455" t="str">
        <f t="shared" si="54"/>
        <v>Daneborg [GLDAN]</v>
      </c>
      <c r="AN3455" t="s">
        <v>14978</v>
      </c>
      <c r="AO3455" t="s">
        <v>14979</v>
      </c>
    </row>
    <row r="3456" spans="39:41" ht="12" customHeight="1" x14ac:dyDescent="0.2">
      <c r="AM3456" t="str">
        <f t="shared" si="54"/>
        <v>Dangast [DEDAN]</v>
      </c>
      <c r="AN3456" t="s">
        <v>7245</v>
      </c>
      <c r="AO3456" t="s">
        <v>7246</v>
      </c>
    </row>
    <row r="3457" spans="39:41" ht="12" customHeight="1" x14ac:dyDescent="0.2">
      <c r="AM3457" t="str">
        <f t="shared" si="54"/>
        <v>Dangjin [KRTJI]</v>
      </c>
      <c r="AN3457" t="s">
        <v>21628</v>
      </c>
      <c r="AO3457" t="s">
        <v>21629</v>
      </c>
    </row>
    <row r="3458" spans="39:41" ht="12" customHeight="1" x14ac:dyDescent="0.2">
      <c r="AM3458" t="str">
        <f t="shared" si="54"/>
        <v>Dangriga [BZDGA]</v>
      </c>
      <c r="AN3458" t="s">
        <v>3510</v>
      </c>
      <c r="AO3458" t="s">
        <v>3511</v>
      </c>
    </row>
    <row r="3459" spans="39:41" ht="12" customHeight="1" x14ac:dyDescent="0.2">
      <c r="AM3459" t="str">
        <f t="shared" si="54"/>
        <v>Daniels Harbour [CAYDH]</v>
      </c>
      <c r="AN3459" t="s">
        <v>3798</v>
      </c>
      <c r="AO3459" t="s">
        <v>3799</v>
      </c>
    </row>
    <row r="3460" spans="39:41" ht="12" customHeight="1" x14ac:dyDescent="0.2">
      <c r="AM3460" t="str">
        <f t="shared" si="54"/>
        <v>Danjindawai [MYDDW]</v>
      </c>
      <c r="AN3460" t="s">
        <v>22546</v>
      </c>
      <c r="AO3460" t="s">
        <v>22547</v>
      </c>
    </row>
    <row r="3461" spans="39:41" ht="12" customHeight="1" x14ac:dyDescent="0.2">
      <c r="AM3461" t="str">
        <f t="shared" si="54"/>
        <v>Dannemare [DKDN6]</v>
      </c>
      <c r="AN3461" t="s">
        <v>8657</v>
      </c>
      <c r="AO3461" t="s">
        <v>8658</v>
      </c>
    </row>
    <row r="3462" spans="39:41" ht="12" customHeight="1" x14ac:dyDescent="0.2">
      <c r="AM3462" t="str">
        <f t="shared" si="54"/>
        <v>Dannenwalde [DEDWD]</v>
      </c>
      <c r="AN3462" t="s">
        <v>7247</v>
      </c>
      <c r="AO3462" t="s">
        <v>7248</v>
      </c>
    </row>
    <row r="3463" spans="39:41" ht="12" customHeight="1" x14ac:dyDescent="0.2">
      <c r="AM3463" t="str">
        <f t="shared" si="54"/>
        <v>Dansk Salts Havn [DKDAS]</v>
      </c>
      <c r="AN3463" t="s">
        <v>8659</v>
      </c>
      <c r="AO3463" t="s">
        <v>8660</v>
      </c>
    </row>
    <row r="3464" spans="39:41" ht="12" customHeight="1" x14ac:dyDescent="0.2">
      <c r="AM3464" t="str">
        <f t="shared" si="54"/>
        <v>Dantiwara [INDTW]</v>
      </c>
      <c r="AN3464" t="s">
        <v>17110</v>
      </c>
      <c r="AO3464" t="s">
        <v>17111</v>
      </c>
    </row>
    <row r="3465" spans="39:41" ht="12" customHeight="1" x14ac:dyDescent="0.2">
      <c r="AM3465" t="str">
        <f t="shared" si="54"/>
        <v>Dantou [CNFZL]</v>
      </c>
      <c r="AN3465" t="s">
        <v>5189</v>
      </c>
      <c r="AO3465" t="s">
        <v>5190</v>
      </c>
    </row>
    <row r="3466" spans="39:41" ht="12" customHeight="1" x14ac:dyDescent="0.2">
      <c r="AM3466" t="str">
        <f t="shared" si="54"/>
        <v>Dantu [CNDNT]</v>
      </c>
      <c r="AN3466" t="s">
        <v>5191</v>
      </c>
      <c r="AO3466" t="s">
        <v>5192</v>
      </c>
    </row>
    <row r="3467" spans="39:41" ht="12" customHeight="1" x14ac:dyDescent="0.2">
      <c r="AM3467" t="str">
        <f t="shared" si="54"/>
        <v>Danzhimatou [CNDZM]</v>
      </c>
      <c r="AN3467" t="s">
        <v>5193</v>
      </c>
      <c r="AO3467" t="s">
        <v>5194</v>
      </c>
    </row>
    <row r="3468" spans="39:41" ht="12" customHeight="1" x14ac:dyDescent="0.2">
      <c r="AM3468" t="str">
        <f t="shared" si="54"/>
        <v>Danzhou [CNDHU]</v>
      </c>
      <c r="AN3468" t="s">
        <v>5195</v>
      </c>
      <c r="AO3468" t="s">
        <v>5196</v>
      </c>
    </row>
    <row r="3469" spans="39:41" ht="12" customHeight="1" x14ac:dyDescent="0.2">
      <c r="AM3469" t="str">
        <f t="shared" si="54"/>
        <v>Daojiao [CNDJO]</v>
      </c>
      <c r="AN3469" t="s">
        <v>5197</v>
      </c>
      <c r="AO3469" t="s">
        <v>5198</v>
      </c>
    </row>
    <row r="3470" spans="39:41" ht="12" customHeight="1" x14ac:dyDescent="0.2">
      <c r="AM3470" t="str">
        <f t="shared" si="54"/>
        <v>Dapeng [CNDPG]</v>
      </c>
      <c r="AN3470" t="s">
        <v>5199</v>
      </c>
      <c r="AO3470" t="s">
        <v>5200</v>
      </c>
    </row>
    <row r="3471" spans="39:41" ht="12" customHeight="1" x14ac:dyDescent="0.2">
      <c r="AM3471" t="str">
        <f t="shared" si="54"/>
        <v>Daphne [USDHA]</v>
      </c>
      <c r="AN3471" t="s">
        <v>29491</v>
      </c>
      <c r="AO3471" t="s">
        <v>29492</v>
      </c>
    </row>
    <row r="3472" spans="39:41" ht="12" customHeight="1" x14ac:dyDescent="0.2">
      <c r="AM3472" t="str">
        <f t="shared" si="54"/>
        <v>Daqindao [CNDQD]</v>
      </c>
      <c r="AN3472" t="s">
        <v>5201</v>
      </c>
      <c r="AO3472" t="s">
        <v>5202</v>
      </c>
    </row>
    <row r="3473" spans="39:41" ht="12" customHeight="1" x14ac:dyDescent="0.2">
      <c r="AM3473" t="str">
        <f t="shared" si="54"/>
        <v>Dar es Salaam [TZDAR]</v>
      </c>
      <c r="AN3473" t="s">
        <v>28703</v>
      </c>
      <c r="AO3473" t="s">
        <v>28704</v>
      </c>
    </row>
    <row r="3474" spans="39:41" ht="12" customHeight="1" x14ac:dyDescent="0.2">
      <c r="AM3474" t="str">
        <f t="shared" si="54"/>
        <v>Dardanup [AUDAR]</v>
      </c>
      <c r="AN3474" t="s">
        <v>1625</v>
      </c>
      <c r="AO3474" t="s">
        <v>1626</v>
      </c>
    </row>
    <row r="3475" spans="39:41" ht="12" customHeight="1" x14ac:dyDescent="0.2">
      <c r="AM3475" t="str">
        <f t="shared" si="54"/>
        <v>Daresbury [GBDS2]</v>
      </c>
      <c r="AN3475" t="s">
        <v>12981</v>
      </c>
      <c r="AO3475" t="s">
        <v>12982</v>
      </c>
    </row>
    <row r="3476" spans="39:41" ht="12" customHeight="1" x14ac:dyDescent="0.2">
      <c r="AM3476" t="str">
        <f t="shared" si="54"/>
        <v>Darica [TRDAR]</v>
      </c>
      <c r="AN3476" t="s">
        <v>28443</v>
      </c>
      <c r="AO3476" t="s">
        <v>28444</v>
      </c>
    </row>
    <row r="3477" spans="39:41" ht="12" customHeight="1" x14ac:dyDescent="0.2">
      <c r="AM3477" t="str">
        <f t="shared" si="54"/>
        <v>Darien [USDDR]</v>
      </c>
      <c r="AN3477" t="s">
        <v>29493</v>
      </c>
      <c r="AO3477" t="s">
        <v>29494</v>
      </c>
    </row>
    <row r="3478" spans="39:41" ht="12" customHeight="1" x14ac:dyDescent="0.2">
      <c r="AM3478" t="str">
        <f t="shared" si="54"/>
        <v>Darlington [GBDRL]</v>
      </c>
      <c r="AN3478" t="s">
        <v>12983</v>
      </c>
      <c r="AO3478" t="s">
        <v>12984</v>
      </c>
    </row>
    <row r="3479" spans="39:41" ht="12" customHeight="1" x14ac:dyDescent="0.2">
      <c r="AM3479" t="str">
        <f t="shared" si="54"/>
        <v>Darlowo [PLDAR]</v>
      </c>
      <c r="AN3479" t="s">
        <v>26286</v>
      </c>
      <c r="AO3479" t="s">
        <v>26287</v>
      </c>
    </row>
    <row r="3480" spans="39:41" ht="12" customHeight="1" x14ac:dyDescent="0.2">
      <c r="AM3480" t="str">
        <f t="shared" si="54"/>
        <v>Darnah [LYDRX]</v>
      </c>
      <c r="AN3480" t="s">
        <v>21981</v>
      </c>
      <c r="AO3480" t="s">
        <v>21982</v>
      </c>
    </row>
    <row r="3481" spans="39:41" ht="12" customHeight="1" x14ac:dyDescent="0.2">
      <c r="AM3481" t="str">
        <f t="shared" si="54"/>
        <v>Daro, Sarawak [MYDRO]</v>
      </c>
      <c r="AN3481" t="s">
        <v>22548</v>
      </c>
      <c r="AO3481" t="s">
        <v>22549</v>
      </c>
    </row>
    <row r="3482" spans="39:41" ht="12" customHeight="1" x14ac:dyDescent="0.2">
      <c r="AM3482" t="str">
        <f t="shared" si="54"/>
        <v>Darra [AUDAA]</v>
      </c>
      <c r="AN3482" t="s">
        <v>1627</v>
      </c>
      <c r="AO3482" t="s">
        <v>1628</v>
      </c>
    </row>
    <row r="3483" spans="39:41" ht="12" customHeight="1" x14ac:dyDescent="0.2">
      <c r="AM3483" t="str">
        <f t="shared" si="54"/>
        <v>Dartford [GBDFD]</v>
      </c>
      <c r="AN3483" t="s">
        <v>12985</v>
      </c>
      <c r="AO3483" t="s">
        <v>12986</v>
      </c>
    </row>
    <row r="3484" spans="39:41" ht="12" customHeight="1" x14ac:dyDescent="0.2">
      <c r="AM3484" t="str">
        <f t="shared" si="54"/>
        <v>Dartmouth [GBDTM]</v>
      </c>
      <c r="AN3484" t="s">
        <v>12987</v>
      </c>
      <c r="AO3484" t="s">
        <v>12988</v>
      </c>
    </row>
    <row r="3485" spans="39:41" ht="12" customHeight="1" x14ac:dyDescent="0.2">
      <c r="AM3485" t="str">
        <f t="shared" si="54"/>
        <v>Daru [PGDAU]</v>
      </c>
      <c r="AN3485" t="s">
        <v>25372</v>
      </c>
      <c r="AO3485" t="s">
        <v>25373</v>
      </c>
    </row>
    <row r="3486" spans="39:41" ht="12" customHeight="1" x14ac:dyDescent="0.2">
      <c r="AM3486" t="str">
        <f t="shared" si="54"/>
        <v>Darvault [FRDVT]</v>
      </c>
      <c r="AN3486" t="s">
        <v>11213</v>
      </c>
      <c r="AO3486" t="s">
        <v>11214</v>
      </c>
    </row>
    <row r="3487" spans="39:41" ht="12" customHeight="1" x14ac:dyDescent="0.2">
      <c r="AM3487" t="str">
        <f t="shared" si="54"/>
        <v>Darwin [AUDRW]</v>
      </c>
      <c r="AN3487" t="s">
        <v>1629</v>
      </c>
      <c r="AO3487" t="s">
        <v>1630</v>
      </c>
    </row>
    <row r="3488" spans="39:41" ht="12" customHeight="1" x14ac:dyDescent="0.2">
      <c r="AM3488" t="str">
        <f t="shared" si="54"/>
        <v>Das Island [AEDAS]</v>
      </c>
      <c r="AN3488" t="s">
        <v>719</v>
      </c>
      <c r="AO3488" t="s">
        <v>720</v>
      </c>
    </row>
    <row r="3489" spans="39:41" ht="12" customHeight="1" x14ac:dyDescent="0.2">
      <c r="AM3489" t="str">
        <f t="shared" si="54"/>
        <v>Dasha [CNDSA]</v>
      </c>
      <c r="AN3489" t="s">
        <v>5203</v>
      </c>
      <c r="AO3489" t="s">
        <v>5204</v>
      </c>
    </row>
    <row r="3490" spans="39:41" ht="12" customHeight="1" x14ac:dyDescent="0.2">
      <c r="AM3490" t="str">
        <f t="shared" si="54"/>
        <v>Dashihuagang [CNDAS]</v>
      </c>
      <c r="AN3490" t="s">
        <v>5205</v>
      </c>
      <c r="AO3490" t="s">
        <v>5206</v>
      </c>
    </row>
    <row r="3491" spans="39:41" ht="12" customHeight="1" x14ac:dyDescent="0.2">
      <c r="AM3491" t="str">
        <f t="shared" si="54"/>
        <v>Dasong [CNDSO]</v>
      </c>
      <c r="AN3491" t="s">
        <v>5207</v>
      </c>
      <c r="AO3491" t="s">
        <v>5208</v>
      </c>
    </row>
    <row r="3492" spans="39:41" ht="12" customHeight="1" x14ac:dyDescent="0.2">
      <c r="AM3492" t="str">
        <f t="shared" si="54"/>
        <v>Dassow [DEMVD]</v>
      </c>
      <c r="AN3492" t="s">
        <v>7249</v>
      </c>
      <c r="AO3492" t="s">
        <v>7250</v>
      </c>
    </row>
    <row r="3493" spans="39:41" ht="12" customHeight="1" x14ac:dyDescent="0.2">
      <c r="AM3493" t="str">
        <f t="shared" si="54"/>
        <v>Dataizi [CNDTZ]</v>
      </c>
      <c r="AN3493" t="s">
        <v>5209</v>
      </c>
      <c r="AO3493" t="s">
        <v>5210</v>
      </c>
    </row>
    <row r="3494" spans="39:41" ht="12" customHeight="1" x14ac:dyDescent="0.2">
      <c r="AM3494" t="str">
        <f t="shared" si="54"/>
        <v>Datca [TRDAT]</v>
      </c>
      <c r="AN3494" t="s">
        <v>28445</v>
      </c>
      <c r="AO3494" t="s">
        <v>36569</v>
      </c>
    </row>
    <row r="3495" spans="39:41" ht="12" customHeight="1" x14ac:dyDescent="0.2">
      <c r="AM3495" t="str">
        <f t="shared" si="54"/>
        <v>Date [JPDAT]</v>
      </c>
      <c r="AN3495" t="s">
        <v>18704</v>
      </c>
      <c r="AO3495" t="s">
        <v>18705</v>
      </c>
    </row>
    <row r="3496" spans="39:41" ht="12" customHeight="1" x14ac:dyDescent="0.2">
      <c r="AM3496" t="str">
        <f t="shared" si="54"/>
        <v>Datteln [DEDAT]</v>
      </c>
      <c r="AN3496" t="s">
        <v>7251</v>
      </c>
      <c r="AO3496" t="s">
        <v>7252</v>
      </c>
    </row>
    <row r="3497" spans="39:41" ht="12" customHeight="1" x14ac:dyDescent="0.2">
      <c r="AM3497" t="str">
        <f t="shared" si="54"/>
        <v>Dauphin [USDA8]</v>
      </c>
      <c r="AN3497" t="s">
        <v>29495</v>
      </c>
      <c r="AO3497" t="s">
        <v>29496</v>
      </c>
    </row>
    <row r="3498" spans="39:41" ht="12" customHeight="1" x14ac:dyDescent="0.2">
      <c r="AM3498" t="str">
        <f t="shared" si="54"/>
        <v>Davant [USDVT]</v>
      </c>
      <c r="AN3498" t="s">
        <v>29497</v>
      </c>
      <c r="AO3498" t="s">
        <v>29498</v>
      </c>
    </row>
    <row r="3499" spans="39:41" ht="12" customHeight="1" x14ac:dyDescent="0.2">
      <c r="AM3499" t="str">
        <f t="shared" si="54"/>
        <v>Davao, Mindanao [PHDVO]</v>
      </c>
      <c r="AN3499" t="s">
        <v>25713</v>
      </c>
      <c r="AO3499" t="s">
        <v>25714</v>
      </c>
    </row>
    <row r="3500" spans="39:41" ht="12" customHeight="1" x14ac:dyDescent="0.2">
      <c r="AM3500" t="str">
        <f t="shared" si="54"/>
        <v>Davenport [USDAV]</v>
      </c>
      <c r="AN3500" t="s">
        <v>29499</v>
      </c>
      <c r="AO3500" t="s">
        <v>29500</v>
      </c>
    </row>
    <row r="3501" spans="39:41" ht="12" customHeight="1" x14ac:dyDescent="0.2">
      <c r="AM3501" t="str">
        <f t="shared" si="54"/>
        <v>Davenport [USDVN]</v>
      </c>
      <c r="AN3501" t="s">
        <v>29501</v>
      </c>
      <c r="AO3501" t="s">
        <v>29500</v>
      </c>
    </row>
    <row r="3502" spans="39:41" ht="12" customHeight="1" x14ac:dyDescent="0.2">
      <c r="AM3502" t="str">
        <f t="shared" si="54"/>
        <v>Davis Station [AQDAV]</v>
      </c>
      <c r="AN3502" t="s">
        <v>918</v>
      </c>
      <c r="AO3502" t="s">
        <v>919</v>
      </c>
    </row>
    <row r="3503" spans="39:41" ht="12" customHeight="1" x14ac:dyDescent="0.2">
      <c r="AM3503" t="str">
        <f t="shared" si="54"/>
        <v>Davisville [USDVV]</v>
      </c>
      <c r="AN3503" t="s">
        <v>29502</v>
      </c>
      <c r="AO3503" t="s">
        <v>29503</v>
      </c>
    </row>
    <row r="3504" spans="39:41" ht="12" customHeight="1" x14ac:dyDescent="0.2">
      <c r="AM3504" t="str">
        <f t="shared" si="54"/>
        <v>Dawan [CNDWN]</v>
      </c>
      <c r="AN3504" t="s">
        <v>5211</v>
      </c>
      <c r="AO3504" t="s">
        <v>5212</v>
      </c>
    </row>
    <row r="3505" spans="39:41" ht="12" customHeight="1" x14ac:dyDescent="0.2">
      <c r="AM3505" t="str">
        <f t="shared" si="54"/>
        <v>Daxie Pt [CNDAX]</v>
      </c>
      <c r="AN3505" t="s">
        <v>5213</v>
      </c>
      <c r="AO3505" t="s">
        <v>5214</v>
      </c>
    </row>
    <row r="3506" spans="39:41" ht="12" customHeight="1" x14ac:dyDescent="0.2">
      <c r="AM3506" t="str">
        <f t="shared" si="54"/>
        <v>Daxu [CNDXU]</v>
      </c>
      <c r="AN3506" t="s">
        <v>5215</v>
      </c>
      <c r="AO3506" t="s">
        <v>5216</v>
      </c>
    </row>
    <row r="3507" spans="39:41" ht="12" customHeight="1" x14ac:dyDescent="0.2">
      <c r="AM3507" t="str">
        <f t="shared" si="54"/>
        <v>Dayaowan [CNDYW]</v>
      </c>
      <c r="AN3507" t="s">
        <v>5217</v>
      </c>
      <c r="AO3507" t="s">
        <v>5218</v>
      </c>
    </row>
    <row r="3508" spans="39:41" ht="12" customHeight="1" x14ac:dyDescent="0.2">
      <c r="AM3508" t="str">
        <f t="shared" si="54"/>
        <v>Dayawan [CNDAY]</v>
      </c>
      <c r="AN3508" t="s">
        <v>5219</v>
      </c>
      <c r="AO3508" t="s">
        <v>5220</v>
      </c>
    </row>
    <row r="3509" spans="39:41" ht="12" customHeight="1" x14ac:dyDescent="0.2">
      <c r="AM3509" t="str">
        <f t="shared" si="54"/>
        <v>Dayi [CNDYI]</v>
      </c>
      <c r="AN3509" t="s">
        <v>5221</v>
      </c>
      <c r="AO3509" t="s">
        <v>5222</v>
      </c>
    </row>
    <row r="3510" spans="39:41" ht="12" customHeight="1" x14ac:dyDescent="0.2">
      <c r="AM3510" t="str">
        <f t="shared" si="54"/>
        <v>Dayton [USDY2]</v>
      </c>
      <c r="AN3510" t="s">
        <v>29504</v>
      </c>
      <c r="AO3510" t="s">
        <v>29505</v>
      </c>
    </row>
    <row r="3511" spans="39:41" ht="12" customHeight="1" x14ac:dyDescent="0.2">
      <c r="AM3511" t="str">
        <f t="shared" si="54"/>
        <v>De Cocksdorp [NLCDP]</v>
      </c>
      <c r="AN3511" t="s">
        <v>23111</v>
      </c>
      <c r="AO3511" t="s">
        <v>23112</v>
      </c>
    </row>
    <row r="3512" spans="39:41" ht="12" customHeight="1" x14ac:dyDescent="0.2">
      <c r="AM3512" t="str">
        <f t="shared" si="54"/>
        <v>De Funiak Springs [USDU5]</v>
      </c>
      <c r="AN3512" t="s">
        <v>29506</v>
      </c>
      <c r="AO3512" t="s">
        <v>29507</v>
      </c>
    </row>
    <row r="3513" spans="39:41" ht="12" customHeight="1" x14ac:dyDescent="0.2">
      <c r="AM3513" t="str">
        <f t="shared" si="54"/>
        <v>De Haukes [NLDHK]</v>
      </c>
      <c r="AN3513" t="s">
        <v>23113</v>
      </c>
      <c r="AO3513" t="s">
        <v>23114</v>
      </c>
    </row>
    <row r="3514" spans="39:41" ht="12" customHeight="1" x14ac:dyDescent="0.2">
      <c r="AM3514" t="str">
        <f t="shared" ref="AM3514:AM3577" si="55">AO3514 &amp; " [" &amp; AN3514 &amp; "]"</f>
        <v>De Heen [NLDHE]</v>
      </c>
      <c r="AN3514" t="s">
        <v>23115</v>
      </c>
      <c r="AO3514" t="s">
        <v>23116</v>
      </c>
    </row>
    <row r="3515" spans="39:41" ht="12" customHeight="1" x14ac:dyDescent="0.2">
      <c r="AM3515" t="str">
        <f t="shared" si="55"/>
        <v>De Kooy [NLDKO]</v>
      </c>
      <c r="AN3515" t="s">
        <v>23117</v>
      </c>
      <c r="AO3515" t="s">
        <v>23118</v>
      </c>
    </row>
    <row r="3516" spans="39:41" ht="12" customHeight="1" x14ac:dyDescent="0.2">
      <c r="AM3516" t="str">
        <f t="shared" si="55"/>
        <v>De Pere [USDRW]</v>
      </c>
      <c r="AN3516" t="s">
        <v>29508</v>
      </c>
      <c r="AO3516" t="s">
        <v>29509</v>
      </c>
    </row>
    <row r="3517" spans="39:41" ht="12" customHeight="1" x14ac:dyDescent="0.2">
      <c r="AM3517" t="str">
        <f t="shared" si="55"/>
        <v>De Pinte [BEDPE]</v>
      </c>
      <c r="AN3517" t="s">
        <v>2369</v>
      </c>
      <c r="AO3517" t="s">
        <v>2370</v>
      </c>
    </row>
    <row r="3518" spans="39:41" ht="12" customHeight="1" x14ac:dyDescent="0.2">
      <c r="AM3518" t="str">
        <f t="shared" si="55"/>
        <v>De Rijp [NLDRP]</v>
      </c>
      <c r="AN3518" t="s">
        <v>23119</v>
      </c>
      <c r="AO3518" t="s">
        <v>23120</v>
      </c>
    </row>
    <row r="3519" spans="39:41" ht="12" customHeight="1" x14ac:dyDescent="0.2">
      <c r="AM3519" t="str">
        <f t="shared" si="55"/>
        <v>de Ruyter [NLRUY]</v>
      </c>
      <c r="AN3519" t="s">
        <v>23121</v>
      </c>
      <c r="AO3519" t="s">
        <v>23122</v>
      </c>
    </row>
    <row r="3520" spans="39:41" ht="12" customHeight="1" x14ac:dyDescent="0.2">
      <c r="AM3520" t="str">
        <f t="shared" si="55"/>
        <v>De Strook [NLDSO]</v>
      </c>
      <c r="AN3520" t="s">
        <v>23123</v>
      </c>
      <c r="AO3520" t="s">
        <v>23124</v>
      </c>
    </row>
    <row r="3521" spans="39:41" ht="12" customHeight="1" x14ac:dyDescent="0.2">
      <c r="AM3521" t="str">
        <f t="shared" si="55"/>
        <v>De Tour Village [USDT4]</v>
      </c>
      <c r="AN3521" t="s">
        <v>29510</v>
      </c>
      <c r="AO3521" t="s">
        <v>29511</v>
      </c>
    </row>
    <row r="3522" spans="39:41" ht="12" customHeight="1" x14ac:dyDescent="0.2">
      <c r="AM3522" t="str">
        <f t="shared" si="55"/>
        <v>De Waterkant [ZADWK]</v>
      </c>
      <c r="AN3522" t="s">
        <v>34943</v>
      </c>
      <c r="AO3522" t="s">
        <v>34944</v>
      </c>
    </row>
    <row r="3523" spans="39:41" ht="12" customHeight="1" x14ac:dyDescent="0.2">
      <c r="AM3523" t="str">
        <f t="shared" si="55"/>
        <v>De Witt [USDWX]</v>
      </c>
      <c r="AN3523" t="s">
        <v>29512</v>
      </c>
      <c r="AO3523" t="s">
        <v>29513</v>
      </c>
    </row>
    <row r="3524" spans="39:41" ht="12" customHeight="1" x14ac:dyDescent="0.2">
      <c r="AM3524" t="str">
        <f t="shared" si="55"/>
        <v>Deal [GBDEX]</v>
      </c>
      <c r="AN3524" t="s">
        <v>12989</v>
      </c>
      <c r="AO3524" t="s">
        <v>12990</v>
      </c>
    </row>
    <row r="3525" spans="39:41" ht="12" customHeight="1" x14ac:dyDescent="0.2">
      <c r="AM3525" t="str">
        <f t="shared" si="55"/>
        <v>Dean Quarry [GBDNQ]</v>
      </c>
      <c r="AN3525" t="s">
        <v>12991</v>
      </c>
      <c r="AO3525" t="s">
        <v>12992</v>
      </c>
    </row>
    <row r="3526" spans="39:41" ht="12" customHeight="1" x14ac:dyDescent="0.2">
      <c r="AM3526" t="str">
        <f t="shared" si="55"/>
        <v>Deauville [FRDOL]</v>
      </c>
      <c r="AN3526" t="s">
        <v>11215</v>
      </c>
      <c r="AO3526" t="s">
        <v>11216</v>
      </c>
    </row>
    <row r="3527" spans="39:41" ht="12" customHeight="1" x14ac:dyDescent="0.2">
      <c r="AM3527" t="str">
        <f t="shared" si="55"/>
        <v>Deba [ESDBA]</v>
      </c>
      <c r="AN3527" t="s">
        <v>9743</v>
      </c>
      <c r="AO3527" t="s">
        <v>9744</v>
      </c>
    </row>
    <row r="3528" spans="39:41" ht="12" customHeight="1" x14ac:dyDescent="0.2">
      <c r="AM3528" t="str">
        <f t="shared" si="55"/>
        <v>Deboyne Lagoon [PGDBL]</v>
      </c>
      <c r="AN3528" t="s">
        <v>25374</v>
      </c>
      <c r="AO3528" t="s">
        <v>25375</v>
      </c>
    </row>
    <row r="3529" spans="39:41" ht="12" customHeight="1" x14ac:dyDescent="0.2">
      <c r="AM3529" t="str">
        <f t="shared" si="55"/>
        <v>Debrecen [HUDEB]</v>
      </c>
      <c r="AN3529" t="s">
        <v>16066</v>
      </c>
      <c r="AO3529" t="s">
        <v>16067</v>
      </c>
    </row>
    <row r="3530" spans="39:41" ht="12" customHeight="1" x14ac:dyDescent="0.2">
      <c r="AM3530" t="str">
        <f t="shared" si="55"/>
        <v>Decatur [USDEC]</v>
      </c>
      <c r="AN3530" t="s">
        <v>29514</v>
      </c>
      <c r="AO3530" t="s">
        <v>29515</v>
      </c>
    </row>
    <row r="3531" spans="39:41" ht="12" customHeight="1" x14ac:dyDescent="0.2">
      <c r="AM3531" t="str">
        <f t="shared" si="55"/>
        <v>Deception Bay [CADEB]</v>
      </c>
      <c r="AN3531" t="s">
        <v>3800</v>
      </c>
      <c r="AO3531" t="s">
        <v>3801</v>
      </c>
    </row>
    <row r="3532" spans="39:41" ht="12" customHeight="1" x14ac:dyDescent="0.2">
      <c r="AM3532" t="str">
        <f t="shared" si="55"/>
        <v>Decin [CZDCB]</v>
      </c>
      <c r="AN3532" t="s">
        <v>6809</v>
      </c>
      <c r="AO3532" t="s">
        <v>35397</v>
      </c>
    </row>
    <row r="3533" spans="39:41" ht="12" customHeight="1" x14ac:dyDescent="0.2">
      <c r="AM3533" t="str">
        <f t="shared" si="55"/>
        <v>Deep Cove [NZDPC]</v>
      </c>
      <c r="AN3533" t="s">
        <v>25061</v>
      </c>
      <c r="AO3533" t="s">
        <v>25062</v>
      </c>
    </row>
    <row r="3534" spans="39:41" ht="12" customHeight="1" x14ac:dyDescent="0.2">
      <c r="AM3534" t="str">
        <f t="shared" si="55"/>
        <v>Deep Gap [USE5P]</v>
      </c>
      <c r="AN3534" t="s">
        <v>29516</v>
      </c>
      <c r="AO3534" t="s">
        <v>29517</v>
      </c>
    </row>
    <row r="3535" spans="39:41" ht="12" customHeight="1" x14ac:dyDescent="0.2">
      <c r="AM3535" t="str">
        <f t="shared" si="55"/>
        <v>Deer Island [CADEI]</v>
      </c>
      <c r="AN3535" t="s">
        <v>3802</v>
      </c>
      <c r="AO3535" t="s">
        <v>3803</v>
      </c>
    </row>
    <row r="3536" spans="39:41" ht="12" customHeight="1" x14ac:dyDescent="0.2">
      <c r="AM3536" t="str">
        <f t="shared" si="55"/>
        <v>Deer Park [USDP5]</v>
      </c>
      <c r="AN3536" t="s">
        <v>29518</v>
      </c>
      <c r="AO3536" t="s">
        <v>29519</v>
      </c>
    </row>
    <row r="3537" spans="39:41" ht="12" customHeight="1" x14ac:dyDescent="0.2">
      <c r="AM3537" t="str">
        <f t="shared" si="55"/>
        <v>Deer Park [USFJY]</v>
      </c>
      <c r="AN3537" t="s">
        <v>29520</v>
      </c>
      <c r="AO3537" t="s">
        <v>29519</v>
      </c>
    </row>
    <row r="3538" spans="39:41" ht="12" customHeight="1" x14ac:dyDescent="0.2">
      <c r="AM3538" t="str">
        <f t="shared" si="55"/>
        <v>Deerness [GBEER]</v>
      </c>
      <c r="AN3538" t="s">
        <v>12993</v>
      </c>
      <c r="AO3538" t="s">
        <v>12994</v>
      </c>
    </row>
    <row r="3539" spans="39:41" ht="12" customHeight="1" x14ac:dyDescent="0.2">
      <c r="AM3539" t="str">
        <f t="shared" si="55"/>
        <v>Deerwood [USDWD]</v>
      </c>
      <c r="AN3539" t="s">
        <v>29521</v>
      </c>
      <c r="AO3539" t="s">
        <v>29522</v>
      </c>
    </row>
    <row r="3540" spans="39:41" ht="12" customHeight="1" x14ac:dyDescent="0.2">
      <c r="AM3540" t="str">
        <f t="shared" si="55"/>
        <v>Deest [NLDST]</v>
      </c>
      <c r="AN3540" t="s">
        <v>23125</v>
      </c>
      <c r="AO3540" t="s">
        <v>23126</v>
      </c>
    </row>
    <row r="3541" spans="39:41" ht="12" customHeight="1" x14ac:dyDescent="0.2">
      <c r="AM3541" t="str">
        <f t="shared" si="55"/>
        <v>Defeng [CNDEF]</v>
      </c>
      <c r="AN3541" t="s">
        <v>5223</v>
      </c>
      <c r="AO3541" t="s">
        <v>5224</v>
      </c>
    </row>
    <row r="3542" spans="39:41" ht="12" customHeight="1" x14ac:dyDescent="0.2">
      <c r="AM3542" t="str">
        <f t="shared" si="55"/>
        <v>Degerby [FIDEG]</v>
      </c>
      <c r="AN3542" t="s">
        <v>10325</v>
      </c>
      <c r="AO3542" t="s">
        <v>10326</v>
      </c>
    </row>
    <row r="3543" spans="39:41" ht="12" customHeight="1" x14ac:dyDescent="0.2">
      <c r="AM3543" t="str">
        <f t="shared" si="55"/>
        <v>Degerhamn [SEDEG]</v>
      </c>
      <c r="AN3543" t="s">
        <v>27543</v>
      </c>
      <c r="AO3543" t="s">
        <v>27544</v>
      </c>
    </row>
    <row r="3544" spans="39:41" ht="12" customHeight="1" x14ac:dyDescent="0.2">
      <c r="AM3544" t="str">
        <f t="shared" si="55"/>
        <v>Deggenau [DEDGA]</v>
      </c>
      <c r="AN3544" t="s">
        <v>7253</v>
      </c>
      <c r="AO3544" t="s">
        <v>7254</v>
      </c>
    </row>
    <row r="3545" spans="39:41" ht="12" customHeight="1" x14ac:dyDescent="0.2">
      <c r="AM3545" t="str">
        <f t="shared" si="55"/>
        <v>Deggendorf [DEDEG]</v>
      </c>
      <c r="AN3545" t="s">
        <v>7255</v>
      </c>
      <c r="AO3545" t="s">
        <v>7256</v>
      </c>
    </row>
    <row r="3546" spans="39:41" ht="12" customHeight="1" x14ac:dyDescent="0.2">
      <c r="AM3546" t="str">
        <f t="shared" si="55"/>
        <v>Degrad des Cannes [GFDDC]</v>
      </c>
      <c r="AN3546" t="s">
        <v>14942</v>
      </c>
      <c r="AO3546" t="s">
        <v>35867</v>
      </c>
    </row>
    <row r="3547" spans="39:41" ht="12" customHeight="1" x14ac:dyDescent="0.2">
      <c r="AM3547" t="str">
        <f t="shared" si="55"/>
        <v>Dehdadi [AFDHD]</v>
      </c>
      <c r="AN3547" t="s">
        <v>788</v>
      </c>
      <c r="AO3547" t="s">
        <v>789</v>
      </c>
    </row>
    <row r="3548" spans="39:41" ht="12" customHeight="1" x14ac:dyDescent="0.2">
      <c r="AM3548" t="str">
        <f t="shared" si="55"/>
        <v>Dehtary [CZSKJ]</v>
      </c>
      <c r="AN3548" t="s">
        <v>6810</v>
      </c>
      <c r="AO3548" t="s">
        <v>6811</v>
      </c>
    </row>
    <row r="3549" spans="39:41" ht="12" customHeight="1" x14ac:dyDescent="0.2">
      <c r="AM3549" t="str">
        <f t="shared" si="55"/>
        <v>Deinze [BEDEZ]</v>
      </c>
      <c r="AN3549" t="s">
        <v>2371</v>
      </c>
      <c r="AO3549" t="s">
        <v>2372</v>
      </c>
    </row>
    <row r="3550" spans="39:41" ht="12" customHeight="1" x14ac:dyDescent="0.2">
      <c r="AM3550" t="str">
        <f t="shared" si="55"/>
        <v>DeKalb [USDCB]</v>
      </c>
      <c r="AN3550" t="s">
        <v>29523</v>
      </c>
      <c r="AO3550" t="s">
        <v>29524</v>
      </c>
    </row>
    <row r="3551" spans="39:41" ht="12" customHeight="1" x14ac:dyDescent="0.2">
      <c r="AM3551" t="str">
        <f t="shared" si="55"/>
        <v>De-Kastri [RUDKA]</v>
      </c>
      <c r="AN3551" t="s">
        <v>26923</v>
      </c>
      <c r="AO3551" t="s">
        <v>26924</v>
      </c>
    </row>
    <row r="3552" spans="39:41" ht="12" customHeight="1" x14ac:dyDescent="0.2">
      <c r="AM3552" t="str">
        <f t="shared" si="55"/>
        <v>Del Guazu [ARDGU]</v>
      </c>
      <c r="AN3552" t="s">
        <v>1015</v>
      </c>
      <c r="AO3552" t="s">
        <v>1016</v>
      </c>
    </row>
    <row r="3553" spans="39:41" ht="12" customHeight="1" x14ac:dyDescent="0.2">
      <c r="AM3553" t="str">
        <f t="shared" si="55"/>
        <v>Del Norte [USDN2]</v>
      </c>
      <c r="AN3553" t="s">
        <v>29525</v>
      </c>
      <c r="AO3553" t="s">
        <v>29526</v>
      </c>
    </row>
    <row r="3554" spans="39:41" ht="12" customHeight="1" x14ac:dyDescent="0.2">
      <c r="AM3554" t="str">
        <f t="shared" si="55"/>
        <v>Delaware City [USDCI]</v>
      </c>
      <c r="AN3554" t="s">
        <v>29527</v>
      </c>
      <c r="AO3554" t="s">
        <v>29528</v>
      </c>
    </row>
    <row r="3555" spans="39:41" ht="12" customHeight="1" x14ac:dyDescent="0.2">
      <c r="AM3555" t="str">
        <f t="shared" si="55"/>
        <v>Delden [NLDEL]</v>
      </c>
      <c r="AN3555" t="s">
        <v>33872</v>
      </c>
      <c r="AO3555" t="s">
        <v>33994</v>
      </c>
    </row>
    <row r="3556" spans="39:41" ht="12" customHeight="1" x14ac:dyDescent="0.2">
      <c r="AM3556" t="str">
        <f t="shared" si="55"/>
        <v>Delevan [USDVA]</v>
      </c>
      <c r="AN3556" t="s">
        <v>29529</v>
      </c>
      <c r="AO3556" t="s">
        <v>29530</v>
      </c>
    </row>
    <row r="3557" spans="39:41" ht="12" customHeight="1" x14ac:dyDescent="0.2">
      <c r="AM3557" t="str">
        <f t="shared" si="55"/>
        <v>Delft [NLDFT]</v>
      </c>
      <c r="AN3557" t="s">
        <v>33873</v>
      </c>
      <c r="AO3557" t="s">
        <v>33995</v>
      </c>
    </row>
    <row r="3558" spans="39:41" ht="12" customHeight="1" x14ac:dyDescent="0.2">
      <c r="AM3558" t="str">
        <f t="shared" si="55"/>
        <v>Delfzijl [NLDZL]</v>
      </c>
      <c r="AN3558" t="s">
        <v>23127</v>
      </c>
      <c r="AO3558" t="s">
        <v>23128</v>
      </c>
    </row>
    <row r="3559" spans="39:41" ht="12" customHeight="1" x14ac:dyDescent="0.2">
      <c r="AM3559" t="str">
        <f t="shared" si="55"/>
        <v>Delhi [USYDP]</v>
      </c>
      <c r="AN3559" t="s">
        <v>29531</v>
      </c>
      <c r="AO3559" t="s">
        <v>29532</v>
      </c>
    </row>
    <row r="3560" spans="39:41" ht="12" customHeight="1" x14ac:dyDescent="0.2">
      <c r="AM3560" t="str">
        <f t="shared" si="55"/>
        <v>Delhi [USDIJ]</v>
      </c>
      <c r="AN3560" t="s">
        <v>29533</v>
      </c>
      <c r="AO3560" t="s">
        <v>29532</v>
      </c>
    </row>
    <row r="3561" spans="39:41" ht="12" customHeight="1" x14ac:dyDescent="0.2">
      <c r="AM3561" t="str">
        <f t="shared" si="55"/>
        <v>Delimara [MTDMP]</v>
      </c>
      <c r="AN3561" t="s">
        <v>22250</v>
      </c>
      <c r="AO3561" t="s">
        <v>22251</v>
      </c>
    </row>
    <row r="3562" spans="39:41" ht="12" customHeight="1" x14ac:dyDescent="0.2">
      <c r="AM3562" t="str">
        <f t="shared" si="55"/>
        <v>Dellys [DZDEL]</v>
      </c>
      <c r="AN3562" t="s">
        <v>9053</v>
      </c>
      <c r="AO3562" t="s">
        <v>9054</v>
      </c>
    </row>
    <row r="3563" spans="39:41" ht="12" customHeight="1" x14ac:dyDescent="0.2">
      <c r="AM3563" t="str">
        <f t="shared" si="55"/>
        <v>Delmont [USDVQ]</v>
      </c>
      <c r="AN3563" t="s">
        <v>29534</v>
      </c>
      <c r="AO3563" t="s">
        <v>29535</v>
      </c>
    </row>
    <row r="3564" spans="39:41" ht="12" customHeight="1" x14ac:dyDescent="0.2">
      <c r="AM3564" t="str">
        <f t="shared" si="55"/>
        <v>Delos [GRDOS]</v>
      </c>
      <c r="AN3564" t="s">
        <v>15171</v>
      </c>
      <c r="AO3564" t="s">
        <v>15172</v>
      </c>
    </row>
    <row r="3565" spans="39:41" ht="12" customHeight="1" x14ac:dyDescent="0.2">
      <c r="AM3565" t="str">
        <f t="shared" si="55"/>
        <v>Delta [CADEL]</v>
      </c>
      <c r="AN3565" t="s">
        <v>3804</v>
      </c>
      <c r="AO3565" t="s">
        <v>3805</v>
      </c>
    </row>
    <row r="3566" spans="39:41" ht="12" customHeight="1" x14ac:dyDescent="0.2">
      <c r="AM3566" t="str">
        <f t="shared" si="55"/>
        <v>Delta [USAL5]</v>
      </c>
      <c r="AN3566" t="s">
        <v>29536</v>
      </c>
      <c r="AO3566" t="s">
        <v>3805</v>
      </c>
    </row>
    <row r="3567" spans="39:41" ht="12" customHeight="1" x14ac:dyDescent="0.2">
      <c r="AM3567" t="str">
        <f t="shared" si="55"/>
        <v>Delta [USDTC]</v>
      </c>
      <c r="AN3567" t="s">
        <v>29537</v>
      </c>
      <c r="AO3567" t="s">
        <v>3805</v>
      </c>
    </row>
    <row r="3568" spans="39:41" ht="12" customHeight="1" x14ac:dyDescent="0.2">
      <c r="AM3568" t="str">
        <f t="shared" si="55"/>
        <v>Demangevelle [FRDMV]</v>
      </c>
      <c r="AN3568" t="s">
        <v>11217</v>
      </c>
      <c r="AO3568" t="s">
        <v>11218</v>
      </c>
    </row>
    <row r="3569" spans="39:41" ht="12" customHeight="1" x14ac:dyDescent="0.2">
      <c r="AM3569" t="str">
        <f t="shared" si="55"/>
        <v>Demigny [FRQVP]</v>
      </c>
      <c r="AN3569" t="s">
        <v>11219</v>
      </c>
      <c r="AO3569" t="s">
        <v>11220</v>
      </c>
    </row>
    <row r="3570" spans="39:41" ht="12" customHeight="1" x14ac:dyDescent="0.2">
      <c r="AM3570" t="str">
        <f t="shared" si="55"/>
        <v>Demir Kapija [MKDKJ]</v>
      </c>
      <c r="AN3570" t="s">
        <v>22168</v>
      </c>
      <c r="AO3570" t="s">
        <v>22169</v>
      </c>
    </row>
    <row r="3571" spans="39:41" ht="12" customHeight="1" x14ac:dyDescent="0.2">
      <c r="AM3571" t="str">
        <f t="shared" si="55"/>
        <v>Demmerik [NLDMK]</v>
      </c>
      <c r="AN3571" t="s">
        <v>23129</v>
      </c>
      <c r="AO3571" t="s">
        <v>23130</v>
      </c>
    </row>
    <row r="3572" spans="39:41" ht="12" customHeight="1" x14ac:dyDescent="0.2">
      <c r="AM3572" t="str">
        <f t="shared" si="55"/>
        <v>Demmin [DEDMN]</v>
      </c>
      <c r="AN3572" t="s">
        <v>7257</v>
      </c>
      <c r="AO3572" t="s">
        <v>7258</v>
      </c>
    </row>
    <row r="3573" spans="39:41" ht="12" customHeight="1" x14ac:dyDescent="0.2">
      <c r="AM3573" t="str">
        <f t="shared" si="55"/>
        <v>Demta [IDDMA]</v>
      </c>
      <c r="AN3573" t="s">
        <v>16243</v>
      </c>
      <c r="AO3573" t="s">
        <v>16244</v>
      </c>
    </row>
    <row r="3574" spans="39:41" ht="12" customHeight="1" x14ac:dyDescent="0.2">
      <c r="AM3574" t="str">
        <f t="shared" si="55"/>
        <v>Den Bommel [NLDBM]</v>
      </c>
      <c r="AN3574" t="s">
        <v>23131</v>
      </c>
      <c r="AO3574" t="s">
        <v>23132</v>
      </c>
    </row>
    <row r="3575" spans="39:41" ht="12" customHeight="1" x14ac:dyDescent="0.2">
      <c r="AM3575" t="str">
        <f t="shared" si="55"/>
        <v>Den Helder [NLDHR]</v>
      </c>
      <c r="AN3575" t="s">
        <v>23133</v>
      </c>
      <c r="AO3575" t="s">
        <v>23134</v>
      </c>
    </row>
    <row r="3576" spans="39:41" ht="12" customHeight="1" x14ac:dyDescent="0.2">
      <c r="AM3576" t="str">
        <f t="shared" si="55"/>
        <v>Den Hool [NLDHO]</v>
      </c>
      <c r="AN3576" t="s">
        <v>23135</v>
      </c>
      <c r="AO3576" t="s">
        <v>23136</v>
      </c>
    </row>
    <row r="3577" spans="39:41" ht="12" customHeight="1" x14ac:dyDescent="0.2">
      <c r="AM3577" t="str">
        <f t="shared" si="55"/>
        <v>Denain [FRDEN]</v>
      </c>
      <c r="AN3577" t="s">
        <v>11221</v>
      </c>
      <c r="AO3577" t="s">
        <v>11222</v>
      </c>
    </row>
    <row r="3578" spans="39:41" ht="12" customHeight="1" x14ac:dyDescent="0.2">
      <c r="AM3578" t="str">
        <f t="shared" ref="AM3578:AM3641" si="56">AO3578 &amp; " [" &amp; AN3578 &amp; "]"</f>
        <v>Denby [GBDEB]</v>
      </c>
      <c r="AN3578" t="s">
        <v>12995</v>
      </c>
      <c r="AO3578" t="s">
        <v>12996</v>
      </c>
    </row>
    <row r="3579" spans="39:41" ht="12" customHeight="1" x14ac:dyDescent="0.2">
      <c r="AM3579" t="str">
        <f t="shared" si="56"/>
        <v>Denderbelle [BEDNB]</v>
      </c>
      <c r="AN3579" t="s">
        <v>2373</v>
      </c>
      <c r="AO3579" t="s">
        <v>2374</v>
      </c>
    </row>
    <row r="3580" spans="39:41" ht="12" customHeight="1" x14ac:dyDescent="0.2">
      <c r="AM3580" t="str">
        <f t="shared" si="56"/>
        <v>Denderhoutem [BEIAI]</v>
      </c>
      <c r="AN3580" t="s">
        <v>2375</v>
      </c>
      <c r="AO3580" t="s">
        <v>2376</v>
      </c>
    </row>
    <row r="3581" spans="39:41" ht="12" customHeight="1" x14ac:dyDescent="0.2">
      <c r="AM3581" t="str">
        <f t="shared" si="56"/>
        <v>Denderleeuw [BEDRW]</v>
      </c>
      <c r="AN3581" t="s">
        <v>2377</v>
      </c>
      <c r="AO3581" t="s">
        <v>2378</v>
      </c>
    </row>
    <row r="3582" spans="39:41" ht="12" customHeight="1" x14ac:dyDescent="0.2">
      <c r="AM3582" t="str">
        <f t="shared" si="56"/>
        <v>Dendermonde [BEDDR]</v>
      </c>
      <c r="AN3582" t="s">
        <v>2379</v>
      </c>
      <c r="AO3582" t="s">
        <v>2380</v>
      </c>
    </row>
    <row r="3583" spans="39:41" ht="12" customHeight="1" x14ac:dyDescent="0.2">
      <c r="AM3583" t="str">
        <f t="shared" si="56"/>
        <v>Deneee [FRZPP]</v>
      </c>
      <c r="AN3583" t="s">
        <v>11223</v>
      </c>
      <c r="AO3583" t="s">
        <v>11224</v>
      </c>
    </row>
    <row r="3584" spans="39:41" ht="12" customHeight="1" x14ac:dyDescent="0.2">
      <c r="AM3584" t="str">
        <f t="shared" si="56"/>
        <v>Denema [NGDEN]</v>
      </c>
      <c r="AN3584" t="s">
        <v>22927</v>
      </c>
      <c r="AO3584" t="s">
        <v>22928</v>
      </c>
    </row>
    <row r="3585" spans="39:41" ht="12" customHeight="1" x14ac:dyDescent="0.2">
      <c r="AM3585" t="str">
        <f t="shared" si="56"/>
        <v>Denia [ESDNA]</v>
      </c>
      <c r="AN3585" t="s">
        <v>9745</v>
      </c>
      <c r="AO3585" t="s">
        <v>9746</v>
      </c>
    </row>
    <row r="3586" spans="39:41" ht="12" customHeight="1" x14ac:dyDescent="0.2">
      <c r="AM3586" t="str">
        <f t="shared" si="56"/>
        <v>Denice [FRQLK]</v>
      </c>
      <c r="AN3586" t="s">
        <v>11225</v>
      </c>
      <c r="AO3586" t="s">
        <v>11226</v>
      </c>
    </row>
    <row r="3587" spans="39:41" ht="12" customHeight="1" x14ac:dyDescent="0.2">
      <c r="AM3587" t="str">
        <f t="shared" si="56"/>
        <v>Denman Island [CADSA]</v>
      </c>
      <c r="AN3587" t="s">
        <v>3806</v>
      </c>
      <c r="AO3587" t="s">
        <v>3807</v>
      </c>
    </row>
    <row r="3588" spans="39:41" ht="12" customHeight="1" x14ac:dyDescent="0.2">
      <c r="AM3588" t="str">
        <f t="shared" si="56"/>
        <v>Denton [GBDET]</v>
      </c>
      <c r="AN3588" t="s">
        <v>12997</v>
      </c>
      <c r="AO3588" t="s">
        <v>12998</v>
      </c>
    </row>
    <row r="3589" spans="39:41" ht="12" customHeight="1" x14ac:dyDescent="0.2">
      <c r="AM3589" t="str">
        <f t="shared" si="56"/>
        <v>Deogad [INDEG]</v>
      </c>
      <c r="AN3589" t="s">
        <v>17112</v>
      </c>
      <c r="AO3589" t="s">
        <v>17113</v>
      </c>
    </row>
    <row r="3590" spans="39:41" ht="12" customHeight="1" x14ac:dyDescent="0.2">
      <c r="AM3590" t="str">
        <f t="shared" si="56"/>
        <v>Depue [USDE5]</v>
      </c>
      <c r="AN3590" t="s">
        <v>29538</v>
      </c>
      <c r="AO3590" t="s">
        <v>29539</v>
      </c>
    </row>
    <row r="3591" spans="39:41" ht="12" customHeight="1" x14ac:dyDescent="0.2">
      <c r="AM3591" t="str">
        <f t="shared" si="56"/>
        <v>DeQuincy [USQDQ]</v>
      </c>
      <c r="AN3591" t="s">
        <v>29540</v>
      </c>
      <c r="AO3591" t="s">
        <v>29541</v>
      </c>
    </row>
    <row r="3592" spans="39:41" ht="12" customHeight="1" x14ac:dyDescent="0.2">
      <c r="AM3592" t="str">
        <f t="shared" si="56"/>
        <v>Derbeshkinskiy [RUDHA]</v>
      </c>
      <c r="AN3592" t="s">
        <v>26925</v>
      </c>
      <c r="AO3592" t="s">
        <v>26926</v>
      </c>
    </row>
    <row r="3593" spans="39:41" ht="12" customHeight="1" x14ac:dyDescent="0.2">
      <c r="AM3593" t="str">
        <f t="shared" si="56"/>
        <v>Derby [AUDRB]</v>
      </c>
      <c r="AN3593" t="s">
        <v>1631</v>
      </c>
      <c r="AO3593" t="s">
        <v>1632</v>
      </c>
    </row>
    <row r="3594" spans="39:41" ht="12" customHeight="1" x14ac:dyDescent="0.2">
      <c r="AM3594" t="str">
        <f t="shared" si="56"/>
        <v>Derby [GBDXY]</v>
      </c>
      <c r="AN3594" t="s">
        <v>12999</v>
      </c>
      <c r="AO3594" t="s">
        <v>1632</v>
      </c>
    </row>
    <row r="3595" spans="39:41" ht="12" customHeight="1" x14ac:dyDescent="0.2">
      <c r="AM3595" t="str">
        <f t="shared" si="56"/>
        <v>Dereham [GBDER]</v>
      </c>
      <c r="AN3595" t="s">
        <v>13000</v>
      </c>
      <c r="AO3595" t="s">
        <v>13001</v>
      </c>
    </row>
    <row r="3596" spans="39:41" ht="12" customHeight="1" x14ac:dyDescent="0.2">
      <c r="AM3596" t="str">
        <f t="shared" si="56"/>
        <v>Derenburg [DEDNR]</v>
      </c>
      <c r="AN3596" t="s">
        <v>7259</v>
      </c>
      <c r="AO3596" t="s">
        <v>7260</v>
      </c>
    </row>
    <row r="3597" spans="39:41" ht="12" customHeight="1" x14ac:dyDescent="0.2">
      <c r="AM3597" t="str">
        <f t="shared" si="56"/>
        <v>Deridder [USDE3]</v>
      </c>
      <c r="AN3597" t="s">
        <v>29542</v>
      </c>
      <c r="AO3597" t="s">
        <v>29543</v>
      </c>
    </row>
    <row r="3598" spans="39:41" ht="12" customHeight="1" x14ac:dyDescent="0.2">
      <c r="AM3598" t="str">
        <f t="shared" si="56"/>
        <v>Derince [TRDRC]</v>
      </c>
      <c r="AN3598" t="s">
        <v>28446</v>
      </c>
      <c r="AO3598" t="s">
        <v>28447</v>
      </c>
    </row>
    <row r="3599" spans="39:41" ht="12" customHeight="1" x14ac:dyDescent="0.2">
      <c r="AM3599" t="str">
        <f t="shared" si="56"/>
        <v>Derio [ESDRI]</v>
      </c>
      <c r="AN3599" t="s">
        <v>9747</v>
      </c>
      <c r="AO3599" t="s">
        <v>9748</v>
      </c>
    </row>
    <row r="3600" spans="39:41" ht="12" customHeight="1" x14ac:dyDescent="0.2">
      <c r="AM3600" t="str">
        <f t="shared" si="56"/>
        <v>Dernau [DEDEU]</v>
      </c>
      <c r="AN3600" t="s">
        <v>7261</v>
      </c>
      <c r="AO3600" t="s">
        <v>7262</v>
      </c>
    </row>
    <row r="3601" spans="39:41" ht="12" customHeight="1" x14ac:dyDescent="0.2">
      <c r="AM3601" t="str">
        <f t="shared" si="56"/>
        <v>Derschen [DERPD]</v>
      </c>
      <c r="AN3601" t="s">
        <v>7263</v>
      </c>
      <c r="AO3601" t="s">
        <v>7264</v>
      </c>
    </row>
    <row r="3602" spans="39:41" ht="12" customHeight="1" x14ac:dyDescent="0.2">
      <c r="AM3602" t="str">
        <f t="shared" si="56"/>
        <v>Dersum [DEDSU]</v>
      </c>
      <c r="AN3602" t="s">
        <v>7265</v>
      </c>
      <c r="AO3602" t="s">
        <v>7266</v>
      </c>
    </row>
    <row r="3603" spans="39:41" ht="12" customHeight="1" x14ac:dyDescent="0.2">
      <c r="AM3603" t="str">
        <f t="shared" si="56"/>
        <v>Des Moines [USDSM]</v>
      </c>
      <c r="AN3603" t="s">
        <v>29544</v>
      </c>
      <c r="AO3603" t="s">
        <v>29545</v>
      </c>
    </row>
    <row r="3604" spans="39:41" ht="12" customHeight="1" x14ac:dyDescent="0.2">
      <c r="AM3604" t="str">
        <f t="shared" si="56"/>
        <v>Deshler [USDSR]</v>
      </c>
      <c r="AN3604" t="s">
        <v>29546</v>
      </c>
      <c r="AO3604" t="s">
        <v>29547</v>
      </c>
    </row>
    <row r="3605" spans="39:41" ht="12" customHeight="1" x14ac:dyDescent="0.2">
      <c r="AM3605" t="str">
        <f t="shared" si="56"/>
        <v>Deshler [USDSH]</v>
      </c>
      <c r="AN3605" t="s">
        <v>29548</v>
      </c>
      <c r="AO3605" t="s">
        <v>29547</v>
      </c>
    </row>
    <row r="3606" spans="39:41" ht="12" customHeight="1" x14ac:dyDescent="0.2">
      <c r="AM3606" t="str">
        <f t="shared" si="56"/>
        <v>Dessel [BEDSE]</v>
      </c>
      <c r="AN3606" t="s">
        <v>2381</v>
      </c>
      <c r="AO3606" t="s">
        <v>2382</v>
      </c>
    </row>
    <row r="3607" spans="39:41" ht="12" customHeight="1" x14ac:dyDescent="0.2">
      <c r="AM3607" t="str">
        <f t="shared" si="56"/>
        <v>Desselgem [BEDSL]</v>
      </c>
      <c r="AN3607" t="s">
        <v>2383</v>
      </c>
      <c r="AO3607" t="s">
        <v>2384</v>
      </c>
    </row>
    <row r="3608" spans="39:41" ht="12" customHeight="1" x14ac:dyDescent="0.2">
      <c r="AM3608" t="str">
        <f t="shared" si="56"/>
        <v>Destne v Orlickych Horach [CZDOH]</v>
      </c>
      <c r="AN3608" t="s">
        <v>6812</v>
      </c>
      <c r="AO3608" t="s">
        <v>6813</v>
      </c>
    </row>
    <row r="3609" spans="39:41" ht="12" customHeight="1" x14ac:dyDescent="0.2">
      <c r="AM3609" t="str">
        <f t="shared" si="56"/>
        <v>Destrehan [USNEW]</v>
      </c>
      <c r="AN3609" t="s">
        <v>29549</v>
      </c>
      <c r="AO3609" t="s">
        <v>29550</v>
      </c>
    </row>
    <row r="3610" spans="39:41" ht="12" customHeight="1" x14ac:dyDescent="0.2">
      <c r="AM3610" t="str">
        <f t="shared" si="56"/>
        <v>Detroit [US7AL]</v>
      </c>
      <c r="AN3610" t="s">
        <v>29551</v>
      </c>
      <c r="AO3610" t="s">
        <v>29552</v>
      </c>
    </row>
    <row r="3611" spans="39:41" ht="12" customHeight="1" x14ac:dyDescent="0.2">
      <c r="AM3611" t="str">
        <f t="shared" si="56"/>
        <v>Detroit [USDTT]</v>
      </c>
      <c r="AN3611" t="s">
        <v>29553</v>
      </c>
      <c r="AO3611" t="s">
        <v>29552</v>
      </c>
    </row>
    <row r="3612" spans="39:41" ht="12" customHeight="1" x14ac:dyDescent="0.2">
      <c r="AM3612" t="str">
        <f t="shared" si="56"/>
        <v>Detroit [USDET]</v>
      </c>
      <c r="AN3612" t="s">
        <v>29554</v>
      </c>
      <c r="AO3612" t="s">
        <v>29552</v>
      </c>
    </row>
    <row r="3613" spans="39:41" ht="12" customHeight="1" x14ac:dyDescent="0.2">
      <c r="AM3613" t="str">
        <f t="shared" si="56"/>
        <v>Dettighofen [DEDFN]</v>
      </c>
      <c r="AN3613" t="s">
        <v>7267</v>
      </c>
      <c r="AO3613" t="s">
        <v>7268</v>
      </c>
    </row>
    <row r="3614" spans="39:41" ht="12" customHeight="1" x14ac:dyDescent="0.2">
      <c r="AM3614" t="str">
        <f t="shared" si="56"/>
        <v>Deuben [DEDEB]</v>
      </c>
      <c r="AN3614" t="s">
        <v>7269</v>
      </c>
      <c r="AO3614" t="s">
        <v>7270</v>
      </c>
    </row>
    <row r="3615" spans="39:41" ht="12" customHeight="1" x14ac:dyDescent="0.2">
      <c r="AM3615" t="str">
        <f t="shared" si="56"/>
        <v>Deurne [BEDEG]</v>
      </c>
      <c r="AN3615" t="s">
        <v>2385</v>
      </c>
      <c r="AO3615" t="s">
        <v>2386</v>
      </c>
    </row>
    <row r="3616" spans="39:41" ht="12" customHeight="1" x14ac:dyDescent="0.2">
      <c r="AM3616" t="str">
        <f t="shared" si="56"/>
        <v>Deutsch Wagram [ATDWA]</v>
      </c>
      <c r="AN3616" t="s">
        <v>1173</v>
      </c>
      <c r="AO3616" t="s">
        <v>1174</v>
      </c>
    </row>
    <row r="3617" spans="39:41" ht="12" customHeight="1" x14ac:dyDescent="0.2">
      <c r="AM3617" t="str">
        <f t="shared" si="56"/>
        <v>Deutschkreutz [ATDKZ]</v>
      </c>
      <c r="AN3617" t="s">
        <v>1175</v>
      </c>
      <c r="AO3617" t="s">
        <v>1176</v>
      </c>
    </row>
    <row r="3618" spans="39:41" ht="12" customHeight="1" x14ac:dyDescent="0.2">
      <c r="AM3618" t="str">
        <f t="shared" si="56"/>
        <v>Deux-Acren [BEDXN]</v>
      </c>
      <c r="AN3618" t="s">
        <v>2387</v>
      </c>
      <c r="AO3618" t="s">
        <v>2388</v>
      </c>
    </row>
    <row r="3619" spans="39:41" ht="12" customHeight="1" x14ac:dyDescent="0.2">
      <c r="AM3619" t="str">
        <f t="shared" si="56"/>
        <v>Devenscrest [USQDV]</v>
      </c>
      <c r="AN3619" t="s">
        <v>29555</v>
      </c>
      <c r="AO3619" t="s">
        <v>29556</v>
      </c>
    </row>
    <row r="3620" spans="39:41" ht="12" customHeight="1" x14ac:dyDescent="0.2">
      <c r="AM3620" t="str">
        <f t="shared" si="56"/>
        <v>Deventer [NLDEV]</v>
      </c>
      <c r="AN3620" t="s">
        <v>23137</v>
      </c>
      <c r="AO3620" t="s">
        <v>23138</v>
      </c>
    </row>
    <row r="3621" spans="39:41" ht="12" customHeight="1" x14ac:dyDescent="0.2">
      <c r="AM3621" t="str">
        <f t="shared" si="56"/>
        <v>Devonport [AUDPO]</v>
      </c>
      <c r="AN3621" t="s">
        <v>1633</v>
      </c>
      <c r="AO3621" t="s">
        <v>1634</v>
      </c>
    </row>
    <row r="3622" spans="39:41" ht="12" customHeight="1" x14ac:dyDescent="0.2">
      <c r="AM3622" t="str">
        <f t="shared" si="56"/>
        <v>Devonport [GBDVP]</v>
      </c>
      <c r="AN3622" t="s">
        <v>13002</v>
      </c>
      <c r="AO3622" t="s">
        <v>1634</v>
      </c>
    </row>
    <row r="3623" spans="39:41" ht="12" customHeight="1" x14ac:dyDescent="0.2">
      <c r="AM3623" t="str">
        <f t="shared" si="56"/>
        <v>Devonport [NZDEV]</v>
      </c>
      <c r="AN3623" t="s">
        <v>25063</v>
      </c>
      <c r="AO3623" t="s">
        <v>1634</v>
      </c>
    </row>
    <row r="3624" spans="39:41" ht="12" customHeight="1" x14ac:dyDescent="0.2">
      <c r="AM3624" t="str">
        <f t="shared" si="56"/>
        <v>Devonshire [BMSEV]</v>
      </c>
      <c r="AN3624" t="s">
        <v>3196</v>
      </c>
      <c r="AO3624" t="s">
        <v>3197</v>
      </c>
    </row>
    <row r="3625" spans="39:41" ht="12" customHeight="1" x14ac:dyDescent="0.2">
      <c r="AM3625" t="str">
        <f t="shared" si="56"/>
        <v>Dewsbury [GBDWY]</v>
      </c>
      <c r="AN3625" t="s">
        <v>13003</v>
      </c>
      <c r="AO3625" t="s">
        <v>13004</v>
      </c>
    </row>
    <row r="3626" spans="39:41" ht="12" customHeight="1" x14ac:dyDescent="0.2">
      <c r="AM3626" t="str">
        <f t="shared" si="56"/>
        <v>Deyme [FRDDR]</v>
      </c>
      <c r="AN3626" t="s">
        <v>11227</v>
      </c>
      <c r="AO3626" t="s">
        <v>11228</v>
      </c>
    </row>
    <row r="3627" spans="39:41" ht="12" customHeight="1" x14ac:dyDescent="0.2">
      <c r="AM3627" t="str">
        <f t="shared" si="56"/>
        <v>Dezhou [CNDEZ]</v>
      </c>
      <c r="AN3627" t="s">
        <v>5225</v>
      </c>
      <c r="AO3627" t="s">
        <v>5226</v>
      </c>
    </row>
    <row r="3628" spans="39:41" ht="12" customHeight="1" x14ac:dyDescent="0.2">
      <c r="AM3628" t="str">
        <f t="shared" si="56"/>
        <v>Dhahran [SADHA]</v>
      </c>
      <c r="AN3628" t="s">
        <v>27384</v>
      </c>
      <c r="AO3628" t="s">
        <v>27385</v>
      </c>
    </row>
    <row r="3629" spans="39:41" ht="12" customHeight="1" x14ac:dyDescent="0.2">
      <c r="AM3629" t="str">
        <f t="shared" si="56"/>
        <v>Dhamara [INDMA]</v>
      </c>
      <c r="AN3629" t="s">
        <v>17114</v>
      </c>
      <c r="AO3629" t="s">
        <v>17115</v>
      </c>
    </row>
    <row r="3630" spans="39:41" ht="12" customHeight="1" x14ac:dyDescent="0.2">
      <c r="AM3630" t="str">
        <f t="shared" si="56"/>
        <v>Dhamra Port [INDMQ]</v>
      </c>
      <c r="AN3630" t="s">
        <v>17116</v>
      </c>
      <c r="AO3630" t="s">
        <v>17117</v>
      </c>
    </row>
    <row r="3631" spans="39:41" ht="12" customHeight="1" x14ac:dyDescent="0.2">
      <c r="AM3631" t="str">
        <f t="shared" si="56"/>
        <v>Dhanu-shkodi [INDSK]</v>
      </c>
      <c r="AN3631" t="s">
        <v>17118</v>
      </c>
      <c r="AO3631" t="s">
        <v>17119</v>
      </c>
    </row>
    <row r="3632" spans="39:41" ht="12" customHeight="1" x14ac:dyDescent="0.2">
      <c r="AM3632" t="str">
        <f t="shared" si="56"/>
        <v>Dharamtar [INDMT]</v>
      </c>
      <c r="AN3632" t="s">
        <v>17120</v>
      </c>
      <c r="AO3632" t="s">
        <v>17121</v>
      </c>
    </row>
    <row r="3633" spans="39:41" ht="12" customHeight="1" x14ac:dyDescent="0.2">
      <c r="AM3633" t="str">
        <f t="shared" si="56"/>
        <v>Dhekelia [CYDHK]</v>
      </c>
      <c r="AN3633" t="s">
        <v>6757</v>
      </c>
      <c r="AO3633" t="s">
        <v>6758</v>
      </c>
    </row>
    <row r="3634" spans="39:41" ht="12" customHeight="1" x14ac:dyDescent="0.2">
      <c r="AM3634" t="str">
        <f t="shared" si="56"/>
        <v>Dhipirrinjura [AUDHI]</v>
      </c>
      <c r="AN3634" t="s">
        <v>1635</v>
      </c>
      <c r="AO3634" t="s">
        <v>1636</v>
      </c>
    </row>
    <row r="3635" spans="39:41" ht="12" customHeight="1" x14ac:dyDescent="0.2">
      <c r="AM3635" t="str">
        <f t="shared" si="56"/>
        <v>Dholera [INDHR]</v>
      </c>
      <c r="AN3635" t="s">
        <v>17122</v>
      </c>
      <c r="AO3635" t="s">
        <v>17123</v>
      </c>
    </row>
    <row r="3636" spans="39:41" ht="12" customHeight="1" x14ac:dyDescent="0.2">
      <c r="AM3636" t="str">
        <f t="shared" si="56"/>
        <v>Dhuba [SADHU]</v>
      </c>
      <c r="AN3636" t="s">
        <v>27386</v>
      </c>
      <c r="AO3636" t="s">
        <v>27387</v>
      </c>
    </row>
    <row r="3637" spans="39:41" ht="12" customHeight="1" x14ac:dyDescent="0.2">
      <c r="AM3637" t="str">
        <f t="shared" si="56"/>
        <v>Diafanion [GRDIA]</v>
      </c>
      <c r="AN3637" t="s">
        <v>15173</v>
      </c>
      <c r="AO3637" t="s">
        <v>35896</v>
      </c>
    </row>
    <row r="3638" spans="39:41" ht="12" customHeight="1" x14ac:dyDescent="0.2">
      <c r="AM3638" t="str">
        <f t="shared" si="56"/>
        <v>Diakofti Kythiron [GRDIK]</v>
      </c>
      <c r="AN3638" t="s">
        <v>15174</v>
      </c>
      <c r="AO3638" t="s">
        <v>15175</v>
      </c>
    </row>
    <row r="3639" spans="39:41" ht="12" customHeight="1" x14ac:dyDescent="0.2">
      <c r="AM3639" t="str">
        <f t="shared" si="56"/>
        <v>Diamante [ARDME]</v>
      </c>
      <c r="AN3639" t="s">
        <v>1017</v>
      </c>
      <c r="AO3639" t="s">
        <v>1018</v>
      </c>
    </row>
    <row r="3640" spans="39:41" ht="12" customHeight="1" x14ac:dyDescent="0.2">
      <c r="AM3640" t="str">
        <f t="shared" si="56"/>
        <v>Diamante [ITDIA]</v>
      </c>
      <c r="AN3640" t="s">
        <v>17920</v>
      </c>
      <c r="AO3640" t="s">
        <v>1018</v>
      </c>
    </row>
    <row r="3641" spans="39:41" ht="12" customHeight="1" x14ac:dyDescent="0.2">
      <c r="AM3641" t="str">
        <f t="shared" si="56"/>
        <v>Diamond Creek [AUDIA]</v>
      </c>
      <c r="AN3641" t="s">
        <v>1637</v>
      </c>
      <c r="AO3641" t="s">
        <v>1638</v>
      </c>
    </row>
    <row r="3642" spans="39:41" ht="12" customHeight="1" x14ac:dyDescent="0.2">
      <c r="AM3642" t="str">
        <f t="shared" ref="AM3642:AM3705" si="57">AO3642 &amp; " [" &amp; AN3642 &amp; "]"</f>
        <v>Diamondville [USDM4]</v>
      </c>
      <c r="AN3642" t="s">
        <v>29557</v>
      </c>
      <c r="AO3642" t="s">
        <v>29558</v>
      </c>
    </row>
    <row r="3643" spans="39:41" ht="12" customHeight="1" x14ac:dyDescent="0.2">
      <c r="AM3643" t="str">
        <f t="shared" si="57"/>
        <v>Diapitan/Siain [PHDPT]</v>
      </c>
      <c r="AN3643" t="s">
        <v>25715</v>
      </c>
      <c r="AO3643" t="s">
        <v>25716</v>
      </c>
    </row>
    <row r="3644" spans="39:41" ht="12" customHeight="1" x14ac:dyDescent="0.2">
      <c r="AM3644" t="str">
        <f t="shared" si="57"/>
        <v>Diaraboan/Siain [PHDRB]</v>
      </c>
      <c r="AN3644" t="s">
        <v>25717</v>
      </c>
      <c r="AO3644" t="s">
        <v>25718</v>
      </c>
    </row>
    <row r="3645" spans="39:41" ht="12" customHeight="1" x14ac:dyDescent="0.2">
      <c r="AM3645" t="str">
        <f t="shared" si="57"/>
        <v>Dias d'Avila [BRDIA]</v>
      </c>
      <c r="AN3645" t="s">
        <v>3299</v>
      </c>
      <c r="AO3645" t="s">
        <v>35292</v>
      </c>
    </row>
    <row r="3646" spans="39:41" ht="12" customHeight="1" x14ac:dyDescent="0.2">
      <c r="AM3646" t="str">
        <f t="shared" si="57"/>
        <v>Dibba [AEDBP]</v>
      </c>
      <c r="AN3646" t="s">
        <v>721</v>
      </c>
      <c r="AO3646" t="s">
        <v>722</v>
      </c>
    </row>
    <row r="3647" spans="39:41" ht="12" customHeight="1" x14ac:dyDescent="0.2">
      <c r="AM3647" t="str">
        <f t="shared" si="57"/>
        <v>Dickson [USZKN]</v>
      </c>
      <c r="AN3647" t="s">
        <v>29559</v>
      </c>
      <c r="AO3647" t="s">
        <v>29560</v>
      </c>
    </row>
    <row r="3648" spans="39:41" ht="12" customHeight="1" x14ac:dyDescent="0.2">
      <c r="AM3648" t="str">
        <f t="shared" si="57"/>
        <v>Diculum/Zamboanga [PHDIC]</v>
      </c>
      <c r="AN3648" t="s">
        <v>25719</v>
      </c>
      <c r="AO3648" t="s">
        <v>25720</v>
      </c>
    </row>
    <row r="3649" spans="39:41" ht="12" customHeight="1" x14ac:dyDescent="0.2">
      <c r="AM3649" t="str">
        <f t="shared" si="57"/>
        <v>Didadongan/Aparri [PHDID]</v>
      </c>
      <c r="AN3649" t="s">
        <v>25721</v>
      </c>
      <c r="AO3649" t="s">
        <v>25722</v>
      </c>
    </row>
    <row r="3650" spans="39:41" ht="12" customHeight="1" x14ac:dyDescent="0.2">
      <c r="AM3650" t="str">
        <f t="shared" si="57"/>
        <v>Didon [TNDID]</v>
      </c>
      <c r="AN3650" t="s">
        <v>28340</v>
      </c>
      <c r="AO3650" t="s">
        <v>28341</v>
      </c>
    </row>
    <row r="3651" spans="39:41" ht="12" customHeight="1" x14ac:dyDescent="0.2">
      <c r="AM3651" t="str">
        <f t="shared" si="57"/>
        <v>Didu [CNDDP]</v>
      </c>
      <c r="AN3651" t="s">
        <v>5227</v>
      </c>
      <c r="AO3651" t="s">
        <v>5228</v>
      </c>
    </row>
    <row r="3652" spans="39:41" ht="12" customHeight="1" x14ac:dyDescent="0.2">
      <c r="AM3652" t="str">
        <f t="shared" si="57"/>
        <v>Dielette [FRDIL]</v>
      </c>
      <c r="AN3652" t="s">
        <v>11229</v>
      </c>
      <c r="AO3652" t="s">
        <v>35796</v>
      </c>
    </row>
    <row r="3653" spans="39:41" ht="12" customHeight="1" x14ac:dyDescent="0.2">
      <c r="AM3653" t="str">
        <f t="shared" si="57"/>
        <v>Diepenbeek [BEDPK]</v>
      </c>
      <c r="AN3653" t="s">
        <v>2389</v>
      </c>
      <c r="AO3653" t="s">
        <v>2390</v>
      </c>
    </row>
    <row r="3654" spans="39:41" ht="12" customHeight="1" x14ac:dyDescent="0.2">
      <c r="AM3654" t="str">
        <f t="shared" si="57"/>
        <v>Dieppe [FRDPE]</v>
      </c>
      <c r="AN3654" t="s">
        <v>11230</v>
      </c>
      <c r="AO3654" t="s">
        <v>11231</v>
      </c>
    </row>
    <row r="3655" spans="39:41" ht="12" customHeight="1" x14ac:dyDescent="0.2">
      <c r="AM3655" t="str">
        <f t="shared" si="57"/>
        <v>Dierhagen [DEDIA]</v>
      </c>
      <c r="AN3655" t="s">
        <v>7271</v>
      </c>
      <c r="AO3655" t="s">
        <v>7272</v>
      </c>
    </row>
    <row r="3656" spans="39:41" ht="12" customHeight="1" x14ac:dyDescent="0.2">
      <c r="AM3656" t="str">
        <f t="shared" si="57"/>
        <v>Diersheim [DEDHM]</v>
      </c>
      <c r="AN3656" t="s">
        <v>7273</v>
      </c>
      <c r="AO3656" t="s">
        <v>7274</v>
      </c>
    </row>
    <row r="3657" spans="39:41" ht="12" customHeight="1" x14ac:dyDescent="0.2">
      <c r="AM3657" t="str">
        <f t="shared" si="57"/>
        <v>Diesbar [DEDSB]</v>
      </c>
      <c r="AN3657" t="s">
        <v>7275</v>
      </c>
      <c r="AO3657" t="s">
        <v>7276</v>
      </c>
    </row>
    <row r="3658" spans="39:41" ht="12" customHeight="1" x14ac:dyDescent="0.2">
      <c r="AM3658" t="str">
        <f t="shared" si="57"/>
        <v>Dieulouard [FREDU]</v>
      </c>
      <c r="AN3658" t="s">
        <v>11232</v>
      </c>
      <c r="AO3658" t="s">
        <v>11233</v>
      </c>
    </row>
    <row r="3659" spans="39:41" ht="12" customHeight="1" x14ac:dyDescent="0.2">
      <c r="AM3659" t="str">
        <f t="shared" si="57"/>
        <v>Dieverbrug [NLDVB]</v>
      </c>
      <c r="AN3659" t="s">
        <v>23139</v>
      </c>
      <c r="AO3659" t="s">
        <v>23140</v>
      </c>
    </row>
    <row r="3660" spans="39:41" ht="12" customHeight="1" x14ac:dyDescent="0.2">
      <c r="AM3660" t="str">
        <f t="shared" si="57"/>
        <v>Digang [CNDIA]</v>
      </c>
      <c r="AN3660" t="s">
        <v>5229</v>
      </c>
      <c r="AO3660" t="s">
        <v>5230</v>
      </c>
    </row>
    <row r="3661" spans="39:41" ht="12" customHeight="1" x14ac:dyDescent="0.2">
      <c r="AM3661" t="str">
        <f t="shared" si="57"/>
        <v>Digby [CADIG]</v>
      </c>
      <c r="AN3661" t="s">
        <v>3808</v>
      </c>
      <c r="AO3661" t="s">
        <v>3809</v>
      </c>
    </row>
    <row r="3662" spans="39:41" ht="12" customHeight="1" x14ac:dyDescent="0.2">
      <c r="AM3662" t="str">
        <f t="shared" si="57"/>
        <v>Dighi (Pune) [INDIG]</v>
      </c>
      <c r="AN3662" t="s">
        <v>17124</v>
      </c>
      <c r="AO3662" t="s">
        <v>17125</v>
      </c>
    </row>
    <row r="3663" spans="39:41" ht="12" customHeight="1" x14ac:dyDescent="0.2">
      <c r="AM3663" t="str">
        <f t="shared" si="57"/>
        <v>Dijon [FRDIJ]</v>
      </c>
      <c r="AN3663" t="s">
        <v>11234</v>
      </c>
      <c r="AO3663" t="s">
        <v>11235</v>
      </c>
    </row>
    <row r="3664" spans="39:41" ht="12" customHeight="1" x14ac:dyDescent="0.2">
      <c r="AM3664" t="str">
        <f t="shared" si="57"/>
        <v>Dikili [TRDIK]</v>
      </c>
      <c r="AN3664" t="s">
        <v>28448</v>
      </c>
      <c r="AO3664" t="s">
        <v>28449</v>
      </c>
    </row>
    <row r="3665" spans="39:41" ht="12" customHeight="1" x14ac:dyDescent="0.2">
      <c r="AM3665" t="str">
        <f t="shared" si="57"/>
        <v>Diksmuide [BEDIK]</v>
      </c>
      <c r="AN3665" t="s">
        <v>2391</v>
      </c>
      <c r="AO3665" t="s">
        <v>2392</v>
      </c>
    </row>
    <row r="3666" spans="39:41" ht="12" customHeight="1" x14ac:dyDescent="0.2">
      <c r="AM3666" t="str">
        <f t="shared" si="57"/>
        <v>Dildo [CADIL]</v>
      </c>
      <c r="AN3666" t="s">
        <v>3810</v>
      </c>
      <c r="AO3666" t="s">
        <v>3811</v>
      </c>
    </row>
    <row r="3667" spans="39:41" ht="12" customHeight="1" x14ac:dyDescent="0.2">
      <c r="AM3667" t="str">
        <f t="shared" si="57"/>
        <v>Dili [TLDIL]</v>
      </c>
      <c r="AN3667" t="s">
        <v>28310</v>
      </c>
      <c r="AO3667" t="s">
        <v>28311</v>
      </c>
    </row>
    <row r="3668" spans="39:41" ht="12" customHeight="1" x14ac:dyDescent="0.2">
      <c r="AM3668" t="str">
        <f t="shared" si="57"/>
        <v>Diliskelesi [TRDIL]</v>
      </c>
      <c r="AN3668" t="s">
        <v>28450</v>
      </c>
      <c r="AO3668" t="s">
        <v>28451</v>
      </c>
    </row>
    <row r="3669" spans="39:41" ht="12" customHeight="1" x14ac:dyDescent="0.2">
      <c r="AM3669" t="str">
        <f t="shared" si="57"/>
        <v>Dill City [USDCY]</v>
      </c>
      <c r="AN3669" t="s">
        <v>29561</v>
      </c>
      <c r="AO3669" t="s">
        <v>29562</v>
      </c>
    </row>
    <row r="3670" spans="39:41" ht="12" customHeight="1" x14ac:dyDescent="0.2">
      <c r="AM3670" t="str">
        <f t="shared" si="57"/>
        <v>Dilsen [BEDLS]</v>
      </c>
      <c r="AN3670" t="s">
        <v>2393</v>
      </c>
      <c r="AO3670" t="s">
        <v>2394</v>
      </c>
    </row>
    <row r="3671" spans="39:41" ht="12" customHeight="1" x14ac:dyDescent="0.2">
      <c r="AM3671" t="str">
        <f t="shared" si="57"/>
        <v>Dimitrovgrad [RSDIM]</v>
      </c>
      <c r="AN3671" t="s">
        <v>26840</v>
      </c>
      <c r="AO3671" t="s">
        <v>26841</v>
      </c>
    </row>
    <row r="3672" spans="39:41" ht="12" customHeight="1" x14ac:dyDescent="0.2">
      <c r="AM3672" t="str">
        <f t="shared" si="57"/>
        <v>Dimmelsvik [NODIM]</v>
      </c>
      <c r="AN3672" t="s">
        <v>23975</v>
      </c>
      <c r="AO3672" t="s">
        <v>23976</v>
      </c>
    </row>
    <row r="3673" spans="39:41" ht="12" customHeight="1" x14ac:dyDescent="0.2">
      <c r="AM3673" t="str">
        <f t="shared" si="57"/>
        <v>Dinadiawan/Aparri [PHDDW]</v>
      </c>
      <c r="AN3673" t="s">
        <v>25723</v>
      </c>
      <c r="AO3673" t="s">
        <v>25724</v>
      </c>
    </row>
    <row r="3674" spans="39:41" ht="12" customHeight="1" x14ac:dyDescent="0.2">
      <c r="AM3674" t="str">
        <f t="shared" si="57"/>
        <v>Dinagat Island/Surigao [PHDNG]</v>
      </c>
      <c r="AN3674" t="s">
        <v>25725</v>
      </c>
      <c r="AO3674" t="s">
        <v>25726</v>
      </c>
    </row>
    <row r="3675" spans="39:41" ht="12" customHeight="1" x14ac:dyDescent="0.2">
      <c r="AM3675" t="str">
        <f t="shared" si="57"/>
        <v>Dinalongan/Siain [PHDNL]</v>
      </c>
      <c r="AN3675" t="s">
        <v>25727</v>
      </c>
      <c r="AO3675" t="s">
        <v>25728</v>
      </c>
    </row>
    <row r="3676" spans="39:41" ht="12" customHeight="1" x14ac:dyDescent="0.2">
      <c r="AM3676" t="str">
        <f t="shared" si="57"/>
        <v>Dinant [BEDIA]</v>
      </c>
      <c r="AN3676" t="s">
        <v>2395</v>
      </c>
      <c r="AO3676" t="s">
        <v>2396</v>
      </c>
    </row>
    <row r="3677" spans="39:41" ht="12" customHeight="1" x14ac:dyDescent="0.2">
      <c r="AM3677" t="str">
        <f t="shared" si="57"/>
        <v>Dingalan/Siain [PHDGL]</v>
      </c>
      <c r="AN3677" t="s">
        <v>25729</v>
      </c>
      <c r="AO3677" t="s">
        <v>25730</v>
      </c>
    </row>
    <row r="3678" spans="39:41" ht="12" customHeight="1" x14ac:dyDescent="0.2">
      <c r="AM3678" t="str">
        <f t="shared" si="57"/>
        <v>Dingle [GBDIN]</v>
      </c>
      <c r="AN3678" t="s">
        <v>13005</v>
      </c>
      <c r="AO3678" t="s">
        <v>13006</v>
      </c>
    </row>
    <row r="3679" spans="39:41" ht="12" customHeight="1" x14ac:dyDescent="0.2">
      <c r="AM3679" t="str">
        <f t="shared" si="57"/>
        <v>Dingle [IEDIN]</v>
      </c>
      <c r="AN3679" t="s">
        <v>16775</v>
      </c>
      <c r="AO3679" t="s">
        <v>13006</v>
      </c>
    </row>
    <row r="3680" spans="39:41" ht="12" customHeight="1" x14ac:dyDescent="0.2">
      <c r="AM3680" t="str">
        <f t="shared" si="57"/>
        <v>Dingwall [CADWL]</v>
      </c>
      <c r="AN3680" t="s">
        <v>3812</v>
      </c>
      <c r="AO3680" t="s">
        <v>3813</v>
      </c>
    </row>
    <row r="3681" spans="39:41" ht="12" customHeight="1" x14ac:dyDescent="0.2">
      <c r="AM3681" t="str">
        <f t="shared" si="57"/>
        <v>Dingwall [GBDIW]</v>
      </c>
      <c r="AN3681" t="s">
        <v>13007</v>
      </c>
      <c r="AO3681" t="s">
        <v>3813</v>
      </c>
    </row>
    <row r="3682" spans="39:41" ht="12" customHeight="1" x14ac:dyDescent="0.2">
      <c r="AM3682" t="str">
        <f t="shared" si="57"/>
        <v>Dinh Vu Terminal [VNDVU]</v>
      </c>
      <c r="AN3682" t="s">
        <v>32351</v>
      </c>
      <c r="AO3682" t="s">
        <v>32352</v>
      </c>
    </row>
    <row r="3683" spans="39:41" ht="12" customHeight="1" x14ac:dyDescent="0.2">
      <c r="AM3683" t="str">
        <f t="shared" si="57"/>
        <v>Dinkelscherben [DEDSC]</v>
      </c>
      <c r="AN3683" t="s">
        <v>7277</v>
      </c>
      <c r="AO3683" t="s">
        <v>7278</v>
      </c>
    </row>
    <row r="3684" spans="39:41" ht="12" customHeight="1" x14ac:dyDescent="0.2">
      <c r="AM3684" t="str">
        <f t="shared" si="57"/>
        <v>Dinslaken [DEDIN]</v>
      </c>
      <c r="AN3684" t="s">
        <v>7279</v>
      </c>
      <c r="AO3684" t="s">
        <v>7280</v>
      </c>
    </row>
    <row r="3685" spans="39:41" ht="12" customHeight="1" x14ac:dyDescent="0.2">
      <c r="AM3685" t="str">
        <f t="shared" si="57"/>
        <v>Dions [FRDNJ]</v>
      </c>
      <c r="AN3685" t="s">
        <v>11237</v>
      </c>
      <c r="AO3685" t="s">
        <v>11236</v>
      </c>
    </row>
    <row r="3686" spans="39:41" ht="12" customHeight="1" x14ac:dyDescent="0.2">
      <c r="AM3686" t="str">
        <f t="shared" si="57"/>
        <v>Diotorin/Siain [PHDIO]</v>
      </c>
      <c r="AN3686" t="s">
        <v>25731</v>
      </c>
      <c r="AO3686" t="s">
        <v>25732</v>
      </c>
    </row>
    <row r="3687" spans="39:41" ht="12" customHeight="1" x14ac:dyDescent="0.2">
      <c r="AM3687" t="str">
        <f t="shared" si="57"/>
        <v>Dipolog/Ozamis [PHDPL]</v>
      </c>
      <c r="AN3687" t="s">
        <v>25733</v>
      </c>
      <c r="AO3687" t="s">
        <v>25734</v>
      </c>
    </row>
    <row r="3688" spans="39:41" ht="12" customHeight="1" x14ac:dyDescent="0.2">
      <c r="AM3688" t="str">
        <f t="shared" si="57"/>
        <v>Dirdal [NODIR]</v>
      </c>
      <c r="AN3688" t="s">
        <v>23977</v>
      </c>
      <c r="AO3688" t="s">
        <v>23978</v>
      </c>
    </row>
    <row r="3689" spans="39:41" ht="12" customHeight="1" x14ac:dyDescent="0.2">
      <c r="AM3689" t="str">
        <f t="shared" si="57"/>
        <v>Dirgalan [PHDIR]</v>
      </c>
      <c r="AN3689" t="s">
        <v>25735</v>
      </c>
      <c r="AO3689" t="s">
        <v>25736</v>
      </c>
    </row>
    <row r="3690" spans="39:41" ht="12" customHeight="1" x14ac:dyDescent="0.2">
      <c r="AM3690" t="str">
        <f t="shared" si="57"/>
        <v>Dirhami [EEDIR]</v>
      </c>
      <c r="AN3690" t="s">
        <v>9144</v>
      </c>
      <c r="AO3690" t="s">
        <v>9145</v>
      </c>
    </row>
    <row r="3691" spans="39:41" ht="12" customHeight="1" x14ac:dyDescent="0.2">
      <c r="AM3691" t="str">
        <f t="shared" si="57"/>
        <v>District Heights [USJHO]</v>
      </c>
      <c r="AN3691" t="s">
        <v>29563</v>
      </c>
      <c r="AO3691" t="s">
        <v>29564</v>
      </c>
    </row>
    <row r="3692" spans="39:41" ht="12" customHeight="1" x14ac:dyDescent="0.2">
      <c r="AM3692" t="str">
        <f t="shared" si="57"/>
        <v>Dittersdorf [DEDT8]</v>
      </c>
      <c r="AN3692" t="s">
        <v>7281</v>
      </c>
      <c r="AO3692" t="s">
        <v>7282</v>
      </c>
    </row>
    <row r="3693" spans="39:41" ht="12" customHeight="1" x14ac:dyDescent="0.2">
      <c r="AM3693" t="str">
        <f t="shared" si="57"/>
        <v>Ditzum [DEDIT]</v>
      </c>
      <c r="AN3693" t="s">
        <v>7283</v>
      </c>
      <c r="AO3693" t="s">
        <v>7284</v>
      </c>
    </row>
    <row r="3694" spans="39:41" ht="12" customHeight="1" x14ac:dyDescent="0.2">
      <c r="AM3694" t="str">
        <f t="shared" si="57"/>
        <v>Diu [INDIU]</v>
      </c>
      <c r="AN3694" t="s">
        <v>17126</v>
      </c>
      <c r="AO3694" t="s">
        <v>17127</v>
      </c>
    </row>
    <row r="3695" spans="39:41" ht="12" customHeight="1" x14ac:dyDescent="0.2">
      <c r="AM3695" t="str">
        <f t="shared" si="57"/>
        <v>Div [INDIV]</v>
      </c>
      <c r="AN3695" t="s">
        <v>17128</v>
      </c>
      <c r="AO3695" t="s">
        <v>17129</v>
      </c>
    </row>
    <row r="3696" spans="39:41" ht="12" customHeight="1" x14ac:dyDescent="0.2">
      <c r="AM3696" t="str">
        <f t="shared" si="57"/>
        <v>Diviematra [IDDIV]</v>
      </c>
      <c r="AN3696" t="s">
        <v>16245</v>
      </c>
      <c r="AO3696" t="s">
        <v>16246</v>
      </c>
    </row>
    <row r="3697" spans="39:41" ht="12" customHeight="1" x14ac:dyDescent="0.2">
      <c r="AM3697" t="str">
        <f t="shared" si="57"/>
        <v>Divilacan/Aparri [PHDIV]</v>
      </c>
      <c r="AN3697" t="s">
        <v>25737</v>
      </c>
      <c r="AO3697" t="s">
        <v>25738</v>
      </c>
    </row>
    <row r="3698" spans="39:41" ht="12" customHeight="1" x14ac:dyDescent="0.2">
      <c r="AM3698" t="str">
        <f t="shared" si="57"/>
        <v>Divisov [CZDIV]</v>
      </c>
      <c r="AN3698" t="s">
        <v>6814</v>
      </c>
      <c r="AO3698" t="s">
        <v>6815</v>
      </c>
    </row>
    <row r="3699" spans="39:41" ht="12" customHeight="1" x14ac:dyDescent="0.2">
      <c r="AM3699" t="str">
        <f t="shared" si="57"/>
        <v>Divisov [CZDIS]</v>
      </c>
      <c r="AN3699" t="s">
        <v>6816</v>
      </c>
      <c r="AO3699" t="s">
        <v>6815</v>
      </c>
    </row>
    <row r="3700" spans="39:41" ht="12" customHeight="1" x14ac:dyDescent="0.2">
      <c r="AM3700" t="str">
        <f t="shared" si="57"/>
        <v>Djankar [IDDJA]</v>
      </c>
      <c r="AN3700" t="s">
        <v>16247</v>
      </c>
      <c r="AO3700" t="s">
        <v>16248</v>
      </c>
    </row>
    <row r="3701" spans="39:41" ht="12" customHeight="1" x14ac:dyDescent="0.2">
      <c r="AM3701" t="str">
        <f t="shared" si="57"/>
        <v>Djen-Djen [DZDJE]</v>
      </c>
      <c r="AN3701" t="s">
        <v>9055</v>
      </c>
      <c r="AO3701" t="s">
        <v>9056</v>
      </c>
    </row>
    <row r="3702" spans="39:41" ht="12" customHeight="1" x14ac:dyDescent="0.2">
      <c r="AM3702" t="str">
        <f t="shared" si="57"/>
        <v>Djeno Terminal [CGDJE]</v>
      </c>
      <c r="AN3702" t="s">
        <v>4633</v>
      </c>
      <c r="AO3702" t="s">
        <v>4634</v>
      </c>
    </row>
    <row r="3703" spans="39:41" ht="12" customHeight="1" x14ac:dyDescent="0.2">
      <c r="AM3703" t="str">
        <f t="shared" si="57"/>
        <v>Djerba [TNDJE]</v>
      </c>
      <c r="AN3703" t="s">
        <v>28342</v>
      </c>
      <c r="AO3703" t="s">
        <v>28343</v>
      </c>
    </row>
    <row r="3704" spans="39:41" ht="12" customHeight="1" x14ac:dyDescent="0.2">
      <c r="AM3704" t="str">
        <f t="shared" si="57"/>
        <v>Djibouti [DJJIB]</v>
      </c>
      <c r="AN3704" t="s">
        <v>8586</v>
      </c>
      <c r="AO3704" t="s">
        <v>8587</v>
      </c>
    </row>
    <row r="3705" spans="39:41" ht="12" customHeight="1" x14ac:dyDescent="0.2">
      <c r="AM3705" t="str">
        <f t="shared" si="57"/>
        <v>Djibouti [DJPOD]</v>
      </c>
      <c r="AN3705" t="s">
        <v>8588</v>
      </c>
      <c r="AO3705" t="s">
        <v>8587</v>
      </c>
    </row>
    <row r="3706" spans="39:41" ht="12" customHeight="1" x14ac:dyDescent="0.2">
      <c r="AM3706" t="str">
        <f t="shared" ref="AM3706:AM3769" si="58">AO3706 &amp; " [" &amp; AN3706 &amp; "]"</f>
        <v>Djupavik [ISDPV]</v>
      </c>
      <c r="AN3706" t="s">
        <v>17691</v>
      </c>
      <c r="AO3706" t="s">
        <v>17692</v>
      </c>
    </row>
    <row r="3707" spans="39:41" ht="12" customHeight="1" x14ac:dyDescent="0.2">
      <c r="AM3707" t="str">
        <f t="shared" si="58"/>
        <v>Djupivogur [ISDJU]</v>
      </c>
      <c r="AN3707" t="s">
        <v>17693</v>
      </c>
      <c r="AO3707" t="s">
        <v>36041</v>
      </c>
    </row>
    <row r="3708" spans="39:41" ht="12" customHeight="1" x14ac:dyDescent="0.2">
      <c r="AM3708" t="str">
        <f t="shared" si="58"/>
        <v>Djupvik [NODJU]</v>
      </c>
      <c r="AN3708" t="s">
        <v>23979</v>
      </c>
      <c r="AO3708" t="s">
        <v>23980</v>
      </c>
    </row>
    <row r="3709" spans="39:41" ht="12" customHeight="1" x14ac:dyDescent="0.2">
      <c r="AM3709" t="str">
        <f t="shared" si="58"/>
        <v>Djupvik [SEDJP]</v>
      </c>
      <c r="AN3709" t="s">
        <v>27545</v>
      </c>
      <c r="AO3709" t="s">
        <v>23980</v>
      </c>
    </row>
    <row r="3710" spans="39:41" ht="12" customHeight="1" x14ac:dyDescent="0.2">
      <c r="AM3710" t="str">
        <f t="shared" si="58"/>
        <v>Djurmo [SEDJU]</v>
      </c>
      <c r="AN3710" t="s">
        <v>27546</v>
      </c>
      <c r="AO3710" t="s">
        <v>27547</v>
      </c>
    </row>
    <row r="3711" spans="39:41" ht="12" customHeight="1" x14ac:dyDescent="0.2">
      <c r="AM3711" t="str">
        <f t="shared" si="58"/>
        <v>Djuron [SEDJN]</v>
      </c>
      <c r="AN3711" t="s">
        <v>27548</v>
      </c>
      <c r="AO3711" t="s">
        <v>36429</v>
      </c>
    </row>
    <row r="3712" spans="39:41" ht="12" customHeight="1" x14ac:dyDescent="0.2">
      <c r="AM3712" t="str">
        <f t="shared" si="58"/>
        <v>Dneprobugskiy [UADNB]</v>
      </c>
      <c r="AN3712" t="s">
        <v>37186</v>
      </c>
      <c r="AO3712" t="s">
        <v>37187</v>
      </c>
    </row>
    <row r="3713" spans="39:41" ht="12" customHeight="1" x14ac:dyDescent="0.2">
      <c r="AM3713" t="str">
        <f t="shared" si="58"/>
        <v>Doan Xa Terminal [VNDXA]</v>
      </c>
      <c r="AN3713" t="s">
        <v>32353</v>
      </c>
      <c r="AO3713" t="s">
        <v>32354</v>
      </c>
    </row>
    <row r="3714" spans="39:41" ht="12" customHeight="1" x14ac:dyDescent="0.2">
      <c r="AM3714" t="str">
        <f t="shared" si="58"/>
        <v>Dobanovci [RSDOB]</v>
      </c>
      <c r="AN3714" t="s">
        <v>34945</v>
      </c>
      <c r="AO3714" t="s">
        <v>34946</v>
      </c>
    </row>
    <row r="3715" spans="39:41" ht="12" customHeight="1" x14ac:dyDescent="0.2">
      <c r="AM3715" t="str">
        <f t="shared" si="58"/>
        <v>Doberani [EEDOB]</v>
      </c>
      <c r="AN3715" t="s">
        <v>9146</v>
      </c>
      <c r="AO3715" t="s">
        <v>9147</v>
      </c>
    </row>
    <row r="3716" spans="39:41" ht="12" customHeight="1" x14ac:dyDescent="0.2">
      <c r="AM3716" t="str">
        <f t="shared" si="58"/>
        <v>Dobermannsdorf [ATERR]</v>
      </c>
      <c r="AN3716" t="s">
        <v>1177</v>
      </c>
      <c r="AO3716" t="s">
        <v>1178</v>
      </c>
    </row>
    <row r="3717" spans="39:41" ht="12" customHeight="1" x14ac:dyDescent="0.2">
      <c r="AM3717" t="str">
        <f t="shared" si="58"/>
        <v>Dobo [IDDOB]</v>
      </c>
      <c r="AN3717" t="s">
        <v>16249</v>
      </c>
      <c r="AO3717" t="s">
        <v>16250</v>
      </c>
    </row>
    <row r="3718" spans="39:41" ht="12" customHeight="1" x14ac:dyDescent="0.2">
      <c r="AM3718" t="str">
        <f t="shared" si="58"/>
        <v>Dobris [CZDRS]</v>
      </c>
      <c r="AN3718" t="s">
        <v>6817</v>
      </c>
      <c r="AO3718" t="s">
        <v>6818</v>
      </c>
    </row>
    <row r="3719" spans="39:41" ht="12" customHeight="1" x14ac:dyDescent="0.2">
      <c r="AM3719" t="str">
        <f t="shared" si="58"/>
        <v>Dobromerice [CZDRO]</v>
      </c>
      <c r="AN3719" t="s">
        <v>6819</v>
      </c>
      <c r="AO3719" t="s">
        <v>6820</v>
      </c>
    </row>
    <row r="3720" spans="39:41" ht="12" customHeight="1" x14ac:dyDescent="0.2">
      <c r="AM3720" t="str">
        <f t="shared" si="58"/>
        <v>Dobroviz [CZDDD]</v>
      </c>
      <c r="AN3720" t="s">
        <v>6821</v>
      </c>
      <c r="AO3720" t="s">
        <v>6822</v>
      </c>
    </row>
    <row r="3721" spans="39:41" ht="12" customHeight="1" x14ac:dyDescent="0.2">
      <c r="AM3721" t="str">
        <f t="shared" si="58"/>
        <v>Dobrovo [SIDBO]</v>
      </c>
      <c r="AN3721" t="s">
        <v>27998</v>
      </c>
      <c r="AO3721" t="s">
        <v>27999</v>
      </c>
    </row>
    <row r="3722" spans="39:41" ht="12" customHeight="1" x14ac:dyDescent="0.2">
      <c r="AM3722" t="str">
        <f t="shared" si="58"/>
        <v>Dobruska [CZKRB]</v>
      </c>
      <c r="AN3722" t="s">
        <v>6823</v>
      </c>
      <c r="AO3722" t="s">
        <v>6824</v>
      </c>
    </row>
    <row r="3723" spans="39:41" ht="12" customHeight="1" x14ac:dyDescent="0.2">
      <c r="AM3723" t="str">
        <f t="shared" si="58"/>
        <v>Dock Sur [ARDSU]</v>
      </c>
      <c r="AN3723" t="s">
        <v>1019</v>
      </c>
      <c r="AO3723" t="s">
        <v>1020</v>
      </c>
    </row>
    <row r="3724" spans="39:41" ht="12" customHeight="1" x14ac:dyDescent="0.2">
      <c r="AM3724" t="str">
        <f t="shared" si="58"/>
        <v>Dodewaard [NLDWA]</v>
      </c>
      <c r="AN3724" t="s">
        <v>23141</v>
      </c>
      <c r="AO3724" t="s">
        <v>23142</v>
      </c>
    </row>
    <row r="3725" spans="39:41" ht="12" customHeight="1" x14ac:dyDescent="0.2">
      <c r="AM3725" t="str">
        <f t="shared" si="58"/>
        <v>Doel [BEDEL]</v>
      </c>
      <c r="AN3725" t="s">
        <v>2397</v>
      </c>
      <c r="AO3725" t="s">
        <v>2398</v>
      </c>
    </row>
    <row r="3726" spans="39:41" ht="12" customHeight="1" x14ac:dyDescent="0.2">
      <c r="AM3726" t="str">
        <f t="shared" si="58"/>
        <v>Doesburg [NLDOE]</v>
      </c>
      <c r="AN3726" t="s">
        <v>33874</v>
      </c>
      <c r="AO3726" t="s">
        <v>33996</v>
      </c>
    </row>
    <row r="3727" spans="39:41" ht="12" customHeight="1" x14ac:dyDescent="0.2">
      <c r="AM3727" t="str">
        <f t="shared" si="58"/>
        <v>Doetinchem [NLDOI]</v>
      </c>
      <c r="AN3727" t="s">
        <v>33875</v>
      </c>
      <c r="AO3727" t="s">
        <v>33997</v>
      </c>
    </row>
    <row r="3728" spans="39:41" ht="12" customHeight="1" x14ac:dyDescent="0.2">
      <c r="AM3728" t="str">
        <f t="shared" si="58"/>
        <v>Doha [QADOH]</v>
      </c>
      <c r="AN3728" t="s">
        <v>26693</v>
      </c>
      <c r="AO3728" t="s">
        <v>26694</v>
      </c>
    </row>
    <row r="3729" spans="39:41" ht="12" customHeight="1" x14ac:dyDescent="0.2">
      <c r="AM3729" t="str">
        <f t="shared" si="58"/>
        <v>Dohshiro [JPDSR]</v>
      </c>
      <c r="AN3729" t="s">
        <v>18706</v>
      </c>
      <c r="AO3729" t="s">
        <v>18707</v>
      </c>
    </row>
    <row r="3730" spans="39:41" ht="12" customHeight="1" x14ac:dyDescent="0.2">
      <c r="AM3730" t="str">
        <f t="shared" si="58"/>
        <v>Dohzaki [JPDZK]</v>
      </c>
      <c r="AN3730" t="s">
        <v>18708</v>
      </c>
      <c r="AO3730" t="s">
        <v>18709</v>
      </c>
    </row>
    <row r="3731" spans="39:41" ht="12" customHeight="1" x14ac:dyDescent="0.2">
      <c r="AM3731" t="str">
        <f t="shared" si="58"/>
        <v>Dokdo [KRDDO]</v>
      </c>
      <c r="AN3731" t="s">
        <v>21630</v>
      </c>
      <c r="AO3731" t="s">
        <v>21631</v>
      </c>
    </row>
    <row r="3732" spans="39:41" ht="12" customHeight="1" x14ac:dyDescent="0.2">
      <c r="AM3732" t="str">
        <f t="shared" si="58"/>
        <v>Dokkum [NLDOK]</v>
      </c>
      <c r="AN3732" t="s">
        <v>23143</v>
      </c>
      <c r="AO3732" t="s">
        <v>23144</v>
      </c>
    </row>
    <row r="3733" spans="39:41" ht="12" customHeight="1" x14ac:dyDescent="0.2">
      <c r="AM3733" t="str">
        <f t="shared" si="58"/>
        <v>Dolgeville [USQDY]</v>
      </c>
      <c r="AN3733" t="s">
        <v>29565</v>
      </c>
      <c r="AO3733" t="s">
        <v>29566</v>
      </c>
    </row>
    <row r="3734" spans="39:41" ht="12" customHeight="1" x14ac:dyDescent="0.2">
      <c r="AM3734" t="str">
        <f t="shared" si="58"/>
        <v>Dolmoy [NODOL]</v>
      </c>
      <c r="AN3734" t="s">
        <v>23981</v>
      </c>
      <c r="AO3734" t="s">
        <v>36151</v>
      </c>
    </row>
    <row r="3735" spans="39:41" ht="12" customHeight="1" x14ac:dyDescent="0.2">
      <c r="AM3735" t="str">
        <f t="shared" si="58"/>
        <v>Dolni Benesov [CZDOB]</v>
      </c>
      <c r="AN3735" t="s">
        <v>6825</v>
      </c>
      <c r="AO3735" t="s">
        <v>35398</v>
      </c>
    </row>
    <row r="3736" spans="39:41" ht="12" customHeight="1" x14ac:dyDescent="0.2">
      <c r="AM3736" t="str">
        <f t="shared" si="58"/>
        <v>Dolni Berkovice [CZBBE]</v>
      </c>
      <c r="AN3736" t="s">
        <v>6826</v>
      </c>
      <c r="AO3736" t="s">
        <v>35399</v>
      </c>
    </row>
    <row r="3737" spans="39:41" ht="12" customHeight="1" x14ac:dyDescent="0.2">
      <c r="AM3737" t="str">
        <f t="shared" si="58"/>
        <v>Dolni Jircany [CZSK5]</v>
      </c>
      <c r="AN3737" t="s">
        <v>6827</v>
      </c>
      <c r="AO3737" t="s">
        <v>35400</v>
      </c>
    </row>
    <row r="3738" spans="39:41" ht="12" customHeight="1" x14ac:dyDescent="0.2">
      <c r="AM3738" t="str">
        <f t="shared" si="58"/>
        <v>Dolni Lhota [CZDOL]</v>
      </c>
      <c r="AN3738" t="s">
        <v>6828</v>
      </c>
      <c r="AO3738" t="s">
        <v>35401</v>
      </c>
    </row>
    <row r="3739" spans="39:41" ht="12" customHeight="1" x14ac:dyDescent="0.2">
      <c r="AM3739" t="str">
        <f t="shared" si="58"/>
        <v>Dolores [USZDE]</v>
      </c>
      <c r="AN3739" t="s">
        <v>29567</v>
      </c>
      <c r="AO3739" t="s">
        <v>29568</v>
      </c>
    </row>
    <row r="3740" spans="39:41" ht="12" customHeight="1" x14ac:dyDescent="0.2">
      <c r="AM3740" t="str">
        <f t="shared" si="58"/>
        <v>Dolores Hidalgo [MXDHD]</v>
      </c>
      <c r="AN3740" t="s">
        <v>22350</v>
      </c>
      <c r="AO3740" t="s">
        <v>22351</v>
      </c>
    </row>
    <row r="3741" spans="39:41" ht="12" customHeight="1" x14ac:dyDescent="0.2">
      <c r="AM3741" t="str">
        <f t="shared" si="58"/>
        <v>Dolzig [DELZ6]</v>
      </c>
      <c r="AN3741" t="s">
        <v>7285</v>
      </c>
      <c r="AO3741" t="s">
        <v>35429</v>
      </c>
    </row>
    <row r="3742" spans="39:41" ht="12" customHeight="1" x14ac:dyDescent="0.2">
      <c r="AM3742" t="str">
        <f t="shared" si="58"/>
        <v>Domaljevac [BADOJ]</v>
      </c>
      <c r="AN3742" t="s">
        <v>2168</v>
      </c>
      <c r="AO3742" t="s">
        <v>2169</v>
      </c>
    </row>
    <row r="3743" spans="39:41" ht="12" customHeight="1" x14ac:dyDescent="0.2">
      <c r="AM3743" t="str">
        <f t="shared" si="58"/>
        <v>Dombe Grande [AODGR]</v>
      </c>
      <c r="AN3743" t="s">
        <v>845</v>
      </c>
      <c r="AO3743" t="s">
        <v>846</v>
      </c>
    </row>
    <row r="3744" spans="39:41" ht="12" customHeight="1" x14ac:dyDescent="0.2">
      <c r="AM3744" t="str">
        <f t="shared" si="58"/>
        <v>Dombraina Boiotias [GRDMB]</v>
      </c>
      <c r="AN3744" t="s">
        <v>15176</v>
      </c>
      <c r="AO3744" t="s">
        <v>15177</v>
      </c>
    </row>
    <row r="3745" spans="39:41" ht="12" customHeight="1" x14ac:dyDescent="0.2">
      <c r="AM3745" t="str">
        <f t="shared" si="58"/>
        <v>Dombuhl [DEDE3]</v>
      </c>
      <c r="AN3745" t="s">
        <v>7286</v>
      </c>
      <c r="AO3745" t="s">
        <v>35430</v>
      </c>
    </row>
    <row r="3746" spans="39:41" ht="12" customHeight="1" x14ac:dyDescent="0.2">
      <c r="AM3746" t="str">
        <f t="shared" si="58"/>
        <v>Domburg [NLDBR]</v>
      </c>
      <c r="AN3746" t="s">
        <v>23145</v>
      </c>
      <c r="AO3746" t="s">
        <v>23146</v>
      </c>
    </row>
    <row r="3747" spans="39:41" ht="12" customHeight="1" x14ac:dyDescent="0.2">
      <c r="AM3747" t="str">
        <f t="shared" si="58"/>
        <v>Dom-le-Mesnil [FRDML]</v>
      </c>
      <c r="AN3747" t="s">
        <v>11238</v>
      </c>
      <c r="AO3747" t="s">
        <v>11239</v>
      </c>
    </row>
    <row r="3748" spans="39:41" ht="12" customHeight="1" x14ac:dyDescent="0.2">
      <c r="AM3748" t="str">
        <f t="shared" si="58"/>
        <v>Domsjo [SEDOM]</v>
      </c>
      <c r="AN3748" t="s">
        <v>27549</v>
      </c>
      <c r="AO3748" t="s">
        <v>36430</v>
      </c>
    </row>
    <row r="3749" spans="39:41" ht="12" customHeight="1" x14ac:dyDescent="0.2">
      <c r="AM3749" t="str">
        <f t="shared" si="58"/>
        <v>Donaghadee [GBDHD]</v>
      </c>
      <c r="AN3749" t="s">
        <v>13008</v>
      </c>
      <c r="AO3749" t="s">
        <v>13009</v>
      </c>
    </row>
    <row r="3750" spans="39:41" ht="12" customHeight="1" x14ac:dyDescent="0.2">
      <c r="AM3750" t="str">
        <f t="shared" si="58"/>
        <v>Donalsonville [USDSL]</v>
      </c>
      <c r="AN3750" t="s">
        <v>29569</v>
      </c>
      <c r="AO3750" t="s">
        <v>29570</v>
      </c>
    </row>
    <row r="3751" spans="39:41" ht="12" customHeight="1" x14ac:dyDescent="0.2">
      <c r="AM3751" t="str">
        <f t="shared" si="58"/>
        <v>Donauworth [DEDOW]</v>
      </c>
      <c r="AN3751" t="s">
        <v>7287</v>
      </c>
      <c r="AO3751" t="s">
        <v>35431</v>
      </c>
    </row>
    <row r="3752" spans="39:41" ht="12" customHeight="1" x14ac:dyDescent="0.2">
      <c r="AM3752" t="str">
        <f t="shared" si="58"/>
        <v>Donegal [IECFN]</v>
      </c>
      <c r="AN3752" t="s">
        <v>16776</v>
      </c>
      <c r="AO3752" t="s">
        <v>16777</v>
      </c>
    </row>
    <row r="3753" spans="39:41" ht="12" customHeight="1" x14ac:dyDescent="0.2">
      <c r="AM3753" t="str">
        <f t="shared" si="58"/>
        <v>Dong Hai [VNDN3]</v>
      </c>
      <c r="AN3753" t="s">
        <v>32355</v>
      </c>
      <c r="AO3753" t="s">
        <v>36596</v>
      </c>
    </row>
    <row r="3754" spans="39:41" ht="12" customHeight="1" x14ac:dyDescent="0.2">
      <c r="AM3754" t="str">
        <f t="shared" si="58"/>
        <v>Dong Hoi [VNDOH]</v>
      </c>
      <c r="AN3754" t="s">
        <v>32356</v>
      </c>
      <c r="AO3754" t="s">
        <v>32357</v>
      </c>
    </row>
    <row r="3755" spans="39:41" ht="12" customHeight="1" x14ac:dyDescent="0.2">
      <c r="AM3755" t="str">
        <f t="shared" si="58"/>
        <v>Dong Nai [VNDNA]</v>
      </c>
      <c r="AN3755" t="s">
        <v>32358</v>
      </c>
      <c r="AO3755" t="s">
        <v>32359</v>
      </c>
    </row>
    <row r="3756" spans="39:41" ht="12" customHeight="1" x14ac:dyDescent="0.2">
      <c r="AM3756" t="str">
        <f t="shared" si="58"/>
        <v>Dong Thap [VNDTH]</v>
      </c>
      <c r="AN3756" t="s">
        <v>32360</v>
      </c>
      <c r="AO3756" t="s">
        <v>32361</v>
      </c>
    </row>
    <row r="3757" spans="39:41" ht="12" customHeight="1" x14ac:dyDescent="0.2">
      <c r="AM3757" t="str">
        <f t="shared" si="58"/>
        <v>Dong Xuyen Port [VNDXN]</v>
      </c>
      <c r="AN3757" t="s">
        <v>32362</v>
      </c>
      <c r="AO3757" t="s">
        <v>32363</v>
      </c>
    </row>
    <row r="3758" spans="39:41" ht="12" customHeight="1" x14ac:dyDescent="0.2">
      <c r="AM3758" t="str">
        <f t="shared" si="58"/>
        <v>Dongbang [CNDBG]</v>
      </c>
      <c r="AN3758" t="s">
        <v>5231</v>
      </c>
      <c r="AO3758" t="s">
        <v>5232</v>
      </c>
    </row>
    <row r="3759" spans="39:41" ht="12" customHeight="1" x14ac:dyDescent="0.2">
      <c r="AM3759" t="str">
        <f t="shared" si="58"/>
        <v>Dongdaiwan [CNDDW]</v>
      </c>
      <c r="AN3759" t="s">
        <v>5233</v>
      </c>
      <c r="AO3759" t="s">
        <v>5234</v>
      </c>
    </row>
    <row r="3760" spans="39:41" ht="12" customHeight="1" x14ac:dyDescent="0.2">
      <c r="AM3760" t="str">
        <f t="shared" si="58"/>
        <v>Dongen [NLDON]</v>
      </c>
      <c r="AN3760" t="s">
        <v>33876</v>
      </c>
      <c r="AO3760" t="s">
        <v>33998</v>
      </c>
    </row>
    <row r="3761" spans="39:41" ht="12" customHeight="1" x14ac:dyDescent="0.2">
      <c r="AM3761" t="str">
        <f t="shared" si="58"/>
        <v>Donges [FRDON]</v>
      </c>
      <c r="AN3761" t="s">
        <v>11240</v>
      </c>
      <c r="AO3761" t="s">
        <v>11241</v>
      </c>
    </row>
    <row r="3762" spans="39:41" ht="12" customHeight="1" x14ac:dyDescent="0.2">
      <c r="AM3762" t="str">
        <f t="shared" si="58"/>
        <v>Dongfang [CNDFA]</v>
      </c>
      <c r="AN3762" t="s">
        <v>5235</v>
      </c>
      <c r="AO3762" t="s">
        <v>5236</v>
      </c>
    </row>
    <row r="3763" spans="39:41" ht="12" customHeight="1" x14ac:dyDescent="0.2">
      <c r="AM3763" t="str">
        <f t="shared" si="58"/>
        <v>Dongfeng [CNDFN]</v>
      </c>
      <c r="AN3763" t="s">
        <v>5237</v>
      </c>
      <c r="AO3763" t="s">
        <v>5238</v>
      </c>
    </row>
    <row r="3764" spans="39:41" ht="12" customHeight="1" x14ac:dyDescent="0.2">
      <c r="AM3764" t="str">
        <f t="shared" si="58"/>
        <v>Donggang [CNDGN]</v>
      </c>
      <c r="AN3764" t="s">
        <v>5239</v>
      </c>
      <c r="AO3764" t="s">
        <v>5240</v>
      </c>
    </row>
    <row r="3765" spans="39:41" ht="12" customHeight="1" x14ac:dyDescent="0.2">
      <c r="AM3765" t="str">
        <f t="shared" si="58"/>
        <v>Donggi [IDDOG]</v>
      </c>
      <c r="AN3765" t="s">
        <v>16251</v>
      </c>
      <c r="AO3765" t="s">
        <v>16252</v>
      </c>
    </row>
    <row r="3766" spans="39:41" ht="12" customHeight="1" x14ac:dyDescent="0.2">
      <c r="AM3766" t="str">
        <f t="shared" si="58"/>
        <v>Donggu [CNDGU]</v>
      </c>
      <c r="AN3766" t="s">
        <v>5241</v>
      </c>
      <c r="AO3766" t="s">
        <v>5242</v>
      </c>
    </row>
    <row r="3767" spans="39:41" ht="12" customHeight="1" x14ac:dyDescent="0.2">
      <c r="AM3767" t="str">
        <f t="shared" si="58"/>
        <v>Dongguan Pt [CNDGG]</v>
      </c>
      <c r="AN3767" t="s">
        <v>5243</v>
      </c>
      <c r="AO3767" t="s">
        <v>5244</v>
      </c>
    </row>
    <row r="3768" spans="39:41" ht="12" customHeight="1" x14ac:dyDescent="0.2">
      <c r="AM3768" t="str">
        <f t="shared" si="58"/>
        <v>Donghae [KRTGH]</v>
      </c>
      <c r="AN3768" t="s">
        <v>21632</v>
      </c>
      <c r="AO3768" t="s">
        <v>21633</v>
      </c>
    </row>
    <row r="3769" spans="39:41" ht="12" customHeight="1" x14ac:dyDescent="0.2">
      <c r="AM3769" t="str">
        <f t="shared" si="58"/>
        <v>Donghai [CNDNG]</v>
      </c>
      <c r="AN3769" t="s">
        <v>5245</v>
      </c>
      <c r="AO3769" t="s">
        <v>5246</v>
      </c>
    </row>
    <row r="3770" spans="39:41" ht="12" customHeight="1" x14ac:dyDescent="0.2">
      <c r="AM3770" t="str">
        <f t="shared" ref="AM3770:AM3833" si="59">AO3770 &amp; " [" &amp; AN3770 &amp; "]"</f>
        <v>Dongjiang Port Area [CNDJG]</v>
      </c>
      <c r="AN3770" t="s">
        <v>5247</v>
      </c>
      <c r="AO3770" t="s">
        <v>5248</v>
      </c>
    </row>
    <row r="3771" spans="39:41" ht="12" customHeight="1" x14ac:dyDescent="0.2">
      <c r="AM3771" t="str">
        <f t="shared" si="59"/>
        <v>Dongjiangkou [CNDJK]</v>
      </c>
      <c r="AN3771" t="s">
        <v>5249</v>
      </c>
      <c r="AO3771" t="s">
        <v>5250</v>
      </c>
    </row>
    <row r="3772" spans="39:41" ht="12" customHeight="1" x14ac:dyDescent="0.2">
      <c r="AM3772" t="str">
        <f t="shared" si="59"/>
        <v>Dongjiaotou Pt [CNDJT]</v>
      </c>
      <c r="AN3772" t="s">
        <v>5251</v>
      </c>
      <c r="AO3772" t="s">
        <v>5252</v>
      </c>
    </row>
    <row r="3773" spans="39:41" ht="12" customHeight="1" x14ac:dyDescent="0.2">
      <c r="AM3773" t="str">
        <f t="shared" si="59"/>
        <v>Donglian Port [CNDOP]</v>
      </c>
      <c r="AN3773" t="s">
        <v>5253</v>
      </c>
      <c r="AO3773" t="s">
        <v>5254</v>
      </c>
    </row>
    <row r="3774" spans="39:41" ht="12" customHeight="1" x14ac:dyDescent="0.2">
      <c r="AM3774" t="str">
        <f t="shared" si="59"/>
        <v>Dongliu [CNDLI]</v>
      </c>
      <c r="AN3774" t="s">
        <v>5255</v>
      </c>
      <c r="AO3774" t="s">
        <v>5256</v>
      </c>
    </row>
    <row r="3775" spans="39:41" ht="12" customHeight="1" x14ac:dyDescent="0.2">
      <c r="AM3775" t="str">
        <f t="shared" si="59"/>
        <v>Dongping [CNDGP]</v>
      </c>
      <c r="AN3775" t="s">
        <v>5257</v>
      </c>
      <c r="AO3775" t="s">
        <v>5258</v>
      </c>
    </row>
    <row r="3776" spans="39:41" ht="12" customHeight="1" x14ac:dyDescent="0.2">
      <c r="AM3776" t="str">
        <f t="shared" si="59"/>
        <v>Dongshan Pt [CNDSN]</v>
      </c>
      <c r="AN3776" t="s">
        <v>5259</v>
      </c>
      <c r="AO3776" t="s">
        <v>5260</v>
      </c>
    </row>
    <row r="3777" spans="39:41" ht="12" customHeight="1" x14ac:dyDescent="0.2">
      <c r="AM3777" t="str">
        <f t="shared" si="59"/>
        <v>Dongshi [CNDSH]</v>
      </c>
      <c r="AN3777" t="s">
        <v>5261</v>
      </c>
      <c r="AO3777" t="s">
        <v>5262</v>
      </c>
    </row>
    <row r="3778" spans="39:41" ht="12" customHeight="1" x14ac:dyDescent="0.2">
      <c r="AM3778" t="str">
        <f t="shared" si="59"/>
        <v>Dongshi [CNDSI]</v>
      </c>
      <c r="AN3778" t="s">
        <v>5263</v>
      </c>
      <c r="AO3778" t="s">
        <v>5262</v>
      </c>
    </row>
    <row r="3779" spans="39:41" ht="12" customHeight="1" x14ac:dyDescent="0.2">
      <c r="AM3779" t="str">
        <f t="shared" si="59"/>
        <v>Dongsunba [CNDSB]</v>
      </c>
      <c r="AN3779" t="s">
        <v>5264</v>
      </c>
      <c r="AO3779" t="s">
        <v>5265</v>
      </c>
    </row>
    <row r="3780" spans="39:41" ht="12" customHeight="1" x14ac:dyDescent="0.2">
      <c r="AM3780" t="str">
        <f t="shared" si="59"/>
        <v>Dongxing [CNDOX]</v>
      </c>
      <c r="AN3780" t="s">
        <v>5266</v>
      </c>
      <c r="AO3780" t="s">
        <v>5267</v>
      </c>
    </row>
    <row r="3781" spans="39:41" ht="12" customHeight="1" x14ac:dyDescent="0.2">
      <c r="AM3781" t="str">
        <f t="shared" si="59"/>
        <v>Dongying Pt [CNDYN]</v>
      </c>
      <c r="AN3781" t="s">
        <v>5268</v>
      </c>
      <c r="AO3781" t="s">
        <v>5269</v>
      </c>
    </row>
    <row r="3782" spans="39:41" ht="12" customHeight="1" x14ac:dyDescent="0.2">
      <c r="AM3782" t="str">
        <f t="shared" si="59"/>
        <v>Dongzhang [CNDOZ]</v>
      </c>
      <c r="AN3782" t="s">
        <v>5270</v>
      </c>
      <c r="AO3782" t="s">
        <v>5271</v>
      </c>
    </row>
    <row r="3783" spans="39:41" ht="12" customHeight="1" x14ac:dyDescent="0.2">
      <c r="AM3783" t="str">
        <f t="shared" si="59"/>
        <v>Doniphan [USDPH]</v>
      </c>
      <c r="AN3783" t="s">
        <v>29571</v>
      </c>
      <c r="AO3783" t="s">
        <v>29572</v>
      </c>
    </row>
    <row r="3784" spans="39:41" ht="12" customHeight="1" x14ac:dyDescent="0.2">
      <c r="AM3784" t="str">
        <f t="shared" si="59"/>
        <v>Donje Celo [HRDNC]</v>
      </c>
      <c r="AN3784" t="s">
        <v>15730</v>
      </c>
      <c r="AO3784" t="s">
        <v>15731</v>
      </c>
    </row>
    <row r="3785" spans="39:41" ht="12" customHeight="1" x14ac:dyDescent="0.2">
      <c r="AM3785" t="str">
        <f t="shared" si="59"/>
        <v>Donna [NODON]</v>
      </c>
      <c r="AN3785" t="s">
        <v>23982</v>
      </c>
      <c r="AO3785" t="s">
        <v>36152</v>
      </c>
    </row>
    <row r="3786" spans="39:41" ht="12" customHeight="1" x14ac:dyDescent="0.2">
      <c r="AM3786" t="str">
        <f t="shared" si="59"/>
        <v>Donnerskirchen [ATNNN]</v>
      </c>
      <c r="AN3786" t="s">
        <v>1179</v>
      </c>
      <c r="AO3786" t="s">
        <v>1180</v>
      </c>
    </row>
    <row r="3787" spans="39:41" ht="12" customHeight="1" x14ac:dyDescent="0.2">
      <c r="AM3787" t="str">
        <f t="shared" si="59"/>
        <v>Donousa Kykladon [GRDON]</v>
      </c>
      <c r="AN3787" t="s">
        <v>15178</v>
      </c>
      <c r="AO3787" t="s">
        <v>15179</v>
      </c>
    </row>
    <row r="3788" spans="39:41" ht="12" customHeight="1" x14ac:dyDescent="0.2">
      <c r="AM3788" t="str">
        <f t="shared" si="59"/>
        <v>Donso [SEDON]</v>
      </c>
      <c r="AN3788" t="s">
        <v>27550</v>
      </c>
      <c r="AO3788" t="s">
        <v>36431</v>
      </c>
    </row>
    <row r="3789" spans="39:41" ht="12" customHeight="1" x14ac:dyDescent="0.2">
      <c r="AM3789" t="str">
        <f t="shared" si="59"/>
        <v>Doodstil [NLDSI]</v>
      </c>
      <c r="AN3789" t="s">
        <v>23147</v>
      </c>
      <c r="AO3789" t="s">
        <v>23148</v>
      </c>
    </row>
    <row r="3790" spans="39:41" ht="12" customHeight="1" x14ac:dyDescent="0.2">
      <c r="AM3790" t="str">
        <f t="shared" si="59"/>
        <v>Doornik (Tournai) [BETRN]</v>
      </c>
      <c r="AN3790" t="s">
        <v>2399</v>
      </c>
      <c r="AO3790" t="s">
        <v>2400</v>
      </c>
    </row>
    <row r="3791" spans="39:41" ht="12" customHeight="1" x14ac:dyDescent="0.2">
      <c r="AM3791" t="str">
        <f t="shared" si="59"/>
        <v>Dora [LBDRA]</v>
      </c>
      <c r="AN3791" t="s">
        <v>21792</v>
      </c>
      <c r="AO3791" t="s">
        <v>21793</v>
      </c>
    </row>
    <row r="3792" spans="39:41" ht="12" customHeight="1" x14ac:dyDescent="0.2">
      <c r="AM3792" t="str">
        <f t="shared" si="59"/>
        <v>Doraleh Container Terminal [DJDCT]</v>
      </c>
      <c r="AN3792" t="s">
        <v>8589</v>
      </c>
      <c r="AO3792" t="s">
        <v>8590</v>
      </c>
    </row>
    <row r="3793" spans="39:41" ht="12" customHeight="1" x14ac:dyDescent="0.2">
      <c r="AM3793" t="str">
        <f t="shared" si="59"/>
        <v>Dorchester [CADCS]</v>
      </c>
      <c r="AN3793" t="s">
        <v>3814</v>
      </c>
      <c r="AO3793" t="s">
        <v>3815</v>
      </c>
    </row>
    <row r="3794" spans="39:41" ht="12" customHeight="1" x14ac:dyDescent="0.2">
      <c r="AM3794" t="str">
        <f t="shared" si="59"/>
        <v>Dorchester [USDZM]</v>
      </c>
      <c r="AN3794" t="s">
        <v>29573</v>
      </c>
      <c r="AO3794" t="s">
        <v>3815</v>
      </c>
    </row>
    <row r="3795" spans="39:41" ht="12" customHeight="1" x14ac:dyDescent="0.2">
      <c r="AM3795" t="str">
        <f t="shared" si="59"/>
        <v>Dordrecht [NLDOR]</v>
      </c>
      <c r="AN3795" t="s">
        <v>23149</v>
      </c>
      <c r="AO3795" t="s">
        <v>23150</v>
      </c>
    </row>
    <row r="3796" spans="39:41" ht="12" customHeight="1" x14ac:dyDescent="0.2">
      <c r="AM3796" t="str">
        <f t="shared" si="59"/>
        <v>Dorenthe [DEDNT]</v>
      </c>
      <c r="AN3796" t="s">
        <v>7288</v>
      </c>
      <c r="AO3796" t="s">
        <v>7289</v>
      </c>
    </row>
    <row r="3797" spans="39:41" ht="12" customHeight="1" x14ac:dyDescent="0.2">
      <c r="AM3797" t="str">
        <f t="shared" si="59"/>
        <v>Dormagen [DEDMG]</v>
      </c>
      <c r="AN3797" t="s">
        <v>7290</v>
      </c>
      <c r="AO3797" t="s">
        <v>7291</v>
      </c>
    </row>
    <row r="3798" spans="39:41" ht="12" customHeight="1" x14ac:dyDescent="0.2">
      <c r="AM3798" t="str">
        <f t="shared" si="59"/>
        <v>Dormans [FRDMS]</v>
      </c>
      <c r="AN3798" t="s">
        <v>11242</v>
      </c>
      <c r="AO3798" t="s">
        <v>11243</v>
      </c>
    </row>
    <row r="3799" spans="39:41" ht="12" customHeight="1" x14ac:dyDescent="0.2">
      <c r="AM3799" t="str">
        <f t="shared" si="59"/>
        <v>Dornach [DERKQ]</v>
      </c>
      <c r="AN3799" t="s">
        <v>7292</v>
      </c>
      <c r="AO3799" t="s">
        <v>7293</v>
      </c>
    </row>
    <row r="3800" spans="39:41" ht="12" customHeight="1" x14ac:dyDescent="0.2">
      <c r="AM3800" t="str">
        <f t="shared" si="59"/>
        <v>Dornbusch [DEDOB]</v>
      </c>
      <c r="AN3800" t="s">
        <v>7294</v>
      </c>
      <c r="AO3800" t="s">
        <v>7295</v>
      </c>
    </row>
    <row r="3801" spans="39:41" ht="12" customHeight="1" x14ac:dyDescent="0.2">
      <c r="AM3801" t="str">
        <f t="shared" si="59"/>
        <v>Dorp Rincon [BQRIN]</v>
      </c>
      <c r="AN3801" t="s">
        <v>3239</v>
      </c>
      <c r="AO3801" t="s">
        <v>35286</v>
      </c>
    </row>
    <row r="3802" spans="39:41" ht="12" customHeight="1" x14ac:dyDescent="0.2">
      <c r="AM3802" t="str">
        <f t="shared" si="59"/>
        <v>Dorpen [DEDRP]</v>
      </c>
      <c r="AN3802" t="s">
        <v>7296</v>
      </c>
      <c r="AO3802" t="s">
        <v>35432</v>
      </c>
    </row>
    <row r="3803" spans="39:41" ht="12" customHeight="1" x14ac:dyDescent="0.2">
      <c r="AM3803" t="str">
        <f t="shared" si="59"/>
        <v>Dorsten [DEDON]</v>
      </c>
      <c r="AN3803" t="s">
        <v>7297</v>
      </c>
      <c r="AO3803" t="s">
        <v>7298</v>
      </c>
    </row>
    <row r="3804" spans="39:41" ht="12" customHeight="1" x14ac:dyDescent="0.2">
      <c r="AM3804" t="str">
        <f t="shared" si="59"/>
        <v>Dortmund [DEDTM]</v>
      </c>
      <c r="AN3804" t="s">
        <v>7299</v>
      </c>
      <c r="AO3804" t="s">
        <v>7300</v>
      </c>
    </row>
    <row r="3805" spans="39:41" ht="12" customHeight="1" x14ac:dyDescent="0.2">
      <c r="AM3805" t="str">
        <f t="shared" si="59"/>
        <v>Dortyol [TRDYL]</v>
      </c>
      <c r="AN3805" t="s">
        <v>28452</v>
      </c>
      <c r="AO3805" t="s">
        <v>36570</v>
      </c>
    </row>
    <row r="3806" spans="39:41" ht="12" customHeight="1" x14ac:dyDescent="0.2">
      <c r="AM3806" t="str">
        <f t="shared" si="59"/>
        <v>Dorverden [DEDVE]</v>
      </c>
      <c r="AN3806" t="s">
        <v>7301</v>
      </c>
      <c r="AO3806" t="s">
        <v>35433</v>
      </c>
    </row>
    <row r="3807" spans="39:41" ht="12" customHeight="1" x14ac:dyDescent="0.2">
      <c r="AM3807" t="str">
        <f t="shared" si="59"/>
        <v>Dos Aguas [ESDAG]</v>
      </c>
      <c r="AN3807" t="s">
        <v>9749</v>
      </c>
      <c r="AO3807" t="s">
        <v>9750</v>
      </c>
    </row>
    <row r="3808" spans="39:41" ht="12" customHeight="1" x14ac:dyDescent="0.2">
      <c r="AM3808" t="str">
        <f t="shared" si="59"/>
        <v>Dos Bocas Terminal [MXDBT]</v>
      </c>
      <c r="AN3808" t="s">
        <v>22352</v>
      </c>
      <c r="AO3808" t="s">
        <v>22353</v>
      </c>
    </row>
    <row r="3809" spans="39:41" ht="12" customHeight="1" x14ac:dyDescent="0.2">
      <c r="AM3809" t="str">
        <f t="shared" si="59"/>
        <v>Dottingen [CHDOT]</v>
      </c>
      <c r="AN3809" t="s">
        <v>4682</v>
      </c>
      <c r="AO3809" t="s">
        <v>35340</v>
      </c>
    </row>
    <row r="3810" spans="39:41" ht="12" customHeight="1" x14ac:dyDescent="0.2">
      <c r="AM3810" t="str">
        <f t="shared" si="59"/>
        <v>Douala [CMDLA]</v>
      </c>
      <c r="AN3810" t="s">
        <v>4996</v>
      </c>
      <c r="AO3810" t="s">
        <v>4997</v>
      </c>
    </row>
    <row r="3811" spans="39:41" ht="12" customHeight="1" x14ac:dyDescent="0.2">
      <c r="AM3811" t="str">
        <f t="shared" si="59"/>
        <v>Douarnenez [FRDRZ]</v>
      </c>
      <c r="AN3811" t="s">
        <v>11244</v>
      </c>
      <c r="AO3811" t="s">
        <v>11245</v>
      </c>
    </row>
    <row r="3812" spans="39:41" ht="12" customHeight="1" x14ac:dyDescent="0.2">
      <c r="AM3812" t="str">
        <f t="shared" si="59"/>
        <v>Douglas [IMDGS]</v>
      </c>
      <c r="AN3812" t="s">
        <v>16987</v>
      </c>
      <c r="AO3812" t="s">
        <v>16988</v>
      </c>
    </row>
    <row r="3813" spans="39:41" ht="12" customHeight="1" x14ac:dyDescent="0.2">
      <c r="AM3813" t="str">
        <f t="shared" si="59"/>
        <v>Douglas, Allegan [USDOG]</v>
      </c>
      <c r="AN3813" t="s">
        <v>29574</v>
      </c>
      <c r="AO3813" t="s">
        <v>29575</v>
      </c>
    </row>
    <row r="3814" spans="39:41" ht="12" customHeight="1" x14ac:dyDescent="0.2">
      <c r="AM3814" t="str">
        <f t="shared" si="59"/>
        <v>Douhudi [CNDHD]</v>
      </c>
      <c r="AN3814" t="s">
        <v>5272</v>
      </c>
      <c r="AO3814" t="s">
        <v>5273</v>
      </c>
    </row>
    <row r="3815" spans="39:41" ht="12" customHeight="1" x14ac:dyDescent="0.2">
      <c r="AM3815" t="str">
        <f t="shared" si="59"/>
        <v>Doumen Pt [CNDOU]</v>
      </c>
      <c r="AN3815" t="s">
        <v>5274</v>
      </c>
      <c r="AO3815" t="s">
        <v>5275</v>
      </c>
    </row>
    <row r="3816" spans="39:41" ht="12" customHeight="1" x14ac:dyDescent="0.2">
      <c r="AM3816" t="str">
        <f t="shared" si="59"/>
        <v>Douro [PTDOU]</v>
      </c>
      <c r="AN3816" t="s">
        <v>26493</v>
      </c>
      <c r="AO3816" t="s">
        <v>26494</v>
      </c>
    </row>
    <row r="3817" spans="39:41" ht="12" customHeight="1" x14ac:dyDescent="0.2">
      <c r="AM3817" t="str">
        <f t="shared" si="59"/>
        <v>Dover [GBDVR]</v>
      </c>
      <c r="AN3817" t="s">
        <v>13010</v>
      </c>
      <c r="AO3817" t="s">
        <v>13011</v>
      </c>
    </row>
    <row r="3818" spans="39:41" ht="12" customHeight="1" x14ac:dyDescent="0.2">
      <c r="AM3818" t="str">
        <f t="shared" si="59"/>
        <v>Downsville [USDWQ]</v>
      </c>
      <c r="AN3818" t="s">
        <v>29576</v>
      </c>
      <c r="AO3818" t="s">
        <v>29577</v>
      </c>
    </row>
    <row r="3819" spans="39:41" ht="12" customHeight="1" x14ac:dyDescent="0.2">
      <c r="AM3819" t="str">
        <f t="shared" si="59"/>
        <v>Drag [NODRG]</v>
      </c>
      <c r="AN3819" t="s">
        <v>23983</v>
      </c>
      <c r="AO3819" t="s">
        <v>23984</v>
      </c>
    </row>
    <row r="3820" spans="39:41" ht="12" customHeight="1" x14ac:dyDescent="0.2">
      <c r="AM3820" t="str">
        <f t="shared" si="59"/>
        <v>Dragor [DKDRA]</v>
      </c>
      <c r="AN3820" t="s">
        <v>8661</v>
      </c>
      <c r="AO3820" t="s">
        <v>35531</v>
      </c>
    </row>
    <row r="3821" spans="39:41" ht="12" customHeight="1" x14ac:dyDescent="0.2">
      <c r="AM3821" t="str">
        <f t="shared" si="59"/>
        <v>Dragsfjard [FIDRA]</v>
      </c>
      <c r="AN3821" t="s">
        <v>10327</v>
      </c>
      <c r="AO3821" t="s">
        <v>35712</v>
      </c>
    </row>
    <row r="3822" spans="39:41" ht="12" customHeight="1" x14ac:dyDescent="0.2">
      <c r="AM3822" t="str">
        <f t="shared" si="59"/>
        <v>Drammen [NODRM]</v>
      </c>
      <c r="AN3822" t="s">
        <v>23985</v>
      </c>
      <c r="AO3822" t="s">
        <v>23986</v>
      </c>
    </row>
    <row r="3823" spans="39:41" ht="12" customHeight="1" x14ac:dyDescent="0.2">
      <c r="AM3823" t="str">
        <f t="shared" si="59"/>
        <v>Drangsnes [ISDRA]</v>
      </c>
      <c r="AN3823" t="s">
        <v>17694</v>
      </c>
      <c r="AO3823" t="s">
        <v>17695</v>
      </c>
    </row>
    <row r="3824" spans="39:41" ht="12" customHeight="1" x14ac:dyDescent="0.2">
      <c r="AM3824" t="str">
        <f t="shared" si="59"/>
        <v>Dranske [DEDRA]</v>
      </c>
      <c r="AN3824" t="s">
        <v>7302</v>
      </c>
      <c r="AO3824" t="s">
        <v>7303</v>
      </c>
    </row>
    <row r="3825" spans="39:41" ht="12" customHeight="1" x14ac:dyDescent="0.2">
      <c r="AM3825" t="str">
        <f t="shared" si="59"/>
        <v>Drapetzona [GRDPA]</v>
      </c>
      <c r="AN3825" t="s">
        <v>15180</v>
      </c>
      <c r="AO3825" t="s">
        <v>15181</v>
      </c>
    </row>
    <row r="3826" spans="39:41" ht="12" customHeight="1" x14ac:dyDescent="0.2">
      <c r="AM3826" t="str">
        <f t="shared" si="59"/>
        <v>Drasenhofen [ATDRA]</v>
      </c>
      <c r="AN3826" t="s">
        <v>1181</v>
      </c>
      <c r="AO3826" t="s">
        <v>1182</v>
      </c>
    </row>
    <row r="3827" spans="39:41" ht="12" customHeight="1" x14ac:dyDescent="0.2">
      <c r="AM3827" t="str">
        <f t="shared" si="59"/>
        <v>Draugen [XZDRA]</v>
      </c>
      <c r="AN3827" t="s">
        <v>32563</v>
      </c>
      <c r="AO3827" t="s">
        <v>32564</v>
      </c>
    </row>
    <row r="3828" spans="39:41" ht="12" customHeight="1" x14ac:dyDescent="0.2">
      <c r="AM3828" t="str">
        <f t="shared" si="59"/>
        <v>Drax [GBDRX]</v>
      </c>
      <c r="AN3828" t="s">
        <v>13012</v>
      </c>
      <c r="AO3828" t="s">
        <v>13013</v>
      </c>
    </row>
    <row r="3829" spans="39:41" ht="12" customHeight="1" x14ac:dyDescent="0.2">
      <c r="AM3829" t="str">
        <f t="shared" si="59"/>
        <v>Drebber [DEDR5]</v>
      </c>
      <c r="AN3829" t="s">
        <v>7304</v>
      </c>
      <c r="AO3829" t="s">
        <v>7305</v>
      </c>
    </row>
    <row r="3830" spans="39:41" ht="12" customHeight="1" x14ac:dyDescent="0.2">
      <c r="AM3830" t="str">
        <f t="shared" si="59"/>
        <v>Dreisbach [DENDQ]</v>
      </c>
      <c r="AN3830" t="s">
        <v>7306</v>
      </c>
      <c r="AO3830" t="s">
        <v>7307</v>
      </c>
    </row>
    <row r="3831" spans="39:41" ht="12" customHeight="1" x14ac:dyDescent="0.2">
      <c r="AM3831" t="str">
        <f t="shared" si="59"/>
        <v>Dreischor [NLND5]</v>
      </c>
      <c r="AN3831" t="s">
        <v>23151</v>
      </c>
      <c r="AO3831" t="s">
        <v>23152</v>
      </c>
    </row>
    <row r="3832" spans="39:41" ht="12" customHeight="1" x14ac:dyDescent="0.2">
      <c r="AM3832" t="str">
        <f t="shared" si="59"/>
        <v>Drepano Riou [GRDRE]</v>
      </c>
      <c r="AN3832" t="s">
        <v>15182</v>
      </c>
      <c r="AO3832" t="s">
        <v>15183</v>
      </c>
    </row>
    <row r="3833" spans="39:41" ht="12" customHeight="1" x14ac:dyDescent="0.2">
      <c r="AM3833" t="str">
        <f t="shared" si="59"/>
        <v>Dresden [DEDRS]</v>
      </c>
      <c r="AN3833" t="s">
        <v>7308</v>
      </c>
      <c r="AO3833" t="s">
        <v>7309</v>
      </c>
    </row>
    <row r="3834" spans="39:41" ht="12" customHeight="1" x14ac:dyDescent="0.2">
      <c r="AM3834" t="str">
        <f t="shared" ref="AM3834:AM3897" si="60">AO3834 &amp; " [" &amp; AN3834 &amp; "]"</f>
        <v>Dreumel [NLDUM]</v>
      </c>
      <c r="AN3834" t="s">
        <v>23153</v>
      </c>
      <c r="AO3834" t="s">
        <v>23154</v>
      </c>
    </row>
    <row r="3835" spans="39:41" ht="12" customHeight="1" x14ac:dyDescent="0.2">
      <c r="AM3835" t="str">
        <f t="shared" si="60"/>
        <v>Driel [NLDRL]</v>
      </c>
      <c r="AN3835" t="s">
        <v>23155</v>
      </c>
      <c r="AO3835" t="s">
        <v>23156</v>
      </c>
    </row>
    <row r="3836" spans="39:41" ht="12" customHeight="1" x14ac:dyDescent="0.2">
      <c r="AM3836" t="str">
        <f t="shared" si="60"/>
        <v>Driesum [NLDSM]</v>
      </c>
      <c r="AN3836" t="s">
        <v>23157</v>
      </c>
      <c r="AO3836" t="s">
        <v>23158</v>
      </c>
    </row>
    <row r="3837" spans="39:41" ht="12" customHeight="1" x14ac:dyDescent="0.2">
      <c r="AM3837" t="str">
        <f t="shared" si="60"/>
        <v>Drnholec [CZDRN]</v>
      </c>
      <c r="AN3837" t="s">
        <v>6829</v>
      </c>
      <c r="AO3837" t="s">
        <v>6830</v>
      </c>
    </row>
    <row r="3838" spans="39:41" ht="12" customHeight="1" x14ac:dyDescent="0.2">
      <c r="AM3838" t="str">
        <f t="shared" si="60"/>
        <v>Drobak [NODRK]</v>
      </c>
      <c r="AN3838" t="s">
        <v>23987</v>
      </c>
      <c r="AO3838" t="s">
        <v>36153</v>
      </c>
    </row>
    <row r="3839" spans="39:41" ht="12" customHeight="1" x14ac:dyDescent="0.2">
      <c r="AM3839" t="str">
        <f t="shared" si="60"/>
        <v>Drobeta-Turnu Severin [RODTS]</v>
      </c>
      <c r="AN3839" t="s">
        <v>26748</v>
      </c>
      <c r="AO3839" t="s">
        <v>26749</v>
      </c>
    </row>
    <row r="3840" spans="39:41" ht="12" customHeight="1" x14ac:dyDescent="0.2">
      <c r="AM3840" t="str">
        <f t="shared" si="60"/>
        <v>Drochtersen [DEDRO]</v>
      </c>
      <c r="AN3840" t="s">
        <v>7310</v>
      </c>
      <c r="AO3840" t="s">
        <v>7311</v>
      </c>
    </row>
    <row r="3841" spans="39:41" ht="12" customHeight="1" x14ac:dyDescent="0.2">
      <c r="AM3841" t="str">
        <f t="shared" si="60"/>
        <v>Drogheda [IEDRO]</v>
      </c>
      <c r="AN3841" t="s">
        <v>16778</v>
      </c>
      <c r="AO3841" t="s">
        <v>16779</v>
      </c>
    </row>
    <row r="3842" spans="39:41" ht="12" customHeight="1" x14ac:dyDescent="0.2">
      <c r="AM3842" t="str">
        <f t="shared" si="60"/>
        <v>Drogheda Maxol Facility [IEDMF]</v>
      </c>
      <c r="AN3842" t="s">
        <v>16780</v>
      </c>
      <c r="AO3842" t="s">
        <v>16781</v>
      </c>
    </row>
    <row r="3843" spans="39:41" ht="12" customHeight="1" x14ac:dyDescent="0.2">
      <c r="AM3843" t="str">
        <f t="shared" si="60"/>
        <v>Drogheda Premiere Periclase [IEDPP]</v>
      </c>
      <c r="AN3843" t="s">
        <v>16782</v>
      </c>
      <c r="AO3843" t="s">
        <v>16783</v>
      </c>
    </row>
    <row r="3844" spans="39:41" ht="12" customHeight="1" x14ac:dyDescent="0.2">
      <c r="AM3844" t="str">
        <f t="shared" si="60"/>
        <v>Dromore [GBDMO]</v>
      </c>
      <c r="AN3844" t="s">
        <v>13014</v>
      </c>
      <c r="AO3844" t="s">
        <v>13015</v>
      </c>
    </row>
    <row r="3845" spans="39:41" ht="12" customHeight="1" x14ac:dyDescent="0.2">
      <c r="AM3845" t="str">
        <f t="shared" si="60"/>
        <v>Drongen [BEDGN]</v>
      </c>
      <c r="AN3845" t="s">
        <v>2401</v>
      </c>
      <c r="AO3845" t="s">
        <v>2402</v>
      </c>
    </row>
    <row r="3846" spans="39:41" ht="12" customHeight="1" x14ac:dyDescent="0.2">
      <c r="AM3846" t="str">
        <f t="shared" si="60"/>
        <v>Dronten [NLDRO]</v>
      </c>
      <c r="AN3846" t="s">
        <v>33877</v>
      </c>
      <c r="AO3846" t="s">
        <v>33999</v>
      </c>
    </row>
    <row r="3847" spans="39:41" ht="12" customHeight="1" x14ac:dyDescent="0.2">
      <c r="AM3847" t="str">
        <f t="shared" si="60"/>
        <v>Dross [ATDRO]</v>
      </c>
      <c r="AN3847" t="s">
        <v>1183</v>
      </c>
      <c r="AO3847" t="s">
        <v>1184</v>
      </c>
    </row>
    <row r="3848" spans="39:41" ht="12" customHeight="1" x14ac:dyDescent="0.2">
      <c r="AM3848" t="str">
        <f t="shared" si="60"/>
        <v>Drottningholm [SEDRT]</v>
      </c>
      <c r="AN3848" t="s">
        <v>27551</v>
      </c>
      <c r="AO3848" t="s">
        <v>27552</v>
      </c>
    </row>
    <row r="3849" spans="39:41" ht="12" customHeight="1" x14ac:dyDescent="0.2">
      <c r="AM3849" t="str">
        <f t="shared" si="60"/>
        <v>Druif [AWDEU]</v>
      </c>
      <c r="AN3849" t="s">
        <v>2146</v>
      </c>
      <c r="AO3849" t="s">
        <v>2147</v>
      </c>
    </row>
    <row r="3850" spans="39:41" ht="12" customHeight="1" x14ac:dyDescent="0.2">
      <c r="AM3850" t="str">
        <f t="shared" si="60"/>
        <v>Drumintee [GBDUT]</v>
      </c>
      <c r="AN3850" t="s">
        <v>13016</v>
      </c>
      <c r="AO3850" t="s">
        <v>13017</v>
      </c>
    </row>
    <row r="3851" spans="39:41" ht="12" customHeight="1" x14ac:dyDescent="0.2">
      <c r="AM3851" t="str">
        <f t="shared" si="60"/>
        <v>Drvenik [HRDRK]</v>
      </c>
      <c r="AN3851" t="s">
        <v>15732</v>
      </c>
      <c r="AO3851" t="s">
        <v>15733</v>
      </c>
    </row>
    <row r="3852" spans="39:41" ht="12" customHeight="1" x14ac:dyDescent="0.2">
      <c r="AM3852" t="str">
        <f t="shared" si="60"/>
        <v>Drysdale [AUDRY]</v>
      </c>
      <c r="AN3852" t="s">
        <v>1639</v>
      </c>
      <c r="AO3852" t="s">
        <v>1640</v>
      </c>
    </row>
    <row r="3853" spans="39:41" ht="12" customHeight="1" x14ac:dyDescent="0.2">
      <c r="AM3853" t="str">
        <f t="shared" si="60"/>
        <v>Drytown [USDR3]</v>
      </c>
      <c r="AN3853" t="s">
        <v>29578</v>
      </c>
      <c r="AO3853" t="s">
        <v>29579</v>
      </c>
    </row>
    <row r="3854" spans="39:41" ht="12" customHeight="1" x14ac:dyDescent="0.2">
      <c r="AM3854" t="str">
        <f t="shared" si="60"/>
        <v>Drzkov [CZDKV]</v>
      </c>
      <c r="AN3854" t="s">
        <v>6831</v>
      </c>
      <c r="AO3854" t="s">
        <v>6832</v>
      </c>
    </row>
    <row r="3855" spans="39:41" ht="12" customHeight="1" x14ac:dyDescent="0.2">
      <c r="AM3855" t="str">
        <f t="shared" si="60"/>
        <v>Dubai [AEDXB]</v>
      </c>
      <c r="AN3855" t="s">
        <v>723</v>
      </c>
      <c r="AO3855" t="s">
        <v>724</v>
      </c>
    </row>
    <row r="3856" spans="39:41" ht="12" customHeight="1" x14ac:dyDescent="0.2">
      <c r="AM3856" t="str">
        <f t="shared" si="60"/>
        <v>Dublin [CADLN]</v>
      </c>
      <c r="AN3856" t="s">
        <v>3816</v>
      </c>
      <c r="AO3856" t="s">
        <v>3817</v>
      </c>
    </row>
    <row r="3857" spans="39:41" ht="12" customHeight="1" x14ac:dyDescent="0.2">
      <c r="AM3857" t="str">
        <f t="shared" si="60"/>
        <v>Dublin [IEDUB]</v>
      </c>
      <c r="AN3857" t="s">
        <v>16784</v>
      </c>
      <c r="AO3857" t="s">
        <v>3817</v>
      </c>
    </row>
    <row r="3858" spans="39:41" ht="12" customHeight="1" x14ac:dyDescent="0.2">
      <c r="AM3858" t="str">
        <f t="shared" si="60"/>
        <v>Dublin-Dublin Ferryport Terminals [IEDFT]</v>
      </c>
      <c r="AN3858" t="s">
        <v>16785</v>
      </c>
      <c r="AO3858" t="s">
        <v>16786</v>
      </c>
    </row>
    <row r="3859" spans="39:41" ht="12" customHeight="1" x14ac:dyDescent="0.2">
      <c r="AM3859" t="str">
        <f t="shared" si="60"/>
        <v>Dublin-Ferryport Terminal 1 [IEDFA]</v>
      </c>
      <c r="AN3859" t="s">
        <v>16787</v>
      </c>
      <c r="AO3859" t="s">
        <v>16788</v>
      </c>
    </row>
    <row r="3860" spans="39:41" ht="12" customHeight="1" x14ac:dyDescent="0.2">
      <c r="AM3860" t="str">
        <f t="shared" si="60"/>
        <v>Dublin-Ferryport Terminal 2 [IEDFB]</v>
      </c>
      <c r="AN3860" t="s">
        <v>16789</v>
      </c>
      <c r="AO3860" t="s">
        <v>16790</v>
      </c>
    </row>
    <row r="3861" spans="39:41" ht="12" customHeight="1" x14ac:dyDescent="0.2">
      <c r="AM3861" t="str">
        <f t="shared" si="60"/>
        <v>Dublin-Ferryport Terminal 3 [IEDFC]</v>
      </c>
      <c r="AN3861" t="s">
        <v>16791</v>
      </c>
      <c r="AO3861" t="s">
        <v>16792</v>
      </c>
    </row>
    <row r="3862" spans="39:41" ht="12" customHeight="1" x14ac:dyDescent="0.2">
      <c r="AM3862" t="str">
        <f t="shared" si="60"/>
        <v>Dublin-Marine Terminal [IEMTL]</v>
      </c>
      <c r="AN3862" t="s">
        <v>16793</v>
      </c>
      <c r="AO3862" t="s">
        <v>16794</v>
      </c>
    </row>
    <row r="3863" spans="39:41" ht="12" customHeight="1" x14ac:dyDescent="0.2">
      <c r="AM3863" t="str">
        <f t="shared" si="60"/>
        <v>Dubna [RUDUB]</v>
      </c>
      <c r="AN3863" t="s">
        <v>26927</v>
      </c>
      <c r="AO3863" t="s">
        <v>26928</v>
      </c>
    </row>
    <row r="3864" spans="39:41" ht="12" customHeight="1" x14ac:dyDescent="0.2">
      <c r="AM3864" t="str">
        <f t="shared" si="60"/>
        <v>Dubovka [RUDBK]</v>
      </c>
      <c r="AN3864" t="s">
        <v>26929</v>
      </c>
      <c r="AO3864" t="s">
        <v>26930</v>
      </c>
    </row>
    <row r="3865" spans="39:41" ht="12" customHeight="1" x14ac:dyDescent="0.2">
      <c r="AM3865" t="str">
        <f t="shared" si="60"/>
        <v>Dubrovnik [HRDBV]</v>
      </c>
      <c r="AN3865" t="s">
        <v>15734</v>
      </c>
      <c r="AO3865" t="s">
        <v>15735</v>
      </c>
    </row>
    <row r="3866" spans="39:41" ht="12" customHeight="1" x14ac:dyDescent="0.2">
      <c r="AM3866" t="str">
        <f t="shared" si="60"/>
        <v>Dubuque [USDBQ]</v>
      </c>
      <c r="AN3866" t="s">
        <v>29580</v>
      </c>
      <c r="AO3866" t="s">
        <v>29581</v>
      </c>
    </row>
    <row r="3867" spans="39:41" ht="12" customHeight="1" x14ac:dyDescent="0.2">
      <c r="AM3867" t="str">
        <f t="shared" si="60"/>
        <v>Ducheng [CNDCG]</v>
      </c>
      <c r="AN3867" t="s">
        <v>5276</v>
      </c>
      <c r="AO3867" t="s">
        <v>5277</v>
      </c>
    </row>
    <row r="3868" spans="39:41" ht="12" customHeight="1" x14ac:dyDescent="0.2">
      <c r="AM3868" t="str">
        <f t="shared" si="60"/>
        <v>Ducos [NCDUS]</v>
      </c>
      <c r="AN3868" t="s">
        <v>22879</v>
      </c>
      <c r="AO3868" t="s">
        <v>22880</v>
      </c>
    </row>
    <row r="3869" spans="39:41" ht="12" customHeight="1" x14ac:dyDescent="0.2">
      <c r="AM3869" t="str">
        <f t="shared" si="60"/>
        <v>Duczki [PLDCZ]</v>
      </c>
      <c r="AN3869" t="s">
        <v>26288</v>
      </c>
      <c r="AO3869" t="s">
        <v>26289</v>
      </c>
    </row>
    <row r="3870" spans="39:41" ht="12" customHeight="1" x14ac:dyDescent="0.2">
      <c r="AM3870" t="str">
        <f t="shared" si="60"/>
        <v>Dudinka [RUDUD]</v>
      </c>
      <c r="AN3870" t="s">
        <v>26931</v>
      </c>
      <c r="AO3870" t="s">
        <v>26932</v>
      </c>
    </row>
    <row r="3871" spans="39:41" ht="12" customHeight="1" x14ac:dyDescent="0.2">
      <c r="AM3871" t="str">
        <f t="shared" si="60"/>
        <v>Duffel [BEDUF]</v>
      </c>
      <c r="AN3871" t="s">
        <v>2403</v>
      </c>
      <c r="AO3871" t="s">
        <v>2404</v>
      </c>
    </row>
    <row r="3872" spans="39:41" ht="12" customHeight="1" x14ac:dyDescent="0.2">
      <c r="AM3872" t="str">
        <f t="shared" si="60"/>
        <v>Duga Resa [HRRES]</v>
      </c>
      <c r="AN3872" t="s">
        <v>15736</v>
      </c>
      <c r="AO3872" t="s">
        <v>15737</v>
      </c>
    </row>
    <row r="3873" spans="39:41" ht="12" customHeight="1" x14ac:dyDescent="0.2">
      <c r="AM3873" t="str">
        <f t="shared" si="60"/>
        <v>Dugi Rat [HRDUR]</v>
      </c>
      <c r="AN3873" t="s">
        <v>15738</v>
      </c>
      <c r="AO3873" t="s">
        <v>15739</v>
      </c>
    </row>
    <row r="3874" spans="39:41" ht="12" customHeight="1" x14ac:dyDescent="0.2">
      <c r="AM3874" t="str">
        <f t="shared" si="60"/>
        <v>Duino [ITDNO]</v>
      </c>
      <c r="AN3874" t="s">
        <v>17921</v>
      </c>
      <c r="AO3874" t="s">
        <v>17922</v>
      </c>
    </row>
    <row r="3875" spans="39:41" ht="12" customHeight="1" x14ac:dyDescent="0.2">
      <c r="AM3875" t="str">
        <f t="shared" si="60"/>
        <v>Duisburg [DEDUI]</v>
      </c>
      <c r="AN3875" t="s">
        <v>7312</v>
      </c>
      <c r="AO3875" t="s">
        <v>7313</v>
      </c>
    </row>
    <row r="3876" spans="39:41" ht="12" customHeight="1" x14ac:dyDescent="0.2">
      <c r="AM3876" t="str">
        <f t="shared" si="60"/>
        <v>Duivendrecht [NLDVT]</v>
      </c>
      <c r="AN3876" t="s">
        <v>23159</v>
      </c>
      <c r="AO3876" t="s">
        <v>23160</v>
      </c>
    </row>
    <row r="3877" spans="39:41" ht="12" customHeight="1" x14ac:dyDescent="0.2">
      <c r="AM3877" t="str">
        <f t="shared" si="60"/>
        <v>Dukenburg [NLDUG]</v>
      </c>
      <c r="AN3877" t="s">
        <v>23161</v>
      </c>
      <c r="AO3877" t="s">
        <v>23162</v>
      </c>
    </row>
    <row r="3878" spans="39:41" ht="12" customHeight="1" x14ac:dyDescent="0.2">
      <c r="AM3878" t="str">
        <f t="shared" si="60"/>
        <v>Dukwi [BWDUK]</v>
      </c>
      <c r="AN3878" t="s">
        <v>3486</v>
      </c>
      <c r="AO3878" t="s">
        <v>3487</v>
      </c>
    </row>
    <row r="3879" spans="39:41" ht="12" customHeight="1" x14ac:dyDescent="0.2">
      <c r="AM3879" t="str">
        <f t="shared" si="60"/>
        <v>Dulag [PHDUL]</v>
      </c>
      <c r="AN3879" t="s">
        <v>25739</v>
      </c>
      <c r="AO3879" t="s">
        <v>25740</v>
      </c>
    </row>
    <row r="3880" spans="39:41" ht="12" customHeight="1" x14ac:dyDescent="0.2">
      <c r="AM3880" t="str">
        <f t="shared" si="60"/>
        <v>Dulang Marine Terminal [XZDTL]</v>
      </c>
      <c r="AN3880" t="s">
        <v>32565</v>
      </c>
      <c r="AO3880" t="s">
        <v>32566</v>
      </c>
    </row>
    <row r="3881" spans="39:41" ht="12" customHeight="1" x14ac:dyDescent="0.2">
      <c r="AM3881" t="str">
        <f t="shared" si="60"/>
        <v>Dulas Bay [GBDBY]</v>
      </c>
      <c r="AN3881" t="s">
        <v>13018</v>
      </c>
      <c r="AO3881" t="s">
        <v>13019</v>
      </c>
    </row>
    <row r="3882" spans="39:41" ht="12" customHeight="1" x14ac:dyDescent="0.2">
      <c r="AM3882" t="str">
        <f t="shared" si="60"/>
        <v>Duluth [USDLH]</v>
      </c>
      <c r="AN3882" t="s">
        <v>29582</v>
      </c>
      <c r="AO3882" t="s">
        <v>29583</v>
      </c>
    </row>
    <row r="3883" spans="39:41" ht="12" customHeight="1" x14ac:dyDescent="0.2">
      <c r="AM3883" t="str">
        <f t="shared" si="60"/>
        <v>Dumaguete [PHDGT]</v>
      </c>
      <c r="AN3883" t="s">
        <v>25741</v>
      </c>
      <c r="AO3883" t="s">
        <v>25742</v>
      </c>
    </row>
    <row r="3884" spans="39:41" ht="12" customHeight="1" x14ac:dyDescent="0.2">
      <c r="AM3884" t="str">
        <f t="shared" si="60"/>
        <v>Dumai, Sumatra [IDDUM]</v>
      </c>
      <c r="AN3884" t="s">
        <v>16253</v>
      </c>
      <c r="AO3884" t="s">
        <v>16254</v>
      </c>
    </row>
    <row r="3885" spans="39:41" ht="12" customHeight="1" x14ac:dyDescent="0.2">
      <c r="AM3885" t="str">
        <f t="shared" si="60"/>
        <v>Dumfries [GBDUM]</v>
      </c>
      <c r="AN3885" t="s">
        <v>13020</v>
      </c>
      <c r="AO3885" t="s">
        <v>13021</v>
      </c>
    </row>
    <row r="3886" spans="39:41" ht="12" customHeight="1" x14ac:dyDescent="0.2">
      <c r="AM3886" t="str">
        <f t="shared" si="60"/>
        <v>Dumont d'Urville Station [AQDDU]</v>
      </c>
      <c r="AN3886" t="s">
        <v>920</v>
      </c>
      <c r="AO3886" t="s">
        <v>921</v>
      </c>
    </row>
    <row r="3887" spans="39:41" ht="12" customHeight="1" x14ac:dyDescent="0.2">
      <c r="AM3887" t="str">
        <f t="shared" si="60"/>
        <v>Dumyat (Damietta) [EGDAM]</v>
      </c>
      <c r="AN3887" t="s">
        <v>9462</v>
      </c>
      <c r="AO3887" t="s">
        <v>9463</v>
      </c>
    </row>
    <row r="3888" spans="39:41" ht="12" customHeight="1" x14ac:dyDescent="0.2">
      <c r="AM3888" t="str">
        <f t="shared" si="60"/>
        <v>Dun Laoghaire [IEDLG]</v>
      </c>
      <c r="AN3888" t="s">
        <v>16795</v>
      </c>
      <c r="AO3888" t="s">
        <v>16796</v>
      </c>
    </row>
    <row r="3889" spans="39:41" ht="12" customHeight="1" x14ac:dyDescent="0.2">
      <c r="AM3889" t="str">
        <f t="shared" si="60"/>
        <v>Dunapataj [HUDPA]</v>
      </c>
      <c r="AN3889" t="s">
        <v>16068</v>
      </c>
      <c r="AO3889" t="s">
        <v>16069</v>
      </c>
    </row>
    <row r="3890" spans="39:41" ht="12" customHeight="1" x14ac:dyDescent="0.2">
      <c r="AM3890" t="str">
        <f t="shared" si="60"/>
        <v>Dunaremete [HUDRE]</v>
      </c>
      <c r="AN3890" t="s">
        <v>16070</v>
      </c>
      <c r="AO3890" t="s">
        <v>16071</v>
      </c>
    </row>
    <row r="3891" spans="39:41" ht="12" customHeight="1" x14ac:dyDescent="0.2">
      <c r="AM3891" t="str">
        <f t="shared" si="60"/>
        <v>Dunaujvaros [HUDUU]</v>
      </c>
      <c r="AN3891" t="s">
        <v>16072</v>
      </c>
      <c r="AO3891" t="s">
        <v>36012</v>
      </c>
    </row>
    <row r="3892" spans="39:41" ht="12" customHeight="1" x14ac:dyDescent="0.2">
      <c r="AM3892" t="str">
        <f t="shared" si="60"/>
        <v>Dunavecse [HUDVE]</v>
      </c>
      <c r="AN3892" t="s">
        <v>16073</v>
      </c>
      <c r="AO3892" t="s">
        <v>16074</v>
      </c>
    </row>
    <row r="3893" spans="39:41" ht="12" customHeight="1" x14ac:dyDescent="0.2">
      <c r="AM3893" t="str">
        <f t="shared" si="60"/>
        <v>Dunbar [GBDBR]</v>
      </c>
      <c r="AN3893" t="s">
        <v>13022</v>
      </c>
      <c r="AO3893" t="s">
        <v>13023</v>
      </c>
    </row>
    <row r="3894" spans="39:41" ht="12" customHeight="1" x14ac:dyDescent="0.2">
      <c r="AM3894" t="str">
        <f t="shared" si="60"/>
        <v>Dunbeath [GBDUE]</v>
      </c>
      <c r="AN3894" t="s">
        <v>13024</v>
      </c>
      <c r="AO3894" t="s">
        <v>13025</v>
      </c>
    </row>
    <row r="3895" spans="39:41" ht="12" customHeight="1" x14ac:dyDescent="0.2">
      <c r="AM3895" t="str">
        <f t="shared" si="60"/>
        <v>Duncannon/Saint Helens [IEDCN]</v>
      </c>
      <c r="AN3895" t="s">
        <v>16797</v>
      </c>
      <c r="AO3895" t="s">
        <v>16798</v>
      </c>
    </row>
    <row r="3896" spans="39:41" ht="12" customHeight="1" x14ac:dyDescent="0.2">
      <c r="AM3896" t="str">
        <f t="shared" si="60"/>
        <v>Dunchurch [GBDUC]</v>
      </c>
      <c r="AN3896" t="s">
        <v>13026</v>
      </c>
      <c r="AO3896" t="s">
        <v>13027</v>
      </c>
    </row>
    <row r="3897" spans="39:41" ht="12" customHeight="1" x14ac:dyDescent="0.2">
      <c r="AM3897" t="str">
        <f t="shared" si="60"/>
        <v>Dundalk [IEDDK]</v>
      </c>
      <c r="AN3897" t="s">
        <v>16799</v>
      </c>
      <c r="AO3897" t="s">
        <v>16800</v>
      </c>
    </row>
    <row r="3898" spans="39:41" ht="12" customHeight="1" x14ac:dyDescent="0.2">
      <c r="AM3898" t="str">
        <f t="shared" ref="AM3898:AM3961" si="61">AO3898 &amp; " [" &amp; AN3898 &amp; "]"</f>
        <v>Dundee [GBDUN]</v>
      </c>
      <c r="AN3898" t="s">
        <v>13028</v>
      </c>
      <c r="AO3898" t="s">
        <v>13029</v>
      </c>
    </row>
    <row r="3899" spans="39:41" ht="12" customHeight="1" x14ac:dyDescent="0.2">
      <c r="AM3899" t="str">
        <f t="shared" si="61"/>
        <v>Dunfanaghy [IEDFY]</v>
      </c>
      <c r="AN3899" t="s">
        <v>16801</v>
      </c>
      <c r="AO3899" t="s">
        <v>16802</v>
      </c>
    </row>
    <row r="3900" spans="39:41" ht="12" customHeight="1" x14ac:dyDescent="0.2">
      <c r="AM3900" t="str">
        <f t="shared" si="61"/>
        <v>Dung Quat [VNDQT]</v>
      </c>
      <c r="AN3900" t="s">
        <v>32364</v>
      </c>
      <c r="AO3900" t="s">
        <v>32365</v>
      </c>
    </row>
    <row r="3901" spans="39:41" ht="12" customHeight="1" x14ac:dyDescent="0.2">
      <c r="AM3901" t="str">
        <f t="shared" si="61"/>
        <v>Dungarvan [IEDGV]</v>
      </c>
      <c r="AN3901" t="s">
        <v>16803</v>
      </c>
      <c r="AO3901" t="s">
        <v>16804</v>
      </c>
    </row>
    <row r="3902" spans="39:41" ht="12" customHeight="1" x14ac:dyDescent="0.2">
      <c r="AM3902" t="str">
        <f t="shared" si="61"/>
        <v>Dungeness [GBDSS]</v>
      </c>
      <c r="AN3902" t="s">
        <v>13030</v>
      </c>
      <c r="AO3902" t="s">
        <v>13031</v>
      </c>
    </row>
    <row r="3903" spans="39:41" ht="12" customHeight="1" x14ac:dyDescent="0.2">
      <c r="AM3903" t="str">
        <f t="shared" si="61"/>
        <v>Dunkerque [FRDKK]</v>
      </c>
      <c r="AN3903" t="s">
        <v>11246</v>
      </c>
      <c r="AO3903" t="s">
        <v>11247</v>
      </c>
    </row>
    <row r="3904" spans="39:41" ht="12" customHeight="1" x14ac:dyDescent="0.2">
      <c r="AM3904" t="str">
        <f t="shared" si="61"/>
        <v>Dunkirk [USDKK]</v>
      </c>
      <c r="AN3904" t="s">
        <v>29584</v>
      </c>
      <c r="AO3904" t="s">
        <v>11248</v>
      </c>
    </row>
    <row r="3905" spans="39:41" ht="12" customHeight="1" x14ac:dyDescent="0.2">
      <c r="AM3905" t="str">
        <f t="shared" si="61"/>
        <v>Dunmore [USDU3]</v>
      </c>
      <c r="AN3905" t="s">
        <v>29585</v>
      </c>
      <c r="AO3905" t="s">
        <v>29586</v>
      </c>
    </row>
    <row r="3906" spans="39:41" ht="12" customHeight="1" x14ac:dyDescent="0.2">
      <c r="AM3906" t="str">
        <f t="shared" si="61"/>
        <v>Dunmore East [IEDNM]</v>
      </c>
      <c r="AN3906" t="s">
        <v>16805</v>
      </c>
      <c r="AO3906" t="s">
        <v>16806</v>
      </c>
    </row>
    <row r="3907" spans="39:41" ht="12" customHeight="1" x14ac:dyDescent="0.2">
      <c r="AM3907" t="str">
        <f t="shared" si="61"/>
        <v>Dunnellon [USDFU]</v>
      </c>
      <c r="AN3907" t="s">
        <v>29587</v>
      </c>
      <c r="AO3907" t="s">
        <v>29588</v>
      </c>
    </row>
    <row r="3908" spans="39:41" ht="12" customHeight="1" x14ac:dyDescent="0.2">
      <c r="AM3908" t="str">
        <f t="shared" si="61"/>
        <v>Dunoon [GBDNU]</v>
      </c>
      <c r="AN3908" t="s">
        <v>13032</v>
      </c>
      <c r="AO3908" t="s">
        <v>13033</v>
      </c>
    </row>
    <row r="3909" spans="39:41" ht="12" customHeight="1" x14ac:dyDescent="0.2">
      <c r="AM3909" t="str">
        <f t="shared" si="61"/>
        <v>Dunrossness and Fair Isle [GBDNF]</v>
      </c>
      <c r="AN3909" t="s">
        <v>13034</v>
      </c>
      <c r="AO3909" t="s">
        <v>13035</v>
      </c>
    </row>
    <row r="3910" spans="39:41" ht="12" customHeight="1" x14ac:dyDescent="0.2">
      <c r="AM3910" t="str">
        <f t="shared" si="61"/>
        <v>Dunseverick [GBDSK]</v>
      </c>
      <c r="AN3910" t="s">
        <v>13036</v>
      </c>
      <c r="AO3910" t="s">
        <v>13037</v>
      </c>
    </row>
    <row r="3911" spans="39:41" ht="12" customHeight="1" x14ac:dyDescent="0.2">
      <c r="AM3911" t="str">
        <f t="shared" si="61"/>
        <v>Dunstable [GBDTE]</v>
      </c>
      <c r="AN3911" t="s">
        <v>13038</v>
      </c>
      <c r="AO3911" t="s">
        <v>13039</v>
      </c>
    </row>
    <row r="3912" spans="39:41" ht="12" customHeight="1" x14ac:dyDescent="0.2">
      <c r="AM3912" t="str">
        <f t="shared" si="61"/>
        <v>Dunstaffnage [GBDTF]</v>
      </c>
      <c r="AN3912" t="s">
        <v>13040</v>
      </c>
      <c r="AO3912" t="s">
        <v>13041</v>
      </c>
    </row>
    <row r="3913" spans="39:41" ht="12" customHeight="1" x14ac:dyDescent="0.2">
      <c r="AM3913" t="str">
        <f t="shared" si="61"/>
        <v>Dunster [GBDNE]</v>
      </c>
      <c r="AN3913" t="s">
        <v>13042</v>
      </c>
      <c r="AO3913" t="s">
        <v>13043</v>
      </c>
    </row>
    <row r="3914" spans="39:41" ht="12" customHeight="1" x14ac:dyDescent="0.2">
      <c r="AM3914" t="str">
        <f t="shared" si="61"/>
        <v>Dunston [GBDTN]</v>
      </c>
      <c r="AN3914" t="s">
        <v>13044</v>
      </c>
      <c r="AO3914" t="s">
        <v>13045</v>
      </c>
    </row>
    <row r="3915" spans="39:41" ht="12" customHeight="1" x14ac:dyDescent="0.2">
      <c r="AM3915" t="str">
        <f t="shared" si="61"/>
        <v>Dunure [GBDRE]</v>
      </c>
      <c r="AN3915" t="s">
        <v>13046</v>
      </c>
      <c r="AO3915" t="s">
        <v>13047</v>
      </c>
    </row>
    <row r="3916" spans="39:41" ht="12" customHeight="1" x14ac:dyDescent="0.2">
      <c r="AM3916" t="str">
        <f t="shared" si="61"/>
        <v>Dunvegan [GBDVN]</v>
      </c>
      <c r="AN3916" t="s">
        <v>13048</v>
      </c>
      <c r="AO3916" t="s">
        <v>13049</v>
      </c>
    </row>
    <row r="3917" spans="39:41" ht="12" customHeight="1" x14ac:dyDescent="0.2">
      <c r="AM3917" t="str">
        <f t="shared" si="61"/>
        <v>Dunwich [GBDNW]</v>
      </c>
      <c r="AN3917" t="s">
        <v>13050</v>
      </c>
      <c r="AO3917" t="s">
        <v>13051</v>
      </c>
    </row>
    <row r="3918" spans="39:41" ht="12" customHeight="1" x14ac:dyDescent="0.2">
      <c r="AM3918" t="str">
        <f t="shared" si="61"/>
        <v>Dupo [USDUP]</v>
      </c>
      <c r="AN3918" t="s">
        <v>29589</v>
      </c>
      <c r="AO3918" t="s">
        <v>29590</v>
      </c>
    </row>
    <row r="3919" spans="39:41" ht="12" customHeight="1" x14ac:dyDescent="0.2">
      <c r="AM3919" t="str">
        <f t="shared" si="61"/>
        <v>Duqm [OMDQM]</v>
      </c>
      <c r="AN3919" t="s">
        <v>25143</v>
      </c>
      <c r="AO3919" t="s">
        <v>25144</v>
      </c>
    </row>
    <row r="3920" spans="39:41" ht="12" customHeight="1" x14ac:dyDescent="0.2">
      <c r="AM3920" t="str">
        <f t="shared" si="61"/>
        <v>Duquesne [USZDQ]</v>
      </c>
      <c r="AN3920" t="s">
        <v>29591</v>
      </c>
      <c r="AO3920" t="s">
        <v>29592</v>
      </c>
    </row>
    <row r="3921" spans="39:41" ht="12" customHeight="1" x14ac:dyDescent="0.2">
      <c r="AM3921" t="str">
        <f t="shared" si="61"/>
        <v>Duran [ECDUN]</v>
      </c>
      <c r="AN3921" t="s">
        <v>9086</v>
      </c>
      <c r="AO3921" t="s">
        <v>35611</v>
      </c>
    </row>
    <row r="3922" spans="39:41" ht="12" customHeight="1" x14ac:dyDescent="0.2">
      <c r="AM3922" t="str">
        <f t="shared" si="61"/>
        <v>Durazno [UYDZO]</v>
      </c>
      <c r="AN3922" t="s">
        <v>32107</v>
      </c>
      <c r="AO3922" t="s">
        <v>32108</v>
      </c>
    </row>
    <row r="3923" spans="39:41" ht="12" customHeight="1" x14ac:dyDescent="0.2">
      <c r="AM3923" t="str">
        <f t="shared" si="61"/>
        <v>Durban [ZADUR]</v>
      </c>
      <c r="AN3923" t="s">
        <v>32675</v>
      </c>
      <c r="AO3923" t="s">
        <v>32676</v>
      </c>
    </row>
    <row r="3924" spans="39:41" ht="12" customHeight="1" x14ac:dyDescent="0.2">
      <c r="AM3924" t="str">
        <f t="shared" si="61"/>
        <v>Durham [GBDRH]</v>
      </c>
      <c r="AN3924" t="s">
        <v>13052</v>
      </c>
      <c r="AO3924" t="s">
        <v>13053</v>
      </c>
    </row>
    <row r="3925" spans="39:41" ht="12" customHeight="1" x14ac:dyDescent="0.2">
      <c r="AM3925" t="str">
        <f t="shared" si="61"/>
        <v>Durian [IDSDA]</v>
      </c>
      <c r="AN3925" t="s">
        <v>16255</v>
      </c>
      <c r="AO3925" t="s">
        <v>16256</v>
      </c>
    </row>
    <row r="3926" spans="39:41" ht="12" customHeight="1" x14ac:dyDescent="0.2">
      <c r="AM3926" t="str">
        <f t="shared" si="61"/>
        <v>Durnstein [ATDUE]</v>
      </c>
      <c r="AN3926" t="s">
        <v>1185</v>
      </c>
      <c r="AO3926" t="s">
        <v>35257</v>
      </c>
    </row>
    <row r="3927" spans="39:41" ht="12" customHeight="1" x14ac:dyDescent="0.2">
      <c r="AM3927" t="str">
        <f t="shared" si="61"/>
        <v>Durres [ALDRZ]</v>
      </c>
      <c r="AN3927" t="s">
        <v>818</v>
      </c>
      <c r="AO3927" t="s">
        <v>35234</v>
      </c>
    </row>
    <row r="3928" spans="39:41" ht="12" customHeight="1" x14ac:dyDescent="0.2">
      <c r="AM3928" t="str">
        <f t="shared" si="61"/>
        <v>Durward Dauntless [GBDDT]</v>
      </c>
      <c r="AN3928" t="s">
        <v>13054</v>
      </c>
      <c r="AO3928" t="s">
        <v>13055</v>
      </c>
    </row>
    <row r="3929" spans="39:41" ht="12" customHeight="1" x14ac:dyDescent="0.2">
      <c r="AM3929" t="str">
        <f t="shared" si="61"/>
        <v>Dusavik [NODUS]</v>
      </c>
      <c r="AN3929" t="s">
        <v>23988</v>
      </c>
      <c r="AO3929" t="s">
        <v>23989</v>
      </c>
    </row>
    <row r="3930" spans="39:41" ht="12" customHeight="1" x14ac:dyDescent="0.2">
      <c r="AM3930" t="str">
        <f t="shared" si="61"/>
        <v>Dusseldorf [DEDUS]</v>
      </c>
      <c r="AN3930" t="s">
        <v>7314</v>
      </c>
      <c r="AO3930" t="s">
        <v>35434</v>
      </c>
    </row>
    <row r="3931" spans="39:41" ht="12" customHeight="1" x14ac:dyDescent="0.2">
      <c r="AM3931" t="str">
        <f t="shared" si="61"/>
        <v>Dusslingen [DEDUL]</v>
      </c>
      <c r="AN3931" t="s">
        <v>7315</v>
      </c>
      <c r="AO3931" t="s">
        <v>7316</v>
      </c>
    </row>
    <row r="3932" spans="39:41" ht="12" customHeight="1" x14ac:dyDescent="0.2">
      <c r="AM3932" t="str">
        <f t="shared" si="61"/>
        <v>Dutch Harbor [USDUT]</v>
      </c>
      <c r="AN3932" t="s">
        <v>29593</v>
      </c>
      <c r="AO3932" t="s">
        <v>29594</v>
      </c>
    </row>
    <row r="3933" spans="39:41" ht="12" customHeight="1" x14ac:dyDescent="0.2">
      <c r="AM3933" t="str">
        <f t="shared" si="61"/>
        <v>Dutzow [USZDZ]</v>
      </c>
      <c r="AN3933" t="s">
        <v>29595</v>
      </c>
      <c r="AO3933" t="s">
        <v>29596</v>
      </c>
    </row>
    <row r="3934" spans="39:41" ht="12" customHeight="1" x14ac:dyDescent="0.2">
      <c r="AM3934" t="str">
        <f t="shared" si="61"/>
        <v>Duxbury [USDUH]</v>
      </c>
      <c r="AN3934" t="s">
        <v>29597</v>
      </c>
      <c r="AO3934" t="s">
        <v>29598</v>
      </c>
    </row>
    <row r="3935" spans="39:41" ht="12" customHeight="1" x14ac:dyDescent="0.2">
      <c r="AM3935" t="str">
        <f t="shared" si="61"/>
        <v>Dvorniky [SKDVO]</v>
      </c>
      <c r="AN3935" t="s">
        <v>28039</v>
      </c>
      <c r="AO3935" t="s">
        <v>28040</v>
      </c>
    </row>
    <row r="3936" spans="39:41" ht="12" customHeight="1" x14ac:dyDescent="0.2">
      <c r="AM3936" t="str">
        <f t="shared" si="61"/>
        <v>Dwarka [INDWA]</v>
      </c>
      <c r="AN3936" t="s">
        <v>17130</v>
      </c>
      <c r="AO3936" t="s">
        <v>17131</v>
      </c>
    </row>
    <row r="3937" spans="39:41" ht="12" customHeight="1" x14ac:dyDescent="0.2">
      <c r="AM3937" t="str">
        <f t="shared" si="61"/>
        <v>Dwarka (Rupen) [INDRK]</v>
      </c>
      <c r="AN3937" t="s">
        <v>17132</v>
      </c>
      <c r="AO3937" t="s">
        <v>17133</v>
      </c>
    </row>
    <row r="3938" spans="39:41" ht="12" customHeight="1" x14ac:dyDescent="0.2">
      <c r="AM3938" t="str">
        <f t="shared" si="61"/>
        <v>Dyckhausen [DEDYK]</v>
      </c>
      <c r="AN3938" t="s">
        <v>7317</v>
      </c>
      <c r="AO3938" t="s">
        <v>7318</v>
      </c>
    </row>
    <row r="3939" spans="39:41" ht="12" customHeight="1" x14ac:dyDescent="0.2">
      <c r="AM3939" t="str">
        <f t="shared" si="61"/>
        <v>Dynas [SEDYN]</v>
      </c>
      <c r="AN3939" t="s">
        <v>27553</v>
      </c>
      <c r="AO3939" t="s">
        <v>36432</v>
      </c>
    </row>
    <row r="3940" spans="39:41" ht="12" customHeight="1" x14ac:dyDescent="0.2">
      <c r="AM3940" t="str">
        <f t="shared" si="61"/>
        <v>Dyroy [NODYY]</v>
      </c>
      <c r="AN3940" t="s">
        <v>23990</v>
      </c>
      <c r="AO3940" t="s">
        <v>36154</v>
      </c>
    </row>
    <row r="3941" spans="39:41" ht="12" customHeight="1" x14ac:dyDescent="0.2">
      <c r="AM3941" t="str">
        <f t="shared" si="61"/>
        <v>Dyroyhamn [NODYL]</v>
      </c>
      <c r="AN3941" t="s">
        <v>23991</v>
      </c>
      <c r="AO3941" t="s">
        <v>36155</v>
      </c>
    </row>
    <row r="3942" spans="39:41" ht="12" customHeight="1" x14ac:dyDescent="0.2">
      <c r="AM3942" t="str">
        <f t="shared" si="61"/>
        <v>Dyrstad [NODYD]</v>
      </c>
      <c r="AN3942" t="s">
        <v>23992</v>
      </c>
      <c r="AO3942" t="s">
        <v>23993</v>
      </c>
    </row>
    <row r="3943" spans="39:41" ht="12" customHeight="1" x14ac:dyDescent="0.2">
      <c r="AM3943" t="str">
        <f t="shared" si="61"/>
        <v>Dyrvik [NODYR]</v>
      </c>
      <c r="AN3943" t="s">
        <v>23994</v>
      </c>
      <c r="AO3943" t="s">
        <v>23995</v>
      </c>
    </row>
    <row r="3944" spans="39:41" ht="12" customHeight="1" x14ac:dyDescent="0.2">
      <c r="AM3944" t="str">
        <f t="shared" si="61"/>
        <v>Dysart [GBDYS]</v>
      </c>
      <c r="AN3944" t="s">
        <v>13056</v>
      </c>
      <c r="AO3944" t="s">
        <v>13057</v>
      </c>
    </row>
    <row r="3945" spans="39:41" ht="12" customHeight="1" x14ac:dyDescent="0.2">
      <c r="AM3945" t="str">
        <f t="shared" si="61"/>
        <v>Dyssegard [DKDYS]</v>
      </c>
      <c r="AN3945" t="s">
        <v>8662</v>
      </c>
      <c r="AO3945" t="s">
        <v>8663</v>
      </c>
    </row>
    <row r="3946" spans="39:41" ht="12" customHeight="1" x14ac:dyDescent="0.2">
      <c r="AM3946" t="str">
        <f t="shared" si="61"/>
        <v>Dzaoudzi [YTDZA]</v>
      </c>
      <c r="AN3946" t="s">
        <v>32661</v>
      </c>
      <c r="AO3946" t="s">
        <v>32662</v>
      </c>
    </row>
    <row r="3947" spans="39:41" ht="12" customHeight="1" x14ac:dyDescent="0.2">
      <c r="AM3947" t="str">
        <f t="shared" si="61"/>
        <v>Dziecmierowo [PLZIC]</v>
      </c>
      <c r="AN3947" t="s">
        <v>26290</v>
      </c>
      <c r="AO3947" t="s">
        <v>26291</v>
      </c>
    </row>
    <row r="3948" spans="39:41" ht="12" customHeight="1" x14ac:dyDescent="0.2">
      <c r="AM3948" t="str">
        <f t="shared" si="61"/>
        <v>Dziwnow [PLDZN]</v>
      </c>
      <c r="AN3948" t="s">
        <v>26292</v>
      </c>
      <c r="AO3948" t="s">
        <v>26293</v>
      </c>
    </row>
    <row r="3949" spans="39:41" ht="12" customHeight="1" x14ac:dyDescent="0.2">
      <c r="AM3949" t="str">
        <f t="shared" si="61"/>
        <v>Ea Terminal [NGEAT]</v>
      </c>
      <c r="AN3949" t="s">
        <v>22929</v>
      </c>
      <c r="AO3949" t="s">
        <v>22930</v>
      </c>
    </row>
    <row r="3950" spans="39:41" ht="12" customHeight="1" x14ac:dyDescent="0.2">
      <c r="AM3950" t="str">
        <f t="shared" si="61"/>
        <v>Eakly [USQEY]</v>
      </c>
      <c r="AN3950" t="s">
        <v>29599</v>
      </c>
      <c r="AO3950" t="s">
        <v>29600</v>
      </c>
    </row>
    <row r="3951" spans="39:41" ht="12" customHeight="1" x14ac:dyDescent="0.2">
      <c r="AM3951" t="str">
        <f t="shared" si="61"/>
        <v>Eardiston [GBRRR]</v>
      </c>
      <c r="AN3951" t="s">
        <v>13058</v>
      </c>
      <c r="AO3951" t="s">
        <v>13059</v>
      </c>
    </row>
    <row r="3952" spans="39:41" ht="12" customHeight="1" x14ac:dyDescent="0.2">
      <c r="AM3952" t="str">
        <f t="shared" si="61"/>
        <v>Earl [USERE]</v>
      </c>
      <c r="AN3952" t="s">
        <v>29601</v>
      </c>
      <c r="AO3952" t="s">
        <v>29602</v>
      </c>
    </row>
    <row r="3953" spans="39:41" ht="12" customHeight="1" x14ac:dyDescent="0.2">
      <c r="AM3953" t="str">
        <f t="shared" si="61"/>
        <v>Earl Park [USEPA]</v>
      </c>
      <c r="AN3953" t="s">
        <v>29603</v>
      </c>
      <c r="AO3953" t="s">
        <v>29604</v>
      </c>
    </row>
    <row r="3954" spans="39:41" ht="12" customHeight="1" x14ac:dyDescent="0.2">
      <c r="AM3954" t="str">
        <f t="shared" si="61"/>
        <v>Earlington [USQEO]</v>
      </c>
      <c r="AN3954" t="s">
        <v>29605</v>
      </c>
      <c r="AO3954" t="s">
        <v>29606</v>
      </c>
    </row>
    <row r="3955" spans="39:41" ht="12" customHeight="1" x14ac:dyDescent="0.2">
      <c r="AM3955" t="str">
        <f t="shared" si="61"/>
        <v>Earls Colne [GBECO]</v>
      </c>
      <c r="AN3955" t="s">
        <v>13060</v>
      </c>
      <c r="AO3955" t="s">
        <v>13061</v>
      </c>
    </row>
    <row r="3956" spans="39:41" ht="12" customHeight="1" x14ac:dyDescent="0.2">
      <c r="AM3956" t="str">
        <f t="shared" si="61"/>
        <v>Earlville [USQEV]</v>
      </c>
      <c r="AN3956" t="s">
        <v>29607</v>
      </c>
      <c r="AO3956" t="s">
        <v>29608</v>
      </c>
    </row>
    <row r="3957" spans="39:41" ht="12" customHeight="1" x14ac:dyDescent="0.2">
      <c r="AM3957" t="str">
        <f t="shared" si="61"/>
        <v>Easdale, Seil [GBEAA]</v>
      </c>
      <c r="AN3957" t="s">
        <v>13062</v>
      </c>
      <c r="AO3957" t="s">
        <v>13063</v>
      </c>
    </row>
    <row r="3958" spans="39:41" ht="12" customHeight="1" x14ac:dyDescent="0.2">
      <c r="AM3958" t="str">
        <f t="shared" si="61"/>
        <v>Easington [GBESG]</v>
      </c>
      <c r="AN3958" t="s">
        <v>13064</v>
      </c>
      <c r="AO3958" t="s">
        <v>13065</v>
      </c>
    </row>
    <row r="3959" spans="39:41" ht="12" customHeight="1" x14ac:dyDescent="0.2">
      <c r="AM3959" t="str">
        <f t="shared" si="61"/>
        <v>Easkey/Rathlee [IEEKY]</v>
      </c>
      <c r="AN3959" t="s">
        <v>16807</v>
      </c>
      <c r="AO3959" t="s">
        <v>16808</v>
      </c>
    </row>
    <row r="3960" spans="39:41" ht="12" customHeight="1" x14ac:dyDescent="0.2">
      <c r="AM3960" t="str">
        <f t="shared" si="61"/>
        <v>East Angus [CAETA]</v>
      </c>
      <c r="AN3960" t="s">
        <v>3818</v>
      </c>
      <c r="AO3960" t="s">
        <v>3819</v>
      </c>
    </row>
    <row r="3961" spans="39:41" ht="12" customHeight="1" x14ac:dyDescent="0.2">
      <c r="AM3961" t="str">
        <f t="shared" si="61"/>
        <v>East Bloomfield [USZTB]</v>
      </c>
      <c r="AN3961" t="s">
        <v>29609</v>
      </c>
      <c r="AO3961" t="s">
        <v>29610</v>
      </c>
    </row>
    <row r="3962" spans="39:41" ht="12" customHeight="1" x14ac:dyDescent="0.2">
      <c r="AM3962" t="str">
        <f t="shared" ref="AM3962:AM4025" si="62">AO3962 &amp; " [" &amp; AN3962 &amp; "]"</f>
        <v>East Chicago [USECH]</v>
      </c>
      <c r="AN3962" t="s">
        <v>29611</v>
      </c>
      <c r="AO3962" t="s">
        <v>29612</v>
      </c>
    </row>
    <row r="3963" spans="39:41" ht="12" customHeight="1" x14ac:dyDescent="0.2">
      <c r="AM3963" t="str">
        <f t="shared" si="62"/>
        <v>East Dubuque [USEQE]</v>
      </c>
      <c r="AN3963" t="s">
        <v>29613</v>
      </c>
      <c r="AO3963" t="s">
        <v>29614</v>
      </c>
    </row>
    <row r="3964" spans="39:41" ht="12" customHeight="1" x14ac:dyDescent="0.2">
      <c r="AM3964" t="str">
        <f t="shared" si="62"/>
        <v>East Fairfield [US4HE]</v>
      </c>
      <c r="AN3964" t="s">
        <v>29615</v>
      </c>
      <c r="AO3964" t="s">
        <v>29616</v>
      </c>
    </row>
    <row r="3965" spans="39:41" ht="12" customHeight="1" x14ac:dyDescent="0.2">
      <c r="AM3965" t="str">
        <f t="shared" si="62"/>
        <v>East Falmouth [USZEF]</v>
      </c>
      <c r="AN3965" t="s">
        <v>29617</v>
      </c>
      <c r="AO3965" t="s">
        <v>29618</v>
      </c>
    </row>
    <row r="3966" spans="39:41" ht="12" customHeight="1" x14ac:dyDescent="0.2">
      <c r="AM3966" t="str">
        <f t="shared" si="62"/>
        <v>East Freetown [USEFN]</v>
      </c>
      <c r="AN3966" t="s">
        <v>29619</v>
      </c>
      <c r="AO3966" t="s">
        <v>29620</v>
      </c>
    </row>
    <row r="3967" spans="39:41" ht="12" customHeight="1" x14ac:dyDescent="0.2">
      <c r="AM3967" t="str">
        <f t="shared" si="62"/>
        <v>East Hyde [GBEHY]</v>
      </c>
      <c r="AN3967" t="s">
        <v>13066</v>
      </c>
      <c r="AO3967" t="s">
        <v>13067</v>
      </c>
    </row>
    <row r="3968" spans="39:41" ht="12" customHeight="1" x14ac:dyDescent="0.2">
      <c r="AM3968" t="str">
        <f t="shared" si="62"/>
        <v>East Keansburg [USEKB]</v>
      </c>
      <c r="AN3968" t="s">
        <v>29621</v>
      </c>
      <c r="AO3968" t="s">
        <v>29622</v>
      </c>
    </row>
    <row r="3969" spans="39:41" ht="12" customHeight="1" x14ac:dyDescent="0.2">
      <c r="AM3969" t="str">
        <f t="shared" si="62"/>
        <v>East Lake [USE2L]</v>
      </c>
      <c r="AN3969" t="s">
        <v>29623</v>
      </c>
      <c r="AO3969" t="s">
        <v>29624</v>
      </c>
    </row>
    <row r="3970" spans="39:41" ht="12" customHeight="1" x14ac:dyDescent="0.2">
      <c r="AM3970" t="str">
        <f t="shared" si="62"/>
        <v>East Lansing [USEQ4]</v>
      </c>
      <c r="AN3970" t="s">
        <v>29625</v>
      </c>
      <c r="AO3970" t="s">
        <v>29626</v>
      </c>
    </row>
    <row r="3971" spans="39:41" ht="12" customHeight="1" x14ac:dyDescent="0.2">
      <c r="AM3971" t="str">
        <f t="shared" si="62"/>
        <v>East Leroy [USXXY]</v>
      </c>
      <c r="AN3971" t="s">
        <v>29627</v>
      </c>
      <c r="AO3971" t="s">
        <v>29628</v>
      </c>
    </row>
    <row r="3972" spans="39:41" ht="12" customHeight="1" x14ac:dyDescent="0.2">
      <c r="AM3972" t="str">
        <f t="shared" si="62"/>
        <v>East London [ZAELS]</v>
      </c>
      <c r="AN3972" t="s">
        <v>32677</v>
      </c>
      <c r="AO3972" t="s">
        <v>32678</v>
      </c>
    </row>
    <row r="3973" spans="39:41" ht="12" customHeight="1" x14ac:dyDescent="0.2">
      <c r="AM3973" t="str">
        <f t="shared" si="62"/>
        <v>East Machias [USEM7]</v>
      </c>
      <c r="AN3973" t="s">
        <v>29629</v>
      </c>
      <c r="AO3973" t="s">
        <v>29630</v>
      </c>
    </row>
    <row r="3974" spans="39:41" ht="12" customHeight="1" x14ac:dyDescent="0.2">
      <c r="AM3974" t="str">
        <f t="shared" si="62"/>
        <v>East Mersea [GBEME]</v>
      </c>
      <c r="AN3974" t="s">
        <v>13068</v>
      </c>
      <c r="AO3974" t="s">
        <v>13069</v>
      </c>
    </row>
    <row r="3975" spans="39:41" ht="12" customHeight="1" x14ac:dyDescent="0.2">
      <c r="AM3975" t="str">
        <f t="shared" si="62"/>
        <v>East Orange [USEOG]</v>
      </c>
      <c r="AN3975" t="s">
        <v>29631</v>
      </c>
      <c r="AO3975" t="s">
        <v>29632</v>
      </c>
    </row>
    <row r="3976" spans="39:41" ht="12" customHeight="1" x14ac:dyDescent="0.2">
      <c r="AM3976" t="str">
        <f t="shared" si="62"/>
        <v>East Palestine [USYEP]</v>
      </c>
      <c r="AN3976" t="s">
        <v>29633</v>
      </c>
      <c r="AO3976" t="s">
        <v>29634</v>
      </c>
    </row>
    <row r="3977" spans="39:41" ht="12" customHeight="1" x14ac:dyDescent="0.2">
      <c r="AM3977" t="str">
        <f t="shared" si="62"/>
        <v>East Point [USEPY]</v>
      </c>
      <c r="AN3977" t="s">
        <v>29635</v>
      </c>
      <c r="AO3977" t="s">
        <v>29636</v>
      </c>
    </row>
    <row r="3978" spans="39:41" ht="12" customHeight="1" x14ac:dyDescent="0.2">
      <c r="AM3978" t="str">
        <f t="shared" si="62"/>
        <v>East Setauket [USQET]</v>
      </c>
      <c r="AN3978" t="s">
        <v>29637</v>
      </c>
      <c r="AO3978" t="s">
        <v>29638</v>
      </c>
    </row>
    <row r="3979" spans="39:41" ht="12" customHeight="1" x14ac:dyDescent="0.2">
      <c r="AM3979" t="str">
        <f t="shared" si="62"/>
        <v>East Troy [USTYY]</v>
      </c>
      <c r="AN3979" t="s">
        <v>29639</v>
      </c>
      <c r="AO3979" t="s">
        <v>29640</v>
      </c>
    </row>
    <row r="3980" spans="39:41" ht="12" customHeight="1" x14ac:dyDescent="0.2">
      <c r="AM3980" t="str">
        <f t="shared" si="62"/>
        <v>East Walpole [USZEP]</v>
      </c>
      <c r="AN3980" t="s">
        <v>29641</v>
      </c>
      <c r="AO3980" t="s">
        <v>29642</v>
      </c>
    </row>
    <row r="3981" spans="39:41" ht="12" customHeight="1" x14ac:dyDescent="0.2">
      <c r="AM3981" t="str">
        <f t="shared" si="62"/>
        <v>East Wellow [GBESW]</v>
      </c>
      <c r="AN3981" t="s">
        <v>13070</v>
      </c>
      <c r="AO3981" t="s">
        <v>13071</v>
      </c>
    </row>
    <row r="3982" spans="39:41" ht="12" customHeight="1" x14ac:dyDescent="0.2">
      <c r="AM3982" t="str">
        <f t="shared" si="62"/>
        <v>East Windsor [US99W]</v>
      </c>
      <c r="AN3982" t="s">
        <v>29643</v>
      </c>
      <c r="AO3982" t="s">
        <v>29644</v>
      </c>
    </row>
    <row r="3983" spans="39:41" ht="12" customHeight="1" x14ac:dyDescent="0.2">
      <c r="AM3983" t="str">
        <f t="shared" si="62"/>
        <v>East Wittering [GBEWT]</v>
      </c>
      <c r="AN3983" t="s">
        <v>13072</v>
      </c>
      <c r="AO3983" t="s">
        <v>13073</v>
      </c>
    </row>
    <row r="3984" spans="39:41" ht="12" customHeight="1" x14ac:dyDescent="0.2">
      <c r="AM3984" t="str">
        <f t="shared" si="62"/>
        <v>Eastbourne [GBEBO]</v>
      </c>
      <c r="AN3984" t="s">
        <v>13074</v>
      </c>
      <c r="AO3984" t="s">
        <v>13075</v>
      </c>
    </row>
    <row r="3985" spans="39:41" ht="12" customHeight="1" x14ac:dyDescent="0.2">
      <c r="AM3985" t="str">
        <f t="shared" si="62"/>
        <v>Eastern Cape [ZACTP]</v>
      </c>
      <c r="AN3985" t="s">
        <v>32679</v>
      </c>
      <c r="AO3985" t="s">
        <v>32680</v>
      </c>
    </row>
    <row r="3986" spans="39:41" ht="12" customHeight="1" x14ac:dyDescent="0.2">
      <c r="AM3986" t="str">
        <f t="shared" si="62"/>
        <v>Eastham [GBEAM]</v>
      </c>
      <c r="AN3986" t="s">
        <v>13076</v>
      </c>
      <c r="AO3986" t="s">
        <v>13077</v>
      </c>
    </row>
    <row r="3987" spans="39:41" ht="12" customHeight="1" x14ac:dyDescent="0.2">
      <c r="AM3987" t="str">
        <f t="shared" si="62"/>
        <v>Eastport [USEPM]</v>
      </c>
      <c r="AN3987" t="s">
        <v>29645</v>
      </c>
      <c r="AO3987" t="s">
        <v>29646</v>
      </c>
    </row>
    <row r="3988" spans="39:41" ht="12" customHeight="1" x14ac:dyDescent="0.2">
      <c r="AM3988" t="str">
        <f t="shared" si="62"/>
        <v>Eauripik Atoll [FMEAU]</v>
      </c>
      <c r="AN3988" t="s">
        <v>10643</v>
      </c>
      <c r="AO3988" t="s">
        <v>10644</v>
      </c>
    </row>
    <row r="3989" spans="39:41" ht="12" customHeight="1" x14ac:dyDescent="0.2">
      <c r="AM3989" t="str">
        <f t="shared" si="62"/>
        <v>Ebeltoft [DKEBT]</v>
      </c>
      <c r="AN3989" t="s">
        <v>8664</v>
      </c>
      <c r="AO3989" t="s">
        <v>8665</v>
      </c>
    </row>
    <row r="3990" spans="39:41" ht="12" customHeight="1" x14ac:dyDescent="0.2">
      <c r="AM3990" t="str">
        <f t="shared" si="62"/>
        <v>Eben-Emael [BE9IR]</v>
      </c>
      <c r="AN3990" t="s">
        <v>2405</v>
      </c>
      <c r="AO3990" t="s">
        <v>2406</v>
      </c>
    </row>
    <row r="3991" spans="39:41" ht="12" customHeight="1" x14ac:dyDescent="0.2">
      <c r="AM3991" t="str">
        <f t="shared" si="62"/>
        <v>Eberbach [DEEBB]</v>
      </c>
      <c r="AN3991" t="s">
        <v>7319</v>
      </c>
      <c r="AO3991" t="s">
        <v>7320</v>
      </c>
    </row>
    <row r="3992" spans="39:41" ht="12" customHeight="1" x14ac:dyDescent="0.2">
      <c r="AM3992" t="str">
        <f t="shared" si="62"/>
        <v>Ebes [HUEBS]</v>
      </c>
      <c r="AN3992" t="s">
        <v>16075</v>
      </c>
      <c r="AO3992" t="s">
        <v>16076</v>
      </c>
    </row>
    <row r="3993" spans="39:41" ht="12" customHeight="1" x14ac:dyDescent="0.2">
      <c r="AM3993" t="str">
        <f t="shared" si="62"/>
        <v>Ebito [JPEBI]</v>
      </c>
      <c r="AN3993" t="s">
        <v>18710</v>
      </c>
      <c r="AO3993" t="s">
        <v>18711</v>
      </c>
    </row>
    <row r="3994" spans="39:41" ht="12" customHeight="1" x14ac:dyDescent="0.2">
      <c r="AM3994" t="str">
        <f t="shared" si="62"/>
        <v>Ebok Terminal [NGEBO]</v>
      </c>
      <c r="AN3994" t="s">
        <v>22931</v>
      </c>
      <c r="AO3994" t="s">
        <v>22932</v>
      </c>
    </row>
    <row r="3995" spans="39:41" ht="12" customHeight="1" x14ac:dyDescent="0.2">
      <c r="AM3995" t="str">
        <f t="shared" si="62"/>
        <v>Ebreichsdorf [ATEBR]</v>
      </c>
      <c r="AN3995" t="s">
        <v>1186</v>
      </c>
      <c r="AO3995" t="s">
        <v>1187</v>
      </c>
    </row>
    <row r="3996" spans="39:41" ht="12" customHeight="1" x14ac:dyDescent="0.2">
      <c r="AM3996" t="str">
        <f t="shared" si="62"/>
        <v>Ecaussinnes-Lalaing [BEELA]</v>
      </c>
      <c r="AN3996" t="s">
        <v>36765</v>
      </c>
      <c r="AO3996" t="s">
        <v>36766</v>
      </c>
    </row>
    <row r="3997" spans="39:41" ht="12" customHeight="1" x14ac:dyDescent="0.2">
      <c r="AM3997" t="str">
        <f t="shared" si="62"/>
        <v>Eccles [GBECS]</v>
      </c>
      <c r="AN3997" t="s">
        <v>13078</v>
      </c>
      <c r="AO3997" t="s">
        <v>13079</v>
      </c>
    </row>
    <row r="3998" spans="39:41" ht="12" customHeight="1" x14ac:dyDescent="0.2">
      <c r="AM3998" t="str">
        <f t="shared" si="62"/>
        <v>Echeng [CNECG]</v>
      </c>
      <c r="AN3998" t="s">
        <v>5278</v>
      </c>
      <c r="AO3998" t="s">
        <v>5279</v>
      </c>
    </row>
    <row r="3999" spans="39:41" ht="12" customHeight="1" x14ac:dyDescent="0.2">
      <c r="AM3999" t="str">
        <f t="shared" si="62"/>
        <v>Eching/Landshut [DEEGC]</v>
      </c>
      <c r="AN3999" t="s">
        <v>7321</v>
      </c>
      <c r="AO3999" t="s">
        <v>7322</v>
      </c>
    </row>
    <row r="4000" spans="39:41" ht="12" customHeight="1" x14ac:dyDescent="0.2">
      <c r="AM4000" t="str">
        <f t="shared" si="62"/>
        <v>Echteld [NLECD]</v>
      </c>
      <c r="AN4000" t="s">
        <v>23163</v>
      </c>
      <c r="AO4000" t="s">
        <v>23164</v>
      </c>
    </row>
    <row r="4001" spans="39:41" ht="12" customHeight="1" x14ac:dyDescent="0.2">
      <c r="AM4001" t="str">
        <f t="shared" si="62"/>
        <v>Echtenerbrug [NLEHU]</v>
      </c>
      <c r="AN4001" t="s">
        <v>23165</v>
      </c>
      <c r="AO4001" t="s">
        <v>23166</v>
      </c>
    </row>
    <row r="4002" spans="39:41" ht="12" customHeight="1" x14ac:dyDescent="0.2">
      <c r="AM4002" t="str">
        <f t="shared" si="62"/>
        <v>Eckernforde [DEECK]</v>
      </c>
      <c r="AN4002" t="s">
        <v>7323</v>
      </c>
      <c r="AO4002" t="s">
        <v>35435</v>
      </c>
    </row>
    <row r="4003" spans="39:41" ht="12" customHeight="1" x14ac:dyDescent="0.2">
      <c r="AM4003" t="str">
        <f t="shared" si="62"/>
        <v>Eckero [FIECK]</v>
      </c>
      <c r="AN4003" t="s">
        <v>10328</v>
      </c>
      <c r="AO4003" t="s">
        <v>35713</v>
      </c>
    </row>
    <row r="4004" spans="39:41" ht="12" customHeight="1" x14ac:dyDescent="0.2">
      <c r="AM4004" t="str">
        <f t="shared" si="62"/>
        <v>Ecuelles [FRECI]</v>
      </c>
      <c r="AN4004" t="s">
        <v>11249</v>
      </c>
      <c r="AO4004" t="s">
        <v>35797</v>
      </c>
    </row>
    <row r="4005" spans="39:41" ht="12" customHeight="1" x14ac:dyDescent="0.2">
      <c r="AM4005" t="str">
        <f t="shared" si="62"/>
        <v>Ecutigny [FRUTI]</v>
      </c>
      <c r="AN4005" t="s">
        <v>11250</v>
      </c>
      <c r="AO4005" t="s">
        <v>11251</v>
      </c>
    </row>
    <row r="4006" spans="39:41" ht="12" customHeight="1" x14ac:dyDescent="0.2">
      <c r="AM4006" t="str">
        <f t="shared" si="62"/>
        <v>Edam [NLEDM]</v>
      </c>
      <c r="AN4006" t="s">
        <v>33878</v>
      </c>
      <c r="AO4006" t="s">
        <v>34000</v>
      </c>
    </row>
    <row r="4007" spans="39:41" ht="12" customHeight="1" x14ac:dyDescent="0.2">
      <c r="AM4007" t="str">
        <f t="shared" si="62"/>
        <v>Eddington [USE2D]</v>
      </c>
      <c r="AN4007" t="s">
        <v>29647</v>
      </c>
      <c r="AO4007" t="s">
        <v>29648</v>
      </c>
    </row>
    <row r="4008" spans="39:41" ht="12" customHeight="1" x14ac:dyDescent="0.2">
      <c r="AM4008" t="str">
        <f t="shared" si="62"/>
        <v>Eddyville [USEDV]</v>
      </c>
      <c r="AN4008" t="s">
        <v>29649</v>
      </c>
      <c r="AO4008" t="s">
        <v>29650</v>
      </c>
    </row>
    <row r="4009" spans="39:41" ht="12" customHeight="1" x14ac:dyDescent="0.2">
      <c r="AM4009" t="str">
        <f t="shared" si="62"/>
        <v>Eden [AUQDN]</v>
      </c>
      <c r="AN4009" t="s">
        <v>1641</v>
      </c>
      <c r="AO4009" t="s">
        <v>1642</v>
      </c>
    </row>
    <row r="4010" spans="39:41" ht="12" customHeight="1" x14ac:dyDescent="0.2">
      <c r="AM4010" t="str">
        <f t="shared" si="62"/>
        <v>Eden [USEV6]</v>
      </c>
      <c r="AN4010" t="s">
        <v>29651</v>
      </c>
      <c r="AO4010" t="s">
        <v>1642</v>
      </c>
    </row>
    <row r="4011" spans="39:41" ht="12" customHeight="1" x14ac:dyDescent="0.2">
      <c r="AM4011" t="str">
        <f t="shared" si="62"/>
        <v>Eden Valley [AUEDE]</v>
      </c>
      <c r="AN4011" t="s">
        <v>1643</v>
      </c>
      <c r="AO4011" t="s">
        <v>1644</v>
      </c>
    </row>
    <row r="4012" spans="39:41" ht="12" customHeight="1" x14ac:dyDescent="0.2">
      <c r="AM4012" t="str">
        <f t="shared" si="62"/>
        <v>Eden Valley [USZVY]</v>
      </c>
      <c r="AN4012" t="s">
        <v>29652</v>
      </c>
      <c r="AO4012" t="s">
        <v>1644</v>
      </c>
    </row>
    <row r="4013" spans="39:41" ht="12" customHeight="1" x14ac:dyDescent="0.2">
      <c r="AM4013" t="str">
        <f t="shared" si="62"/>
        <v>Edgartown [USETW]</v>
      </c>
      <c r="AN4013" t="s">
        <v>29653</v>
      </c>
      <c r="AO4013" t="s">
        <v>29654</v>
      </c>
    </row>
    <row r="4014" spans="39:41" ht="12" customHeight="1" x14ac:dyDescent="0.2">
      <c r="AM4014" t="str">
        <f t="shared" si="62"/>
        <v>Edgemere [USGME]</v>
      </c>
      <c r="AN4014" t="s">
        <v>29655</v>
      </c>
      <c r="AO4014" t="s">
        <v>29656</v>
      </c>
    </row>
    <row r="4015" spans="39:41" ht="12" customHeight="1" x14ac:dyDescent="0.2">
      <c r="AM4015" t="str">
        <f t="shared" si="62"/>
        <v>Edgeware [GBLEW]</v>
      </c>
      <c r="AN4015" t="s">
        <v>13080</v>
      </c>
      <c r="AO4015" t="s">
        <v>13081</v>
      </c>
    </row>
    <row r="4016" spans="39:41" ht="12" customHeight="1" x14ac:dyDescent="0.2">
      <c r="AM4016" t="str">
        <f t="shared" si="62"/>
        <v>Edinboro [USQEB]</v>
      </c>
      <c r="AN4016" t="s">
        <v>29657</v>
      </c>
      <c r="AO4016" t="s">
        <v>29658</v>
      </c>
    </row>
    <row r="4017" spans="39:41" ht="12" customHeight="1" x14ac:dyDescent="0.2">
      <c r="AM4017" t="str">
        <f t="shared" si="62"/>
        <v>Edinburgh [GBEDI]</v>
      </c>
      <c r="AN4017" t="s">
        <v>13082</v>
      </c>
      <c r="AO4017" t="s">
        <v>13083</v>
      </c>
    </row>
    <row r="4018" spans="39:41" ht="12" customHeight="1" x14ac:dyDescent="0.2">
      <c r="AM4018" t="str">
        <f t="shared" si="62"/>
        <v>Edingen [DEEDI]</v>
      </c>
      <c r="AN4018" t="s">
        <v>7324</v>
      </c>
      <c r="AO4018" t="s">
        <v>7325</v>
      </c>
    </row>
    <row r="4019" spans="39:41" ht="12" customHeight="1" x14ac:dyDescent="0.2">
      <c r="AM4019" t="str">
        <f t="shared" si="62"/>
        <v>Edipsos [GREDI]</v>
      </c>
      <c r="AN4019" t="s">
        <v>15184</v>
      </c>
      <c r="AO4019" t="s">
        <v>15185</v>
      </c>
    </row>
    <row r="4020" spans="39:41" ht="12" customHeight="1" x14ac:dyDescent="0.2">
      <c r="AM4020" t="str">
        <f t="shared" si="62"/>
        <v>Edirne [TREDI]</v>
      </c>
      <c r="AN4020" t="s">
        <v>28453</v>
      </c>
      <c r="AO4020" t="s">
        <v>28454</v>
      </c>
    </row>
    <row r="4021" spans="39:41" ht="12" customHeight="1" x14ac:dyDescent="0.2">
      <c r="AM4021" t="str">
        <f t="shared" si="62"/>
        <v>Edithburgh [AUEDB]</v>
      </c>
      <c r="AN4021" t="s">
        <v>1645</v>
      </c>
      <c r="AO4021" t="s">
        <v>1646</v>
      </c>
    </row>
    <row r="4022" spans="39:41" ht="12" customHeight="1" x14ac:dyDescent="0.2">
      <c r="AM4022" t="str">
        <f t="shared" si="62"/>
        <v>Edmonds [USEOW]</v>
      </c>
      <c r="AN4022" t="s">
        <v>29659</v>
      </c>
      <c r="AO4022" t="s">
        <v>29660</v>
      </c>
    </row>
    <row r="4023" spans="39:41" ht="12" customHeight="1" x14ac:dyDescent="0.2">
      <c r="AM4023" t="str">
        <f t="shared" si="62"/>
        <v>Edremit [TREDO]</v>
      </c>
      <c r="AN4023" t="s">
        <v>37172</v>
      </c>
      <c r="AO4023" t="s">
        <v>37173</v>
      </c>
    </row>
    <row r="4024" spans="39:41" ht="12" customHeight="1" x14ac:dyDescent="0.2">
      <c r="AM4024" t="str">
        <f t="shared" si="62"/>
        <v>Edson [USZYL]</v>
      </c>
      <c r="AN4024" t="s">
        <v>29661</v>
      </c>
      <c r="AO4024" t="s">
        <v>29662</v>
      </c>
    </row>
    <row r="4025" spans="39:41" ht="12" customHeight="1" x14ac:dyDescent="0.2">
      <c r="AM4025" t="str">
        <f t="shared" si="62"/>
        <v>Edwards Cove [CAEDC]</v>
      </c>
      <c r="AN4025" t="s">
        <v>3820</v>
      </c>
      <c r="AO4025" t="s">
        <v>3821</v>
      </c>
    </row>
    <row r="4026" spans="39:41" ht="12" customHeight="1" x14ac:dyDescent="0.2">
      <c r="AM4026" t="str">
        <f t="shared" ref="AM4026:AM4089" si="63">AO4026 &amp; " [" &amp; AN4026 &amp; "]"</f>
        <v>Eefde [NLEFE]</v>
      </c>
      <c r="AN4026" t="s">
        <v>23167</v>
      </c>
      <c r="AO4026" t="s">
        <v>23168</v>
      </c>
    </row>
    <row r="4027" spans="39:41" ht="12" customHeight="1" x14ac:dyDescent="0.2">
      <c r="AM4027" t="str">
        <f t="shared" si="63"/>
        <v>Eeklo [BEEEK]</v>
      </c>
      <c r="AN4027" t="s">
        <v>2407</v>
      </c>
      <c r="AO4027" t="s">
        <v>2408</v>
      </c>
    </row>
    <row r="4028" spans="39:41" ht="12" customHeight="1" x14ac:dyDescent="0.2">
      <c r="AM4028" t="str">
        <f t="shared" si="63"/>
        <v>Eemshaven [NLEEM]</v>
      </c>
      <c r="AN4028" t="s">
        <v>23169</v>
      </c>
      <c r="AO4028" t="s">
        <v>23170</v>
      </c>
    </row>
    <row r="4029" spans="39:41" ht="12" customHeight="1" x14ac:dyDescent="0.2">
      <c r="AM4029" t="str">
        <f t="shared" si="63"/>
        <v>Eernewoude [NLEWO]</v>
      </c>
      <c r="AN4029" t="s">
        <v>23171</v>
      </c>
      <c r="AO4029" t="s">
        <v>23172</v>
      </c>
    </row>
    <row r="4030" spans="39:41" ht="12" customHeight="1" x14ac:dyDescent="0.2">
      <c r="AM4030" t="str">
        <f t="shared" si="63"/>
        <v>Effeldorf [DEEAX]</v>
      </c>
      <c r="AN4030" t="s">
        <v>7326</v>
      </c>
      <c r="AO4030" t="s">
        <v>7327</v>
      </c>
    </row>
    <row r="4031" spans="39:41" ht="12" customHeight="1" x14ac:dyDescent="0.2">
      <c r="AM4031" t="str">
        <f t="shared" si="63"/>
        <v>Effingham [USEGH]</v>
      </c>
      <c r="AN4031" t="s">
        <v>29663</v>
      </c>
      <c r="AO4031" t="s">
        <v>29664</v>
      </c>
    </row>
    <row r="4032" spans="39:41" ht="12" customHeight="1" x14ac:dyDescent="0.2">
      <c r="AM4032" t="str">
        <f t="shared" si="63"/>
        <v>Eforie Sud [ROEFS]</v>
      </c>
      <c r="AN4032" t="s">
        <v>26750</v>
      </c>
      <c r="AO4032" t="s">
        <v>26751</v>
      </c>
    </row>
    <row r="4033" spans="39:41" ht="12" customHeight="1" x14ac:dyDescent="0.2">
      <c r="AM4033" t="str">
        <f t="shared" si="63"/>
        <v>Egense [DKEGN]</v>
      </c>
      <c r="AN4033" t="s">
        <v>8666</v>
      </c>
      <c r="AO4033" t="s">
        <v>8667</v>
      </c>
    </row>
    <row r="4034" spans="39:41" ht="12" customHeight="1" x14ac:dyDescent="0.2">
      <c r="AM4034" t="str">
        <f t="shared" si="63"/>
        <v>Egernsund [DKEND]</v>
      </c>
      <c r="AN4034" t="s">
        <v>8668</v>
      </c>
      <c r="AO4034" t="s">
        <v>8669</v>
      </c>
    </row>
    <row r="4035" spans="39:41" ht="12" customHeight="1" x14ac:dyDescent="0.2">
      <c r="AM4035" t="str">
        <f t="shared" si="63"/>
        <v>Egersund [NOEGE]</v>
      </c>
      <c r="AN4035" t="s">
        <v>23996</v>
      </c>
      <c r="AO4035" t="s">
        <v>23997</v>
      </c>
    </row>
    <row r="4036" spans="39:41" ht="12" customHeight="1" x14ac:dyDescent="0.2">
      <c r="AM4036" t="str">
        <f t="shared" si="63"/>
        <v>Eggenstein-Leopoldshafen [DEEGL]</v>
      </c>
      <c r="AN4036" t="s">
        <v>7328</v>
      </c>
      <c r="AO4036" t="s">
        <v>7329</v>
      </c>
    </row>
    <row r="4037" spans="39:41" ht="12" customHeight="1" x14ac:dyDescent="0.2">
      <c r="AM4037" t="str">
        <f t="shared" si="63"/>
        <v>Eggermuhlen [DEEGJ]</v>
      </c>
      <c r="AN4037" t="s">
        <v>7330</v>
      </c>
      <c r="AO4037" t="s">
        <v>35436</v>
      </c>
    </row>
    <row r="4038" spans="39:41" ht="12" customHeight="1" x14ac:dyDescent="0.2">
      <c r="AM4038" t="str">
        <f t="shared" si="63"/>
        <v>Eggesbones [NOEGG]</v>
      </c>
      <c r="AN4038" t="s">
        <v>23998</v>
      </c>
      <c r="AO4038" t="s">
        <v>36156</v>
      </c>
    </row>
    <row r="4039" spans="39:41" ht="12" customHeight="1" x14ac:dyDescent="0.2">
      <c r="AM4039" t="str">
        <f t="shared" si="63"/>
        <v>Eggolsheim [DEEOM]</v>
      </c>
      <c r="AN4039" t="s">
        <v>7331</v>
      </c>
      <c r="AO4039" t="s">
        <v>7332</v>
      </c>
    </row>
    <row r="4040" spans="39:41" ht="12" customHeight="1" x14ac:dyDescent="0.2">
      <c r="AM4040" t="str">
        <f t="shared" si="63"/>
        <v>Egilsay [GBEGI]</v>
      </c>
      <c r="AN4040" t="s">
        <v>13084</v>
      </c>
      <c r="AO4040" t="s">
        <v>13085</v>
      </c>
    </row>
    <row r="4041" spans="39:41" ht="12" customHeight="1" x14ac:dyDescent="0.2">
      <c r="AM4041" t="str">
        <f t="shared" si="63"/>
        <v>Eginion [GREGI]</v>
      </c>
      <c r="AN4041" t="s">
        <v>15186</v>
      </c>
      <c r="AO4041" t="s">
        <v>15187</v>
      </c>
    </row>
    <row r="4042" spans="39:41" ht="12" customHeight="1" x14ac:dyDescent="0.2">
      <c r="AM4042" t="str">
        <f t="shared" si="63"/>
        <v>Ego [JPEGO]</v>
      </c>
      <c r="AN4042" t="s">
        <v>18712</v>
      </c>
      <c r="AO4042" t="s">
        <v>18713</v>
      </c>
    </row>
    <row r="4043" spans="39:41" ht="12" customHeight="1" x14ac:dyDescent="0.2">
      <c r="AM4043" t="str">
        <f t="shared" si="63"/>
        <v>Egvekinot [RUEGV]</v>
      </c>
      <c r="AN4043" t="s">
        <v>26933</v>
      </c>
      <c r="AO4043" t="s">
        <v>26934</v>
      </c>
    </row>
    <row r="4044" spans="39:41" ht="12" customHeight="1" x14ac:dyDescent="0.2">
      <c r="AM4044" t="str">
        <f t="shared" si="63"/>
        <v>Ehingen [DEEHI]</v>
      </c>
      <c r="AN4044" t="s">
        <v>7333</v>
      </c>
      <c r="AO4044" t="s">
        <v>7334</v>
      </c>
    </row>
    <row r="4045" spans="39:41" ht="12" customHeight="1" x14ac:dyDescent="0.2">
      <c r="AM4045" t="str">
        <f t="shared" si="63"/>
        <v>Ehoala [MGEHL]</v>
      </c>
      <c r="AN4045" t="s">
        <v>22116</v>
      </c>
      <c r="AO4045" t="s">
        <v>22117</v>
      </c>
    </row>
    <row r="4046" spans="39:41" ht="12" customHeight="1" x14ac:dyDescent="0.2">
      <c r="AM4046" t="str">
        <f t="shared" si="63"/>
        <v>Ehrenbreitstein [DEEBI]</v>
      </c>
      <c r="AN4046" t="s">
        <v>7335</v>
      </c>
      <c r="AO4046" t="s">
        <v>7336</v>
      </c>
    </row>
    <row r="4047" spans="39:41" ht="12" customHeight="1" x14ac:dyDescent="0.2">
      <c r="AM4047" t="str">
        <f t="shared" si="63"/>
        <v>Ei [JPEII]</v>
      </c>
      <c r="AN4047" t="s">
        <v>18714</v>
      </c>
      <c r="AO4047" t="s">
        <v>18715</v>
      </c>
    </row>
    <row r="4048" spans="39:41" ht="12" customHeight="1" x14ac:dyDescent="0.2">
      <c r="AM4048" t="str">
        <f t="shared" si="63"/>
        <v>Eibiswald [ATEWD]</v>
      </c>
      <c r="AN4048" t="s">
        <v>1188</v>
      </c>
      <c r="AO4048" t="s">
        <v>1189</v>
      </c>
    </row>
    <row r="4049" spans="39:41" ht="12" customHeight="1" x14ac:dyDescent="0.2">
      <c r="AM4049" t="str">
        <f t="shared" si="63"/>
        <v>Eid [NOEID]</v>
      </c>
      <c r="AN4049" t="s">
        <v>23999</v>
      </c>
      <c r="AO4049" t="s">
        <v>24000</v>
      </c>
    </row>
    <row r="4050" spans="39:41" ht="12" customHeight="1" x14ac:dyDescent="0.2">
      <c r="AM4050" t="str">
        <f t="shared" si="63"/>
        <v>Eidangerfjorden [NOEIF]</v>
      </c>
      <c r="AN4050" t="s">
        <v>24001</v>
      </c>
      <c r="AO4050" t="s">
        <v>24002</v>
      </c>
    </row>
    <row r="4051" spans="39:41" ht="12" customHeight="1" x14ac:dyDescent="0.2">
      <c r="AM4051" t="str">
        <f t="shared" si="63"/>
        <v>Eide [NOEDE]</v>
      </c>
      <c r="AN4051" t="s">
        <v>24003</v>
      </c>
      <c r="AO4051" t="s">
        <v>24004</v>
      </c>
    </row>
    <row r="4052" spans="39:41" ht="12" customHeight="1" x14ac:dyDescent="0.2">
      <c r="AM4052" t="str">
        <f t="shared" si="63"/>
        <v>Eide Sotra [NOEDS]</v>
      </c>
      <c r="AN4052" t="s">
        <v>24005</v>
      </c>
      <c r="AO4052" t="s">
        <v>24006</v>
      </c>
    </row>
    <row r="4053" spans="39:41" ht="12" customHeight="1" x14ac:dyDescent="0.2">
      <c r="AM4053" t="str">
        <f t="shared" si="63"/>
        <v>Eiderdeich [DEEDD]</v>
      </c>
      <c r="AN4053" t="s">
        <v>7337</v>
      </c>
      <c r="AO4053" t="s">
        <v>7338</v>
      </c>
    </row>
    <row r="4054" spans="39:41" ht="12" customHeight="1" x14ac:dyDescent="0.2">
      <c r="AM4054" t="str">
        <f t="shared" si="63"/>
        <v>Eidet [NOEDT]</v>
      </c>
      <c r="AN4054" t="s">
        <v>24007</v>
      </c>
      <c r="AO4054" t="s">
        <v>24008</v>
      </c>
    </row>
    <row r="4055" spans="39:41" ht="12" customHeight="1" x14ac:dyDescent="0.2">
      <c r="AM4055" t="str">
        <f t="shared" si="63"/>
        <v>Eidfjord [NOEDF]</v>
      </c>
      <c r="AN4055" t="s">
        <v>24009</v>
      </c>
      <c r="AO4055" t="s">
        <v>24010</v>
      </c>
    </row>
    <row r="4056" spans="39:41" ht="12" customHeight="1" x14ac:dyDescent="0.2">
      <c r="AM4056" t="str">
        <f t="shared" si="63"/>
        <v>Eidi [FOEDI]</v>
      </c>
      <c r="AN4056" t="s">
        <v>10671</v>
      </c>
      <c r="AO4056" t="s">
        <v>10672</v>
      </c>
    </row>
    <row r="4057" spans="39:41" ht="12" customHeight="1" x14ac:dyDescent="0.2">
      <c r="AM4057" t="str">
        <f t="shared" si="63"/>
        <v>Eidsdal [NOEDD]</v>
      </c>
      <c r="AN4057" t="s">
        <v>24011</v>
      </c>
      <c r="AO4057" t="s">
        <v>24012</v>
      </c>
    </row>
    <row r="4058" spans="39:41" ht="12" customHeight="1" x14ac:dyDescent="0.2">
      <c r="AM4058" t="str">
        <f t="shared" si="63"/>
        <v>Eidslandet [NOEIL]</v>
      </c>
      <c r="AN4058" t="s">
        <v>24013</v>
      </c>
      <c r="AO4058" t="s">
        <v>24014</v>
      </c>
    </row>
    <row r="4059" spans="39:41" ht="12" customHeight="1" x14ac:dyDescent="0.2">
      <c r="AM4059" t="str">
        <f t="shared" si="63"/>
        <v>Eigashima [JPEGS]</v>
      </c>
      <c r="AN4059" t="s">
        <v>18716</v>
      </c>
      <c r="AO4059" t="s">
        <v>18717</v>
      </c>
    </row>
    <row r="4060" spans="39:41" ht="12" customHeight="1" x14ac:dyDescent="0.2">
      <c r="AM4060" t="str">
        <f t="shared" si="63"/>
        <v>Eigenbilzen [BEEBZ]</v>
      </c>
      <c r="AN4060" t="s">
        <v>2409</v>
      </c>
      <c r="AO4060" t="s">
        <v>2410</v>
      </c>
    </row>
    <row r="4061" spans="39:41" ht="12" customHeight="1" x14ac:dyDescent="0.2">
      <c r="AM4061" t="str">
        <f t="shared" si="63"/>
        <v>Eigersund [NOEGD]</v>
      </c>
      <c r="AN4061" t="s">
        <v>24015</v>
      </c>
      <c r="AO4061" t="s">
        <v>24016</v>
      </c>
    </row>
    <row r="4062" spans="39:41" ht="12" customHeight="1" x14ac:dyDescent="0.2">
      <c r="AM4062" t="str">
        <f t="shared" si="63"/>
        <v>Eigg [GBIGG]</v>
      </c>
      <c r="AN4062" t="s">
        <v>13086</v>
      </c>
      <c r="AO4062" t="s">
        <v>13087</v>
      </c>
    </row>
    <row r="4063" spans="39:41" ht="12" customHeight="1" x14ac:dyDescent="0.2">
      <c r="AM4063" t="str">
        <f t="shared" si="63"/>
        <v>Eikefet [NOEKF]</v>
      </c>
      <c r="AN4063" t="s">
        <v>24017</v>
      </c>
      <c r="AO4063" t="s">
        <v>24018</v>
      </c>
    </row>
    <row r="4064" spans="39:41" ht="12" customHeight="1" x14ac:dyDescent="0.2">
      <c r="AM4064" t="str">
        <f t="shared" si="63"/>
        <v>Eikefjord [NOEIK]</v>
      </c>
      <c r="AN4064" t="s">
        <v>24019</v>
      </c>
      <c r="AO4064" t="s">
        <v>24020</v>
      </c>
    </row>
    <row r="4065" spans="39:41" ht="12" customHeight="1" x14ac:dyDescent="0.2">
      <c r="AM4065" t="str">
        <f t="shared" si="63"/>
        <v>Eikelandsosen [NOELO]</v>
      </c>
      <c r="AN4065" t="s">
        <v>24021</v>
      </c>
      <c r="AO4065" t="s">
        <v>24022</v>
      </c>
    </row>
    <row r="4066" spans="39:41" ht="12" customHeight="1" x14ac:dyDescent="0.2">
      <c r="AM4066" t="str">
        <f t="shared" si="63"/>
        <v>Eindhout [BEEHT]</v>
      </c>
      <c r="AN4066" t="s">
        <v>2411</v>
      </c>
      <c r="AO4066" t="s">
        <v>2412</v>
      </c>
    </row>
    <row r="4067" spans="39:41" ht="12" customHeight="1" x14ac:dyDescent="0.2">
      <c r="AM4067" t="str">
        <f t="shared" si="63"/>
        <v>Eindhoven [NLEIN]</v>
      </c>
      <c r="AN4067" t="s">
        <v>33879</v>
      </c>
      <c r="AO4067" t="s">
        <v>34001</v>
      </c>
    </row>
    <row r="4068" spans="39:41" ht="12" customHeight="1" x14ac:dyDescent="0.2">
      <c r="AM4068" t="str">
        <f t="shared" si="63"/>
        <v>Eine [BEEIN]</v>
      </c>
      <c r="AN4068" t="s">
        <v>2413</v>
      </c>
      <c r="AO4068" t="s">
        <v>2414</v>
      </c>
    </row>
    <row r="4069" spans="39:41" ht="12" customHeight="1" x14ac:dyDescent="0.2">
      <c r="AM4069" t="str">
        <f t="shared" si="63"/>
        <v>Eisden [BEESD]</v>
      </c>
      <c r="AN4069" t="s">
        <v>2415</v>
      </c>
      <c r="AO4069" t="s">
        <v>2416</v>
      </c>
    </row>
    <row r="4070" spans="39:41" ht="12" customHeight="1" x14ac:dyDescent="0.2">
      <c r="AM4070" t="str">
        <f t="shared" si="63"/>
        <v>Eisenhuttenstadt [DEEHS]</v>
      </c>
      <c r="AN4070" t="s">
        <v>7339</v>
      </c>
      <c r="AO4070" t="s">
        <v>35437</v>
      </c>
    </row>
    <row r="4071" spans="39:41" ht="12" customHeight="1" x14ac:dyDescent="0.2">
      <c r="AM4071" t="str">
        <f t="shared" si="63"/>
        <v>Eishi [JPEIS]</v>
      </c>
      <c r="AN4071" t="s">
        <v>18718</v>
      </c>
      <c r="AO4071" t="s">
        <v>18719</v>
      </c>
    </row>
    <row r="4072" spans="39:41" ht="12" customHeight="1" x14ac:dyDescent="0.2">
      <c r="AM4072" t="str">
        <f t="shared" si="63"/>
        <v>Eishken [GBESK]</v>
      </c>
      <c r="AN4072" t="s">
        <v>13088</v>
      </c>
      <c r="AO4072" t="s">
        <v>13089</v>
      </c>
    </row>
    <row r="4073" spans="39:41" ht="12" customHeight="1" x14ac:dyDescent="0.2">
      <c r="AM4073" t="str">
        <f t="shared" si="63"/>
        <v>Eisken [GBEKN]</v>
      </c>
      <c r="AN4073" t="s">
        <v>13090</v>
      </c>
      <c r="AO4073" t="s">
        <v>13091</v>
      </c>
    </row>
    <row r="4074" spans="39:41" ht="12" customHeight="1" x14ac:dyDescent="0.2">
      <c r="AM4074" t="str">
        <f t="shared" si="63"/>
        <v>Eisma [EEEIS]</v>
      </c>
      <c r="AN4074" t="s">
        <v>9148</v>
      </c>
      <c r="AO4074" t="s">
        <v>9149</v>
      </c>
    </row>
    <row r="4075" spans="39:41" ht="12" customHeight="1" x14ac:dyDescent="0.2">
      <c r="AM4075" t="str">
        <f t="shared" si="63"/>
        <v>Eivindvik [NOEVV]</v>
      </c>
      <c r="AN4075" t="s">
        <v>24023</v>
      </c>
      <c r="AO4075" t="s">
        <v>24024</v>
      </c>
    </row>
    <row r="4076" spans="39:41" ht="12" customHeight="1" x14ac:dyDescent="0.2">
      <c r="AM4076" t="str">
        <f t="shared" si="63"/>
        <v>Ejbei Uad el Aabd [EHEAI]</v>
      </c>
      <c r="AN4076" t="s">
        <v>9546</v>
      </c>
      <c r="AO4076" t="s">
        <v>9547</v>
      </c>
    </row>
    <row r="4077" spans="39:41" ht="12" customHeight="1" x14ac:dyDescent="0.2">
      <c r="AM4077" t="str">
        <f t="shared" si="63"/>
        <v>Ejea de los Caballeros [ESEJC]</v>
      </c>
      <c r="AN4077" t="s">
        <v>9751</v>
      </c>
      <c r="AO4077" t="s">
        <v>9752</v>
      </c>
    </row>
    <row r="4078" spans="39:41" ht="12" customHeight="1" x14ac:dyDescent="0.2">
      <c r="AM4078" t="str">
        <f t="shared" si="63"/>
        <v>Ejima [JPEJM]</v>
      </c>
      <c r="AN4078" t="s">
        <v>18720</v>
      </c>
      <c r="AO4078" t="s">
        <v>18721</v>
      </c>
    </row>
    <row r="4079" spans="39:41" ht="12" customHeight="1" x14ac:dyDescent="0.2">
      <c r="AM4079" t="str">
        <f t="shared" si="63"/>
        <v>Ekachai Container Terminal [THECT]</v>
      </c>
      <c r="AN4079" t="s">
        <v>33941</v>
      </c>
      <c r="AO4079" t="s">
        <v>34063</v>
      </c>
    </row>
    <row r="4080" spans="39:41" ht="12" customHeight="1" x14ac:dyDescent="0.2">
      <c r="AM4080" t="str">
        <f t="shared" si="63"/>
        <v>Eke [BEEQE]</v>
      </c>
      <c r="AN4080" t="s">
        <v>2417</v>
      </c>
      <c r="AO4080" t="s">
        <v>2418</v>
      </c>
    </row>
    <row r="4081" spans="39:41" ht="12" customHeight="1" x14ac:dyDescent="0.2">
      <c r="AM4081" t="str">
        <f t="shared" si="63"/>
        <v>Ekenas (Tammisaari) [FITAI]</v>
      </c>
      <c r="AN4081" t="s">
        <v>10329</v>
      </c>
      <c r="AO4081" t="s">
        <v>35714</v>
      </c>
    </row>
    <row r="4082" spans="39:41" ht="12" customHeight="1" x14ac:dyDescent="0.2">
      <c r="AM4082" t="str">
        <f t="shared" si="63"/>
        <v>Ekeren [BEEKE]</v>
      </c>
      <c r="AN4082" t="s">
        <v>2419</v>
      </c>
      <c r="AO4082" t="s">
        <v>2420</v>
      </c>
    </row>
    <row r="4083" spans="39:41" ht="12" customHeight="1" x14ac:dyDescent="0.2">
      <c r="AM4083" t="str">
        <f t="shared" si="63"/>
        <v>Eket [NGEKE]</v>
      </c>
      <c r="AN4083" t="s">
        <v>22933</v>
      </c>
      <c r="AO4083" t="s">
        <v>22934</v>
      </c>
    </row>
    <row r="4084" spans="39:41" ht="12" customHeight="1" x14ac:dyDescent="0.2">
      <c r="AM4084" t="str">
        <f t="shared" si="63"/>
        <v>Ekkersrijt [NLEKK]</v>
      </c>
      <c r="AN4084" t="s">
        <v>23173</v>
      </c>
      <c r="AO4084" t="s">
        <v>23174</v>
      </c>
    </row>
    <row r="4085" spans="39:41" ht="12" customHeight="1" x14ac:dyDescent="0.2">
      <c r="AM4085" t="str">
        <f t="shared" si="63"/>
        <v>Ekonomiya [RUEKO]</v>
      </c>
      <c r="AN4085" t="s">
        <v>26935</v>
      </c>
      <c r="AO4085" t="s">
        <v>26936</v>
      </c>
    </row>
    <row r="4086" spans="39:41" ht="12" customHeight="1" x14ac:dyDescent="0.2">
      <c r="AM4086" t="str">
        <f t="shared" si="63"/>
        <v>Eksaarde [BEEKS]</v>
      </c>
      <c r="AN4086" t="s">
        <v>2421</v>
      </c>
      <c r="AO4086" t="s">
        <v>2422</v>
      </c>
    </row>
    <row r="4087" spans="39:41" ht="12" customHeight="1" x14ac:dyDescent="0.2">
      <c r="AM4087" t="str">
        <f t="shared" si="63"/>
        <v>El Astillero [ESATO]</v>
      </c>
      <c r="AN4087" t="s">
        <v>9753</v>
      </c>
      <c r="AO4087" t="s">
        <v>9754</v>
      </c>
    </row>
    <row r="4088" spans="39:41" ht="12" customHeight="1" x14ac:dyDescent="0.2">
      <c r="AM4088" t="str">
        <f t="shared" si="63"/>
        <v>El Beheirah [EGBEH]</v>
      </c>
      <c r="AN4088" t="s">
        <v>9464</v>
      </c>
      <c r="AO4088" t="s">
        <v>9465</v>
      </c>
    </row>
    <row r="4089" spans="39:41" ht="12" customHeight="1" x14ac:dyDescent="0.2">
      <c r="AM4089" t="str">
        <f t="shared" si="63"/>
        <v>El Bluff [NIELB]</v>
      </c>
      <c r="AN4089" t="s">
        <v>22992</v>
      </c>
      <c r="AO4089" t="s">
        <v>22993</v>
      </c>
    </row>
    <row r="4090" spans="39:41" ht="12" customHeight="1" x14ac:dyDescent="0.2">
      <c r="AM4090" t="str">
        <f t="shared" ref="AM4090:AM4153" si="64">AO4090 &amp; " [" &amp; AN4090 &amp; "]"</f>
        <v>El Bosque [COEBQ]</v>
      </c>
      <c r="AN4090" t="s">
        <v>6516</v>
      </c>
      <c r="AO4090" t="s">
        <v>6517</v>
      </c>
    </row>
    <row r="4091" spans="39:41" ht="12" customHeight="1" x14ac:dyDescent="0.2">
      <c r="AM4091" t="str">
        <f t="shared" si="64"/>
        <v>El Bouri [LYBOU]</v>
      </c>
      <c r="AN4091" t="s">
        <v>21983</v>
      </c>
      <c r="AO4091" t="s">
        <v>21984</v>
      </c>
    </row>
    <row r="4092" spans="39:41" ht="12" customHeight="1" x14ac:dyDescent="0.2">
      <c r="AM4092" t="str">
        <f t="shared" si="64"/>
        <v>El Campo [USECP]</v>
      </c>
      <c r="AN4092" t="s">
        <v>29665</v>
      </c>
      <c r="AO4092" t="s">
        <v>29666</v>
      </c>
    </row>
    <row r="4093" spans="39:41" ht="12" customHeight="1" x14ac:dyDescent="0.2">
      <c r="AM4093" t="str">
        <f t="shared" si="64"/>
        <v>El Carmen [GTE8C]</v>
      </c>
      <c r="AN4093" t="s">
        <v>15592</v>
      </c>
      <c r="AO4093" t="s">
        <v>15593</v>
      </c>
    </row>
    <row r="4094" spans="39:41" ht="12" customHeight="1" x14ac:dyDescent="0.2">
      <c r="AM4094" t="str">
        <f t="shared" si="64"/>
        <v>El Casar de Talamanca [ESECT]</v>
      </c>
      <c r="AN4094" t="s">
        <v>9755</v>
      </c>
      <c r="AO4094" t="s">
        <v>9756</v>
      </c>
    </row>
    <row r="4095" spans="39:41" ht="12" customHeight="1" x14ac:dyDescent="0.2">
      <c r="AM4095" t="str">
        <f t="shared" si="64"/>
        <v>El Chaure [VEELC]</v>
      </c>
      <c r="AN4095" t="s">
        <v>32174</v>
      </c>
      <c r="AO4095" t="s">
        <v>32175</v>
      </c>
    </row>
    <row r="4096" spans="39:41" ht="12" customHeight="1" x14ac:dyDescent="0.2">
      <c r="AM4096" t="str">
        <f t="shared" si="64"/>
        <v>El Choms [LYELK]</v>
      </c>
      <c r="AN4096" t="s">
        <v>21985</v>
      </c>
      <c r="AO4096" t="s">
        <v>21986</v>
      </c>
    </row>
    <row r="4097" spans="39:41" ht="12" customHeight="1" x14ac:dyDescent="0.2">
      <c r="AM4097" t="str">
        <f t="shared" si="64"/>
        <v>El Dekheila [EGEDK]</v>
      </c>
      <c r="AN4097" t="s">
        <v>9466</v>
      </c>
      <c r="AO4097" t="s">
        <v>9467</v>
      </c>
    </row>
    <row r="4098" spans="39:41" ht="12" customHeight="1" x14ac:dyDescent="0.2">
      <c r="AM4098" t="str">
        <f t="shared" si="64"/>
        <v>El Dorado Hills [USEHI]</v>
      </c>
      <c r="AN4098" t="s">
        <v>29667</v>
      </c>
      <c r="AO4098" t="s">
        <v>29668</v>
      </c>
    </row>
    <row r="4099" spans="39:41" ht="12" customHeight="1" x14ac:dyDescent="0.2">
      <c r="AM4099" t="str">
        <f t="shared" si="64"/>
        <v>El Estor [GTELE]</v>
      </c>
      <c r="AN4099" t="s">
        <v>15594</v>
      </c>
      <c r="AO4099" t="s">
        <v>15595</v>
      </c>
    </row>
    <row r="4100" spans="39:41" ht="12" customHeight="1" x14ac:dyDescent="0.2">
      <c r="AM4100" t="str">
        <f t="shared" si="64"/>
        <v>El Grao [ESGCS]</v>
      </c>
      <c r="AN4100" t="s">
        <v>9757</v>
      </c>
      <c r="AO4100" t="s">
        <v>9758</v>
      </c>
    </row>
    <row r="4101" spans="39:41" ht="12" customHeight="1" x14ac:dyDescent="0.2">
      <c r="AM4101" t="str">
        <f t="shared" si="64"/>
        <v>El Guamache [VEEGU]</v>
      </c>
      <c r="AN4101" t="s">
        <v>32176</v>
      </c>
      <c r="AO4101" t="s">
        <v>32177</v>
      </c>
    </row>
    <row r="4102" spans="39:41" ht="12" customHeight="1" x14ac:dyDescent="0.2">
      <c r="AM4102" t="str">
        <f t="shared" si="64"/>
        <v>El Iskandariya (Alexandria) [EGALY]</v>
      </c>
      <c r="AN4102" t="s">
        <v>9468</v>
      </c>
      <c r="AO4102" t="s">
        <v>9469</v>
      </c>
    </row>
    <row r="4103" spans="39:41" ht="12" customHeight="1" x14ac:dyDescent="0.2">
      <c r="AM4103" t="str">
        <f t="shared" si="64"/>
        <v>El Jadida [MAELJ]</v>
      </c>
      <c r="AN4103" t="s">
        <v>22036</v>
      </c>
      <c r="AO4103" t="s">
        <v>22037</v>
      </c>
    </row>
    <row r="4104" spans="39:41" ht="12" customHeight="1" x14ac:dyDescent="0.2">
      <c r="AM4104" t="str">
        <f t="shared" si="64"/>
        <v>El Katieb [YEELK]</v>
      </c>
      <c r="AN4104" t="s">
        <v>32632</v>
      </c>
      <c r="AO4104" t="s">
        <v>32633</v>
      </c>
    </row>
    <row r="4105" spans="39:41" ht="12" customHeight="1" x14ac:dyDescent="0.2">
      <c r="AM4105" t="str">
        <f t="shared" si="64"/>
        <v>El Maan [SOELM]</v>
      </c>
      <c r="AN4105" t="s">
        <v>28106</v>
      </c>
      <c r="AO4105" t="s">
        <v>28107</v>
      </c>
    </row>
    <row r="4106" spans="39:41" ht="12" customHeight="1" x14ac:dyDescent="0.2">
      <c r="AM4106" t="str">
        <f t="shared" si="64"/>
        <v>El Manzanillo [SVMAN]</v>
      </c>
      <c r="AN4106" t="s">
        <v>28142</v>
      </c>
      <c r="AO4106" t="s">
        <v>28143</v>
      </c>
    </row>
    <row r="4107" spans="39:41" ht="12" customHeight="1" x14ac:dyDescent="0.2">
      <c r="AM4107" t="str">
        <f t="shared" si="64"/>
        <v>El Medano [ESMED]</v>
      </c>
      <c r="AN4107" t="s">
        <v>9759</v>
      </c>
      <c r="AO4107" t="s">
        <v>9760</v>
      </c>
    </row>
    <row r="4108" spans="39:41" ht="12" customHeight="1" x14ac:dyDescent="0.2">
      <c r="AM4108" t="str">
        <f t="shared" si="64"/>
        <v>El Nido/Puerto Princesa [PHENI]</v>
      </c>
      <c r="AN4108" t="s">
        <v>25743</v>
      </c>
      <c r="AO4108" t="s">
        <v>25744</v>
      </c>
    </row>
    <row r="4109" spans="39:41" ht="12" customHeight="1" x14ac:dyDescent="0.2">
      <c r="AM4109" t="str">
        <f t="shared" si="64"/>
        <v>El Obour [EGEOB]</v>
      </c>
      <c r="AN4109" t="s">
        <v>9470</v>
      </c>
      <c r="AO4109" t="s">
        <v>9471</v>
      </c>
    </row>
    <row r="4110" spans="39:41" ht="12" customHeight="1" x14ac:dyDescent="0.2">
      <c r="AM4110" t="str">
        <f t="shared" si="64"/>
        <v>El Palito [VEELP]</v>
      </c>
      <c r="AN4110" t="s">
        <v>32178</v>
      </c>
      <c r="AO4110" t="s">
        <v>32179</v>
      </c>
    </row>
    <row r="4111" spans="39:41" ht="12" customHeight="1" x14ac:dyDescent="0.2">
      <c r="AM4111" t="str">
        <f t="shared" si="64"/>
        <v>El Pedernoso [ESEOO]</v>
      </c>
      <c r="AN4111" t="s">
        <v>9761</v>
      </c>
      <c r="AO4111" t="s">
        <v>9762</v>
      </c>
    </row>
    <row r="4112" spans="39:41" ht="12" customHeight="1" x14ac:dyDescent="0.2">
      <c r="AM4112" t="str">
        <f t="shared" si="64"/>
        <v>El Port [ESSOL]</v>
      </c>
      <c r="AN4112" t="s">
        <v>9763</v>
      </c>
      <c r="AO4112" t="s">
        <v>9764</v>
      </c>
    </row>
    <row r="4113" spans="39:41" ht="12" customHeight="1" x14ac:dyDescent="0.2">
      <c r="AM4113" t="str">
        <f t="shared" si="64"/>
        <v>El Qahira (Cairo) [EGCAI]</v>
      </c>
      <c r="AN4113" t="s">
        <v>9472</v>
      </c>
      <c r="AO4113" t="s">
        <v>9473</v>
      </c>
    </row>
    <row r="4114" spans="39:41" ht="12" customHeight="1" x14ac:dyDescent="0.2">
      <c r="AM4114" t="str">
        <f t="shared" si="64"/>
        <v>El Real [PAELE]</v>
      </c>
      <c r="AN4114" t="s">
        <v>25190</v>
      </c>
      <c r="AO4114" t="s">
        <v>25191</v>
      </c>
    </row>
    <row r="4115" spans="39:41" ht="12" customHeight="1" x14ac:dyDescent="0.2">
      <c r="AM4115" t="str">
        <f t="shared" si="64"/>
        <v>El Rompido [ESROM]</v>
      </c>
      <c r="AN4115" t="s">
        <v>9765</v>
      </c>
      <c r="AO4115" t="s">
        <v>9766</v>
      </c>
    </row>
    <row r="4116" spans="39:41" ht="12" customHeight="1" x14ac:dyDescent="0.2">
      <c r="AM4116" t="str">
        <f t="shared" si="64"/>
        <v>El Segundo [USELS]</v>
      </c>
      <c r="AN4116" t="s">
        <v>29669</v>
      </c>
      <c r="AO4116" t="s">
        <v>29670</v>
      </c>
    </row>
    <row r="4117" spans="39:41" ht="12" customHeight="1" x14ac:dyDescent="0.2">
      <c r="AM4117" t="str">
        <f t="shared" si="64"/>
        <v>El Tablazo/Maracaibo L [VEETV]</v>
      </c>
      <c r="AN4117" t="s">
        <v>32180</v>
      </c>
      <c r="AO4117" t="s">
        <v>32181</v>
      </c>
    </row>
    <row r="4118" spans="39:41" ht="12" customHeight="1" x14ac:dyDescent="0.2">
      <c r="AM4118" t="str">
        <f t="shared" si="64"/>
        <v>El Tarajal [ESTAL]</v>
      </c>
      <c r="AN4118" t="s">
        <v>9767</v>
      </c>
      <c r="AO4118" t="s">
        <v>9768</v>
      </c>
    </row>
    <row r="4119" spans="39:41" ht="12" customHeight="1" x14ac:dyDescent="0.2">
      <c r="AM4119" t="str">
        <f t="shared" si="64"/>
        <v>El Tor [EGTOR]</v>
      </c>
      <c r="AN4119" t="s">
        <v>33841</v>
      </c>
      <c r="AO4119" t="s">
        <v>33964</v>
      </c>
    </row>
    <row r="4120" spans="39:41" ht="12" customHeight="1" x14ac:dyDescent="0.2">
      <c r="AM4120" t="str">
        <f t="shared" si="64"/>
        <v>Elafonissos Lakonias [GRELN]</v>
      </c>
      <c r="AN4120" t="s">
        <v>15188</v>
      </c>
      <c r="AO4120" t="s">
        <v>15189</v>
      </c>
    </row>
    <row r="4121" spans="39:41" ht="12" customHeight="1" x14ac:dyDescent="0.2">
      <c r="AM4121" t="str">
        <f t="shared" si="64"/>
        <v>Elaiokhoria [GRXZX]</v>
      </c>
      <c r="AN4121" t="s">
        <v>15190</v>
      </c>
      <c r="AO4121" t="s">
        <v>35897</v>
      </c>
    </row>
    <row r="4122" spans="39:41" ht="12" customHeight="1" x14ac:dyDescent="0.2">
      <c r="AM4122" t="str">
        <f t="shared" si="64"/>
        <v>Elamajarvi [FIEM2]</v>
      </c>
      <c r="AN4122" t="s">
        <v>10330</v>
      </c>
      <c r="AO4122" t="s">
        <v>35715</v>
      </c>
    </row>
    <row r="4123" spans="39:41" ht="12" customHeight="1" x14ac:dyDescent="0.2">
      <c r="AM4123" t="str">
        <f t="shared" si="64"/>
        <v>Elands Bay [ZAEBY]</v>
      </c>
      <c r="AN4123" t="s">
        <v>34229</v>
      </c>
      <c r="AO4123" t="s">
        <v>34297</v>
      </c>
    </row>
    <row r="4124" spans="39:41" ht="12" customHeight="1" x14ac:dyDescent="0.2">
      <c r="AM4124" t="str">
        <f t="shared" si="64"/>
        <v>El'Arish [EGAAC]</v>
      </c>
      <c r="AN4124" t="s">
        <v>36886</v>
      </c>
      <c r="AO4124" t="s">
        <v>36887</v>
      </c>
    </row>
    <row r="4125" spans="39:41" ht="12" customHeight="1" x14ac:dyDescent="0.2">
      <c r="AM4125" t="str">
        <f t="shared" si="64"/>
        <v>Elat [IDELA]</v>
      </c>
      <c r="AN4125" t="s">
        <v>16257</v>
      </c>
      <c r="AO4125" t="s">
        <v>16258</v>
      </c>
    </row>
    <row r="4126" spans="39:41" ht="12" customHeight="1" x14ac:dyDescent="0.2">
      <c r="AM4126" t="str">
        <f t="shared" si="64"/>
        <v>Elat (Eilath) [ILETH]</v>
      </c>
      <c r="AN4126" t="s">
        <v>16958</v>
      </c>
      <c r="AO4126" t="s">
        <v>16959</v>
      </c>
    </row>
    <row r="4127" spans="39:41" ht="12" customHeight="1" x14ac:dyDescent="0.2">
      <c r="AM4127" t="str">
        <f t="shared" si="64"/>
        <v>Elbert [USEB4]</v>
      </c>
      <c r="AN4127" t="s">
        <v>29671</v>
      </c>
      <c r="AO4127" t="s">
        <v>29672</v>
      </c>
    </row>
    <row r="4128" spans="39:41" ht="12" customHeight="1" x14ac:dyDescent="0.2">
      <c r="AM4128" t="str">
        <f t="shared" si="64"/>
        <v>Elbeuf [FREBF]</v>
      </c>
      <c r="AN4128" t="s">
        <v>36950</v>
      </c>
      <c r="AO4128" t="s">
        <v>36951</v>
      </c>
    </row>
    <row r="4129" spans="39:41" ht="12" customHeight="1" x14ac:dyDescent="0.2">
      <c r="AM4129" t="str">
        <f t="shared" si="64"/>
        <v>Elblag [PLELB]</v>
      </c>
      <c r="AN4129" t="s">
        <v>26294</v>
      </c>
      <c r="AO4129" t="s">
        <v>26295</v>
      </c>
    </row>
    <row r="4130" spans="39:41" ht="12" customHeight="1" x14ac:dyDescent="0.2">
      <c r="AM4130" t="str">
        <f t="shared" si="64"/>
        <v>Elburg [NLELB]</v>
      </c>
      <c r="AN4130" t="s">
        <v>33880</v>
      </c>
      <c r="AO4130" t="s">
        <v>34002</v>
      </c>
    </row>
    <row r="4131" spans="39:41" ht="12" customHeight="1" x14ac:dyDescent="0.2">
      <c r="AM4131" t="str">
        <f t="shared" si="64"/>
        <v>Eldorado [MXELD]</v>
      </c>
      <c r="AN4131" t="s">
        <v>22354</v>
      </c>
      <c r="AO4131" t="s">
        <v>22355</v>
      </c>
    </row>
    <row r="4132" spans="39:41" ht="12" customHeight="1" x14ac:dyDescent="0.2">
      <c r="AM4132" t="str">
        <f t="shared" si="64"/>
        <v>Eleanor [USILW]</v>
      </c>
      <c r="AN4132" t="s">
        <v>29673</v>
      </c>
      <c r="AO4132" t="s">
        <v>29674</v>
      </c>
    </row>
    <row r="4133" spans="39:41" ht="12" customHeight="1" x14ac:dyDescent="0.2">
      <c r="AM4133" t="str">
        <f t="shared" si="64"/>
        <v>Electrona [AUELE]</v>
      </c>
      <c r="AN4133" t="s">
        <v>1647</v>
      </c>
      <c r="AO4133" t="s">
        <v>1648</v>
      </c>
    </row>
    <row r="4134" spans="39:41" ht="12" customHeight="1" x14ac:dyDescent="0.2">
      <c r="AM4134" t="str">
        <f t="shared" si="64"/>
        <v>Eleele [USKHW]</v>
      </c>
      <c r="AN4134" t="s">
        <v>29675</v>
      </c>
      <c r="AO4134" t="s">
        <v>29676</v>
      </c>
    </row>
    <row r="4135" spans="39:41" ht="12" customHeight="1" x14ac:dyDescent="0.2">
      <c r="AM4135" t="str">
        <f t="shared" si="64"/>
        <v>Eleftheres [GRELT]</v>
      </c>
      <c r="AN4135" t="s">
        <v>15191</v>
      </c>
      <c r="AO4135" t="s">
        <v>15192</v>
      </c>
    </row>
    <row r="4136" spans="39:41" ht="12" customHeight="1" x14ac:dyDescent="0.2">
      <c r="AM4136" t="str">
        <f t="shared" si="64"/>
        <v>Eleusina [GREEU]</v>
      </c>
      <c r="AN4136" t="s">
        <v>15193</v>
      </c>
      <c r="AO4136" t="s">
        <v>15194</v>
      </c>
    </row>
    <row r="4137" spans="39:41" ht="12" customHeight="1" x14ac:dyDescent="0.2">
      <c r="AM4137" t="str">
        <f t="shared" si="64"/>
        <v>Eleusis [GRFLS]</v>
      </c>
      <c r="AN4137" t="s">
        <v>15195</v>
      </c>
      <c r="AO4137" t="s">
        <v>15196</v>
      </c>
    </row>
    <row r="4138" spans="39:41" ht="12" customHeight="1" x14ac:dyDescent="0.2">
      <c r="AM4138" t="str">
        <f t="shared" si="64"/>
        <v>Eleuthera Island [BSELE]</v>
      </c>
      <c r="AN4138" t="s">
        <v>3431</v>
      </c>
      <c r="AO4138" t="s">
        <v>3432</v>
      </c>
    </row>
    <row r="4139" spans="39:41" ht="12" customHeight="1" x14ac:dyDescent="0.2">
      <c r="AM4139" t="str">
        <f t="shared" si="64"/>
        <v>Elgol, Isle of Skye [GBEGO]</v>
      </c>
      <c r="AN4139" t="s">
        <v>13092</v>
      </c>
      <c r="AO4139" t="s">
        <v>13093</v>
      </c>
    </row>
    <row r="4140" spans="39:41" ht="12" customHeight="1" x14ac:dyDescent="0.2">
      <c r="AM4140" t="str">
        <f t="shared" si="64"/>
        <v>El-Guna (El Gouna) [EGGUA]</v>
      </c>
      <c r="AN4140" t="s">
        <v>9474</v>
      </c>
      <c r="AO4140" t="s">
        <v>9475</v>
      </c>
    </row>
    <row r="4141" spans="39:41" ht="12" customHeight="1" x14ac:dyDescent="0.2">
      <c r="AM4141" t="str">
        <f t="shared" si="64"/>
        <v>Elie [GBELI]</v>
      </c>
      <c r="AN4141" t="s">
        <v>13094</v>
      </c>
      <c r="AO4141" t="s">
        <v>13095</v>
      </c>
    </row>
    <row r="4142" spans="39:41" ht="12" customHeight="1" x14ac:dyDescent="0.2">
      <c r="AM4142" t="str">
        <f t="shared" si="64"/>
        <v>Eling [GBEIN]</v>
      </c>
      <c r="AN4142" t="s">
        <v>13096</v>
      </c>
      <c r="AO4142" t="s">
        <v>13097</v>
      </c>
    </row>
    <row r="4143" spans="39:41" ht="12" customHeight="1" x14ac:dyDescent="0.2">
      <c r="AM4143" t="str">
        <f t="shared" si="64"/>
        <v>Elizabeth Bay [AUELB]</v>
      </c>
      <c r="AN4143" t="s">
        <v>1649</v>
      </c>
      <c r="AO4143" t="s">
        <v>1650</v>
      </c>
    </row>
    <row r="4144" spans="39:41" ht="12" customHeight="1" x14ac:dyDescent="0.2">
      <c r="AM4144" t="str">
        <f t="shared" si="64"/>
        <v>Elk Horn [USE3K]</v>
      </c>
      <c r="AN4144" t="s">
        <v>29677</v>
      </c>
      <c r="AO4144" t="s">
        <v>29678</v>
      </c>
    </row>
    <row r="4145" spans="39:41" ht="12" customHeight="1" x14ac:dyDescent="0.2">
      <c r="AM4145" t="str">
        <f t="shared" si="64"/>
        <v>Elk River [USER2]</v>
      </c>
      <c r="AN4145" t="s">
        <v>29679</v>
      </c>
      <c r="AO4145" t="s">
        <v>29680</v>
      </c>
    </row>
    <row r="4146" spans="39:41" ht="12" customHeight="1" x14ac:dyDescent="0.2">
      <c r="AM4146" t="str">
        <f t="shared" si="64"/>
        <v>Elkhart [USEKI]</v>
      </c>
      <c r="AN4146" t="s">
        <v>29681</v>
      </c>
      <c r="AO4146" t="s">
        <v>29682</v>
      </c>
    </row>
    <row r="4147" spans="39:41" ht="12" customHeight="1" x14ac:dyDescent="0.2">
      <c r="AM4147" t="str">
        <f t="shared" si="64"/>
        <v>Elkmont [USZEM]</v>
      </c>
      <c r="AN4147" t="s">
        <v>29683</v>
      </c>
      <c r="AO4147" t="s">
        <v>29684</v>
      </c>
    </row>
    <row r="4148" spans="39:41" ht="12" customHeight="1" x14ac:dyDescent="0.2">
      <c r="AM4148" t="str">
        <f t="shared" si="64"/>
        <v>Elkton [USEKT]</v>
      </c>
      <c r="AN4148" t="s">
        <v>29685</v>
      </c>
      <c r="AO4148" t="s">
        <v>29686</v>
      </c>
    </row>
    <row r="4149" spans="39:41" ht="12" customHeight="1" x14ac:dyDescent="0.2">
      <c r="AM4149" t="str">
        <f t="shared" si="64"/>
        <v>Elkton [USEKZ]</v>
      </c>
      <c r="AN4149" t="s">
        <v>29687</v>
      </c>
      <c r="AO4149" t="s">
        <v>29686</v>
      </c>
    </row>
    <row r="4150" spans="39:41" ht="12" customHeight="1" x14ac:dyDescent="0.2">
      <c r="AM4150" t="str">
        <f t="shared" si="64"/>
        <v>Ell [NLELX]</v>
      </c>
      <c r="AN4150" t="s">
        <v>23175</v>
      </c>
      <c r="AO4150" t="s">
        <v>23176</v>
      </c>
    </row>
    <row r="4151" spans="39:41" ht="12" customHeight="1" x14ac:dyDescent="0.2">
      <c r="AM4151" t="str">
        <f t="shared" si="64"/>
        <v>Ellabell [USEBZ]</v>
      </c>
      <c r="AN4151" t="s">
        <v>29688</v>
      </c>
      <c r="AO4151" t="s">
        <v>29689</v>
      </c>
    </row>
    <row r="4152" spans="39:41" ht="12" customHeight="1" x14ac:dyDescent="0.2">
      <c r="AM4152" t="str">
        <f t="shared" si="64"/>
        <v>Ellaville [USZEV]</v>
      </c>
      <c r="AN4152" t="s">
        <v>29690</v>
      </c>
      <c r="AO4152" t="s">
        <v>29691</v>
      </c>
    </row>
    <row r="4153" spans="39:41" ht="12" customHeight="1" x14ac:dyDescent="0.2">
      <c r="AM4153" t="str">
        <f t="shared" si="64"/>
        <v>Elleholm [SEELL]</v>
      </c>
      <c r="AN4153" t="s">
        <v>27554</v>
      </c>
      <c r="AO4153" t="s">
        <v>27555</v>
      </c>
    </row>
    <row r="4154" spans="39:41" ht="12" customHeight="1" x14ac:dyDescent="0.2">
      <c r="AM4154" t="str">
        <f t="shared" ref="AM4154:AM4217" si="65">AO4154 &amp; " [" &amp; AN4154 &amp; "]"</f>
        <v>Ellenabeich, Seil [GBELB]</v>
      </c>
      <c r="AN4154" t="s">
        <v>13098</v>
      </c>
      <c r="AO4154" t="s">
        <v>13099</v>
      </c>
    </row>
    <row r="4155" spans="39:41" ht="12" customHeight="1" x14ac:dyDescent="0.2">
      <c r="AM4155" t="str">
        <f t="shared" si="65"/>
        <v>Ellenboro [USYEB]</v>
      </c>
      <c r="AN4155" t="s">
        <v>29692</v>
      </c>
      <c r="AO4155" t="s">
        <v>29693</v>
      </c>
    </row>
    <row r="4156" spans="39:41" ht="12" customHeight="1" x14ac:dyDescent="0.2">
      <c r="AM4156" t="str">
        <f t="shared" si="65"/>
        <v>Ellenwood [USZEW]</v>
      </c>
      <c r="AN4156" t="s">
        <v>29694</v>
      </c>
      <c r="AO4156" t="s">
        <v>29695</v>
      </c>
    </row>
    <row r="4157" spans="39:41" ht="12" customHeight="1" x14ac:dyDescent="0.2">
      <c r="AM4157" t="str">
        <f t="shared" si="65"/>
        <v>Ellerbek [DEELB]</v>
      </c>
      <c r="AN4157" t="s">
        <v>7340</v>
      </c>
      <c r="AO4157" t="s">
        <v>7341</v>
      </c>
    </row>
    <row r="4158" spans="39:41" ht="12" customHeight="1" x14ac:dyDescent="0.2">
      <c r="AM4158" t="str">
        <f t="shared" si="65"/>
        <v>Ellesmere Port [GBELL]</v>
      </c>
      <c r="AN4158" t="s">
        <v>13100</v>
      </c>
      <c r="AO4158" t="s">
        <v>13101</v>
      </c>
    </row>
    <row r="4159" spans="39:41" ht="12" customHeight="1" x14ac:dyDescent="0.2">
      <c r="AM4159" t="str">
        <f t="shared" si="65"/>
        <v>Ellettsville [USZEN]</v>
      </c>
      <c r="AN4159" t="s">
        <v>29696</v>
      </c>
      <c r="AO4159" t="s">
        <v>29697</v>
      </c>
    </row>
    <row r="4160" spans="39:41" ht="12" customHeight="1" x14ac:dyDescent="0.2">
      <c r="AM4160" t="str">
        <f t="shared" si="65"/>
        <v>Ellingsoy [NOELL]</v>
      </c>
      <c r="AN4160" t="s">
        <v>24025</v>
      </c>
      <c r="AO4160" t="s">
        <v>36157</v>
      </c>
    </row>
    <row r="4161" spans="39:41" ht="12" customHeight="1" x14ac:dyDescent="0.2">
      <c r="AM4161" t="str">
        <f t="shared" si="65"/>
        <v>Ellington [USZET]</v>
      </c>
      <c r="AN4161" t="s">
        <v>29698</v>
      </c>
      <c r="AO4161" t="s">
        <v>29699</v>
      </c>
    </row>
    <row r="4162" spans="39:41" ht="12" customHeight="1" x14ac:dyDescent="0.2">
      <c r="AM4162" t="str">
        <f t="shared" si="65"/>
        <v>Ellington Wharf [FJELL]</v>
      </c>
      <c r="AN4162" t="s">
        <v>10612</v>
      </c>
      <c r="AO4162" t="s">
        <v>10613</v>
      </c>
    </row>
    <row r="4163" spans="39:41" ht="12" customHeight="1" x14ac:dyDescent="0.2">
      <c r="AM4163" t="str">
        <f t="shared" si="65"/>
        <v>Ellos [SEELO]</v>
      </c>
      <c r="AN4163" t="s">
        <v>27556</v>
      </c>
      <c r="AO4163" t="s">
        <v>36433</v>
      </c>
    </row>
    <row r="4164" spans="39:41" ht="12" customHeight="1" x14ac:dyDescent="0.2">
      <c r="AM4164" t="str">
        <f t="shared" si="65"/>
        <v>Ellport [USEQZ]</v>
      </c>
      <c r="AN4164" t="s">
        <v>29700</v>
      </c>
      <c r="AO4164" t="s">
        <v>29701</v>
      </c>
    </row>
    <row r="4165" spans="39:41" ht="12" customHeight="1" x14ac:dyDescent="0.2">
      <c r="AM4165" t="str">
        <f t="shared" si="65"/>
        <v>Ellwood [USEL3]</v>
      </c>
      <c r="AN4165" t="s">
        <v>29702</v>
      </c>
      <c r="AO4165" t="s">
        <v>29703</v>
      </c>
    </row>
    <row r="4166" spans="39:41" ht="12" customHeight="1" x14ac:dyDescent="0.2">
      <c r="AM4166" t="str">
        <f t="shared" si="65"/>
        <v>Elmer [USEL4]</v>
      </c>
      <c r="AN4166" t="s">
        <v>29704</v>
      </c>
      <c r="AO4166" t="s">
        <v>29705</v>
      </c>
    </row>
    <row r="4167" spans="39:41" ht="12" customHeight="1" x14ac:dyDescent="0.2">
      <c r="AM4167" t="str">
        <f t="shared" si="65"/>
        <v>Elmont [USQDM]</v>
      </c>
      <c r="AN4167" t="s">
        <v>29706</v>
      </c>
      <c r="AO4167" t="s">
        <v>29707</v>
      </c>
    </row>
    <row r="4168" spans="39:41" ht="12" customHeight="1" x14ac:dyDescent="0.2">
      <c r="AM4168" t="str">
        <f t="shared" si="65"/>
        <v>Elmshorn [DEELM]</v>
      </c>
      <c r="AN4168" t="s">
        <v>7342</v>
      </c>
      <c r="AO4168" t="s">
        <v>7343</v>
      </c>
    </row>
    <row r="4169" spans="39:41" ht="12" customHeight="1" x14ac:dyDescent="0.2">
      <c r="AM4169" t="str">
        <f t="shared" si="65"/>
        <v>Elmswell [GBEWL]</v>
      </c>
      <c r="AN4169" t="s">
        <v>13102</v>
      </c>
      <c r="AO4169" t="s">
        <v>13103</v>
      </c>
    </row>
    <row r="4170" spans="39:41" ht="12" customHeight="1" x14ac:dyDescent="0.2">
      <c r="AM4170" t="str">
        <f t="shared" si="65"/>
        <v>Elnesvagen [NOELN]</v>
      </c>
      <c r="AN4170" t="s">
        <v>24026</v>
      </c>
      <c r="AO4170" t="s">
        <v>36158</v>
      </c>
    </row>
    <row r="4171" spans="39:41" ht="12" customHeight="1" x14ac:dyDescent="0.2">
      <c r="AM4171" t="str">
        <f t="shared" si="65"/>
        <v>Eloy [USEOY]</v>
      </c>
      <c r="AN4171" t="s">
        <v>29708</v>
      </c>
      <c r="AO4171" t="s">
        <v>29709</v>
      </c>
    </row>
    <row r="4172" spans="39:41" ht="12" customHeight="1" x14ac:dyDescent="0.2">
      <c r="AM4172" t="str">
        <f t="shared" si="65"/>
        <v>Elphinstone Harbour [INESH]</v>
      </c>
      <c r="AN4172" t="s">
        <v>17134</v>
      </c>
      <c r="AO4172" t="s">
        <v>17135</v>
      </c>
    </row>
    <row r="4173" spans="39:41" ht="12" customHeight="1" x14ac:dyDescent="0.2">
      <c r="AM4173" t="str">
        <f t="shared" si="65"/>
        <v>Elroy [USERY]</v>
      </c>
      <c r="AN4173" t="s">
        <v>29710</v>
      </c>
      <c r="AO4173" t="s">
        <v>29711</v>
      </c>
    </row>
    <row r="4174" spans="39:41" ht="12" customHeight="1" x14ac:dyDescent="0.2">
      <c r="AM4174" t="str">
        <f t="shared" si="65"/>
        <v>Elsenfeld [DEELF]</v>
      </c>
      <c r="AN4174" t="s">
        <v>7344</v>
      </c>
      <c r="AO4174" t="s">
        <v>7345</v>
      </c>
    </row>
    <row r="4175" spans="39:41" ht="12" customHeight="1" x14ac:dyDescent="0.2">
      <c r="AM4175" t="str">
        <f t="shared" si="65"/>
        <v>Elsfleth [DEELS]</v>
      </c>
      <c r="AN4175" t="s">
        <v>7346</v>
      </c>
      <c r="AO4175" t="s">
        <v>7347</v>
      </c>
    </row>
    <row r="4176" spans="39:41" ht="12" customHeight="1" x14ac:dyDescent="0.2">
      <c r="AM4176" t="str">
        <f t="shared" si="65"/>
        <v>Elsham [GBELS]</v>
      </c>
      <c r="AN4176" t="s">
        <v>13104</v>
      </c>
      <c r="AO4176" t="s">
        <v>13105</v>
      </c>
    </row>
    <row r="4177" spans="39:41" ht="12" customHeight="1" x14ac:dyDescent="0.2">
      <c r="AM4177" t="str">
        <f t="shared" si="65"/>
        <v>Elst [NLQCU]</v>
      </c>
      <c r="AN4177" t="s">
        <v>33881</v>
      </c>
      <c r="AO4177" t="s">
        <v>34003</v>
      </c>
    </row>
    <row r="4178" spans="39:41" ht="12" customHeight="1" x14ac:dyDescent="0.2">
      <c r="AM4178" t="str">
        <f t="shared" si="65"/>
        <v>Elster [DELER]</v>
      </c>
      <c r="AN4178" t="s">
        <v>7348</v>
      </c>
      <c r="AO4178" t="s">
        <v>7349</v>
      </c>
    </row>
    <row r="4179" spans="39:41" ht="12" customHeight="1" x14ac:dyDescent="0.2">
      <c r="AM4179" t="str">
        <f t="shared" si="65"/>
        <v>Elten [DEETN]</v>
      </c>
      <c r="AN4179" t="s">
        <v>7350</v>
      </c>
      <c r="AO4179" t="s">
        <v>7351</v>
      </c>
    </row>
    <row r="4180" spans="39:41" ht="12" customHeight="1" x14ac:dyDescent="0.2">
      <c r="AM4180" t="str">
        <f t="shared" si="65"/>
        <v>Eltham [AUELT]</v>
      </c>
      <c r="AN4180" t="s">
        <v>1651</v>
      </c>
      <c r="AO4180" t="s">
        <v>1652</v>
      </c>
    </row>
    <row r="4181" spans="39:41" ht="12" customHeight="1" x14ac:dyDescent="0.2">
      <c r="AM4181" t="str">
        <f t="shared" si="65"/>
        <v>Elvillar [ESELV]</v>
      </c>
      <c r="AN4181" t="s">
        <v>9769</v>
      </c>
      <c r="AO4181" t="s">
        <v>9770</v>
      </c>
    </row>
    <row r="4182" spans="39:41" ht="12" customHeight="1" x14ac:dyDescent="0.2">
      <c r="AM4182" t="str">
        <f t="shared" si="65"/>
        <v>Elwood [USEQW]</v>
      </c>
      <c r="AN4182" t="s">
        <v>29712</v>
      </c>
      <c r="AO4182" t="s">
        <v>29713</v>
      </c>
    </row>
    <row r="4183" spans="39:41" ht="12" customHeight="1" x14ac:dyDescent="0.2">
      <c r="AM4183" t="str">
        <f t="shared" si="65"/>
        <v>Elzach [DEEZH]</v>
      </c>
      <c r="AN4183" t="s">
        <v>7352</v>
      </c>
      <c r="AO4183" t="s">
        <v>7353</v>
      </c>
    </row>
    <row r="4184" spans="39:41" ht="12" customHeight="1" x14ac:dyDescent="0.2">
      <c r="AM4184" t="str">
        <f t="shared" si="65"/>
        <v>Emblem [BEEBM]</v>
      </c>
      <c r="AN4184" t="s">
        <v>2423</v>
      </c>
      <c r="AO4184" t="s">
        <v>2424</v>
      </c>
    </row>
    <row r="4185" spans="39:41" ht="12" customHeight="1" x14ac:dyDescent="0.2">
      <c r="AM4185" t="str">
        <f t="shared" si="65"/>
        <v>Emden [DEEME]</v>
      </c>
      <c r="AN4185" t="s">
        <v>7354</v>
      </c>
      <c r="AO4185" t="s">
        <v>7355</v>
      </c>
    </row>
    <row r="4186" spans="39:41" ht="12" customHeight="1" x14ac:dyDescent="0.2">
      <c r="AM4186" t="str">
        <f t="shared" si="65"/>
        <v>Emerald Isle [USZZX]</v>
      </c>
      <c r="AN4186" t="s">
        <v>29714</v>
      </c>
      <c r="AO4186" t="s">
        <v>29715</v>
      </c>
    </row>
    <row r="4187" spans="39:41" ht="12" customHeight="1" x14ac:dyDescent="0.2">
      <c r="AM4187" t="str">
        <f t="shared" si="65"/>
        <v>Emerald Park [CAXVX]</v>
      </c>
      <c r="AN4187" t="s">
        <v>3822</v>
      </c>
      <c r="AO4187" t="s">
        <v>3823</v>
      </c>
    </row>
    <row r="4188" spans="39:41" ht="12" customHeight="1" x14ac:dyDescent="0.2">
      <c r="AM4188" t="str">
        <f t="shared" si="65"/>
        <v>Emersacker [DEEM4]</v>
      </c>
      <c r="AN4188" t="s">
        <v>7356</v>
      </c>
      <c r="AO4188" t="s">
        <v>7357</v>
      </c>
    </row>
    <row r="4189" spans="39:41" ht="12" customHeight="1" x14ac:dyDescent="0.2">
      <c r="AM4189" t="str">
        <f t="shared" si="65"/>
        <v>Emery [USEMY]</v>
      </c>
      <c r="AN4189" t="s">
        <v>29716</v>
      </c>
      <c r="AO4189" t="s">
        <v>29717</v>
      </c>
    </row>
    <row r="4190" spans="39:41" ht="12" customHeight="1" x14ac:dyDescent="0.2">
      <c r="AM4190" t="str">
        <f t="shared" si="65"/>
        <v>Emigrant Gap [USEM4]</v>
      </c>
      <c r="AN4190" t="s">
        <v>29718</v>
      </c>
      <c r="AO4190" t="s">
        <v>29719</v>
      </c>
    </row>
    <row r="4191" spans="39:41" ht="12" customHeight="1" x14ac:dyDescent="0.2">
      <c r="AM4191" t="str">
        <f t="shared" si="65"/>
        <v>Emmelsum [DEESU]</v>
      </c>
      <c r="AN4191" t="s">
        <v>7358</v>
      </c>
      <c r="AO4191" t="s">
        <v>7359</v>
      </c>
    </row>
    <row r="4192" spans="39:41" ht="12" customHeight="1" x14ac:dyDescent="0.2">
      <c r="AM4192" t="str">
        <f t="shared" si="65"/>
        <v>Emmerich [DEEMM]</v>
      </c>
      <c r="AN4192" t="s">
        <v>7360</v>
      </c>
      <c r="AO4192" t="s">
        <v>7361</v>
      </c>
    </row>
    <row r="4193" spans="39:41" ht="12" customHeight="1" x14ac:dyDescent="0.2">
      <c r="AM4193" t="str">
        <f t="shared" si="65"/>
        <v>Emmetsburg [USEMG]</v>
      </c>
      <c r="AN4193" t="s">
        <v>29720</v>
      </c>
      <c r="AO4193" t="s">
        <v>29721</v>
      </c>
    </row>
    <row r="4194" spans="39:41" ht="12" customHeight="1" x14ac:dyDescent="0.2">
      <c r="AM4194" t="str">
        <f t="shared" si="65"/>
        <v>Emory [USYEM]</v>
      </c>
      <c r="AN4194" t="s">
        <v>29722</v>
      </c>
      <c r="AO4194" t="s">
        <v>29723</v>
      </c>
    </row>
    <row r="4195" spans="39:41" ht="12" customHeight="1" x14ac:dyDescent="0.2">
      <c r="AM4195" t="str">
        <f t="shared" si="65"/>
        <v>Empalme [MXEPM]</v>
      </c>
      <c r="AN4195" t="s">
        <v>22356</v>
      </c>
      <c r="AO4195" t="s">
        <v>22357</v>
      </c>
    </row>
    <row r="4196" spans="39:41" ht="12" customHeight="1" x14ac:dyDescent="0.2">
      <c r="AM4196" t="str">
        <f t="shared" si="65"/>
        <v>Empel [NLEPL]</v>
      </c>
      <c r="AN4196" t="s">
        <v>23177</v>
      </c>
      <c r="AO4196" t="s">
        <v>23178</v>
      </c>
    </row>
    <row r="4197" spans="39:41" ht="12" customHeight="1" x14ac:dyDescent="0.2">
      <c r="AM4197" t="str">
        <f t="shared" si="65"/>
        <v>Empire [USEPE]</v>
      </c>
      <c r="AN4197" t="s">
        <v>29724</v>
      </c>
      <c r="AO4197" t="s">
        <v>29725</v>
      </c>
    </row>
    <row r="4198" spans="39:41" ht="12" customHeight="1" x14ac:dyDescent="0.2">
      <c r="AM4198" t="str">
        <f t="shared" si="65"/>
        <v>Empuriabrava [ESEMP]</v>
      </c>
      <c r="AN4198" t="s">
        <v>9771</v>
      </c>
      <c r="AO4198" t="s">
        <v>9772</v>
      </c>
    </row>
    <row r="4199" spans="39:41" ht="12" customHeight="1" x14ac:dyDescent="0.2">
      <c r="AM4199" t="str">
        <f t="shared" si="65"/>
        <v>Emukae [JPEMU]</v>
      </c>
      <c r="AN4199" t="s">
        <v>18722</v>
      </c>
      <c r="AO4199" t="s">
        <v>18723</v>
      </c>
    </row>
    <row r="4200" spans="39:41" ht="12" customHeight="1" x14ac:dyDescent="0.2">
      <c r="AM4200" t="str">
        <f t="shared" si="65"/>
        <v>En [JPENN]</v>
      </c>
      <c r="AN4200" t="s">
        <v>18724</v>
      </c>
      <c r="AO4200" t="s">
        <v>18725</v>
      </c>
    </row>
    <row r="4201" spans="39:41" ht="12" customHeight="1" x14ac:dyDescent="0.2">
      <c r="AM4201" t="str">
        <f t="shared" si="65"/>
        <v>Ena [JPENA]</v>
      </c>
      <c r="AN4201" t="s">
        <v>18726</v>
      </c>
      <c r="AO4201" t="s">
        <v>18727</v>
      </c>
    </row>
    <row r="4202" spans="39:41" ht="12" customHeight="1" x14ac:dyDescent="0.2">
      <c r="AM4202" t="str">
        <f t="shared" si="65"/>
        <v>Ename [BEEAM]</v>
      </c>
      <c r="AN4202" t="s">
        <v>2425</v>
      </c>
      <c r="AO4202" t="s">
        <v>2426</v>
      </c>
    </row>
    <row r="4203" spans="39:41" ht="12" customHeight="1" x14ac:dyDescent="0.2">
      <c r="AM4203" t="str">
        <f t="shared" si="65"/>
        <v>Encarnacion [PYENO]</v>
      </c>
      <c r="AN4203" t="s">
        <v>26667</v>
      </c>
      <c r="AO4203" t="s">
        <v>36404</v>
      </c>
    </row>
    <row r="4204" spans="39:41" ht="12" customHeight="1" x14ac:dyDescent="0.2">
      <c r="AM4204" t="str">
        <f t="shared" si="65"/>
        <v>Endako [CAEND]</v>
      </c>
      <c r="AN4204" t="s">
        <v>3824</v>
      </c>
      <c r="AO4204" t="s">
        <v>3825</v>
      </c>
    </row>
    <row r="4205" spans="39:41" ht="12" customHeight="1" x14ac:dyDescent="0.2">
      <c r="AM4205" t="str">
        <f t="shared" si="65"/>
        <v>Endau [MYEND]</v>
      </c>
      <c r="AN4205" t="s">
        <v>22550</v>
      </c>
      <c r="AO4205" t="s">
        <v>22551</v>
      </c>
    </row>
    <row r="4206" spans="39:41" ht="12" customHeight="1" x14ac:dyDescent="0.2">
      <c r="AM4206" t="str">
        <f t="shared" si="65"/>
        <v>Endelave [DKEDL]</v>
      </c>
      <c r="AN4206" t="s">
        <v>8670</v>
      </c>
      <c r="AO4206" t="s">
        <v>8671</v>
      </c>
    </row>
    <row r="4207" spans="39:41" ht="12" customHeight="1" x14ac:dyDescent="0.2">
      <c r="AM4207" t="str">
        <f t="shared" si="65"/>
        <v>Enderbury Island [KIEBI]</v>
      </c>
      <c r="AN4207" t="s">
        <v>21547</v>
      </c>
      <c r="AO4207" t="s">
        <v>21548</v>
      </c>
    </row>
    <row r="4208" spans="39:41" ht="12" customHeight="1" x14ac:dyDescent="0.2">
      <c r="AM4208" t="str">
        <f t="shared" si="65"/>
        <v>Enez [TRENE]</v>
      </c>
      <c r="AN4208" t="s">
        <v>28455</v>
      </c>
      <c r="AO4208" t="s">
        <v>28456</v>
      </c>
    </row>
    <row r="4209" spans="39:41" ht="12" customHeight="1" x14ac:dyDescent="0.2">
      <c r="AM4209" t="str">
        <f t="shared" si="65"/>
        <v>Engabrunn [ATBRI]</v>
      </c>
      <c r="AN4209" t="s">
        <v>1190</v>
      </c>
      <c r="AO4209" t="s">
        <v>1191</v>
      </c>
    </row>
    <row r="4210" spans="39:41" ht="12" customHeight="1" x14ac:dyDescent="0.2">
      <c r="AM4210" t="str">
        <f t="shared" si="65"/>
        <v>Engelmannsbrunn [ATERO]</v>
      </c>
      <c r="AN4210" t="s">
        <v>1192</v>
      </c>
      <c r="AO4210" t="s">
        <v>1193</v>
      </c>
    </row>
    <row r="4211" spans="39:41" ht="12" customHeight="1" x14ac:dyDescent="0.2">
      <c r="AM4211" t="str">
        <f t="shared" si="65"/>
        <v>Engene [NOENG]</v>
      </c>
      <c r="AN4211" t="s">
        <v>24027</v>
      </c>
      <c r="AO4211" t="s">
        <v>24028</v>
      </c>
    </row>
    <row r="4212" spans="39:41" ht="12" customHeight="1" x14ac:dyDescent="0.2">
      <c r="AM4212" t="str">
        <f t="shared" si="65"/>
        <v>Engerwitzdorf [ATDFC]</v>
      </c>
      <c r="AN4212" t="s">
        <v>1194</v>
      </c>
      <c r="AO4212" t="s">
        <v>1195</v>
      </c>
    </row>
    <row r="4213" spans="39:41" ht="12" customHeight="1" x14ac:dyDescent="0.2">
      <c r="AM4213" t="str">
        <f t="shared" si="65"/>
        <v>Engis [BEENG]</v>
      </c>
      <c r="AN4213" t="s">
        <v>2427</v>
      </c>
      <c r="AO4213" t="s">
        <v>2428</v>
      </c>
    </row>
    <row r="4214" spans="39:41" ht="12" customHeight="1" x14ac:dyDescent="0.2">
      <c r="AM4214" t="str">
        <f t="shared" si="65"/>
        <v>English Bay [CAEBY]</v>
      </c>
      <c r="AN4214" t="s">
        <v>3826</v>
      </c>
      <c r="AO4214" t="s">
        <v>3827</v>
      </c>
    </row>
    <row r="4215" spans="39:41" ht="12" customHeight="1" x14ac:dyDescent="0.2">
      <c r="AM4215" t="str">
        <f t="shared" si="65"/>
        <v>English Channel [XZECN]</v>
      </c>
      <c r="AN4215" t="s">
        <v>36618</v>
      </c>
      <c r="AO4215" t="s">
        <v>36619</v>
      </c>
    </row>
    <row r="4216" spans="39:41" ht="12" customHeight="1" x14ac:dyDescent="0.2">
      <c r="AM4216" t="str">
        <f t="shared" si="65"/>
        <v>Enguera [ESENG]</v>
      </c>
      <c r="AN4216" t="s">
        <v>9773</v>
      </c>
      <c r="AO4216" t="s">
        <v>9774</v>
      </c>
    </row>
    <row r="4217" spans="39:41" ht="12" customHeight="1" x14ac:dyDescent="0.2">
      <c r="AM4217" t="str">
        <f t="shared" si="65"/>
        <v>Engure [LVEGE]</v>
      </c>
      <c r="AN4217" t="s">
        <v>21925</v>
      </c>
      <c r="AO4217" t="s">
        <v>21926</v>
      </c>
    </row>
    <row r="4218" spans="39:41" ht="12" customHeight="1" x14ac:dyDescent="0.2">
      <c r="AM4218" t="str">
        <f t="shared" ref="AM4218:AM4281" si="66">AO4218 &amp; " [" &amp; AN4218 &amp; "]"</f>
        <v>Enighed Pond [VIENP]</v>
      </c>
      <c r="AN4218" t="s">
        <v>32284</v>
      </c>
      <c r="AO4218" t="s">
        <v>32285</v>
      </c>
    </row>
    <row r="4219" spans="39:41" ht="12" customHeight="1" x14ac:dyDescent="0.2">
      <c r="AM4219" t="str">
        <f t="shared" si="66"/>
        <v>Enkhuizen [NLENK]</v>
      </c>
      <c r="AN4219" t="s">
        <v>34100</v>
      </c>
      <c r="AO4219" t="s">
        <v>34146</v>
      </c>
    </row>
    <row r="4220" spans="39:41" ht="12" customHeight="1" x14ac:dyDescent="0.2">
      <c r="AM4220" t="str">
        <f t="shared" si="66"/>
        <v>Enkoping [SEENK]</v>
      </c>
      <c r="AN4220" t="s">
        <v>27557</v>
      </c>
      <c r="AO4220" t="s">
        <v>36434</v>
      </c>
    </row>
    <row r="4221" spans="39:41" ht="12" customHeight="1" x14ac:dyDescent="0.2">
      <c r="AM4221" t="str">
        <f t="shared" si="66"/>
        <v>Ennice [USEN5]</v>
      </c>
      <c r="AN4221" t="s">
        <v>29726</v>
      </c>
      <c r="AO4221" t="s">
        <v>29727</v>
      </c>
    </row>
    <row r="4222" spans="39:41" ht="12" customHeight="1" x14ac:dyDescent="0.2">
      <c r="AM4222" t="str">
        <f t="shared" si="66"/>
        <v>Ennistymon [IEDWE]</v>
      </c>
      <c r="AN4222" t="s">
        <v>16809</v>
      </c>
      <c r="AO4222" t="s">
        <v>16810</v>
      </c>
    </row>
    <row r="4223" spans="39:41" ht="12" customHeight="1" x14ac:dyDescent="0.2">
      <c r="AM4223" t="str">
        <f t="shared" si="66"/>
        <v>Ennore [INENR]</v>
      </c>
      <c r="AN4223" t="s">
        <v>17136</v>
      </c>
      <c r="AO4223" t="s">
        <v>17137</v>
      </c>
    </row>
    <row r="4224" spans="39:41" ht="12" customHeight="1" x14ac:dyDescent="0.2">
      <c r="AM4224" t="str">
        <f t="shared" si="66"/>
        <v>Enohama [JPENH]</v>
      </c>
      <c r="AN4224" t="s">
        <v>18728</v>
      </c>
      <c r="AO4224" t="s">
        <v>18729</v>
      </c>
    </row>
    <row r="4225" spans="39:41" ht="12" customHeight="1" x14ac:dyDescent="0.2">
      <c r="AM4225" t="str">
        <f t="shared" si="66"/>
        <v>Enokizu [JPEKZ]</v>
      </c>
      <c r="AN4225" t="s">
        <v>18730</v>
      </c>
      <c r="AO4225" t="s">
        <v>18731</v>
      </c>
    </row>
    <row r="4226" spans="39:41" ht="12" customHeight="1" x14ac:dyDescent="0.2">
      <c r="AM4226" t="str">
        <f t="shared" si="66"/>
        <v>Enonkoski [FIENK]</v>
      </c>
      <c r="AN4226" t="s">
        <v>10331</v>
      </c>
      <c r="AO4226" t="s">
        <v>10332</v>
      </c>
    </row>
    <row r="4227" spans="39:41" ht="12" customHeight="1" x14ac:dyDescent="0.2">
      <c r="AM4227" t="str">
        <f t="shared" si="66"/>
        <v>Enoura, Kagawa [JPENR]</v>
      </c>
      <c r="AN4227" t="s">
        <v>18732</v>
      </c>
      <c r="AO4227" t="s">
        <v>18733</v>
      </c>
    </row>
    <row r="4228" spans="39:41" ht="12" customHeight="1" x14ac:dyDescent="0.2">
      <c r="AM4228" t="str">
        <f t="shared" si="66"/>
        <v>Enoura, Shizuoka [JPENO]</v>
      </c>
      <c r="AN4228" t="s">
        <v>18734</v>
      </c>
      <c r="AO4228" t="s">
        <v>18735</v>
      </c>
    </row>
    <row r="4229" spans="39:41" ht="12" customHeight="1" x14ac:dyDescent="0.2">
      <c r="AM4229" t="str">
        <f t="shared" si="66"/>
        <v>Enschede [NLENS]</v>
      </c>
      <c r="AN4229" t="s">
        <v>33882</v>
      </c>
      <c r="AO4229" t="s">
        <v>34004</v>
      </c>
    </row>
    <row r="4230" spans="39:41" ht="12" customHeight="1" x14ac:dyDescent="0.2">
      <c r="AM4230" t="str">
        <f t="shared" si="66"/>
        <v>Ensenada [MXESE]</v>
      </c>
      <c r="AN4230" t="s">
        <v>22358</v>
      </c>
      <c r="AO4230" t="s">
        <v>22359</v>
      </c>
    </row>
    <row r="4231" spans="39:41" ht="12" customHeight="1" x14ac:dyDescent="0.2">
      <c r="AM4231" t="str">
        <f t="shared" si="66"/>
        <v>Enstedvarket Havn [DKENS]</v>
      </c>
      <c r="AN4231" t="s">
        <v>8672</v>
      </c>
      <c r="AO4231" t="s">
        <v>35532</v>
      </c>
    </row>
    <row r="4232" spans="39:41" ht="12" customHeight="1" x14ac:dyDescent="0.2">
      <c r="AM4232" t="str">
        <f t="shared" si="66"/>
        <v>Enter EU Boundary [XZEUI]</v>
      </c>
      <c r="AN4232" t="s">
        <v>36620</v>
      </c>
      <c r="AO4232" t="s">
        <v>36621</v>
      </c>
    </row>
    <row r="4233" spans="39:41" ht="12" customHeight="1" x14ac:dyDescent="0.2">
      <c r="AM4233" t="str">
        <f t="shared" si="66"/>
        <v>Entoma [ESENT]</v>
      </c>
      <c r="AN4233" t="s">
        <v>9775</v>
      </c>
      <c r="AO4233" t="s">
        <v>9776</v>
      </c>
    </row>
    <row r="4234" spans="39:41" ht="12" customHeight="1" x14ac:dyDescent="0.2">
      <c r="AM4234" t="str">
        <f t="shared" si="66"/>
        <v>Envigado [COENV]</v>
      </c>
      <c r="AN4234" t="s">
        <v>6518</v>
      </c>
      <c r="AO4234" t="s">
        <v>6519</v>
      </c>
    </row>
    <row r="4235" spans="39:41" ht="12" customHeight="1" x14ac:dyDescent="0.2">
      <c r="AM4235" t="str">
        <f t="shared" si="66"/>
        <v>Epagne-Epagnette [FREGG]</v>
      </c>
      <c r="AN4235" t="s">
        <v>11252</v>
      </c>
      <c r="AO4235" t="s">
        <v>35798</v>
      </c>
    </row>
    <row r="4236" spans="39:41" ht="12" customHeight="1" x14ac:dyDescent="0.2">
      <c r="AM4236" t="str">
        <f t="shared" si="66"/>
        <v>Epalinges [CHDSF]</v>
      </c>
      <c r="AN4236" t="s">
        <v>4683</v>
      </c>
      <c r="AO4236" t="s">
        <v>4684</v>
      </c>
    </row>
    <row r="4237" spans="39:41" ht="12" customHeight="1" x14ac:dyDescent="0.2">
      <c r="AM4237" t="str">
        <f t="shared" si="66"/>
        <v>Epervans [FR5EP]</v>
      </c>
      <c r="AN4237" t="s">
        <v>11253</v>
      </c>
      <c r="AO4237" t="s">
        <v>35799</v>
      </c>
    </row>
    <row r="4238" spans="39:41" ht="12" customHeight="1" x14ac:dyDescent="0.2">
      <c r="AM4238" t="str">
        <f t="shared" si="66"/>
        <v>Epesses [CHEPS]</v>
      </c>
      <c r="AN4238" t="s">
        <v>4685</v>
      </c>
      <c r="AO4238" t="s">
        <v>4686</v>
      </c>
    </row>
    <row r="4239" spans="39:41" ht="12" customHeight="1" x14ac:dyDescent="0.2">
      <c r="AM4239" t="str">
        <f t="shared" si="66"/>
        <v>Epidavros [GREPI]</v>
      </c>
      <c r="AN4239" t="s">
        <v>15197</v>
      </c>
      <c r="AO4239" t="s">
        <v>15198</v>
      </c>
    </row>
    <row r="4240" spans="39:41" ht="12" customHeight="1" x14ac:dyDescent="0.2">
      <c r="AM4240" t="str">
        <f t="shared" si="66"/>
        <v>Epineuil [FREP5]</v>
      </c>
      <c r="AN4240" t="s">
        <v>11254</v>
      </c>
      <c r="AO4240" t="s">
        <v>11255</v>
      </c>
    </row>
    <row r="4241" spans="39:41" ht="12" customHeight="1" x14ac:dyDescent="0.2">
      <c r="AM4241" t="str">
        <f t="shared" si="66"/>
        <v>Equata [GAEKU]</v>
      </c>
      <c r="AN4241" t="s">
        <v>12225</v>
      </c>
      <c r="AO4241" t="s">
        <v>12226</v>
      </c>
    </row>
    <row r="4242" spans="39:41" ht="12" customHeight="1" x14ac:dyDescent="0.2">
      <c r="AM4242" t="str">
        <f t="shared" si="66"/>
        <v>Eratini [GRETK]</v>
      </c>
      <c r="AN4242" t="s">
        <v>15199</v>
      </c>
      <c r="AO4242" t="s">
        <v>15200</v>
      </c>
    </row>
    <row r="4243" spans="39:41" ht="12" customHeight="1" x14ac:dyDescent="0.2">
      <c r="AM4243" t="str">
        <f t="shared" si="66"/>
        <v>Erawan [THERA]</v>
      </c>
      <c r="AN4243" t="s">
        <v>28228</v>
      </c>
      <c r="AO4243" t="s">
        <v>28229</v>
      </c>
    </row>
    <row r="4244" spans="39:41" ht="12" customHeight="1" x14ac:dyDescent="0.2">
      <c r="AM4244" t="str">
        <f t="shared" si="66"/>
        <v>Erba [CNEBA]</v>
      </c>
      <c r="AN4244" t="s">
        <v>5280</v>
      </c>
      <c r="AO4244" t="s">
        <v>5281</v>
      </c>
    </row>
    <row r="4245" spans="39:41" ht="12" customHeight="1" x14ac:dyDescent="0.2">
      <c r="AM4245" t="str">
        <f t="shared" si="66"/>
        <v>Ercheu [FREHU]</v>
      </c>
      <c r="AN4245" t="s">
        <v>11256</v>
      </c>
      <c r="AO4245" t="s">
        <v>11257</v>
      </c>
    </row>
    <row r="4246" spans="39:41" ht="12" customHeight="1" x14ac:dyDescent="0.2">
      <c r="AM4246" t="str">
        <f t="shared" si="66"/>
        <v>Ercsi [HUERC]</v>
      </c>
      <c r="AN4246" t="s">
        <v>16077</v>
      </c>
      <c r="AO4246" t="s">
        <v>16078</v>
      </c>
    </row>
    <row r="4247" spans="39:41" ht="12" customHeight="1" x14ac:dyDescent="0.2">
      <c r="AM4247" t="str">
        <f t="shared" si="66"/>
        <v>Erdek [TRERK]</v>
      </c>
      <c r="AN4247" t="s">
        <v>28457</v>
      </c>
      <c r="AO4247" t="s">
        <v>28458</v>
      </c>
    </row>
    <row r="4248" spans="39:41" ht="12" customHeight="1" x14ac:dyDescent="0.2">
      <c r="AM4248" t="str">
        <f t="shared" si="66"/>
        <v>Erdobenye [HUERD]</v>
      </c>
      <c r="AN4248" t="s">
        <v>16079</v>
      </c>
      <c r="AO4248" t="s">
        <v>16080</v>
      </c>
    </row>
    <row r="4249" spans="39:41" ht="12" customHeight="1" x14ac:dyDescent="0.2">
      <c r="AM4249" t="str">
        <f t="shared" si="66"/>
        <v>Erdut [HRERD]</v>
      </c>
      <c r="AN4249" t="s">
        <v>15740</v>
      </c>
      <c r="AO4249" t="s">
        <v>15741</v>
      </c>
    </row>
    <row r="4250" spans="39:41" ht="12" customHeight="1" x14ac:dyDescent="0.2">
      <c r="AM4250" t="str">
        <f t="shared" si="66"/>
        <v>Eregli [TRERE]</v>
      </c>
      <c r="AN4250" t="s">
        <v>28460</v>
      </c>
      <c r="AO4250" t="s">
        <v>28459</v>
      </c>
    </row>
    <row r="4251" spans="39:41" ht="12" customHeight="1" x14ac:dyDescent="0.2">
      <c r="AM4251" t="str">
        <f t="shared" si="66"/>
        <v>Ereikousses Diapontioi Islands [GRERK]</v>
      </c>
      <c r="AN4251" t="s">
        <v>15201</v>
      </c>
      <c r="AO4251" t="s">
        <v>15202</v>
      </c>
    </row>
    <row r="4252" spans="39:41" ht="12" customHeight="1" x14ac:dyDescent="0.2">
      <c r="AM4252" t="str">
        <f t="shared" si="66"/>
        <v>Eretria [GRERE]</v>
      </c>
      <c r="AN4252" t="s">
        <v>15203</v>
      </c>
      <c r="AO4252" t="s">
        <v>35898</v>
      </c>
    </row>
    <row r="4253" spans="39:41" ht="12" customHeight="1" x14ac:dyDescent="0.2">
      <c r="AM4253" t="str">
        <f t="shared" si="66"/>
        <v>Erfjord - Suldal [NOERF]</v>
      </c>
      <c r="AN4253" t="s">
        <v>24029</v>
      </c>
      <c r="AO4253" t="s">
        <v>24030</v>
      </c>
    </row>
    <row r="4254" spans="39:41" ht="12" customHeight="1" x14ac:dyDescent="0.2">
      <c r="AM4254" t="str">
        <f t="shared" si="66"/>
        <v>Ergun [CNEGN]</v>
      </c>
      <c r="AN4254" t="s">
        <v>5282</v>
      </c>
      <c r="AO4254" t="s">
        <v>5283</v>
      </c>
    </row>
    <row r="4255" spans="39:41" ht="12" customHeight="1" x14ac:dyDescent="0.2">
      <c r="AM4255" t="str">
        <f t="shared" si="66"/>
        <v>Erha Terminal [NGERT]</v>
      </c>
      <c r="AN4255" t="s">
        <v>22935</v>
      </c>
      <c r="AO4255" t="s">
        <v>22936</v>
      </c>
    </row>
    <row r="4256" spans="39:41" ht="12" customHeight="1" x14ac:dyDescent="0.2">
      <c r="AM4256" t="str">
        <f t="shared" si="66"/>
        <v>Erial [USQRL]</v>
      </c>
      <c r="AN4256" t="s">
        <v>29728</v>
      </c>
      <c r="AO4256" t="s">
        <v>29729</v>
      </c>
    </row>
    <row r="4257" spans="39:41" ht="12" customHeight="1" x14ac:dyDescent="0.2">
      <c r="AM4257" t="str">
        <f t="shared" si="66"/>
        <v>Erica [NLERA]</v>
      </c>
      <c r="AN4257" t="s">
        <v>23179</v>
      </c>
      <c r="AO4257" t="s">
        <v>23180</v>
      </c>
    </row>
    <row r="4258" spans="39:41" ht="12" customHeight="1" x14ac:dyDescent="0.2">
      <c r="AM4258" t="str">
        <f t="shared" si="66"/>
        <v>Erie [USXEH]</v>
      </c>
      <c r="AN4258" t="s">
        <v>29730</v>
      </c>
      <c r="AO4258" t="s">
        <v>29731</v>
      </c>
    </row>
    <row r="4259" spans="39:41" ht="12" customHeight="1" x14ac:dyDescent="0.2">
      <c r="AM4259" t="str">
        <f t="shared" si="66"/>
        <v>Erie [USERI]</v>
      </c>
      <c r="AN4259" t="s">
        <v>29732</v>
      </c>
      <c r="AO4259" t="s">
        <v>29731</v>
      </c>
    </row>
    <row r="4260" spans="39:41" ht="12" customHeight="1" x14ac:dyDescent="0.2">
      <c r="AM4260" t="str">
        <f t="shared" si="66"/>
        <v>Erieau [CAENE]</v>
      </c>
      <c r="AN4260" t="s">
        <v>3828</v>
      </c>
      <c r="AO4260" t="s">
        <v>3829</v>
      </c>
    </row>
    <row r="4261" spans="39:41" ht="12" customHeight="1" x14ac:dyDescent="0.2">
      <c r="AM4261" t="str">
        <f t="shared" si="66"/>
        <v>Erimo [JPEMM]</v>
      </c>
      <c r="AN4261" t="s">
        <v>18736</v>
      </c>
      <c r="AO4261" t="s">
        <v>18737</v>
      </c>
    </row>
    <row r="4262" spans="39:41" ht="12" customHeight="1" x14ac:dyDescent="0.2">
      <c r="AM4262" t="str">
        <f t="shared" si="66"/>
        <v>Ering [DEERY]</v>
      </c>
      <c r="AN4262" t="s">
        <v>7362</v>
      </c>
      <c r="AO4262" t="s">
        <v>7363</v>
      </c>
    </row>
    <row r="4263" spans="39:41" ht="12" customHeight="1" x14ac:dyDescent="0.2">
      <c r="AM4263" t="str">
        <f t="shared" si="66"/>
        <v>Erith [GBERI]</v>
      </c>
      <c r="AN4263" t="s">
        <v>13106</v>
      </c>
      <c r="AO4263" t="s">
        <v>13107</v>
      </c>
    </row>
    <row r="4264" spans="39:41" ht="12" customHeight="1" x14ac:dyDescent="0.2">
      <c r="AM4264" t="str">
        <f t="shared" si="66"/>
        <v>Erl [ATERL]</v>
      </c>
      <c r="AN4264" t="s">
        <v>1196</v>
      </c>
      <c r="AO4264" t="s">
        <v>1197</v>
      </c>
    </row>
    <row r="4265" spans="39:41" ht="12" customHeight="1" x14ac:dyDescent="0.2">
      <c r="AM4265" t="str">
        <f t="shared" si="66"/>
        <v>Erlau [DEEAU]</v>
      </c>
      <c r="AN4265" t="s">
        <v>7364</v>
      </c>
      <c r="AO4265" t="s">
        <v>7365</v>
      </c>
    </row>
    <row r="4266" spans="39:41" ht="12" customHeight="1" x14ac:dyDescent="0.2">
      <c r="AM4266" t="str">
        <f t="shared" si="66"/>
        <v>Erlenbach [CHERB]</v>
      </c>
      <c r="AN4266" t="s">
        <v>4687</v>
      </c>
      <c r="AO4266" t="s">
        <v>4688</v>
      </c>
    </row>
    <row r="4267" spans="39:41" ht="12" customHeight="1" x14ac:dyDescent="0.2">
      <c r="AM4267" t="str">
        <f t="shared" si="66"/>
        <v>Erlenbach am Main [DEEAM]</v>
      </c>
      <c r="AN4267" t="s">
        <v>7366</v>
      </c>
      <c r="AO4267" t="s">
        <v>7367</v>
      </c>
    </row>
    <row r="4268" spans="39:41" ht="12" customHeight="1" x14ac:dyDescent="0.2">
      <c r="AM4268" t="str">
        <f t="shared" si="66"/>
        <v>Ermioni [GRERM]</v>
      </c>
      <c r="AN4268" t="s">
        <v>15204</v>
      </c>
      <c r="AO4268" t="s">
        <v>35899</v>
      </c>
    </row>
    <row r="4269" spans="39:41" ht="12" customHeight="1" x14ac:dyDescent="0.2">
      <c r="AM4269" t="str">
        <f t="shared" si="66"/>
        <v>Ernakulam [INEKM]</v>
      </c>
      <c r="AN4269" t="s">
        <v>17138</v>
      </c>
      <c r="AO4269" t="s">
        <v>17139</v>
      </c>
    </row>
    <row r="4270" spans="39:41" ht="12" customHeight="1" x14ac:dyDescent="0.2">
      <c r="AM4270" t="str">
        <f t="shared" si="66"/>
        <v>Erode [INERO]</v>
      </c>
      <c r="AN4270" t="s">
        <v>17140</v>
      </c>
      <c r="AO4270" t="s">
        <v>17141</v>
      </c>
    </row>
    <row r="4271" spans="39:41" ht="12" customHeight="1" x14ac:dyDescent="0.2">
      <c r="AM4271" t="str">
        <f t="shared" si="66"/>
        <v>Erome [FRER4]</v>
      </c>
      <c r="AN4271" t="s">
        <v>11258</v>
      </c>
      <c r="AO4271" t="s">
        <v>11259</v>
      </c>
    </row>
    <row r="4272" spans="39:41" ht="12" customHeight="1" x14ac:dyDescent="0.2">
      <c r="AM4272" t="str">
        <f t="shared" si="66"/>
        <v>Erpersdorf [ATEPD]</v>
      </c>
      <c r="AN4272" t="s">
        <v>1198</v>
      </c>
      <c r="AO4272" t="s">
        <v>1199</v>
      </c>
    </row>
    <row r="4273" spans="39:41" ht="12" customHeight="1" x14ac:dyDescent="0.2">
      <c r="AM4273" t="str">
        <f t="shared" si="66"/>
        <v>Erquelinnes [BEREQ]</v>
      </c>
      <c r="AN4273" t="s">
        <v>2429</v>
      </c>
      <c r="AO4273" t="s">
        <v>2430</v>
      </c>
    </row>
    <row r="4274" spans="39:41" ht="12" customHeight="1" x14ac:dyDescent="0.2">
      <c r="AM4274" t="str">
        <f t="shared" si="66"/>
        <v>Erribol [GBRBL]</v>
      </c>
      <c r="AN4274" t="s">
        <v>13108</v>
      </c>
      <c r="AO4274" t="s">
        <v>13109</v>
      </c>
    </row>
    <row r="4275" spans="39:41" ht="12" customHeight="1" x14ac:dyDescent="0.2">
      <c r="AM4275" t="str">
        <f t="shared" si="66"/>
        <v>Ertaokou [CNETK]</v>
      </c>
      <c r="AN4275" t="s">
        <v>5284</v>
      </c>
      <c r="AO4275" t="s">
        <v>5285</v>
      </c>
    </row>
    <row r="4276" spans="39:41" ht="12" customHeight="1" x14ac:dyDescent="0.2">
      <c r="AM4276" t="str">
        <f t="shared" si="66"/>
        <v>Ertvelde [BEERE]</v>
      </c>
      <c r="AN4276" t="s">
        <v>2431</v>
      </c>
      <c r="AO4276" t="s">
        <v>2432</v>
      </c>
    </row>
    <row r="4277" spans="39:41" ht="12" customHeight="1" x14ac:dyDescent="0.2">
      <c r="AM4277" t="str">
        <f t="shared" si="66"/>
        <v>Erwins [USQEW]</v>
      </c>
      <c r="AN4277" t="s">
        <v>29733</v>
      </c>
      <c r="AO4277" t="s">
        <v>29734</v>
      </c>
    </row>
    <row r="4278" spans="39:41" ht="12" customHeight="1" x14ac:dyDescent="0.2">
      <c r="AM4278" t="str">
        <f t="shared" si="66"/>
        <v>Erythres [GRERY]</v>
      </c>
      <c r="AN4278" t="s">
        <v>15205</v>
      </c>
      <c r="AO4278" t="s">
        <v>15206</v>
      </c>
    </row>
    <row r="4279" spans="39:41" ht="12" customHeight="1" x14ac:dyDescent="0.2">
      <c r="AM4279" t="str">
        <f t="shared" si="66"/>
        <v>Esaki [JPESK]</v>
      </c>
      <c r="AN4279" t="s">
        <v>18738</v>
      </c>
      <c r="AO4279" t="s">
        <v>18739</v>
      </c>
    </row>
    <row r="4280" spans="39:41" ht="12" customHeight="1" x14ac:dyDescent="0.2">
      <c r="AM4280" t="str">
        <f t="shared" si="66"/>
        <v>Esashi/Hiyama [JPESI]</v>
      </c>
      <c r="AN4280" t="s">
        <v>18740</v>
      </c>
      <c r="AO4280" t="s">
        <v>18741</v>
      </c>
    </row>
    <row r="4281" spans="39:41" ht="12" customHeight="1" x14ac:dyDescent="0.2">
      <c r="AM4281" t="str">
        <f t="shared" si="66"/>
        <v>Esashi/Soya [JPESS]</v>
      </c>
      <c r="AN4281" t="s">
        <v>18742</v>
      </c>
      <c r="AO4281" t="s">
        <v>18743</v>
      </c>
    </row>
    <row r="4282" spans="39:41" ht="12" customHeight="1" x14ac:dyDescent="0.2">
      <c r="AM4282" t="str">
        <f t="shared" ref="AM4282:AM4345" si="67">AO4282 &amp; " [" &amp; AN4282 &amp; "]"</f>
        <v>ESB Poolbeg-Dublin [IEESB]</v>
      </c>
      <c r="AN4282" t="s">
        <v>16811</v>
      </c>
      <c r="AO4282" t="s">
        <v>16812</v>
      </c>
    </row>
    <row r="4283" spans="39:41" ht="12" customHeight="1" x14ac:dyDescent="0.2">
      <c r="AM4283" t="str">
        <f t="shared" si="67"/>
        <v>Esbjerg [DKEBJ]</v>
      </c>
      <c r="AN4283" t="s">
        <v>8673</v>
      </c>
      <c r="AO4283" t="s">
        <v>8674</v>
      </c>
    </row>
    <row r="4284" spans="39:41" ht="12" customHeight="1" x14ac:dyDescent="0.2">
      <c r="AM4284" t="str">
        <f t="shared" si="67"/>
        <v>Esbly [FRESB]</v>
      </c>
      <c r="AN4284" t="s">
        <v>11260</v>
      </c>
      <c r="AO4284" t="s">
        <v>11261</v>
      </c>
    </row>
    <row r="4285" spans="39:41" ht="12" customHeight="1" x14ac:dyDescent="0.2">
      <c r="AM4285" t="str">
        <f t="shared" si="67"/>
        <v>Esbo (Espoo) [FIESP]</v>
      </c>
      <c r="AN4285" t="s">
        <v>10333</v>
      </c>
      <c r="AO4285" t="s">
        <v>10334</v>
      </c>
    </row>
    <row r="4286" spans="39:41" ht="12" customHeight="1" x14ac:dyDescent="0.2">
      <c r="AM4286" t="str">
        <f t="shared" si="67"/>
        <v>Escanaba [USESC]</v>
      </c>
      <c r="AN4286" t="s">
        <v>29735</v>
      </c>
      <c r="AO4286" t="s">
        <v>29736</v>
      </c>
    </row>
    <row r="4287" spans="39:41" ht="12" customHeight="1" x14ac:dyDescent="0.2">
      <c r="AM4287" t="str">
        <f t="shared" si="67"/>
        <v>Escanaffles [BEEFS]</v>
      </c>
      <c r="AN4287" t="s">
        <v>2433</v>
      </c>
      <c r="AO4287" t="s">
        <v>2434</v>
      </c>
    </row>
    <row r="4288" spans="39:41" ht="12" customHeight="1" x14ac:dyDescent="0.2">
      <c r="AM4288" t="str">
        <f t="shared" si="67"/>
        <v>Escariz [PTXZX]</v>
      </c>
      <c r="AN4288" t="s">
        <v>26495</v>
      </c>
      <c r="AO4288" t="s">
        <v>26496</v>
      </c>
    </row>
    <row r="4289" spans="39:41" ht="12" customHeight="1" x14ac:dyDescent="0.2">
      <c r="AM4289" t="str">
        <f t="shared" si="67"/>
        <v>Escautpont [FRTJX]</v>
      </c>
      <c r="AN4289" t="s">
        <v>11262</v>
      </c>
      <c r="AO4289" t="s">
        <v>11263</v>
      </c>
    </row>
    <row r="4290" spans="39:41" ht="12" customHeight="1" x14ac:dyDescent="0.2">
      <c r="AM4290" t="str">
        <f t="shared" si="67"/>
        <v>Esch-sur-Alzette [LUEZT]</v>
      </c>
      <c r="AN4290" t="s">
        <v>21902</v>
      </c>
      <c r="AO4290" t="s">
        <v>21903</v>
      </c>
    </row>
    <row r="4291" spans="39:41" ht="12" customHeight="1" x14ac:dyDescent="0.2">
      <c r="AM4291" t="str">
        <f t="shared" si="67"/>
        <v>Escombreras [ESESC]</v>
      </c>
      <c r="AN4291" t="s">
        <v>9777</v>
      </c>
      <c r="AO4291" t="s">
        <v>9778</v>
      </c>
    </row>
    <row r="4292" spans="39:41" ht="12" customHeight="1" x14ac:dyDescent="0.2">
      <c r="AM4292" t="str">
        <f t="shared" si="67"/>
        <v>Escorca [ESCC7]</v>
      </c>
      <c r="AN4292" t="s">
        <v>9779</v>
      </c>
      <c r="AO4292" t="s">
        <v>9780</v>
      </c>
    </row>
    <row r="4293" spans="39:41" ht="12" customHeight="1" x14ac:dyDescent="0.2">
      <c r="AM4293" t="str">
        <f t="shared" si="67"/>
        <v>Escravos [NGESC]</v>
      </c>
      <c r="AN4293" t="s">
        <v>22937</v>
      </c>
      <c r="AO4293" t="s">
        <v>22938</v>
      </c>
    </row>
    <row r="4294" spans="39:41" ht="12" customHeight="1" x14ac:dyDescent="0.2">
      <c r="AM4294" t="str">
        <f t="shared" si="67"/>
        <v>Escudero [AQESC]</v>
      </c>
      <c r="AN4294" t="s">
        <v>922</v>
      </c>
      <c r="AO4294" t="s">
        <v>923</v>
      </c>
    </row>
    <row r="4295" spans="39:41" ht="12" customHeight="1" x14ac:dyDescent="0.2">
      <c r="AM4295" t="str">
        <f t="shared" si="67"/>
        <v>Eshaness [GBESS]</v>
      </c>
      <c r="AN4295" t="s">
        <v>13110</v>
      </c>
      <c r="AO4295" t="s">
        <v>13111</v>
      </c>
    </row>
    <row r="4296" spans="39:41" ht="12" customHeight="1" x14ac:dyDescent="0.2">
      <c r="AM4296" t="str">
        <f t="shared" si="67"/>
        <v>Eshima [JPESM]</v>
      </c>
      <c r="AN4296" t="s">
        <v>18744</v>
      </c>
      <c r="AO4296" t="s">
        <v>18745</v>
      </c>
    </row>
    <row r="4297" spans="39:41" ht="12" customHeight="1" x14ac:dyDescent="0.2">
      <c r="AM4297" t="str">
        <f t="shared" si="67"/>
        <v>Eskifjordur - hofn [ISESK]</v>
      </c>
      <c r="AN4297" t="s">
        <v>17696</v>
      </c>
      <c r="AO4297" t="s">
        <v>36042</v>
      </c>
    </row>
    <row r="4298" spans="39:41" ht="12" customHeight="1" x14ac:dyDescent="0.2">
      <c r="AM4298" t="str">
        <f t="shared" si="67"/>
        <v>Eskifjordur Apt [ISEFJ]</v>
      </c>
      <c r="AN4298" t="s">
        <v>37001</v>
      </c>
      <c r="AO4298" t="s">
        <v>37002</v>
      </c>
    </row>
    <row r="4299" spans="39:41" ht="12" customHeight="1" x14ac:dyDescent="0.2">
      <c r="AM4299" t="str">
        <f t="shared" si="67"/>
        <v>Eskilstrup [DKEK4]</v>
      </c>
      <c r="AN4299" t="s">
        <v>8675</v>
      </c>
      <c r="AO4299" t="s">
        <v>8676</v>
      </c>
    </row>
    <row r="4300" spans="39:41" ht="12" customHeight="1" x14ac:dyDescent="0.2">
      <c r="AM4300" t="str">
        <f t="shared" si="67"/>
        <v>Eskoriatza [ESEKZ]</v>
      </c>
      <c r="AN4300" t="s">
        <v>9781</v>
      </c>
      <c r="AO4300" t="s">
        <v>9782</v>
      </c>
    </row>
    <row r="4301" spans="39:41" ht="12" customHeight="1" x14ac:dyDescent="0.2">
      <c r="AM4301" t="str">
        <f t="shared" si="67"/>
        <v>Esmeraldas [ECESM]</v>
      </c>
      <c r="AN4301" t="s">
        <v>9087</v>
      </c>
      <c r="AO4301" t="s">
        <v>9088</v>
      </c>
    </row>
    <row r="4302" spans="39:41" ht="12" customHeight="1" x14ac:dyDescent="0.2">
      <c r="AM4302" t="str">
        <f t="shared" si="67"/>
        <v>Esnnad [AEEND]</v>
      </c>
      <c r="AN4302" t="s">
        <v>725</v>
      </c>
      <c r="AO4302" t="s">
        <v>726</v>
      </c>
    </row>
    <row r="4303" spans="39:41" ht="12" customHeight="1" x14ac:dyDescent="0.2">
      <c r="AM4303" t="str">
        <f t="shared" si="67"/>
        <v>Espanola Island [ECESP]</v>
      </c>
      <c r="AN4303" t="s">
        <v>9089</v>
      </c>
      <c r="AO4303" t="s">
        <v>9090</v>
      </c>
    </row>
    <row r="4304" spans="39:41" ht="12" customHeight="1" x14ac:dyDescent="0.2">
      <c r="AM4304" t="str">
        <f t="shared" si="67"/>
        <v>Espenesbogen [NODDY]</v>
      </c>
      <c r="AN4304" t="s">
        <v>24031</v>
      </c>
      <c r="AO4304" t="s">
        <v>24032</v>
      </c>
    </row>
    <row r="4305" spans="39:41" ht="12" customHeight="1" x14ac:dyDescent="0.2">
      <c r="AM4305" t="str">
        <f t="shared" si="67"/>
        <v>Esperance [AUEPR]</v>
      </c>
      <c r="AN4305" t="s">
        <v>1653</v>
      </c>
      <c r="AO4305" t="s">
        <v>1654</v>
      </c>
    </row>
    <row r="4306" spans="39:41" ht="12" customHeight="1" x14ac:dyDescent="0.2">
      <c r="AM4306" t="str">
        <f t="shared" si="67"/>
        <v>Esperanza [AQESP]</v>
      </c>
      <c r="AN4306" t="s">
        <v>924</v>
      </c>
      <c r="AO4306" t="s">
        <v>925</v>
      </c>
    </row>
    <row r="4307" spans="39:41" ht="12" customHeight="1" x14ac:dyDescent="0.2">
      <c r="AM4307" t="str">
        <f t="shared" si="67"/>
        <v>Espevik [NOESP]</v>
      </c>
      <c r="AN4307" t="s">
        <v>24033</v>
      </c>
      <c r="AO4307" t="s">
        <v>24034</v>
      </c>
    </row>
    <row r="4308" spans="39:41" ht="12" customHeight="1" x14ac:dyDescent="0.2">
      <c r="AM4308" t="str">
        <f t="shared" si="67"/>
        <v>Espierres (Spiere) [BESPI]</v>
      </c>
      <c r="AN4308" t="s">
        <v>2435</v>
      </c>
      <c r="AO4308" t="s">
        <v>2436</v>
      </c>
    </row>
    <row r="4309" spans="39:41" ht="12" customHeight="1" x14ac:dyDescent="0.2">
      <c r="AM4309" t="str">
        <f t="shared" si="67"/>
        <v>Espirito Santo FPSO [BRESF]</v>
      </c>
      <c r="AN4309" t="s">
        <v>3300</v>
      </c>
      <c r="AO4309" t="s">
        <v>3301</v>
      </c>
    </row>
    <row r="4310" spans="39:41" ht="12" customHeight="1" x14ac:dyDescent="0.2">
      <c r="AM4310" t="str">
        <f t="shared" si="67"/>
        <v>Espoir [CIESP]</v>
      </c>
      <c r="AN4310" t="s">
        <v>4781</v>
      </c>
      <c r="AO4310" t="s">
        <v>4782</v>
      </c>
    </row>
    <row r="4311" spans="39:41" ht="12" customHeight="1" x14ac:dyDescent="0.2">
      <c r="AM4311" t="str">
        <f t="shared" si="67"/>
        <v>Esquelmes [BEEQM]</v>
      </c>
      <c r="AN4311" t="s">
        <v>2437</v>
      </c>
      <c r="AO4311" t="s">
        <v>2438</v>
      </c>
    </row>
    <row r="4312" spans="39:41" ht="12" customHeight="1" x14ac:dyDescent="0.2">
      <c r="AM4312" t="str">
        <f t="shared" si="67"/>
        <v>Esquimalt [CAESQ]</v>
      </c>
      <c r="AN4312" t="s">
        <v>3830</v>
      </c>
      <c r="AO4312" t="s">
        <v>3831</v>
      </c>
    </row>
    <row r="4313" spans="39:41" ht="12" customHeight="1" x14ac:dyDescent="0.2">
      <c r="AM4313" t="str">
        <f t="shared" si="67"/>
        <v>Essaouira [MAESS]</v>
      </c>
      <c r="AN4313" t="s">
        <v>22038</v>
      </c>
      <c r="AO4313" t="s">
        <v>22039</v>
      </c>
    </row>
    <row r="4314" spans="39:41" ht="12" customHeight="1" x14ac:dyDescent="0.2">
      <c r="AM4314" t="str">
        <f t="shared" si="67"/>
        <v>Essen [DEESS]</v>
      </c>
      <c r="AN4314" t="s">
        <v>7368</v>
      </c>
      <c r="AO4314" t="s">
        <v>7369</v>
      </c>
    </row>
    <row r="4315" spans="39:41" ht="12" customHeight="1" x14ac:dyDescent="0.2">
      <c r="AM4315" t="str">
        <f t="shared" si="67"/>
        <v>Essomes-sur-Marne [FREM2]</v>
      </c>
      <c r="AN4315" t="s">
        <v>11264</v>
      </c>
      <c r="AO4315" t="s">
        <v>11265</v>
      </c>
    </row>
    <row r="4316" spans="39:41" ht="12" customHeight="1" x14ac:dyDescent="0.2">
      <c r="AM4316" t="str">
        <f t="shared" si="67"/>
        <v>Essungo Terminal [AOETN]</v>
      </c>
      <c r="AN4316" t="s">
        <v>847</v>
      </c>
      <c r="AO4316" t="s">
        <v>848</v>
      </c>
    </row>
    <row r="4317" spans="39:41" ht="12" customHeight="1" x14ac:dyDescent="0.2">
      <c r="AM4317" t="str">
        <f t="shared" si="67"/>
        <v>Essvik [SEESS]</v>
      </c>
      <c r="AN4317" t="s">
        <v>27558</v>
      </c>
      <c r="AO4317" t="s">
        <v>27559</v>
      </c>
    </row>
    <row r="4318" spans="39:41" ht="12" customHeight="1" x14ac:dyDescent="0.2">
      <c r="AM4318" t="str">
        <f t="shared" si="67"/>
        <v>Estadilla [ESEDL]</v>
      </c>
      <c r="AN4318" t="s">
        <v>9783</v>
      </c>
      <c r="AO4318" t="s">
        <v>9784</v>
      </c>
    </row>
    <row r="4319" spans="39:41" ht="12" customHeight="1" x14ac:dyDescent="0.2">
      <c r="AM4319" t="str">
        <f t="shared" si="67"/>
        <v>Estaimpuis [BEEMP]</v>
      </c>
      <c r="AN4319" t="s">
        <v>2439</v>
      </c>
      <c r="AO4319" t="s">
        <v>2440</v>
      </c>
    </row>
    <row r="4320" spans="39:41" ht="12" customHeight="1" x14ac:dyDescent="0.2">
      <c r="AM4320" t="str">
        <f t="shared" si="67"/>
        <v>Estaires [FREXS]</v>
      </c>
      <c r="AN4320" t="s">
        <v>11266</v>
      </c>
      <c r="AO4320" t="s">
        <v>11267</v>
      </c>
    </row>
    <row r="4321" spans="39:41" ht="12" customHeight="1" x14ac:dyDescent="0.2">
      <c r="AM4321" t="str">
        <f t="shared" si="67"/>
        <v>Estero [USESG]</v>
      </c>
      <c r="AN4321" t="s">
        <v>29737</v>
      </c>
      <c r="AO4321" t="s">
        <v>29738</v>
      </c>
    </row>
    <row r="4322" spans="39:41" ht="12" customHeight="1" x14ac:dyDescent="0.2">
      <c r="AM4322" t="str">
        <f t="shared" si="67"/>
        <v>Estillac [FRETL]</v>
      </c>
      <c r="AN4322" t="s">
        <v>36952</v>
      </c>
      <c r="AO4322" t="s">
        <v>36953</v>
      </c>
    </row>
    <row r="4323" spans="39:41" ht="12" customHeight="1" x14ac:dyDescent="0.2">
      <c r="AM4323" t="str">
        <f t="shared" si="67"/>
        <v>Estorf/Weser [DEESF]</v>
      </c>
      <c r="AN4323" t="s">
        <v>7370</v>
      </c>
      <c r="AO4323" t="s">
        <v>7371</v>
      </c>
    </row>
    <row r="4324" spans="39:41" ht="12" customHeight="1" x14ac:dyDescent="0.2">
      <c r="AM4324" t="str">
        <f t="shared" si="67"/>
        <v>Estoril [PTEST]</v>
      </c>
      <c r="AN4324" t="s">
        <v>26497</v>
      </c>
      <c r="AO4324" t="s">
        <v>26498</v>
      </c>
    </row>
    <row r="4325" spans="39:41" ht="12" customHeight="1" x14ac:dyDescent="0.2">
      <c r="AM4325" t="str">
        <f t="shared" si="67"/>
        <v>Estrema [BRESA]</v>
      </c>
      <c r="AN4325" t="s">
        <v>3302</v>
      </c>
      <c r="AO4325" t="s">
        <v>3303</v>
      </c>
    </row>
    <row r="4326" spans="39:41" ht="12" customHeight="1" x14ac:dyDescent="0.2">
      <c r="AM4326" t="str">
        <f t="shared" si="67"/>
        <v>Esztergom [HUEST]</v>
      </c>
      <c r="AN4326" t="s">
        <v>16081</v>
      </c>
      <c r="AO4326" t="s">
        <v>16082</v>
      </c>
    </row>
    <row r="4327" spans="39:41" ht="12" customHeight="1" x14ac:dyDescent="0.2">
      <c r="AM4327" t="str">
        <f t="shared" si="67"/>
        <v>Etajima [JPETA]</v>
      </c>
      <c r="AN4327" t="s">
        <v>18746</v>
      </c>
      <c r="AO4327" t="s">
        <v>18747</v>
      </c>
    </row>
    <row r="4328" spans="39:41" ht="12" customHeight="1" x14ac:dyDescent="0.2">
      <c r="AM4328" t="str">
        <f t="shared" si="67"/>
        <v>Etalans [FRETA]</v>
      </c>
      <c r="AN4328" t="s">
        <v>11268</v>
      </c>
      <c r="AO4328" t="s">
        <v>11269</v>
      </c>
    </row>
    <row r="4329" spans="39:41" ht="12" customHeight="1" x14ac:dyDescent="0.2">
      <c r="AM4329" t="str">
        <f t="shared" si="67"/>
        <v>Etalondes [FRESM]</v>
      </c>
      <c r="AN4329" t="s">
        <v>11270</v>
      </c>
      <c r="AO4329" t="s">
        <v>11271</v>
      </c>
    </row>
    <row r="4330" spans="39:41" ht="12" customHeight="1" x14ac:dyDescent="0.2">
      <c r="AM4330" t="str">
        <f t="shared" si="67"/>
        <v>Etame FPSO [GAETA]</v>
      </c>
      <c r="AN4330" t="s">
        <v>12227</v>
      </c>
      <c r="AO4330" t="s">
        <v>12228</v>
      </c>
    </row>
    <row r="4331" spans="39:41" ht="12" customHeight="1" x14ac:dyDescent="0.2">
      <c r="AM4331" t="str">
        <f t="shared" si="67"/>
        <v>Etang-du-Nord [CAETN]</v>
      </c>
      <c r="AN4331" t="s">
        <v>3832</v>
      </c>
      <c r="AO4331" t="s">
        <v>3833</v>
      </c>
    </row>
    <row r="4332" spans="39:41" ht="12" customHeight="1" x14ac:dyDescent="0.2">
      <c r="AM4332" t="str">
        <f t="shared" si="67"/>
        <v>Eten [PEEEN]</v>
      </c>
      <c r="AN4332" t="s">
        <v>25246</v>
      </c>
      <c r="AO4332" t="s">
        <v>36360</v>
      </c>
    </row>
    <row r="4333" spans="39:41" ht="12" customHeight="1" x14ac:dyDescent="0.2">
      <c r="AM4333" t="str">
        <f t="shared" si="67"/>
        <v>Ethe [BEEET]</v>
      </c>
      <c r="AN4333" t="s">
        <v>2441</v>
      </c>
      <c r="AO4333" t="s">
        <v>35264</v>
      </c>
    </row>
    <row r="4334" spans="39:41" ht="12" customHeight="1" x14ac:dyDescent="0.2">
      <c r="AM4334" t="str">
        <f t="shared" si="67"/>
        <v>Etiolles [FREIO]</v>
      </c>
      <c r="AN4334" t="s">
        <v>11272</v>
      </c>
      <c r="AO4334" t="s">
        <v>11273</v>
      </c>
    </row>
    <row r="4335" spans="39:41" ht="12" customHeight="1" x14ac:dyDescent="0.2">
      <c r="AM4335" t="str">
        <f t="shared" si="67"/>
        <v>Etiwanda [USEFS]</v>
      </c>
      <c r="AN4335" t="s">
        <v>29739</v>
      </c>
      <c r="AO4335" t="s">
        <v>29740</v>
      </c>
    </row>
    <row r="4336" spans="39:41" ht="12" customHeight="1" x14ac:dyDescent="0.2">
      <c r="AM4336" t="str">
        <f t="shared" si="67"/>
        <v>Etna [USE2T]</v>
      </c>
      <c r="AN4336" t="s">
        <v>29741</v>
      </c>
      <c r="AO4336" t="s">
        <v>29742</v>
      </c>
    </row>
    <row r="4337" spans="39:41" ht="12" customHeight="1" x14ac:dyDescent="0.2">
      <c r="AM4337" t="str">
        <f t="shared" si="67"/>
        <v>Etne [NOETN]</v>
      </c>
      <c r="AN4337" t="s">
        <v>24035</v>
      </c>
      <c r="AO4337" t="s">
        <v>24036</v>
      </c>
    </row>
    <row r="4338" spans="39:41" ht="12" customHeight="1" x14ac:dyDescent="0.2">
      <c r="AM4338" t="str">
        <f t="shared" si="67"/>
        <v>Etomo [JPETM]</v>
      </c>
      <c r="AN4338" t="s">
        <v>18748</v>
      </c>
      <c r="AO4338" t="s">
        <v>18749</v>
      </c>
    </row>
    <row r="4339" spans="39:41" ht="12" customHeight="1" x14ac:dyDescent="0.2">
      <c r="AM4339" t="str">
        <f t="shared" si="67"/>
        <v>Etrick Field [GBETT]</v>
      </c>
      <c r="AN4339" t="s">
        <v>13112</v>
      </c>
      <c r="AO4339" t="s">
        <v>13113</v>
      </c>
    </row>
    <row r="4340" spans="39:41" ht="12" customHeight="1" x14ac:dyDescent="0.2">
      <c r="AM4340" t="str">
        <f t="shared" si="67"/>
        <v>Etrigny [FRPF4]</v>
      </c>
      <c r="AN4340" t="s">
        <v>11274</v>
      </c>
      <c r="AO4340" t="s">
        <v>11275</v>
      </c>
    </row>
    <row r="4341" spans="39:41" ht="12" customHeight="1" x14ac:dyDescent="0.2">
      <c r="AM4341" t="str">
        <f t="shared" si="67"/>
        <v>Ettal [DEETY]</v>
      </c>
      <c r="AN4341" t="s">
        <v>7372</v>
      </c>
      <c r="AO4341" t="s">
        <v>7373</v>
      </c>
    </row>
    <row r="4342" spans="39:41" ht="12" customHeight="1" x14ac:dyDescent="0.2">
      <c r="AM4342" t="str">
        <f t="shared" si="67"/>
        <v>Etter [USETT]</v>
      </c>
      <c r="AN4342" t="s">
        <v>29743</v>
      </c>
      <c r="AO4342" t="s">
        <v>29744</v>
      </c>
    </row>
    <row r="4343" spans="39:41" ht="12" customHeight="1" x14ac:dyDescent="0.2">
      <c r="AM4343" t="str">
        <f t="shared" si="67"/>
        <v>Etzikom [CAETZ]</v>
      </c>
      <c r="AN4343" t="s">
        <v>3834</v>
      </c>
      <c r="AO4343" t="s">
        <v>3835</v>
      </c>
    </row>
    <row r="4344" spans="39:41" ht="12" customHeight="1" x14ac:dyDescent="0.2">
      <c r="AM4344" t="str">
        <f t="shared" si="67"/>
        <v>Eudora [USEUD]</v>
      </c>
      <c r="AN4344" t="s">
        <v>29745</v>
      </c>
      <c r="AO4344" t="s">
        <v>29746</v>
      </c>
    </row>
    <row r="4345" spans="39:41" ht="12" customHeight="1" x14ac:dyDescent="0.2">
      <c r="AM4345" t="str">
        <f t="shared" si="67"/>
        <v>Euerfeld [DEXAX]</v>
      </c>
      <c r="AN4345" t="s">
        <v>7374</v>
      </c>
      <c r="AO4345" t="s">
        <v>7375</v>
      </c>
    </row>
    <row r="4346" spans="39:41" ht="12" customHeight="1" x14ac:dyDescent="0.2">
      <c r="AM4346" t="str">
        <f t="shared" ref="AM4346:AM4409" si="68">AO4346 &amp; " [" &amp; AN4346 &amp; "]"</f>
        <v>Euraaminne (Eurajoki) [FIEJO]</v>
      </c>
      <c r="AN4346" t="s">
        <v>10335</v>
      </c>
      <c r="AO4346" t="s">
        <v>35716</v>
      </c>
    </row>
    <row r="4347" spans="39:41" ht="12" customHeight="1" x14ac:dyDescent="0.2">
      <c r="AM4347" t="str">
        <f t="shared" si="68"/>
        <v>Eureka [USEKA]</v>
      </c>
      <c r="AN4347" t="s">
        <v>29747</v>
      </c>
      <c r="AO4347" t="s">
        <v>29748</v>
      </c>
    </row>
    <row r="4348" spans="39:41" ht="12" customHeight="1" x14ac:dyDescent="0.2">
      <c r="AM4348" t="str">
        <f t="shared" si="68"/>
        <v>Europoort [NLEUR]</v>
      </c>
      <c r="AN4348" t="s">
        <v>23181</v>
      </c>
      <c r="AO4348" t="s">
        <v>23182</v>
      </c>
    </row>
    <row r="4349" spans="39:41" ht="12" customHeight="1" x14ac:dyDescent="0.2">
      <c r="AM4349" t="str">
        <f t="shared" si="68"/>
        <v>Eutin [DEEUT]</v>
      </c>
      <c r="AN4349" t="s">
        <v>7376</v>
      </c>
      <c r="AO4349" t="s">
        <v>7377</v>
      </c>
    </row>
    <row r="4350" spans="39:41" ht="12" customHeight="1" x14ac:dyDescent="0.2">
      <c r="AM4350" t="str">
        <f t="shared" si="68"/>
        <v>Evans Landing [AUEVL]</v>
      </c>
      <c r="AN4350" t="s">
        <v>1655</v>
      </c>
      <c r="AO4350" t="s">
        <v>1656</v>
      </c>
    </row>
    <row r="4351" spans="39:41" ht="12" customHeight="1" x14ac:dyDescent="0.2">
      <c r="AM4351" t="str">
        <f t="shared" si="68"/>
        <v>Evansville [USEVV]</v>
      </c>
      <c r="AN4351" t="s">
        <v>29749</v>
      </c>
      <c r="AO4351" t="s">
        <v>29750</v>
      </c>
    </row>
    <row r="4352" spans="39:41" ht="12" customHeight="1" x14ac:dyDescent="0.2">
      <c r="AM4352" t="str">
        <f t="shared" si="68"/>
        <v>Evanton [GBEVT]</v>
      </c>
      <c r="AN4352" t="s">
        <v>13114</v>
      </c>
      <c r="AO4352" t="s">
        <v>13115</v>
      </c>
    </row>
    <row r="4353" spans="39:41" ht="12" customHeight="1" x14ac:dyDescent="0.2">
      <c r="AM4353" t="str">
        <f t="shared" si="68"/>
        <v>Evendale [USEV7]</v>
      </c>
      <c r="AN4353" t="s">
        <v>29751</v>
      </c>
      <c r="AO4353" t="s">
        <v>29752</v>
      </c>
    </row>
    <row r="4354" spans="39:41" ht="12" customHeight="1" x14ac:dyDescent="0.2">
      <c r="AM4354" t="str">
        <f t="shared" si="68"/>
        <v>Evenestangen [NOEVT]</v>
      </c>
      <c r="AN4354" t="s">
        <v>24037</v>
      </c>
      <c r="AO4354" t="s">
        <v>24038</v>
      </c>
    </row>
    <row r="4355" spans="39:41" ht="12" customHeight="1" x14ac:dyDescent="0.2">
      <c r="AM4355" t="str">
        <f t="shared" si="68"/>
        <v>Everett [USPAE]</v>
      </c>
      <c r="AN4355" t="s">
        <v>29753</v>
      </c>
      <c r="AO4355" t="s">
        <v>29754</v>
      </c>
    </row>
    <row r="4356" spans="39:41" ht="12" customHeight="1" x14ac:dyDescent="0.2">
      <c r="AM4356" t="str">
        <f t="shared" si="68"/>
        <v>Evergem [BEEVM]</v>
      </c>
      <c r="AN4356" t="s">
        <v>2442</v>
      </c>
      <c r="AO4356" t="s">
        <v>2443</v>
      </c>
    </row>
    <row r="4357" spans="39:41" ht="12" customHeight="1" x14ac:dyDescent="0.2">
      <c r="AM4357" t="str">
        <f t="shared" si="68"/>
        <v>Everingen [NLANK]</v>
      </c>
      <c r="AN4357" t="s">
        <v>23183</v>
      </c>
      <c r="AO4357" t="s">
        <v>23184</v>
      </c>
    </row>
    <row r="4358" spans="39:41" ht="12" customHeight="1" x14ac:dyDescent="0.2">
      <c r="AM4358" t="str">
        <f t="shared" si="68"/>
        <v>Everton [GYEVR]</v>
      </c>
      <c r="AN4358" t="s">
        <v>15635</v>
      </c>
      <c r="AO4358" t="s">
        <v>15636</v>
      </c>
    </row>
    <row r="4359" spans="39:41" ht="12" customHeight="1" x14ac:dyDescent="0.2">
      <c r="AM4359" t="str">
        <f t="shared" si="68"/>
        <v>Evry [FREVR]</v>
      </c>
      <c r="AN4359" t="s">
        <v>11276</v>
      </c>
      <c r="AO4359" t="s">
        <v>11277</v>
      </c>
    </row>
    <row r="4360" spans="39:41" ht="12" customHeight="1" x14ac:dyDescent="0.2">
      <c r="AM4360" t="str">
        <f t="shared" si="68"/>
        <v>Evyap Port /Kocaeli [TREYP]</v>
      </c>
      <c r="AN4360" t="s">
        <v>28461</v>
      </c>
      <c r="AO4360" t="s">
        <v>28462</v>
      </c>
    </row>
    <row r="4361" spans="39:41" ht="12" customHeight="1" x14ac:dyDescent="0.2">
      <c r="AM4361" t="str">
        <f t="shared" si="68"/>
        <v>Ewijk [NLEWK]</v>
      </c>
      <c r="AN4361" t="s">
        <v>23185</v>
      </c>
      <c r="AO4361" t="s">
        <v>23186</v>
      </c>
    </row>
    <row r="4362" spans="39:41" ht="12" customHeight="1" x14ac:dyDescent="0.2">
      <c r="AM4362" t="str">
        <f t="shared" si="68"/>
        <v>Ewing [USQEI]</v>
      </c>
      <c r="AN4362" t="s">
        <v>29755</v>
      </c>
      <c r="AO4362" t="s">
        <v>29756</v>
      </c>
    </row>
    <row r="4363" spans="39:41" ht="12" customHeight="1" x14ac:dyDescent="0.2">
      <c r="AM4363" t="str">
        <f t="shared" si="68"/>
        <v>Excelsior Springs [USZEO]</v>
      </c>
      <c r="AN4363" t="s">
        <v>29757</v>
      </c>
      <c r="AO4363" t="s">
        <v>29758</v>
      </c>
    </row>
    <row r="4364" spans="39:41" ht="12" customHeight="1" x14ac:dyDescent="0.2">
      <c r="AM4364" t="str">
        <f t="shared" si="68"/>
        <v>Exeter [GBEXE]</v>
      </c>
      <c r="AN4364" t="s">
        <v>13116</v>
      </c>
      <c r="AO4364" t="s">
        <v>13117</v>
      </c>
    </row>
    <row r="4365" spans="39:41" ht="12" customHeight="1" x14ac:dyDescent="0.2">
      <c r="AM4365" t="str">
        <f t="shared" si="68"/>
        <v>Exmorrazijl [NLEXZ]</v>
      </c>
      <c r="AN4365" t="s">
        <v>23187</v>
      </c>
      <c r="AO4365" t="s">
        <v>23188</v>
      </c>
    </row>
    <row r="4366" spans="39:41" ht="12" customHeight="1" x14ac:dyDescent="0.2">
      <c r="AM4366" t="str">
        <f t="shared" si="68"/>
        <v>Exmouth [AUPEX]</v>
      </c>
      <c r="AN4366" t="s">
        <v>1657</v>
      </c>
      <c r="AO4366" t="s">
        <v>1658</v>
      </c>
    </row>
    <row r="4367" spans="39:41" ht="12" customHeight="1" x14ac:dyDescent="0.2">
      <c r="AM4367" t="str">
        <f t="shared" si="68"/>
        <v>Exmouth [GBEXM]</v>
      </c>
      <c r="AN4367" t="s">
        <v>13118</v>
      </c>
      <c r="AO4367" t="s">
        <v>1658</v>
      </c>
    </row>
    <row r="4368" spans="39:41" ht="12" customHeight="1" x14ac:dyDescent="0.2">
      <c r="AM4368" t="str">
        <f t="shared" si="68"/>
        <v>Exmouth Gulf [AUEXM]</v>
      </c>
      <c r="AN4368" t="s">
        <v>1659</v>
      </c>
      <c r="AO4368" t="s">
        <v>1660</v>
      </c>
    </row>
    <row r="4369" spans="39:41" ht="12" customHeight="1" x14ac:dyDescent="0.2">
      <c r="AM4369" t="str">
        <f t="shared" si="68"/>
        <v>Exspan [IDEXS]</v>
      </c>
      <c r="AN4369" t="s">
        <v>16259</v>
      </c>
      <c r="AO4369" t="s">
        <v>16260</v>
      </c>
    </row>
    <row r="4370" spans="39:41" ht="12" customHeight="1" x14ac:dyDescent="0.2">
      <c r="AM4370" t="str">
        <f t="shared" si="68"/>
        <v>Eydehavn [NOEYD]</v>
      </c>
      <c r="AN4370" t="s">
        <v>24039</v>
      </c>
      <c r="AO4370" t="s">
        <v>24040</v>
      </c>
    </row>
    <row r="4371" spans="39:41" ht="12" customHeight="1" x14ac:dyDescent="0.2">
      <c r="AM4371" t="str">
        <f t="shared" si="68"/>
        <v>Eydilos [GREYD]</v>
      </c>
      <c r="AN4371" t="s">
        <v>15207</v>
      </c>
      <c r="AO4371" t="s">
        <v>15208</v>
      </c>
    </row>
    <row r="4372" spans="39:41" ht="12" customHeight="1" x14ac:dyDescent="0.2">
      <c r="AM4372" t="str">
        <f t="shared" si="68"/>
        <v>Eyemouth [GBEYM]</v>
      </c>
      <c r="AN4372" t="s">
        <v>13119</v>
      </c>
      <c r="AO4372" t="s">
        <v>13120</v>
      </c>
    </row>
    <row r="4373" spans="39:41" ht="12" customHeight="1" x14ac:dyDescent="0.2">
      <c r="AM4373" t="str">
        <f t="shared" si="68"/>
        <v>Eyrein [FREYZ]</v>
      </c>
      <c r="AN4373" t="s">
        <v>11278</v>
      </c>
      <c r="AO4373" t="s">
        <v>11279</v>
      </c>
    </row>
    <row r="4374" spans="39:41" ht="12" customHeight="1" x14ac:dyDescent="0.2">
      <c r="AM4374" t="str">
        <f t="shared" si="68"/>
        <v>Ezaki [JPEZA]</v>
      </c>
      <c r="AN4374" t="s">
        <v>18750</v>
      </c>
      <c r="AO4374" t="s">
        <v>18751</v>
      </c>
    </row>
    <row r="4375" spans="39:41" ht="12" customHeight="1" x14ac:dyDescent="0.2">
      <c r="AM4375" t="str">
        <f t="shared" si="68"/>
        <v>Ezcaray [ESEZC]</v>
      </c>
      <c r="AN4375" t="s">
        <v>9785</v>
      </c>
      <c r="AO4375" t="s">
        <v>9786</v>
      </c>
    </row>
    <row r="4376" spans="39:41" ht="12" customHeight="1" x14ac:dyDescent="0.2">
      <c r="AM4376" t="str">
        <f t="shared" si="68"/>
        <v>Ezhou [CNEZH]</v>
      </c>
      <c r="AN4376" t="s">
        <v>5286</v>
      </c>
      <c r="AO4376" t="s">
        <v>5287</v>
      </c>
    </row>
    <row r="4377" spans="39:41" ht="12" customHeight="1" x14ac:dyDescent="0.2">
      <c r="AM4377" t="str">
        <f t="shared" si="68"/>
        <v>Faaborg [DKFAA]</v>
      </c>
      <c r="AN4377" t="s">
        <v>8677</v>
      </c>
      <c r="AO4377" t="s">
        <v>8678</v>
      </c>
    </row>
    <row r="4378" spans="39:41" ht="12" customHeight="1" x14ac:dyDescent="0.2">
      <c r="AM4378" t="str">
        <f t="shared" si="68"/>
        <v>Fagerstrand [NOFAX]</v>
      </c>
      <c r="AN4378" t="s">
        <v>24041</v>
      </c>
      <c r="AO4378" t="s">
        <v>24042</v>
      </c>
    </row>
    <row r="4379" spans="39:41" ht="12" customHeight="1" x14ac:dyDescent="0.2">
      <c r="AM4379" t="str">
        <f t="shared" si="68"/>
        <v>Fagervik [SEFAK]</v>
      </c>
      <c r="AN4379" t="s">
        <v>27560</v>
      </c>
      <c r="AO4379" t="s">
        <v>27561</v>
      </c>
    </row>
    <row r="4380" spans="39:41" ht="12" customHeight="1" x14ac:dyDescent="0.2">
      <c r="AM4380" t="str">
        <f t="shared" si="68"/>
        <v>Fahal [OMFAH]</v>
      </c>
      <c r="AN4380" t="s">
        <v>25145</v>
      </c>
      <c r="AO4380" t="s">
        <v>25146</v>
      </c>
    </row>
    <row r="4381" spans="39:41" ht="12" customHeight="1" x14ac:dyDescent="0.2">
      <c r="AM4381" t="str">
        <f t="shared" si="68"/>
        <v>Fa'id [EGFAD]</v>
      </c>
      <c r="AN4381" t="s">
        <v>9476</v>
      </c>
      <c r="AO4381" t="s">
        <v>9477</v>
      </c>
    </row>
    <row r="4382" spans="39:41" ht="12" customHeight="1" x14ac:dyDescent="0.2">
      <c r="AM4382" t="str">
        <f t="shared" si="68"/>
        <v>Fair Haven [USFH2]</v>
      </c>
      <c r="AN4382" t="s">
        <v>29759</v>
      </c>
      <c r="AO4382" t="s">
        <v>29760</v>
      </c>
    </row>
    <row r="4383" spans="39:41" ht="12" customHeight="1" x14ac:dyDescent="0.2">
      <c r="AM4383" t="str">
        <f t="shared" si="68"/>
        <v>Fair Play [USFPL]</v>
      </c>
      <c r="AN4383" t="s">
        <v>29761</v>
      </c>
      <c r="AO4383" t="s">
        <v>29762</v>
      </c>
    </row>
    <row r="4384" spans="39:41" ht="12" customHeight="1" x14ac:dyDescent="0.2">
      <c r="AM4384" t="str">
        <f t="shared" si="68"/>
        <v>Fairbanks [USFAI]</v>
      </c>
      <c r="AN4384" t="s">
        <v>29763</v>
      </c>
      <c r="AO4384" t="s">
        <v>29764</v>
      </c>
    </row>
    <row r="4385" spans="39:41" ht="12" customHeight="1" x14ac:dyDescent="0.2">
      <c r="AM4385" t="str">
        <f t="shared" si="68"/>
        <v>Fairfield [USFGX]</v>
      </c>
      <c r="AN4385" t="s">
        <v>29765</v>
      </c>
      <c r="AO4385" t="s">
        <v>29766</v>
      </c>
    </row>
    <row r="4386" spans="39:41" ht="12" customHeight="1" x14ac:dyDescent="0.2">
      <c r="AM4386" t="str">
        <f t="shared" si="68"/>
        <v>Fairfield [USFDF]</v>
      </c>
      <c r="AN4386" t="s">
        <v>29767</v>
      </c>
      <c r="AO4386" t="s">
        <v>29766</v>
      </c>
    </row>
    <row r="4387" spans="39:41" ht="12" customHeight="1" x14ac:dyDescent="0.2">
      <c r="AM4387" t="str">
        <f t="shared" si="68"/>
        <v>Fairisle [GBFAI]</v>
      </c>
      <c r="AN4387" t="s">
        <v>13121</v>
      </c>
      <c r="AO4387" t="s">
        <v>13122</v>
      </c>
    </row>
    <row r="4388" spans="39:41" ht="12" customHeight="1" x14ac:dyDescent="0.2">
      <c r="AM4388" t="str">
        <f t="shared" si="68"/>
        <v>Fairless Hills [USFAH]</v>
      </c>
      <c r="AN4388" t="s">
        <v>37188</v>
      </c>
      <c r="AO4388" t="s">
        <v>37189</v>
      </c>
    </row>
    <row r="4389" spans="39:41" ht="12" customHeight="1" x14ac:dyDescent="0.2">
      <c r="AM4389" t="str">
        <f t="shared" si="68"/>
        <v>Fairlie [GBFEE]</v>
      </c>
      <c r="AN4389" t="s">
        <v>13123</v>
      </c>
      <c r="AO4389" t="s">
        <v>13124</v>
      </c>
    </row>
    <row r="4390" spans="39:41" ht="12" customHeight="1" x14ac:dyDescent="0.2">
      <c r="AM4390" t="str">
        <f t="shared" si="68"/>
        <v>Fairmont City [USQFY]</v>
      </c>
      <c r="AN4390" t="s">
        <v>29768</v>
      </c>
      <c r="AO4390" t="s">
        <v>29769</v>
      </c>
    </row>
    <row r="4391" spans="39:41" ht="12" customHeight="1" x14ac:dyDescent="0.2">
      <c r="AM4391" t="str">
        <f t="shared" si="68"/>
        <v>Fairmont City [USQFC]</v>
      </c>
      <c r="AN4391" t="s">
        <v>29770</v>
      </c>
      <c r="AO4391" t="s">
        <v>29769</v>
      </c>
    </row>
    <row r="4392" spans="39:41" ht="12" customHeight="1" x14ac:dyDescent="0.2">
      <c r="AM4392" t="str">
        <f t="shared" si="68"/>
        <v>Fairmont, Will [USFMW]</v>
      </c>
      <c r="AN4392" t="s">
        <v>29771</v>
      </c>
      <c r="AO4392" t="s">
        <v>29772</v>
      </c>
    </row>
    <row r="4393" spans="39:41" ht="12" customHeight="1" x14ac:dyDescent="0.2">
      <c r="AM4393" t="str">
        <f t="shared" si="68"/>
        <v>Fairmount [USFMU]</v>
      </c>
      <c r="AN4393" t="s">
        <v>29773</v>
      </c>
      <c r="AO4393" t="s">
        <v>29774</v>
      </c>
    </row>
    <row r="4394" spans="39:41" ht="12" customHeight="1" x14ac:dyDescent="0.2">
      <c r="AM4394" t="str">
        <f t="shared" si="68"/>
        <v>Fairport Harbor Village [USFPT]</v>
      </c>
      <c r="AN4394" t="s">
        <v>29775</v>
      </c>
      <c r="AO4394" t="s">
        <v>29776</v>
      </c>
    </row>
    <row r="4395" spans="39:41" ht="12" customHeight="1" x14ac:dyDescent="0.2">
      <c r="AM4395" t="str">
        <f t="shared" si="68"/>
        <v>Fairton [USNJF]</v>
      </c>
      <c r="AN4395" t="s">
        <v>29777</v>
      </c>
      <c r="AO4395" t="s">
        <v>29778</v>
      </c>
    </row>
    <row r="4396" spans="39:41" ht="12" customHeight="1" x14ac:dyDescent="0.2">
      <c r="AM4396" t="str">
        <f t="shared" si="68"/>
        <v>Fairview [USTX3]</v>
      </c>
      <c r="AN4396" t="s">
        <v>29779</v>
      </c>
      <c r="AO4396" t="s">
        <v>29780</v>
      </c>
    </row>
    <row r="4397" spans="39:41" ht="12" customHeight="1" x14ac:dyDescent="0.2">
      <c r="AM4397" t="str">
        <f t="shared" si="68"/>
        <v>Fairview Park [USFVP]</v>
      </c>
      <c r="AN4397" t="s">
        <v>29781</v>
      </c>
      <c r="AO4397" t="s">
        <v>29782</v>
      </c>
    </row>
    <row r="4398" spans="39:41" ht="12" customHeight="1" x14ac:dyDescent="0.2">
      <c r="AM4398" t="str">
        <f t="shared" si="68"/>
        <v>Faisi [FMFSI]</v>
      </c>
      <c r="AN4398" t="s">
        <v>10645</v>
      </c>
      <c r="AO4398" t="s">
        <v>10646</v>
      </c>
    </row>
    <row r="4399" spans="39:41" ht="12" customHeight="1" x14ac:dyDescent="0.2">
      <c r="AM4399" t="str">
        <f t="shared" si="68"/>
        <v>Faistenau [ATFSU]</v>
      </c>
      <c r="AN4399" t="s">
        <v>1200</v>
      </c>
      <c r="AO4399" t="s">
        <v>1201</v>
      </c>
    </row>
    <row r="4400" spans="39:41" ht="12" customHeight="1" x14ac:dyDescent="0.2">
      <c r="AM4400" t="str">
        <f t="shared" si="68"/>
        <v>Fak Fak, Irian Jaya [IDFKQ]</v>
      </c>
      <c r="AN4400" t="s">
        <v>16261</v>
      </c>
      <c r="AO4400" t="s">
        <v>16262</v>
      </c>
    </row>
    <row r="4401" spans="39:41" ht="12" customHeight="1" x14ac:dyDescent="0.2">
      <c r="AM4401" t="str">
        <f t="shared" si="68"/>
        <v>Fakaofo [TKFKO]</v>
      </c>
      <c r="AN4401" t="s">
        <v>28306</v>
      </c>
      <c r="AO4401" t="s">
        <v>28307</v>
      </c>
    </row>
    <row r="4402" spans="39:41" ht="12" customHeight="1" x14ac:dyDescent="0.2">
      <c r="AM4402" t="str">
        <f t="shared" si="68"/>
        <v>Fakse Ladeplads Havn [DKFAK]</v>
      </c>
      <c r="AN4402" t="s">
        <v>8679</v>
      </c>
      <c r="AO4402" t="s">
        <v>8680</v>
      </c>
    </row>
    <row r="4403" spans="39:41" ht="12" customHeight="1" x14ac:dyDescent="0.2">
      <c r="AM4403" t="str">
        <f t="shared" si="68"/>
        <v>Falconara [ITFAL]</v>
      </c>
      <c r="AN4403" t="s">
        <v>17923</v>
      </c>
      <c r="AO4403" t="s">
        <v>17924</v>
      </c>
    </row>
    <row r="4404" spans="39:41" ht="12" customHeight="1" x14ac:dyDescent="0.2">
      <c r="AM4404" t="str">
        <f t="shared" si="68"/>
        <v>Falkenberg [DEFBR]</v>
      </c>
      <c r="AN4404" t="s">
        <v>7378</v>
      </c>
      <c r="AO4404" t="s">
        <v>7379</v>
      </c>
    </row>
    <row r="4405" spans="39:41" ht="12" customHeight="1" x14ac:dyDescent="0.2">
      <c r="AM4405" t="str">
        <f t="shared" si="68"/>
        <v>Falkenberg [SEFAG]</v>
      </c>
      <c r="AN4405" t="s">
        <v>27562</v>
      </c>
      <c r="AO4405" t="s">
        <v>7379</v>
      </c>
    </row>
    <row r="4406" spans="39:41" ht="12" customHeight="1" x14ac:dyDescent="0.2">
      <c r="AM4406" t="str">
        <f t="shared" si="68"/>
        <v>Falkenstein [ATLKN]</v>
      </c>
      <c r="AN4406" t="s">
        <v>1202</v>
      </c>
      <c r="AO4406" t="s">
        <v>1203</v>
      </c>
    </row>
    <row r="4407" spans="39:41" ht="12" customHeight="1" x14ac:dyDescent="0.2">
      <c r="AM4407" t="str">
        <f t="shared" si="68"/>
        <v>Falkoping [SEFKG]</v>
      </c>
      <c r="AN4407" t="s">
        <v>27563</v>
      </c>
      <c r="AO4407" t="s">
        <v>36435</v>
      </c>
    </row>
    <row r="4408" spans="39:41" ht="12" customHeight="1" x14ac:dyDescent="0.2">
      <c r="AM4408" t="str">
        <f t="shared" si="68"/>
        <v>Fall River [CAFLR]</v>
      </c>
      <c r="AN4408" t="s">
        <v>3836</v>
      </c>
      <c r="AO4408" t="s">
        <v>3837</v>
      </c>
    </row>
    <row r="4409" spans="39:41" ht="12" customHeight="1" x14ac:dyDescent="0.2">
      <c r="AM4409" t="str">
        <f t="shared" si="68"/>
        <v>Fall River-New Bedford Apt [USEWB]</v>
      </c>
      <c r="AN4409" t="s">
        <v>29783</v>
      </c>
      <c r="AO4409" t="s">
        <v>29784</v>
      </c>
    </row>
    <row r="4410" spans="39:41" ht="12" customHeight="1" x14ac:dyDescent="0.2">
      <c r="AM4410" t="str">
        <f t="shared" ref="AM4410:AM4473" si="69">AO4410 &amp; " [" &amp; AN4410 &amp; "]"</f>
        <v>Falls City [USFSY]</v>
      </c>
      <c r="AN4410" t="s">
        <v>29785</v>
      </c>
      <c r="AO4410" t="s">
        <v>29786</v>
      </c>
    </row>
    <row r="4411" spans="39:41" ht="12" customHeight="1" x14ac:dyDescent="0.2">
      <c r="AM4411" t="str">
        <f t="shared" si="69"/>
        <v>Falmouth [AGFAM]</v>
      </c>
      <c r="AN4411" t="s">
        <v>798</v>
      </c>
      <c r="AO4411" t="s">
        <v>799</v>
      </c>
    </row>
    <row r="4412" spans="39:41" ht="12" customHeight="1" x14ac:dyDescent="0.2">
      <c r="AM4412" t="str">
        <f t="shared" si="69"/>
        <v>Falmouth [GBFAL]</v>
      </c>
      <c r="AN4412" t="s">
        <v>13125</v>
      </c>
      <c r="AO4412" t="s">
        <v>799</v>
      </c>
    </row>
    <row r="4413" spans="39:41" ht="12" customHeight="1" x14ac:dyDescent="0.2">
      <c r="AM4413" t="str">
        <f t="shared" si="69"/>
        <v>Falmouth [JMFMH]</v>
      </c>
      <c r="AN4413" t="s">
        <v>18428</v>
      </c>
      <c r="AO4413" t="s">
        <v>799</v>
      </c>
    </row>
    <row r="4414" spans="39:41" ht="12" customHeight="1" x14ac:dyDescent="0.2">
      <c r="AM4414" t="str">
        <f t="shared" si="69"/>
        <v>Falomo [NGFLM]</v>
      </c>
      <c r="AN4414" t="s">
        <v>22939</v>
      </c>
      <c r="AO4414" t="s">
        <v>22940</v>
      </c>
    </row>
    <row r="4415" spans="39:41" ht="12" customHeight="1" x14ac:dyDescent="0.2">
      <c r="AM4415" t="str">
        <f t="shared" si="69"/>
        <v>Falsterbo [SEFSB]</v>
      </c>
      <c r="AN4415" t="s">
        <v>27564</v>
      </c>
      <c r="AO4415" t="s">
        <v>27565</v>
      </c>
    </row>
    <row r="4416" spans="39:41" ht="12" customHeight="1" x14ac:dyDescent="0.2">
      <c r="AM4416" t="str">
        <f t="shared" si="69"/>
        <v>Famagusta [CYFMG]</v>
      </c>
      <c r="AN4416" t="s">
        <v>6759</v>
      </c>
      <c r="AO4416" t="s">
        <v>6760</v>
      </c>
    </row>
    <row r="4417" spans="39:41" ht="12" customHeight="1" x14ac:dyDescent="0.2">
      <c r="AM4417" t="str">
        <f t="shared" si="69"/>
        <v>Fanara [EGFAN]</v>
      </c>
      <c r="AN4417" t="s">
        <v>9478</v>
      </c>
      <c r="AO4417" t="s">
        <v>9479</v>
      </c>
    </row>
    <row r="4418" spans="39:41" ht="12" customHeight="1" x14ac:dyDescent="0.2">
      <c r="AM4418" t="str">
        <f t="shared" si="69"/>
        <v>Faneromeni Salaminas [GRFNR]</v>
      </c>
      <c r="AN4418" t="s">
        <v>15209</v>
      </c>
      <c r="AO4418" t="s">
        <v>15210</v>
      </c>
    </row>
    <row r="4419" spans="39:41" ht="12" customHeight="1" x14ac:dyDescent="0.2">
      <c r="AM4419" t="str">
        <f t="shared" si="69"/>
        <v>Fangcheng Pt [CNFAN]</v>
      </c>
      <c r="AN4419" t="s">
        <v>5288</v>
      </c>
      <c r="AO4419" t="s">
        <v>5289</v>
      </c>
    </row>
    <row r="4420" spans="39:41" ht="12" customHeight="1" x14ac:dyDescent="0.2">
      <c r="AM4420" t="str">
        <f t="shared" si="69"/>
        <v>Fanning Islands [KIFIS]</v>
      </c>
      <c r="AN4420" t="s">
        <v>21549</v>
      </c>
      <c r="AO4420" t="s">
        <v>21550</v>
      </c>
    </row>
    <row r="4421" spans="39:41" ht="12" customHeight="1" x14ac:dyDescent="0.2">
      <c r="AM4421" t="str">
        <f t="shared" si="69"/>
        <v>Fano [ITFAO]</v>
      </c>
      <c r="AN4421" t="s">
        <v>17925</v>
      </c>
      <c r="AO4421" t="s">
        <v>17926</v>
      </c>
    </row>
    <row r="4422" spans="39:41" ht="12" customHeight="1" x14ac:dyDescent="0.2">
      <c r="AM4422" t="str">
        <f t="shared" si="69"/>
        <v>Fao [IQFAO]</v>
      </c>
      <c r="AN4422" t="s">
        <v>17560</v>
      </c>
      <c r="AO4422" t="s">
        <v>17561</v>
      </c>
    </row>
    <row r="4423" spans="39:41" ht="12" customHeight="1" x14ac:dyDescent="0.2">
      <c r="AM4423" t="str">
        <f t="shared" si="69"/>
        <v>Fao [PTFAE]</v>
      </c>
      <c r="AN4423" t="s">
        <v>26499</v>
      </c>
      <c r="AO4423" t="s">
        <v>17561</v>
      </c>
    </row>
    <row r="4424" spans="39:41" ht="12" customHeight="1" x14ac:dyDescent="0.2">
      <c r="AM4424" t="str">
        <f t="shared" si="69"/>
        <v>Farafangana [MGRVA]</v>
      </c>
      <c r="AN4424" t="s">
        <v>22118</v>
      </c>
      <c r="AO4424" t="s">
        <v>22119</v>
      </c>
    </row>
    <row r="4425" spans="39:41" ht="12" customHeight="1" x14ac:dyDescent="0.2">
      <c r="AM4425" t="str">
        <f t="shared" si="69"/>
        <v>Farciennes [BEFCS]</v>
      </c>
      <c r="AN4425" t="s">
        <v>2444</v>
      </c>
      <c r="AO4425" t="s">
        <v>2445</v>
      </c>
    </row>
    <row r="4426" spans="39:41" ht="12" customHeight="1" x14ac:dyDescent="0.2">
      <c r="AM4426" t="str">
        <f t="shared" si="69"/>
        <v>Farim [GWFAR]</v>
      </c>
      <c r="AN4426" t="s">
        <v>15629</v>
      </c>
      <c r="AO4426" t="s">
        <v>15630</v>
      </c>
    </row>
    <row r="4427" spans="39:41" ht="12" customHeight="1" x14ac:dyDescent="0.2">
      <c r="AM4427" t="str">
        <f t="shared" si="69"/>
        <v>Farjestaden [SEFAR]</v>
      </c>
      <c r="AN4427" t="s">
        <v>27566</v>
      </c>
      <c r="AO4427" t="s">
        <v>36436</v>
      </c>
    </row>
    <row r="4428" spans="39:41" ht="12" customHeight="1" x14ac:dyDescent="0.2">
      <c r="AM4428" t="str">
        <f t="shared" si="69"/>
        <v>Farjsundet [FIFAR]</v>
      </c>
      <c r="AN4428" t="s">
        <v>10336</v>
      </c>
      <c r="AO4428" t="s">
        <v>35717</v>
      </c>
    </row>
    <row r="4429" spans="39:41" ht="12" customHeight="1" x14ac:dyDescent="0.2">
      <c r="AM4429" t="str">
        <f t="shared" si="69"/>
        <v>Farlington [GBFLT]</v>
      </c>
      <c r="AN4429" t="s">
        <v>13126</v>
      </c>
      <c r="AO4429" t="s">
        <v>13127</v>
      </c>
    </row>
    <row r="4430" spans="39:41" ht="12" customHeight="1" x14ac:dyDescent="0.2">
      <c r="AM4430" t="str">
        <f t="shared" si="69"/>
        <v>Farmakonissi Dodekanissos [GRFAM]</v>
      </c>
      <c r="AN4430" t="s">
        <v>15211</v>
      </c>
      <c r="AO4430" t="s">
        <v>15212</v>
      </c>
    </row>
    <row r="4431" spans="39:41" ht="12" customHeight="1" x14ac:dyDescent="0.2">
      <c r="AM4431" t="str">
        <f t="shared" si="69"/>
        <v>Farmington [USFA3]</v>
      </c>
      <c r="AN4431" t="s">
        <v>29787</v>
      </c>
      <c r="AO4431" t="s">
        <v>29788</v>
      </c>
    </row>
    <row r="4432" spans="39:41" ht="12" customHeight="1" x14ac:dyDescent="0.2">
      <c r="AM4432" t="str">
        <f t="shared" si="69"/>
        <v>Farmington Hill [USQFM]</v>
      </c>
      <c r="AN4432" t="s">
        <v>29789</v>
      </c>
      <c r="AO4432" t="s">
        <v>29790</v>
      </c>
    </row>
    <row r="4433" spans="39:41" ht="12" customHeight="1" x14ac:dyDescent="0.2">
      <c r="AM4433" t="str">
        <f t="shared" si="69"/>
        <v>Farmingville [USFGQ]</v>
      </c>
      <c r="AN4433" t="s">
        <v>29791</v>
      </c>
      <c r="AO4433" t="s">
        <v>29792</v>
      </c>
    </row>
    <row r="4434" spans="39:41" ht="12" customHeight="1" x14ac:dyDescent="0.2">
      <c r="AM4434" t="str">
        <f t="shared" si="69"/>
        <v>Farmsum [NLFAR]</v>
      </c>
      <c r="AN4434" t="s">
        <v>34101</v>
      </c>
      <c r="AO4434" t="s">
        <v>34147</v>
      </c>
    </row>
    <row r="4435" spans="39:41" ht="12" customHeight="1" x14ac:dyDescent="0.2">
      <c r="AM4435" t="str">
        <f t="shared" si="69"/>
        <v>Faro [PTFAO]</v>
      </c>
      <c r="AN4435" t="s">
        <v>26500</v>
      </c>
      <c r="AO4435" t="s">
        <v>26501</v>
      </c>
    </row>
    <row r="4436" spans="39:41" ht="12" customHeight="1" x14ac:dyDescent="0.2">
      <c r="AM4436" t="str">
        <f t="shared" si="69"/>
        <v>Farosund [SEFSD]</v>
      </c>
      <c r="AN4436" t="s">
        <v>27567</v>
      </c>
      <c r="AO4436" t="s">
        <v>36437</v>
      </c>
    </row>
    <row r="4437" spans="39:41" ht="12" customHeight="1" x14ac:dyDescent="0.2">
      <c r="AM4437" t="str">
        <f t="shared" si="69"/>
        <v>Farsund [NOFAN]</v>
      </c>
      <c r="AN4437" t="s">
        <v>24043</v>
      </c>
      <c r="AO4437" t="s">
        <v>24044</v>
      </c>
    </row>
    <row r="4438" spans="39:41" ht="12" customHeight="1" x14ac:dyDescent="0.2">
      <c r="AM4438" t="str">
        <f t="shared" si="69"/>
        <v>Farta Bay [AOFBY]</v>
      </c>
      <c r="AN4438" t="s">
        <v>849</v>
      </c>
      <c r="AO4438" t="s">
        <v>850</v>
      </c>
    </row>
    <row r="4439" spans="39:41" ht="12" customHeight="1" x14ac:dyDescent="0.2">
      <c r="AM4439" t="str">
        <f t="shared" si="69"/>
        <v>Faskrudsfjordur [ISFAS]</v>
      </c>
      <c r="AN4439" t="s">
        <v>17697</v>
      </c>
      <c r="AO4439" t="s">
        <v>36043</v>
      </c>
    </row>
    <row r="4440" spans="39:41" ht="12" customHeight="1" x14ac:dyDescent="0.2">
      <c r="AM4440" t="str">
        <f t="shared" si="69"/>
        <v>Faslane [GBFAS]</v>
      </c>
      <c r="AN4440" t="s">
        <v>13128</v>
      </c>
      <c r="AO4440" t="s">
        <v>13129</v>
      </c>
    </row>
    <row r="4441" spans="39:41" ht="12" customHeight="1" x14ac:dyDescent="0.2">
      <c r="AM4441" t="str">
        <f t="shared" si="69"/>
        <v>Fateh Terminal [AEFAT]</v>
      </c>
      <c r="AN4441" t="s">
        <v>727</v>
      </c>
      <c r="AO4441" t="s">
        <v>728</v>
      </c>
    </row>
    <row r="4442" spans="39:41" ht="12" customHeight="1" x14ac:dyDescent="0.2">
      <c r="AM4442" t="str">
        <f t="shared" si="69"/>
        <v>Father Point [CAFAP]</v>
      </c>
      <c r="AN4442" t="s">
        <v>3838</v>
      </c>
      <c r="AO4442" t="s">
        <v>3839</v>
      </c>
    </row>
    <row r="4443" spans="39:41" ht="12" customHeight="1" x14ac:dyDescent="0.2">
      <c r="AM4443" t="str">
        <f t="shared" si="69"/>
        <v>Fatsa [TRFAS]</v>
      </c>
      <c r="AN4443" t="s">
        <v>28463</v>
      </c>
      <c r="AO4443" t="s">
        <v>28464</v>
      </c>
    </row>
    <row r="4444" spans="39:41" ht="12" customHeight="1" x14ac:dyDescent="0.2">
      <c r="AM4444" t="str">
        <f t="shared" si="69"/>
        <v>Fatu Hiva [PFFAT]</v>
      </c>
      <c r="AN4444" t="s">
        <v>25322</v>
      </c>
      <c r="AO4444" t="s">
        <v>25323</v>
      </c>
    </row>
    <row r="4445" spans="39:41" ht="12" customHeight="1" x14ac:dyDescent="0.2">
      <c r="AM4445" t="str">
        <f t="shared" si="69"/>
        <v>Fauske [NOFAU]</v>
      </c>
      <c r="AN4445" t="s">
        <v>24045</v>
      </c>
      <c r="AO4445" t="s">
        <v>24046</v>
      </c>
    </row>
    <row r="4446" spans="39:41" ht="12" customHeight="1" x14ac:dyDescent="0.2">
      <c r="AM4446" t="str">
        <f t="shared" si="69"/>
        <v>Faversham [GBFAV]</v>
      </c>
      <c r="AN4446" t="s">
        <v>13130</v>
      </c>
      <c r="AO4446" t="s">
        <v>13131</v>
      </c>
    </row>
    <row r="4447" spans="39:41" ht="12" customHeight="1" x14ac:dyDescent="0.2">
      <c r="AM4447" t="str">
        <f t="shared" si="69"/>
        <v>Favignana [ITFAV]</v>
      </c>
      <c r="AN4447" t="s">
        <v>17927</v>
      </c>
      <c r="AO4447" t="s">
        <v>17928</v>
      </c>
    </row>
    <row r="4448" spans="39:41" ht="12" customHeight="1" x14ac:dyDescent="0.2">
      <c r="AM4448" t="str">
        <f t="shared" si="69"/>
        <v>Fawley [GBFAW]</v>
      </c>
      <c r="AN4448" t="s">
        <v>13132</v>
      </c>
      <c r="AO4448" t="s">
        <v>13133</v>
      </c>
    </row>
    <row r="4449" spans="39:41" ht="12" customHeight="1" x14ac:dyDescent="0.2">
      <c r="AM4449" t="str">
        <f t="shared" si="69"/>
        <v>Fawnskin [USF2S]</v>
      </c>
      <c r="AN4449" t="s">
        <v>29793</v>
      </c>
      <c r="AO4449" t="s">
        <v>29794</v>
      </c>
    </row>
    <row r="4450" spans="39:41" ht="12" customHeight="1" x14ac:dyDescent="0.2">
      <c r="AM4450" t="str">
        <f t="shared" si="69"/>
        <v>Fazana [HRFNA]</v>
      </c>
      <c r="AN4450" t="s">
        <v>15742</v>
      </c>
      <c r="AO4450" t="s">
        <v>15743</v>
      </c>
    </row>
    <row r="4451" spans="39:41" ht="12" customHeight="1" x14ac:dyDescent="0.2">
      <c r="AM4451" t="str">
        <f t="shared" si="69"/>
        <v>Fecamp [FRFEC]</v>
      </c>
      <c r="AN4451" t="s">
        <v>11280</v>
      </c>
      <c r="AO4451" t="s">
        <v>35800</v>
      </c>
    </row>
    <row r="4452" spans="39:41" ht="12" customHeight="1" x14ac:dyDescent="0.2">
      <c r="AM4452" t="str">
        <f t="shared" si="69"/>
        <v>Fedje [NOFED]</v>
      </c>
      <c r="AN4452" t="s">
        <v>24047</v>
      </c>
      <c r="AO4452" t="s">
        <v>24048</v>
      </c>
    </row>
    <row r="4453" spans="39:41" ht="12" customHeight="1" x14ac:dyDescent="0.2">
      <c r="AM4453" t="str">
        <f t="shared" si="69"/>
        <v>Feggesund [DKFGS]</v>
      </c>
      <c r="AN4453" t="s">
        <v>8681</v>
      </c>
      <c r="AO4453" t="s">
        <v>8682</v>
      </c>
    </row>
    <row r="4454" spans="39:41" ht="12" customHeight="1" x14ac:dyDescent="0.2">
      <c r="AM4454" t="str">
        <f t="shared" si="69"/>
        <v>Fehring [ATFHR]</v>
      </c>
      <c r="AN4454" t="s">
        <v>1204</v>
      </c>
      <c r="AO4454" t="s">
        <v>1205</v>
      </c>
    </row>
    <row r="4455" spans="39:41" ht="12" customHeight="1" x14ac:dyDescent="0.2">
      <c r="AM4455" t="str">
        <f t="shared" si="69"/>
        <v>Fejo [DKFEJ]</v>
      </c>
      <c r="AN4455" t="s">
        <v>8683</v>
      </c>
      <c r="AO4455" t="s">
        <v>35533</v>
      </c>
    </row>
    <row r="4456" spans="39:41" ht="12" customHeight="1" x14ac:dyDescent="0.2">
      <c r="AM4456" t="str">
        <f t="shared" si="69"/>
        <v>Felbrigg [GBFEI]</v>
      </c>
      <c r="AN4456" t="s">
        <v>13134</v>
      </c>
      <c r="AO4456" t="s">
        <v>13135</v>
      </c>
    </row>
    <row r="4457" spans="39:41" ht="12" customHeight="1" x14ac:dyDescent="0.2">
      <c r="AM4457" t="str">
        <f t="shared" si="69"/>
        <v>Felda [USFA2]</v>
      </c>
      <c r="AN4457" t="s">
        <v>29795</v>
      </c>
      <c r="AO4457" t="s">
        <v>29796</v>
      </c>
    </row>
    <row r="4458" spans="39:41" ht="12" customHeight="1" x14ac:dyDescent="0.2">
      <c r="AM4458" t="str">
        <f t="shared" si="69"/>
        <v>Feldmeilen [CHFEM]</v>
      </c>
      <c r="AN4458" t="s">
        <v>4689</v>
      </c>
      <c r="AO4458" t="s">
        <v>4690</v>
      </c>
    </row>
    <row r="4459" spans="39:41" ht="12" customHeight="1" x14ac:dyDescent="0.2">
      <c r="AM4459" t="str">
        <f t="shared" si="69"/>
        <v>Felixstowe [GBFXT]</v>
      </c>
      <c r="AN4459" t="s">
        <v>13136</v>
      </c>
      <c r="AO4459" t="s">
        <v>13137</v>
      </c>
    </row>
    <row r="4460" spans="39:41" ht="12" customHeight="1" x14ac:dyDescent="0.2">
      <c r="AM4460" t="str">
        <f t="shared" si="69"/>
        <v>Fellheim [DEFHM]</v>
      </c>
      <c r="AN4460" t="s">
        <v>7380</v>
      </c>
      <c r="AO4460" t="s">
        <v>7381</v>
      </c>
    </row>
    <row r="4461" spans="39:41" ht="12" customHeight="1" x14ac:dyDescent="0.2">
      <c r="AM4461" t="str">
        <f t="shared" si="69"/>
        <v>Fellsmere [USFEL]</v>
      </c>
      <c r="AN4461" t="s">
        <v>29797</v>
      </c>
      <c r="AO4461" t="s">
        <v>29798</v>
      </c>
    </row>
    <row r="4462" spans="39:41" ht="12" customHeight="1" x14ac:dyDescent="0.2">
      <c r="AM4462" t="str">
        <f t="shared" si="69"/>
        <v>Feluy [BEFEY]</v>
      </c>
      <c r="AN4462" t="s">
        <v>2446</v>
      </c>
      <c r="AO4462" t="s">
        <v>2447</v>
      </c>
    </row>
    <row r="4463" spans="39:41" ht="12" customHeight="1" x14ac:dyDescent="0.2">
      <c r="AM4463" t="str">
        <f t="shared" si="69"/>
        <v>Femo [DKFMO]</v>
      </c>
      <c r="AN4463" t="s">
        <v>8684</v>
      </c>
      <c r="AO4463" t="s">
        <v>35534</v>
      </c>
    </row>
    <row r="4464" spans="39:41" ht="12" customHeight="1" x14ac:dyDescent="0.2">
      <c r="AM4464" t="str">
        <f t="shared" si="69"/>
        <v>Fengcheng [CNFCH]</v>
      </c>
      <c r="AN4464" t="s">
        <v>5290</v>
      </c>
      <c r="AO4464" t="s">
        <v>5291</v>
      </c>
    </row>
    <row r="4465" spans="39:41" ht="12" customHeight="1" x14ac:dyDescent="0.2">
      <c r="AM4465" t="str">
        <f t="shared" si="69"/>
        <v>Fengdu [CNFDU]</v>
      </c>
      <c r="AN4465" t="s">
        <v>5292</v>
      </c>
      <c r="AO4465" t="s">
        <v>5293</v>
      </c>
    </row>
    <row r="4466" spans="39:41" ht="12" customHeight="1" x14ac:dyDescent="0.2">
      <c r="AM4466" t="str">
        <f t="shared" si="69"/>
        <v>Fengjie [CNFJE]</v>
      </c>
      <c r="AN4466" t="s">
        <v>5294</v>
      </c>
      <c r="AO4466" t="s">
        <v>5295</v>
      </c>
    </row>
    <row r="4467" spans="39:41" ht="12" customHeight="1" x14ac:dyDescent="0.2">
      <c r="AM4467" t="str">
        <f t="shared" si="69"/>
        <v>Fengkai [CNFKI]</v>
      </c>
      <c r="AN4467" t="s">
        <v>5296</v>
      </c>
      <c r="AO4467" t="s">
        <v>5297</v>
      </c>
    </row>
    <row r="4468" spans="39:41" ht="12" customHeight="1" x14ac:dyDescent="0.2">
      <c r="AM4468" t="str">
        <f t="shared" si="69"/>
        <v>Fenit [IEFEN]</v>
      </c>
      <c r="AN4468" t="s">
        <v>16813</v>
      </c>
      <c r="AO4468" t="s">
        <v>16814</v>
      </c>
    </row>
    <row r="4469" spans="39:41" ht="12" customHeight="1" x14ac:dyDescent="0.2">
      <c r="AM4469" t="str">
        <f t="shared" si="69"/>
        <v>Fenix [PYFNX]</v>
      </c>
      <c r="AN4469" t="s">
        <v>26668</v>
      </c>
      <c r="AO4469" t="s">
        <v>26669</v>
      </c>
    </row>
    <row r="4470" spans="39:41" ht="12" customHeight="1" x14ac:dyDescent="0.2">
      <c r="AM4470" t="str">
        <f t="shared" si="69"/>
        <v>Feolin Ferry [GBFEO]</v>
      </c>
      <c r="AN4470" t="s">
        <v>13138</v>
      </c>
      <c r="AO4470" t="s">
        <v>13139</v>
      </c>
    </row>
    <row r="4471" spans="39:41" ht="12" customHeight="1" x14ac:dyDescent="0.2">
      <c r="AM4471" t="str">
        <f t="shared" si="69"/>
        <v>Ferdinandshof [DEMV5]</v>
      </c>
      <c r="AN4471" t="s">
        <v>7382</v>
      </c>
      <c r="AO4471" t="s">
        <v>7383</v>
      </c>
    </row>
    <row r="4472" spans="39:41" ht="12" customHeight="1" x14ac:dyDescent="0.2">
      <c r="AM4472" t="str">
        <f t="shared" si="69"/>
        <v>Ferencvaros [HUFVS]</v>
      </c>
      <c r="AN4472" t="s">
        <v>16083</v>
      </c>
      <c r="AO4472" t="s">
        <v>16084</v>
      </c>
    </row>
    <row r="4473" spans="39:41" ht="12" customHeight="1" x14ac:dyDescent="0.2">
      <c r="AM4473" t="str">
        <f t="shared" si="69"/>
        <v>Ferguson [USZGU]</v>
      </c>
      <c r="AN4473" t="s">
        <v>29799</v>
      </c>
      <c r="AO4473" t="s">
        <v>29800</v>
      </c>
    </row>
    <row r="4474" spans="39:41" ht="12" customHeight="1" x14ac:dyDescent="0.2">
      <c r="AM4474" t="str">
        <f t="shared" ref="AM4474:AM4537" si="70">AO4474 &amp; " [" &amp; AN4474 &amp; "]"</f>
        <v>Fericanci [HRN9F]</v>
      </c>
      <c r="AN4474" t="s">
        <v>33848</v>
      </c>
      <c r="AO4474" t="s">
        <v>33970</v>
      </c>
    </row>
    <row r="4475" spans="39:41" ht="12" customHeight="1" x14ac:dyDescent="0.2">
      <c r="AM4475" t="str">
        <f t="shared" si="70"/>
        <v>Fermanville [FRF2V]</v>
      </c>
      <c r="AN4475" t="s">
        <v>11281</v>
      </c>
      <c r="AO4475" t="s">
        <v>11282</v>
      </c>
    </row>
    <row r="4476" spans="39:41" ht="12" customHeight="1" x14ac:dyDescent="0.2">
      <c r="AM4476" t="str">
        <f t="shared" si="70"/>
        <v>Fermoselle [ESFRM]</v>
      </c>
      <c r="AN4476" t="s">
        <v>9787</v>
      </c>
      <c r="AO4476" t="s">
        <v>9788</v>
      </c>
    </row>
    <row r="4477" spans="39:41" ht="12" customHeight="1" x14ac:dyDescent="0.2">
      <c r="AM4477" t="str">
        <f t="shared" si="70"/>
        <v>Fernandina Beach [USFEB]</v>
      </c>
      <c r="AN4477" t="s">
        <v>29801</v>
      </c>
      <c r="AO4477" t="s">
        <v>29802</v>
      </c>
    </row>
    <row r="4478" spans="39:41" ht="12" customHeight="1" x14ac:dyDescent="0.2">
      <c r="AM4478" t="str">
        <f t="shared" si="70"/>
        <v>Fernando de Noronha [BRFEN]</v>
      </c>
      <c r="AN4478" t="s">
        <v>3304</v>
      </c>
      <c r="AO4478" t="s">
        <v>3305</v>
      </c>
    </row>
    <row r="4479" spans="39:41" ht="12" customHeight="1" x14ac:dyDescent="0.2">
      <c r="AM4479" t="str">
        <f t="shared" si="70"/>
        <v>Ferndale [GBFRD]</v>
      </c>
      <c r="AN4479" t="s">
        <v>13140</v>
      </c>
      <c r="AO4479" t="s">
        <v>13141</v>
      </c>
    </row>
    <row r="4480" spans="39:41" ht="12" customHeight="1" x14ac:dyDescent="0.2">
      <c r="AM4480" t="str">
        <f t="shared" si="70"/>
        <v>Ferreras [ESRRS]</v>
      </c>
      <c r="AN4480" t="s">
        <v>9789</v>
      </c>
      <c r="AO4480" t="s">
        <v>9790</v>
      </c>
    </row>
    <row r="4481" spans="39:41" ht="12" customHeight="1" x14ac:dyDescent="0.2">
      <c r="AM4481" t="str">
        <f t="shared" si="70"/>
        <v>Ferriday [USQFI]</v>
      </c>
      <c r="AN4481" t="s">
        <v>29803</v>
      </c>
      <c r="AO4481" t="s">
        <v>29804</v>
      </c>
    </row>
    <row r="4482" spans="39:41" ht="12" customHeight="1" x14ac:dyDescent="0.2">
      <c r="AM4482" t="str">
        <f t="shared" si="70"/>
        <v>Ferritslev [DKFER]</v>
      </c>
      <c r="AN4482" t="s">
        <v>8685</v>
      </c>
      <c r="AO4482" t="s">
        <v>8686</v>
      </c>
    </row>
    <row r="4483" spans="39:41" ht="12" customHeight="1" x14ac:dyDescent="0.2">
      <c r="AM4483" t="str">
        <f t="shared" si="70"/>
        <v>Ferrol [ESFRO]</v>
      </c>
      <c r="AN4483" t="s">
        <v>9791</v>
      </c>
      <c r="AO4483" t="s">
        <v>9792</v>
      </c>
    </row>
    <row r="4484" spans="39:41" ht="12" customHeight="1" x14ac:dyDescent="0.2">
      <c r="AM4484" t="str">
        <f t="shared" si="70"/>
        <v>Ferrybridge [GBFRX]</v>
      </c>
      <c r="AN4484" t="s">
        <v>13142</v>
      </c>
      <c r="AO4484" t="s">
        <v>13143</v>
      </c>
    </row>
    <row r="4485" spans="39:41" ht="12" customHeight="1" x14ac:dyDescent="0.2">
      <c r="AM4485" t="str">
        <f t="shared" si="70"/>
        <v>Ferrybridge [GBFEB]</v>
      </c>
      <c r="AN4485" t="s">
        <v>33846</v>
      </c>
      <c r="AO4485" t="s">
        <v>13143</v>
      </c>
    </row>
    <row r="4486" spans="39:41" ht="12" customHeight="1" x14ac:dyDescent="0.2">
      <c r="AM4486" t="str">
        <f t="shared" si="70"/>
        <v>Ferryside [GBFYD]</v>
      </c>
      <c r="AN4486" t="s">
        <v>13144</v>
      </c>
      <c r="AO4486" t="s">
        <v>13145</v>
      </c>
    </row>
    <row r="4487" spans="39:41" ht="12" customHeight="1" x14ac:dyDescent="0.2">
      <c r="AM4487" t="str">
        <f t="shared" si="70"/>
        <v>Festvag [NOFSV]</v>
      </c>
      <c r="AN4487" t="s">
        <v>24049</v>
      </c>
      <c r="AO4487" t="s">
        <v>36159</v>
      </c>
    </row>
    <row r="4488" spans="39:41" ht="12" customHeight="1" x14ac:dyDescent="0.2">
      <c r="AM4488" t="str">
        <f t="shared" si="70"/>
        <v>Fetesti [ROFET]</v>
      </c>
      <c r="AN4488" t="s">
        <v>26752</v>
      </c>
      <c r="AO4488" t="s">
        <v>26753</v>
      </c>
    </row>
    <row r="4489" spans="39:41" ht="12" customHeight="1" x14ac:dyDescent="0.2">
      <c r="AM4489" t="str">
        <f t="shared" si="70"/>
        <v>Fethard/Slade [IEFTD]</v>
      </c>
      <c r="AN4489" t="s">
        <v>16815</v>
      </c>
      <c r="AO4489" t="s">
        <v>16816</v>
      </c>
    </row>
    <row r="4490" spans="39:41" ht="12" customHeight="1" x14ac:dyDescent="0.2">
      <c r="AM4490" t="str">
        <f t="shared" si="70"/>
        <v>Fethiye [TRFET]</v>
      </c>
      <c r="AN4490" t="s">
        <v>28465</v>
      </c>
      <c r="AO4490" t="s">
        <v>28466</v>
      </c>
    </row>
    <row r="4491" spans="39:41" ht="12" customHeight="1" x14ac:dyDescent="0.2">
      <c r="AM4491" t="str">
        <f t="shared" si="70"/>
        <v>Feuilleres [FRFUL]</v>
      </c>
      <c r="AN4491" t="s">
        <v>11283</v>
      </c>
      <c r="AO4491" t="s">
        <v>11284</v>
      </c>
    </row>
    <row r="4492" spans="39:41" ht="12" customHeight="1" x14ac:dyDescent="0.2">
      <c r="AM4492" t="str">
        <f t="shared" si="70"/>
        <v>Feyzin [FRFEY]</v>
      </c>
      <c r="AN4492" t="s">
        <v>11285</v>
      </c>
      <c r="AO4492" t="s">
        <v>11286</v>
      </c>
    </row>
    <row r="4493" spans="39:41" ht="12" customHeight="1" x14ac:dyDescent="0.2">
      <c r="AM4493" t="str">
        <f t="shared" si="70"/>
        <v>Fiddletown [USFI3]</v>
      </c>
      <c r="AN4493" t="s">
        <v>29805</v>
      </c>
      <c r="AO4493" t="s">
        <v>29806</v>
      </c>
    </row>
    <row r="4494" spans="39:41" ht="12" customHeight="1" x14ac:dyDescent="0.2">
      <c r="AM4494" t="str">
        <f t="shared" si="70"/>
        <v>Fiddown [IEFID]</v>
      </c>
      <c r="AN4494" t="s">
        <v>16817</v>
      </c>
      <c r="AO4494" t="s">
        <v>16818</v>
      </c>
    </row>
    <row r="4495" spans="39:41" ht="12" customHeight="1" x14ac:dyDescent="0.2">
      <c r="AM4495" t="str">
        <f t="shared" si="70"/>
        <v>Figeholm [SEFIG]</v>
      </c>
      <c r="AN4495" t="s">
        <v>27568</v>
      </c>
      <c r="AO4495" t="s">
        <v>27569</v>
      </c>
    </row>
    <row r="4496" spans="39:41" ht="12" customHeight="1" x14ac:dyDescent="0.2">
      <c r="AM4496" t="str">
        <f t="shared" si="70"/>
        <v>Figueira da Foz [PTFDF]</v>
      </c>
      <c r="AN4496" t="s">
        <v>26502</v>
      </c>
      <c r="AO4496" t="s">
        <v>26503</v>
      </c>
    </row>
    <row r="4497" spans="39:41" ht="12" customHeight="1" x14ac:dyDescent="0.2">
      <c r="AM4497" t="str">
        <f t="shared" si="70"/>
        <v>Filabusi [ZWFLU]</v>
      </c>
      <c r="AN4497" t="s">
        <v>34240</v>
      </c>
      <c r="AO4497" t="s">
        <v>34308</v>
      </c>
    </row>
    <row r="4498" spans="39:41" ht="12" customHeight="1" x14ac:dyDescent="0.2">
      <c r="AM4498" t="str">
        <f t="shared" si="70"/>
        <v>Filadelfia [CRFIL]</v>
      </c>
      <c r="AN4498" t="s">
        <v>6573</v>
      </c>
      <c r="AO4498" t="s">
        <v>6574</v>
      </c>
    </row>
    <row r="4499" spans="39:41" ht="12" customHeight="1" x14ac:dyDescent="0.2">
      <c r="AM4499" t="str">
        <f t="shared" si="70"/>
        <v>Filicudi Porto [ITFPO]</v>
      </c>
      <c r="AN4499" t="s">
        <v>17929</v>
      </c>
      <c r="AO4499" t="s">
        <v>17930</v>
      </c>
    </row>
    <row r="4500" spans="39:41" ht="12" customHeight="1" x14ac:dyDescent="0.2">
      <c r="AM4500" t="str">
        <f t="shared" si="70"/>
        <v>Filipjakov [HRFIL]</v>
      </c>
      <c r="AN4500" t="s">
        <v>15744</v>
      </c>
      <c r="AO4500" t="s">
        <v>15745</v>
      </c>
    </row>
    <row r="4501" spans="39:41" ht="12" customHeight="1" x14ac:dyDescent="0.2">
      <c r="AM4501" t="str">
        <f t="shared" si="70"/>
        <v>Filipstad [SEFIL]</v>
      </c>
      <c r="AN4501" t="s">
        <v>27570</v>
      </c>
      <c r="AO4501" t="s">
        <v>27571</v>
      </c>
    </row>
    <row r="4502" spans="39:41" ht="12" customHeight="1" x14ac:dyDescent="0.2">
      <c r="AM4502" t="str">
        <f t="shared" si="70"/>
        <v>Fimibo [LRFIM]</v>
      </c>
      <c r="AN4502" t="s">
        <v>21865</v>
      </c>
      <c r="AO4502" t="s">
        <v>21866</v>
      </c>
    </row>
    <row r="4503" spans="39:41" ht="12" customHeight="1" x14ac:dyDescent="0.2">
      <c r="AM4503" t="str">
        <f t="shared" si="70"/>
        <v>Finale Ligure [ITFNL]</v>
      </c>
      <c r="AN4503" t="s">
        <v>17931</v>
      </c>
      <c r="AO4503" t="s">
        <v>17932</v>
      </c>
    </row>
    <row r="4504" spans="39:41" ht="12" customHeight="1" x14ac:dyDescent="0.2">
      <c r="AM4504" t="str">
        <f t="shared" si="70"/>
        <v>Finby (Sarkisalo) [FISAR]</v>
      </c>
      <c r="AN4504" t="s">
        <v>10337</v>
      </c>
      <c r="AO4504" t="s">
        <v>35718</v>
      </c>
    </row>
    <row r="4505" spans="39:41" ht="12" customHeight="1" x14ac:dyDescent="0.2">
      <c r="AM4505" t="str">
        <f t="shared" si="70"/>
        <v>Findhorn [GBFIN]</v>
      </c>
      <c r="AN4505" t="s">
        <v>13146</v>
      </c>
      <c r="AO4505" t="s">
        <v>13147</v>
      </c>
    </row>
    <row r="4506" spans="39:41" ht="12" customHeight="1" x14ac:dyDescent="0.2">
      <c r="AM4506" t="str">
        <f t="shared" si="70"/>
        <v>Findochty [GBFID]</v>
      </c>
      <c r="AN4506" t="s">
        <v>13148</v>
      </c>
      <c r="AO4506" t="s">
        <v>13149</v>
      </c>
    </row>
    <row r="4507" spans="39:41" ht="12" customHeight="1" x14ac:dyDescent="0.2">
      <c r="AM4507" t="str">
        <f t="shared" si="70"/>
        <v>Findon [AUFIN]</v>
      </c>
      <c r="AN4507" t="s">
        <v>1661</v>
      </c>
      <c r="AO4507" t="s">
        <v>1662</v>
      </c>
    </row>
    <row r="4508" spans="39:41" ht="12" customHeight="1" x14ac:dyDescent="0.2">
      <c r="AM4508" t="str">
        <f t="shared" si="70"/>
        <v>Fingringhoe [GBFRH]</v>
      </c>
      <c r="AN4508" t="s">
        <v>13150</v>
      </c>
      <c r="AO4508" t="s">
        <v>13151</v>
      </c>
    </row>
    <row r="4509" spans="39:41" ht="12" customHeight="1" x14ac:dyDescent="0.2">
      <c r="AM4509" t="str">
        <f t="shared" si="70"/>
        <v>Finike [TRFIN]</v>
      </c>
      <c r="AN4509" t="s">
        <v>28467</v>
      </c>
      <c r="AO4509" t="s">
        <v>28468</v>
      </c>
    </row>
    <row r="4510" spans="39:41" ht="12" customHeight="1" x14ac:dyDescent="0.2">
      <c r="AM4510" t="str">
        <f t="shared" si="70"/>
        <v>Finkenwerder [DEXFW]</v>
      </c>
      <c r="AN4510" t="s">
        <v>7384</v>
      </c>
      <c r="AO4510" t="s">
        <v>7385</v>
      </c>
    </row>
    <row r="4511" spans="39:41" ht="12" customHeight="1" x14ac:dyDescent="0.2">
      <c r="AM4511" t="str">
        <f t="shared" si="70"/>
        <v>Finnart [GBFNT]</v>
      </c>
      <c r="AN4511" t="s">
        <v>13152</v>
      </c>
      <c r="AO4511" t="s">
        <v>13153</v>
      </c>
    </row>
    <row r="4512" spans="39:41" ht="12" customHeight="1" x14ac:dyDescent="0.2">
      <c r="AM4512" t="str">
        <f t="shared" si="70"/>
        <v>Finneid [NOFND]</v>
      </c>
      <c r="AN4512" t="s">
        <v>24050</v>
      </c>
      <c r="AO4512" t="s">
        <v>24051</v>
      </c>
    </row>
    <row r="4513" spans="39:41" ht="12" customHeight="1" x14ac:dyDescent="0.2">
      <c r="AM4513" t="str">
        <f t="shared" si="70"/>
        <v>Finneidfjord [NOFIN]</v>
      </c>
      <c r="AN4513" t="s">
        <v>24052</v>
      </c>
      <c r="AO4513" t="s">
        <v>24053</v>
      </c>
    </row>
    <row r="4514" spans="39:41" ht="12" customHeight="1" x14ac:dyDescent="0.2">
      <c r="AM4514" t="str">
        <f t="shared" si="70"/>
        <v>Finnfjordbotn [NOFFB]</v>
      </c>
      <c r="AN4514" t="s">
        <v>24054</v>
      </c>
      <c r="AO4514" t="s">
        <v>24055</v>
      </c>
    </row>
    <row r="4515" spans="39:41" ht="12" customHeight="1" x14ac:dyDescent="0.2">
      <c r="AM4515" t="str">
        <f t="shared" si="70"/>
        <v>Finnoy [NOFNY]</v>
      </c>
      <c r="AN4515" t="s">
        <v>24056</v>
      </c>
      <c r="AO4515" t="s">
        <v>36160</v>
      </c>
    </row>
    <row r="4516" spans="39:41" ht="12" customHeight="1" x14ac:dyDescent="0.2">
      <c r="AM4516" t="str">
        <f t="shared" si="70"/>
        <v>Finnsnes [NOFNE]</v>
      </c>
      <c r="AN4516" t="s">
        <v>24057</v>
      </c>
      <c r="AO4516" t="s">
        <v>24058</v>
      </c>
    </row>
    <row r="4517" spans="39:41" ht="12" customHeight="1" x14ac:dyDescent="0.2">
      <c r="AM4517" t="str">
        <f t="shared" si="70"/>
        <v>Finschhafen [PGFIN]</v>
      </c>
      <c r="AN4517" t="s">
        <v>25376</v>
      </c>
      <c r="AO4517" t="s">
        <v>25377</v>
      </c>
    </row>
    <row r="4518" spans="39:41" ht="12" customHeight="1" x14ac:dyDescent="0.2">
      <c r="AM4518" t="str">
        <f t="shared" si="70"/>
        <v>Fintona [IEFIN]</v>
      </c>
      <c r="AN4518" t="s">
        <v>16819</v>
      </c>
      <c r="AO4518" t="s">
        <v>16820</v>
      </c>
    </row>
    <row r="4519" spans="39:41" ht="12" customHeight="1" x14ac:dyDescent="0.2">
      <c r="AM4519" t="str">
        <f t="shared" si="70"/>
        <v>Fionnphort, Isle of Mull [GBFIO]</v>
      </c>
      <c r="AN4519" t="s">
        <v>13154</v>
      </c>
      <c r="AO4519" t="s">
        <v>13155</v>
      </c>
    </row>
    <row r="4520" spans="39:41" ht="12" customHeight="1" x14ac:dyDescent="0.2">
      <c r="AM4520" t="str">
        <f t="shared" si="70"/>
        <v>Firuzkoy [TRFRZ]</v>
      </c>
      <c r="AN4520" t="s">
        <v>28469</v>
      </c>
      <c r="AO4520" t="s">
        <v>36571</v>
      </c>
    </row>
    <row r="4521" spans="39:41" ht="12" customHeight="1" x14ac:dyDescent="0.2">
      <c r="AM4521" t="str">
        <f t="shared" si="70"/>
        <v>Fish Hoek [ZAFHK]</v>
      </c>
      <c r="AN4521" t="s">
        <v>32681</v>
      </c>
      <c r="AO4521" t="s">
        <v>32682</v>
      </c>
    </row>
    <row r="4522" spans="39:41" ht="12" customHeight="1" x14ac:dyDescent="0.2">
      <c r="AM4522" t="str">
        <f t="shared" si="70"/>
        <v>Fish Port Terminal [RUFPT]</v>
      </c>
      <c r="AN4522" t="s">
        <v>26937</v>
      </c>
      <c r="AO4522" t="s">
        <v>26938</v>
      </c>
    </row>
    <row r="4523" spans="39:41" ht="12" customHeight="1" x14ac:dyDescent="0.2">
      <c r="AM4523" t="str">
        <f t="shared" si="70"/>
        <v>Fishbourne [GBFBU]</v>
      </c>
      <c r="AN4523" t="s">
        <v>13156</v>
      </c>
      <c r="AO4523" t="s">
        <v>13157</v>
      </c>
    </row>
    <row r="4524" spans="39:41" ht="12" customHeight="1" x14ac:dyDescent="0.2">
      <c r="AM4524" t="str">
        <f t="shared" si="70"/>
        <v>Fisher Island, Miami [USZFI]</v>
      </c>
      <c r="AN4524" t="s">
        <v>29807</v>
      </c>
      <c r="AO4524" t="s">
        <v>29808</v>
      </c>
    </row>
    <row r="4525" spans="39:41" ht="12" customHeight="1" x14ac:dyDescent="0.2">
      <c r="AM4525" t="str">
        <f t="shared" si="70"/>
        <v>Fisherman Islands [AUFIS]</v>
      </c>
      <c r="AN4525" t="s">
        <v>1663</v>
      </c>
      <c r="AO4525" t="s">
        <v>1664</v>
      </c>
    </row>
    <row r="4526" spans="39:41" ht="12" customHeight="1" x14ac:dyDescent="0.2">
      <c r="AM4526" t="str">
        <f t="shared" si="70"/>
        <v>Fisherrow/Musselburgh [GBFIH]</v>
      </c>
      <c r="AN4526" t="s">
        <v>13158</v>
      </c>
      <c r="AO4526" t="s">
        <v>13159</v>
      </c>
    </row>
    <row r="4527" spans="39:41" ht="12" customHeight="1" x14ac:dyDescent="0.2">
      <c r="AM4527" t="str">
        <f t="shared" si="70"/>
        <v>Fishguard [GBFIS]</v>
      </c>
      <c r="AN4527" t="s">
        <v>13160</v>
      </c>
      <c r="AO4527" t="s">
        <v>13161</v>
      </c>
    </row>
    <row r="4528" spans="39:41" ht="12" customHeight="1" x14ac:dyDescent="0.2">
      <c r="AM4528" t="str">
        <f t="shared" si="70"/>
        <v>Fishkill [USFIK]</v>
      </c>
      <c r="AN4528" t="s">
        <v>29809</v>
      </c>
      <c r="AO4528" t="s">
        <v>29810</v>
      </c>
    </row>
    <row r="4529" spans="39:41" ht="12" customHeight="1" x14ac:dyDescent="0.2">
      <c r="AM4529" t="str">
        <f t="shared" si="70"/>
        <v>Fishnish, Isle of Mull [GBFNH]</v>
      </c>
      <c r="AN4529" t="s">
        <v>13162</v>
      </c>
      <c r="AO4529" t="s">
        <v>13163</v>
      </c>
    </row>
    <row r="4530" spans="39:41" ht="12" customHeight="1" x14ac:dyDescent="0.2">
      <c r="AM4530" t="str">
        <f t="shared" si="70"/>
        <v>Fiskabygd - Vanylven [NOFSK]</v>
      </c>
      <c r="AN4530" t="s">
        <v>24059</v>
      </c>
      <c r="AO4530" t="s">
        <v>36161</v>
      </c>
    </row>
    <row r="4531" spans="39:41" ht="12" customHeight="1" x14ac:dyDescent="0.2">
      <c r="AM4531" t="str">
        <f t="shared" si="70"/>
        <v>Fiskardo [GRFIS]</v>
      </c>
      <c r="AN4531" t="s">
        <v>15213</v>
      </c>
      <c r="AO4531" t="s">
        <v>35900</v>
      </c>
    </row>
    <row r="4532" spans="39:41" ht="12" customHeight="1" x14ac:dyDescent="0.2">
      <c r="AM4532" t="str">
        <f t="shared" si="70"/>
        <v>Fiskarstrand [NOFST]</v>
      </c>
      <c r="AN4532" t="s">
        <v>24060</v>
      </c>
      <c r="AO4532" t="s">
        <v>24061</v>
      </c>
    </row>
    <row r="4533" spans="39:41" ht="12" customHeight="1" x14ac:dyDescent="0.2">
      <c r="AM4533" t="str">
        <f t="shared" si="70"/>
        <v>Fiskeback [SEFIS]</v>
      </c>
      <c r="AN4533" t="s">
        <v>27572</v>
      </c>
      <c r="AO4533" t="s">
        <v>36438</v>
      </c>
    </row>
    <row r="4534" spans="39:41" ht="12" customHeight="1" x14ac:dyDescent="0.2">
      <c r="AM4534" t="str">
        <f t="shared" si="70"/>
        <v>Fiskebackskil [SEFBK]</v>
      </c>
      <c r="AN4534" t="s">
        <v>27573</v>
      </c>
      <c r="AO4534" t="s">
        <v>36439</v>
      </c>
    </row>
    <row r="4535" spans="39:41" ht="12" customHeight="1" x14ac:dyDescent="0.2">
      <c r="AM4535" t="str">
        <f t="shared" si="70"/>
        <v>Fiskebol [NOFBL]</v>
      </c>
      <c r="AN4535" t="s">
        <v>24062</v>
      </c>
      <c r="AO4535" t="s">
        <v>36162</v>
      </c>
    </row>
    <row r="4536" spans="39:41" ht="12" customHeight="1" x14ac:dyDescent="0.2">
      <c r="AM4536" t="str">
        <f t="shared" si="70"/>
        <v>Fitjar [NOFIT]</v>
      </c>
      <c r="AN4536" t="s">
        <v>24063</v>
      </c>
      <c r="AO4536" t="s">
        <v>24064</v>
      </c>
    </row>
    <row r="4537" spans="39:41" ht="12" customHeight="1" x14ac:dyDescent="0.2">
      <c r="AM4537" t="str">
        <f t="shared" si="70"/>
        <v>Fiumicino [ITFCO]</v>
      </c>
      <c r="AN4537" t="s">
        <v>17933</v>
      </c>
      <c r="AO4537" t="s">
        <v>17934</v>
      </c>
    </row>
    <row r="4538" spans="39:41" ht="12" customHeight="1" x14ac:dyDescent="0.2">
      <c r="AM4538" t="str">
        <f t="shared" ref="AM4538:AM4601" si="71">AO4538 &amp; " [" &amp; AN4538 &amp; "]"</f>
        <v>Fjaler [NOFJA]</v>
      </c>
      <c r="AN4538" t="s">
        <v>24065</v>
      </c>
      <c r="AO4538" t="s">
        <v>24066</v>
      </c>
    </row>
    <row r="4539" spans="39:41" ht="12" customHeight="1" x14ac:dyDescent="0.2">
      <c r="AM4539" t="str">
        <f t="shared" si="71"/>
        <v>Fjallbacka [SEFJA]</v>
      </c>
      <c r="AN4539" t="s">
        <v>27574</v>
      </c>
      <c r="AO4539" t="s">
        <v>36440</v>
      </c>
    </row>
    <row r="4540" spans="39:41" ht="12" customHeight="1" x14ac:dyDescent="0.2">
      <c r="AM4540" t="str">
        <f t="shared" si="71"/>
        <v>Fjarland [NOFYS]</v>
      </c>
      <c r="AN4540" t="s">
        <v>24067</v>
      </c>
      <c r="AO4540" t="s">
        <v>36163</v>
      </c>
    </row>
    <row r="4541" spans="39:41" ht="12" customHeight="1" x14ac:dyDescent="0.2">
      <c r="AM4541" t="str">
        <f t="shared" si="71"/>
        <v>Fjell [NOFJE]</v>
      </c>
      <c r="AN4541" t="s">
        <v>24068</v>
      </c>
      <c r="AO4541" t="s">
        <v>24069</v>
      </c>
    </row>
    <row r="4542" spans="39:41" ht="12" customHeight="1" x14ac:dyDescent="0.2">
      <c r="AM4542" t="str">
        <f t="shared" si="71"/>
        <v>Fjelldal [NOFJL]</v>
      </c>
      <c r="AN4542" t="s">
        <v>24070</v>
      </c>
      <c r="AO4542" t="s">
        <v>24071</v>
      </c>
    </row>
    <row r="4543" spans="39:41" ht="12" customHeight="1" x14ac:dyDescent="0.2">
      <c r="AM4543" t="str">
        <f t="shared" si="71"/>
        <v>Fjellstrand [NOFSD]</v>
      </c>
      <c r="AN4543" t="s">
        <v>24072</v>
      </c>
      <c r="AO4543" t="s">
        <v>24073</v>
      </c>
    </row>
    <row r="4544" spans="39:41" ht="12" customHeight="1" x14ac:dyDescent="0.2">
      <c r="AM4544" t="str">
        <f t="shared" si="71"/>
        <v>Flagler Beach [USFBF]</v>
      </c>
      <c r="AN4544" t="s">
        <v>29811</v>
      </c>
      <c r="AO4544" t="s">
        <v>29812</v>
      </c>
    </row>
    <row r="4545" spans="39:41" ht="12" customHeight="1" x14ac:dyDescent="0.2">
      <c r="AM4545" t="str">
        <f t="shared" si="71"/>
        <v>Flakstad [NOFKS]</v>
      </c>
      <c r="AN4545" t="s">
        <v>24074</v>
      </c>
      <c r="AO4545" t="s">
        <v>24075</v>
      </c>
    </row>
    <row r="4546" spans="39:41" ht="12" customHeight="1" x14ac:dyDescent="0.2">
      <c r="AM4546" t="str">
        <f t="shared" si="71"/>
        <v>Flam [NOFLA]</v>
      </c>
      <c r="AN4546" t="s">
        <v>24076</v>
      </c>
      <c r="AO4546" t="s">
        <v>36164</v>
      </c>
    </row>
    <row r="4547" spans="39:41" ht="12" customHeight="1" x14ac:dyDescent="0.2">
      <c r="AM4547" t="str">
        <f t="shared" si="71"/>
        <v>Flamborough [GBFBH]</v>
      </c>
      <c r="AN4547" t="s">
        <v>13164</v>
      </c>
      <c r="AO4547" t="s">
        <v>13165</v>
      </c>
    </row>
    <row r="4548" spans="39:41" ht="12" customHeight="1" x14ac:dyDescent="0.2">
      <c r="AM4548" t="str">
        <f t="shared" si="71"/>
        <v>Flammerans [FRSNM]</v>
      </c>
      <c r="AN4548" t="s">
        <v>11287</v>
      </c>
      <c r="AO4548" t="s">
        <v>11288</v>
      </c>
    </row>
    <row r="4549" spans="39:41" ht="12" customHeight="1" x14ac:dyDescent="0.2">
      <c r="AM4549" t="str">
        <f t="shared" si="71"/>
        <v>Flasch [CHFLA]</v>
      </c>
      <c r="AN4549" t="s">
        <v>4691</v>
      </c>
      <c r="AO4549" t="s">
        <v>35341</v>
      </c>
    </row>
    <row r="4550" spans="39:41" ht="12" customHeight="1" x14ac:dyDescent="0.2">
      <c r="AM4550" t="str">
        <f t="shared" si="71"/>
        <v>Flatanger [NOFLT]</v>
      </c>
      <c r="AN4550" t="s">
        <v>24077</v>
      </c>
      <c r="AO4550" t="s">
        <v>24078</v>
      </c>
    </row>
    <row r="4551" spans="39:41" ht="12" customHeight="1" x14ac:dyDescent="0.2">
      <c r="AM4551" t="str">
        <f t="shared" si="71"/>
        <v>Flateyri [ISFLA]</v>
      </c>
      <c r="AN4551" t="s">
        <v>17698</v>
      </c>
      <c r="AO4551" t="s">
        <v>17699</v>
      </c>
    </row>
    <row r="4552" spans="39:41" ht="12" customHeight="1" x14ac:dyDescent="0.2">
      <c r="AM4552" t="str">
        <f t="shared" si="71"/>
        <v>Flatoy [NOFLY]</v>
      </c>
      <c r="AN4552" t="s">
        <v>24079</v>
      </c>
      <c r="AO4552" t="s">
        <v>36165</v>
      </c>
    </row>
    <row r="4553" spans="39:41" ht="12" customHeight="1" x14ac:dyDescent="0.2">
      <c r="AM4553" t="str">
        <f t="shared" si="71"/>
        <v>Flawinne [BEFWI]</v>
      </c>
      <c r="AN4553" t="s">
        <v>2448</v>
      </c>
      <c r="AO4553" t="s">
        <v>2449</v>
      </c>
    </row>
    <row r="4554" spans="39:41" ht="12" customHeight="1" x14ac:dyDescent="0.2">
      <c r="AM4554" t="str">
        <f t="shared" si="71"/>
        <v>Flaxton [GBFLN]</v>
      </c>
      <c r="AN4554" t="s">
        <v>13166</v>
      </c>
      <c r="AO4554" t="s">
        <v>13167</v>
      </c>
    </row>
    <row r="4555" spans="39:41" ht="12" customHeight="1" x14ac:dyDescent="0.2">
      <c r="AM4555" t="str">
        <f t="shared" si="71"/>
        <v>Fleetwood [GBFLE]</v>
      </c>
      <c r="AN4555" t="s">
        <v>13168</v>
      </c>
      <c r="AO4555" t="s">
        <v>13169</v>
      </c>
    </row>
    <row r="4556" spans="39:41" ht="12" customHeight="1" x14ac:dyDescent="0.2">
      <c r="AM4556" t="str">
        <f t="shared" si="71"/>
        <v>Flekkefjord [NOFFD]</v>
      </c>
      <c r="AN4556" t="s">
        <v>24080</v>
      </c>
      <c r="AO4556" t="s">
        <v>24081</v>
      </c>
    </row>
    <row r="4557" spans="39:41" ht="12" customHeight="1" x14ac:dyDescent="0.2">
      <c r="AM4557" t="str">
        <f t="shared" si="71"/>
        <v>Flem [NOFLM]</v>
      </c>
      <c r="AN4557" t="s">
        <v>24082</v>
      </c>
      <c r="AO4557" t="s">
        <v>24083</v>
      </c>
    </row>
    <row r="4558" spans="39:41" ht="12" customHeight="1" x14ac:dyDescent="0.2">
      <c r="AM4558" t="str">
        <f t="shared" si="71"/>
        <v>Flemalle [BEFMA]</v>
      </c>
      <c r="AN4558" t="s">
        <v>2450</v>
      </c>
      <c r="AO4558" t="s">
        <v>35265</v>
      </c>
    </row>
    <row r="4559" spans="39:41" ht="12" customHeight="1" x14ac:dyDescent="0.2">
      <c r="AM4559" t="str">
        <f t="shared" si="71"/>
        <v>Fleming Island [USFI7]</v>
      </c>
      <c r="AN4559" t="s">
        <v>29813</v>
      </c>
      <c r="AO4559" t="s">
        <v>29814</v>
      </c>
    </row>
    <row r="4560" spans="39:41" ht="12" customHeight="1" x14ac:dyDescent="0.2">
      <c r="AM4560" t="str">
        <f t="shared" si="71"/>
        <v>Flemlingen [DERP7]</v>
      </c>
      <c r="AN4560" t="s">
        <v>7386</v>
      </c>
      <c r="AO4560" t="s">
        <v>7387</v>
      </c>
    </row>
    <row r="4561" spans="39:41" ht="12" customHeight="1" x14ac:dyDescent="0.2">
      <c r="AM4561" t="str">
        <f t="shared" si="71"/>
        <v>Flensburg [DEFLF]</v>
      </c>
      <c r="AN4561" t="s">
        <v>7388</v>
      </c>
      <c r="AO4561" t="s">
        <v>7389</v>
      </c>
    </row>
    <row r="4562" spans="39:41" ht="12" customHeight="1" x14ac:dyDescent="0.2">
      <c r="AM4562" t="str">
        <f t="shared" si="71"/>
        <v>Fleurey-sur-Ouche [FRYSO]</v>
      </c>
      <c r="AN4562" t="s">
        <v>11289</v>
      </c>
      <c r="AO4562" t="s">
        <v>11290</v>
      </c>
    </row>
    <row r="4563" spans="39:41" ht="12" customHeight="1" x14ac:dyDescent="0.2">
      <c r="AM4563" t="str">
        <f t="shared" si="71"/>
        <v>Flins [FRFNS]</v>
      </c>
      <c r="AN4563" t="s">
        <v>11291</v>
      </c>
      <c r="AO4563" t="s">
        <v>11292</v>
      </c>
    </row>
    <row r="4564" spans="39:41" ht="12" customHeight="1" x14ac:dyDescent="0.2">
      <c r="AM4564" t="str">
        <f t="shared" si="71"/>
        <v>Flivik [SEFLI]</v>
      </c>
      <c r="AN4564" t="s">
        <v>27575</v>
      </c>
      <c r="AO4564" t="s">
        <v>27576</v>
      </c>
    </row>
    <row r="4565" spans="39:41" ht="12" customHeight="1" x14ac:dyDescent="0.2">
      <c r="AM4565" t="str">
        <f t="shared" si="71"/>
        <v>Flixborough [GBFLW]</v>
      </c>
      <c r="AN4565" t="s">
        <v>13170</v>
      </c>
      <c r="AO4565" t="s">
        <v>13171</v>
      </c>
    </row>
    <row r="4566" spans="39:41" ht="12" customHeight="1" x14ac:dyDescent="0.2">
      <c r="AM4566" t="str">
        <f t="shared" si="71"/>
        <v>Flogas Products Drogheda [IEFPD]</v>
      </c>
      <c r="AN4566" t="s">
        <v>16821</v>
      </c>
      <c r="AO4566" t="s">
        <v>16822</v>
      </c>
    </row>
    <row r="4567" spans="39:41" ht="12" customHeight="1" x14ac:dyDescent="0.2">
      <c r="AM4567" t="str">
        <f t="shared" si="71"/>
        <v>Flone [BEFLN]</v>
      </c>
      <c r="AN4567" t="s">
        <v>2451</v>
      </c>
      <c r="AO4567" t="s">
        <v>35266</v>
      </c>
    </row>
    <row r="4568" spans="39:41" ht="12" customHeight="1" x14ac:dyDescent="0.2">
      <c r="AM4568" t="str">
        <f t="shared" si="71"/>
        <v>Floodwood [USFW2]</v>
      </c>
      <c r="AN4568" t="s">
        <v>29815</v>
      </c>
      <c r="AO4568" t="s">
        <v>29816</v>
      </c>
    </row>
    <row r="4569" spans="39:41" ht="12" customHeight="1" x14ac:dyDescent="0.2">
      <c r="AM4569" t="str">
        <f t="shared" si="71"/>
        <v>Flookburgh [GBFLK]</v>
      </c>
      <c r="AN4569" t="s">
        <v>13172</v>
      </c>
      <c r="AO4569" t="s">
        <v>13173</v>
      </c>
    </row>
    <row r="4570" spans="39:41" ht="12" customHeight="1" x14ac:dyDescent="0.2">
      <c r="AM4570" t="str">
        <f t="shared" si="71"/>
        <v>Flora [NOFLR]</v>
      </c>
      <c r="AN4570" t="s">
        <v>24084</v>
      </c>
      <c r="AO4570" t="s">
        <v>24085</v>
      </c>
    </row>
    <row r="4571" spans="39:41" ht="12" customHeight="1" x14ac:dyDescent="0.2">
      <c r="AM4571" t="str">
        <f t="shared" si="71"/>
        <v>Floreana Island [ECFLO]</v>
      </c>
      <c r="AN4571" t="s">
        <v>9091</v>
      </c>
      <c r="AO4571" t="s">
        <v>9092</v>
      </c>
    </row>
    <row r="4572" spans="39:41" ht="12" customHeight="1" x14ac:dyDescent="0.2">
      <c r="AM4572" t="str">
        <f t="shared" si="71"/>
        <v>Floreffe [BEFLO]</v>
      </c>
      <c r="AN4572" t="s">
        <v>2452</v>
      </c>
      <c r="AO4572" t="s">
        <v>2453</v>
      </c>
    </row>
    <row r="4573" spans="39:41" ht="12" customHeight="1" x14ac:dyDescent="0.2">
      <c r="AM4573" t="str">
        <f t="shared" si="71"/>
        <v>Florence [USFNE]</v>
      </c>
      <c r="AN4573" t="s">
        <v>29817</v>
      </c>
      <c r="AO4573" t="s">
        <v>29818</v>
      </c>
    </row>
    <row r="4574" spans="39:41" ht="12" customHeight="1" x14ac:dyDescent="0.2">
      <c r="AM4574" t="str">
        <f t="shared" si="71"/>
        <v>Florence [USFLZ]</v>
      </c>
      <c r="AN4574" t="s">
        <v>29819</v>
      </c>
      <c r="AO4574" t="s">
        <v>29818</v>
      </c>
    </row>
    <row r="4575" spans="39:41" ht="12" customHeight="1" x14ac:dyDescent="0.2">
      <c r="AM4575" t="str">
        <f t="shared" si="71"/>
        <v>Floriana [MTFLO]</v>
      </c>
      <c r="AN4575" t="s">
        <v>22252</v>
      </c>
      <c r="AO4575" t="s">
        <v>22253</v>
      </c>
    </row>
    <row r="4576" spans="39:41" ht="12" customHeight="1" x14ac:dyDescent="0.2">
      <c r="AM4576" t="str">
        <f t="shared" si="71"/>
        <v>Florianopolis [BRFLN]</v>
      </c>
      <c r="AN4576" t="s">
        <v>3306</v>
      </c>
      <c r="AO4576" t="s">
        <v>35293</v>
      </c>
    </row>
    <row r="4577" spans="39:41" ht="12" customHeight="1" x14ac:dyDescent="0.2">
      <c r="AM4577" t="str">
        <f t="shared" si="71"/>
        <v>Florida City [USYFA]</v>
      </c>
      <c r="AN4577" t="s">
        <v>29820</v>
      </c>
      <c r="AO4577" t="s">
        <v>29821</v>
      </c>
    </row>
    <row r="4578" spans="39:41" ht="12" customHeight="1" x14ac:dyDescent="0.2">
      <c r="AM4578" t="str">
        <f t="shared" si="71"/>
        <v>Floriffoux [BEFFX]</v>
      </c>
      <c r="AN4578" t="s">
        <v>2454</v>
      </c>
      <c r="AO4578" t="s">
        <v>2455</v>
      </c>
    </row>
    <row r="4579" spans="39:41" ht="12" customHeight="1" x14ac:dyDescent="0.2">
      <c r="AM4579" t="str">
        <f t="shared" si="71"/>
        <v>Floro [NOFRO]</v>
      </c>
      <c r="AN4579" t="s">
        <v>24086</v>
      </c>
      <c r="AO4579" t="s">
        <v>36166</v>
      </c>
    </row>
    <row r="4580" spans="39:41" ht="12" customHeight="1" x14ac:dyDescent="0.2">
      <c r="AM4580" t="str">
        <f t="shared" si="71"/>
        <v>Florvag [NOFLO]</v>
      </c>
      <c r="AN4580" t="s">
        <v>24087</v>
      </c>
      <c r="AO4580" t="s">
        <v>36167</v>
      </c>
    </row>
    <row r="4581" spans="39:41" ht="12" customHeight="1" x14ac:dyDescent="0.2">
      <c r="AM4581" t="str">
        <f t="shared" si="71"/>
        <v>Flotta [GBFLH]</v>
      </c>
      <c r="AN4581" t="s">
        <v>13174</v>
      </c>
      <c r="AO4581" t="s">
        <v>13175</v>
      </c>
    </row>
    <row r="4582" spans="39:41" ht="12" customHeight="1" x14ac:dyDescent="0.2">
      <c r="AM4582" t="str">
        <f t="shared" si="71"/>
        <v>Fluminense [BRFLU]</v>
      </c>
      <c r="AN4582" t="s">
        <v>3307</v>
      </c>
      <c r="AO4582" t="s">
        <v>3308</v>
      </c>
    </row>
    <row r="4583" spans="39:41" ht="12" customHeight="1" x14ac:dyDescent="0.2">
      <c r="AM4583" t="str">
        <f t="shared" si="71"/>
        <v>Flushing [GBFLU]</v>
      </c>
      <c r="AN4583" t="s">
        <v>13176</v>
      </c>
      <c r="AO4583" t="s">
        <v>13177</v>
      </c>
    </row>
    <row r="4584" spans="39:41" ht="12" customHeight="1" x14ac:dyDescent="0.2">
      <c r="AM4584" t="str">
        <f t="shared" si="71"/>
        <v>Flying Fish Cove [CXFFC]</v>
      </c>
      <c r="AN4584" t="s">
        <v>6753</v>
      </c>
      <c r="AO4584" t="s">
        <v>6754</v>
      </c>
    </row>
    <row r="4585" spans="39:41" ht="12" customHeight="1" x14ac:dyDescent="0.2">
      <c r="AM4585" t="str">
        <f t="shared" si="71"/>
        <v>Flynn [AUFLN]</v>
      </c>
      <c r="AN4585" t="s">
        <v>1665</v>
      </c>
      <c r="AO4585" t="s">
        <v>1666</v>
      </c>
    </row>
    <row r="4586" spans="39:41" ht="12" customHeight="1" x14ac:dyDescent="0.2">
      <c r="AM4586" t="str">
        <f t="shared" si="71"/>
        <v>Foca [TRFOC]</v>
      </c>
      <c r="AN4586" t="s">
        <v>28470</v>
      </c>
      <c r="AO4586" t="s">
        <v>36572</v>
      </c>
    </row>
    <row r="4587" spans="39:41" ht="12" customHeight="1" x14ac:dyDescent="0.2">
      <c r="AM4587" t="str">
        <f t="shared" si="71"/>
        <v>Foce Varano [ITFCV]</v>
      </c>
      <c r="AN4587" t="s">
        <v>17935</v>
      </c>
      <c r="AO4587" t="s">
        <v>17936</v>
      </c>
    </row>
    <row r="4588" spans="39:41" ht="12" customHeight="1" x14ac:dyDescent="0.2">
      <c r="AM4588" t="str">
        <f t="shared" si="71"/>
        <v>Foglo [FIFOG]</v>
      </c>
      <c r="AN4588" t="s">
        <v>10338</v>
      </c>
      <c r="AO4588" t="s">
        <v>35719</v>
      </c>
    </row>
    <row r="4589" spans="39:41" ht="12" customHeight="1" x14ac:dyDescent="0.2">
      <c r="AM4589" t="str">
        <f t="shared" si="71"/>
        <v>Fogo [CAFOG]</v>
      </c>
      <c r="AN4589" t="s">
        <v>3840</v>
      </c>
      <c r="AO4589" t="s">
        <v>3841</v>
      </c>
    </row>
    <row r="4590" spans="39:41" ht="12" customHeight="1" x14ac:dyDescent="0.2">
      <c r="AM4590" t="str">
        <f t="shared" si="71"/>
        <v>Foinaven [GBFNV]</v>
      </c>
      <c r="AN4590" t="s">
        <v>13178</v>
      </c>
      <c r="AO4590" t="s">
        <v>13179</v>
      </c>
    </row>
    <row r="4591" spans="39:41" ht="12" customHeight="1" x14ac:dyDescent="0.2">
      <c r="AM4591" t="str">
        <f t="shared" si="71"/>
        <v>Foindlemore - Loch Glendhu [GBFOI]</v>
      </c>
      <c r="AN4591" t="s">
        <v>13180</v>
      </c>
      <c r="AO4591" t="s">
        <v>13181</v>
      </c>
    </row>
    <row r="4592" spans="39:41" ht="12" customHeight="1" x14ac:dyDescent="0.2">
      <c r="AM4592" t="str">
        <f t="shared" si="71"/>
        <v>Fojnica [BAFOJ]</v>
      </c>
      <c r="AN4592" t="s">
        <v>2170</v>
      </c>
      <c r="AO4592" t="s">
        <v>2171</v>
      </c>
    </row>
    <row r="4593" spans="39:41" ht="12" customHeight="1" x14ac:dyDescent="0.2">
      <c r="AM4593" t="str">
        <f t="shared" si="71"/>
        <v>Folegandros [GRFOL]</v>
      </c>
      <c r="AN4593" t="s">
        <v>15214</v>
      </c>
      <c r="AO4593" t="s">
        <v>35901</v>
      </c>
    </row>
    <row r="4594" spans="39:41" ht="12" customHeight="1" x14ac:dyDescent="0.2">
      <c r="AM4594" t="str">
        <f t="shared" si="71"/>
        <v>Folkestone [GBFOL]</v>
      </c>
      <c r="AN4594" t="s">
        <v>13182</v>
      </c>
      <c r="AO4594" t="s">
        <v>13183</v>
      </c>
    </row>
    <row r="4595" spans="39:41" ht="12" customHeight="1" x14ac:dyDescent="0.2">
      <c r="AM4595" t="str">
        <f t="shared" si="71"/>
        <v>Follafoss [NOFOL]</v>
      </c>
      <c r="AN4595" t="s">
        <v>24088</v>
      </c>
      <c r="AO4595" t="s">
        <v>24089</v>
      </c>
    </row>
    <row r="4596" spans="39:41" ht="12" customHeight="1" x14ac:dyDescent="0.2">
      <c r="AM4596" t="str">
        <f t="shared" si="71"/>
        <v>Folle-Anse [GPFAE]</v>
      </c>
      <c r="AN4596" t="s">
        <v>15051</v>
      </c>
      <c r="AO4596" t="s">
        <v>15052</v>
      </c>
    </row>
    <row r="4597" spans="39:41" ht="12" customHeight="1" x14ac:dyDescent="0.2">
      <c r="AM4597" t="str">
        <f t="shared" si="71"/>
        <v>Follonica [ITFOL]</v>
      </c>
      <c r="AN4597" t="s">
        <v>17937</v>
      </c>
      <c r="AO4597" t="s">
        <v>17938</v>
      </c>
    </row>
    <row r="4598" spans="39:41" ht="12" customHeight="1" x14ac:dyDescent="0.2">
      <c r="AM4598" t="str">
        <f t="shared" si="71"/>
        <v>Fond Mombin [HTFOM]</v>
      </c>
      <c r="AN4598" t="s">
        <v>16029</v>
      </c>
      <c r="AO4598" t="s">
        <v>16030</v>
      </c>
    </row>
    <row r="4599" spans="39:41" ht="12" customHeight="1" x14ac:dyDescent="0.2">
      <c r="AM4599" t="str">
        <f t="shared" si="71"/>
        <v>Fonejacht [NLFJA]</v>
      </c>
      <c r="AN4599" t="s">
        <v>23189</v>
      </c>
      <c r="AO4599" t="s">
        <v>23190</v>
      </c>
    </row>
    <row r="4600" spans="39:41" ht="12" customHeight="1" x14ac:dyDescent="0.2">
      <c r="AM4600" t="str">
        <f t="shared" si="71"/>
        <v>Fonnes [NOFNN]</v>
      </c>
      <c r="AN4600" t="s">
        <v>24090</v>
      </c>
      <c r="AO4600" t="s">
        <v>24091</v>
      </c>
    </row>
    <row r="4601" spans="39:41" ht="12" customHeight="1" x14ac:dyDescent="0.2">
      <c r="AM4601" t="str">
        <f t="shared" si="71"/>
        <v>Fontafie [FRFIE]</v>
      </c>
      <c r="AN4601" t="s">
        <v>11293</v>
      </c>
      <c r="AO4601" t="s">
        <v>11294</v>
      </c>
    </row>
    <row r="4602" spans="39:41" ht="12" customHeight="1" x14ac:dyDescent="0.2">
      <c r="AM4602" t="str">
        <f t="shared" ref="AM4602:AM4665" si="72">AO4602 &amp; " [" &amp; AN4602 &amp; "]"</f>
        <v>Fontaine-le-Port [FRFOP]</v>
      </c>
      <c r="AN4602" t="s">
        <v>11295</v>
      </c>
      <c r="AO4602" t="s">
        <v>11296</v>
      </c>
    </row>
    <row r="4603" spans="39:41" ht="12" customHeight="1" x14ac:dyDescent="0.2">
      <c r="AM4603" t="str">
        <f t="shared" si="72"/>
        <v>Fontaine-Valmont [BEFVT]</v>
      </c>
      <c r="AN4603" t="s">
        <v>2456</v>
      </c>
      <c r="AO4603" t="s">
        <v>2457</v>
      </c>
    </row>
    <row r="4604" spans="39:41" ht="12" customHeight="1" x14ac:dyDescent="0.2">
      <c r="AM4604" t="str">
        <f t="shared" si="72"/>
        <v>Fontanar [ESGU6]</v>
      </c>
      <c r="AN4604" t="s">
        <v>9793</v>
      </c>
      <c r="AO4604" t="s">
        <v>9794</v>
      </c>
    </row>
    <row r="4605" spans="39:41" ht="12" customHeight="1" x14ac:dyDescent="0.2">
      <c r="AM4605" t="str">
        <f t="shared" si="72"/>
        <v>Fonte da Telha [PTFDT]</v>
      </c>
      <c r="AN4605" t="s">
        <v>26504</v>
      </c>
      <c r="AO4605" t="s">
        <v>26505</v>
      </c>
    </row>
    <row r="4606" spans="39:41" ht="12" customHeight="1" x14ac:dyDescent="0.2">
      <c r="AM4606" t="str">
        <f t="shared" si="72"/>
        <v>Fontenay-le-Comte [FRFOC]</v>
      </c>
      <c r="AN4606" t="s">
        <v>36954</v>
      </c>
      <c r="AO4606" t="s">
        <v>36955</v>
      </c>
    </row>
    <row r="4607" spans="39:41" ht="12" customHeight="1" x14ac:dyDescent="0.2">
      <c r="AM4607" t="str">
        <f t="shared" si="72"/>
        <v>Forby [FIFOR]</v>
      </c>
      <c r="AN4607" t="s">
        <v>10339</v>
      </c>
      <c r="AO4607" t="s">
        <v>35720</v>
      </c>
    </row>
    <row r="4608" spans="39:41" ht="12" customHeight="1" x14ac:dyDescent="0.2">
      <c r="AM4608" t="str">
        <f t="shared" si="72"/>
        <v>Forcados [NGFOR]</v>
      </c>
      <c r="AN4608" t="s">
        <v>22941</v>
      </c>
      <c r="AO4608" t="s">
        <v>22942</v>
      </c>
    </row>
    <row r="4609" spans="39:41" ht="12" customHeight="1" x14ac:dyDescent="0.2">
      <c r="AM4609" t="str">
        <f t="shared" si="72"/>
        <v>Forde [NOFDE]</v>
      </c>
      <c r="AN4609" t="s">
        <v>24092</v>
      </c>
      <c r="AO4609" t="s">
        <v>36168</v>
      </c>
    </row>
    <row r="4610" spans="39:41" ht="12" customHeight="1" x14ac:dyDescent="0.2">
      <c r="AM4610" t="str">
        <f t="shared" si="72"/>
        <v>Ford's Wharf (Topaz Energy Terminal) [IEFRW]</v>
      </c>
      <c r="AN4610" t="s">
        <v>16823</v>
      </c>
      <c r="AO4610" t="s">
        <v>16824</v>
      </c>
    </row>
    <row r="4611" spans="39:41" ht="12" customHeight="1" x14ac:dyDescent="0.2">
      <c r="AM4611" t="str">
        <f t="shared" si="72"/>
        <v>Forest [CAZFT]</v>
      </c>
      <c r="AN4611" t="s">
        <v>3842</v>
      </c>
      <c r="AO4611" t="s">
        <v>3843</v>
      </c>
    </row>
    <row r="4612" spans="39:41" ht="12" customHeight="1" x14ac:dyDescent="0.2">
      <c r="AM4612" t="str">
        <f t="shared" si="72"/>
        <v>Forest City [USFCC]</v>
      </c>
      <c r="AN4612" t="s">
        <v>29822</v>
      </c>
      <c r="AO4612" t="s">
        <v>29823</v>
      </c>
    </row>
    <row r="4613" spans="39:41" ht="12" customHeight="1" x14ac:dyDescent="0.2">
      <c r="AM4613" t="str">
        <f t="shared" si="72"/>
        <v>Forest Dale [USFSQ]</v>
      </c>
      <c r="AN4613" t="s">
        <v>29824</v>
      </c>
      <c r="AO4613" t="s">
        <v>29825</v>
      </c>
    </row>
    <row r="4614" spans="39:41" ht="12" customHeight="1" x14ac:dyDescent="0.2">
      <c r="AM4614" t="str">
        <f t="shared" si="72"/>
        <v>Forest Park [USFTA]</v>
      </c>
      <c r="AN4614" t="s">
        <v>29826</v>
      </c>
      <c r="AO4614" t="s">
        <v>29827</v>
      </c>
    </row>
    <row r="4615" spans="39:41" ht="12" customHeight="1" x14ac:dyDescent="0.2">
      <c r="AM4615" t="str">
        <f t="shared" si="72"/>
        <v>Forest Ranch [USRA3]</v>
      </c>
      <c r="AN4615" t="s">
        <v>29828</v>
      </c>
      <c r="AO4615" t="s">
        <v>29829</v>
      </c>
    </row>
    <row r="4616" spans="39:41" ht="12" customHeight="1" x14ac:dyDescent="0.2">
      <c r="AM4616" t="str">
        <f t="shared" si="72"/>
        <v>Forestville [CAFRV]</v>
      </c>
      <c r="AN4616" t="s">
        <v>3844</v>
      </c>
      <c r="AO4616" t="s">
        <v>3845</v>
      </c>
    </row>
    <row r="4617" spans="39:41" ht="12" customHeight="1" x14ac:dyDescent="0.2">
      <c r="AM4617" t="str">
        <f t="shared" si="72"/>
        <v>Forestville [USFO9]</v>
      </c>
      <c r="AN4617" t="s">
        <v>29830</v>
      </c>
      <c r="AO4617" t="s">
        <v>3845</v>
      </c>
    </row>
    <row r="4618" spans="39:41" ht="12" customHeight="1" x14ac:dyDescent="0.2">
      <c r="AM4618" t="str">
        <f t="shared" si="72"/>
        <v>Forio [ITFRD]</v>
      </c>
      <c r="AN4618" t="s">
        <v>17939</v>
      </c>
      <c r="AO4618" t="s">
        <v>17940</v>
      </c>
    </row>
    <row r="4619" spans="39:41" ht="12" customHeight="1" x14ac:dyDescent="0.2">
      <c r="AM4619" t="str">
        <f t="shared" si="72"/>
        <v>Formby [GBFRM]</v>
      </c>
      <c r="AN4619" t="s">
        <v>13184</v>
      </c>
      <c r="AO4619" t="s">
        <v>13185</v>
      </c>
    </row>
    <row r="4620" spans="39:41" ht="12" customHeight="1" x14ac:dyDescent="0.2">
      <c r="AM4620" t="str">
        <f t="shared" si="72"/>
        <v>Formentera Island [ESFLD]</v>
      </c>
      <c r="AN4620" t="s">
        <v>9795</v>
      </c>
      <c r="AO4620" t="s">
        <v>9796</v>
      </c>
    </row>
    <row r="4621" spans="39:41" ht="12" customHeight="1" x14ac:dyDescent="0.2">
      <c r="AM4621" t="str">
        <f t="shared" si="72"/>
        <v>Formia [ITFOM]</v>
      </c>
      <c r="AN4621" t="s">
        <v>17941</v>
      </c>
      <c r="AO4621" t="s">
        <v>17942</v>
      </c>
    </row>
    <row r="4622" spans="39:41" ht="12" customHeight="1" x14ac:dyDescent="0.2">
      <c r="AM4622" t="str">
        <f t="shared" si="72"/>
        <v>Formosa [ARFMA]</v>
      </c>
      <c r="AN4622" t="s">
        <v>1021</v>
      </c>
      <c r="AO4622" t="s">
        <v>1022</v>
      </c>
    </row>
    <row r="4623" spans="39:41" ht="12" customHeight="1" x14ac:dyDescent="0.2">
      <c r="AM4623" t="str">
        <f t="shared" si="72"/>
        <v>Fornes [NOFNS]</v>
      </c>
      <c r="AN4623" t="s">
        <v>24093</v>
      </c>
      <c r="AO4623" t="s">
        <v>24094</v>
      </c>
    </row>
    <row r="4624" spans="39:41" ht="12" customHeight="1" x14ac:dyDescent="0.2">
      <c r="AM4624" t="str">
        <f t="shared" si="72"/>
        <v>Forno Pt/Arraial do Cabo [BRFNO]</v>
      </c>
      <c r="AN4624" t="s">
        <v>36655</v>
      </c>
      <c r="AO4624" t="s">
        <v>36656</v>
      </c>
    </row>
    <row r="4625" spans="39:41" ht="12" customHeight="1" x14ac:dyDescent="0.2">
      <c r="AM4625" t="str">
        <f t="shared" si="72"/>
        <v>Foroy [NOFON]</v>
      </c>
      <c r="AN4625" t="s">
        <v>24095</v>
      </c>
      <c r="AO4625" t="s">
        <v>36169</v>
      </c>
    </row>
    <row r="4626" spans="39:41" ht="12" customHeight="1" x14ac:dyDescent="0.2">
      <c r="AM4626" t="str">
        <f t="shared" si="72"/>
        <v>Forsand [NOFOR]</v>
      </c>
      <c r="AN4626" t="s">
        <v>24096</v>
      </c>
      <c r="AO4626" t="s">
        <v>24097</v>
      </c>
    </row>
    <row r="4627" spans="39:41" ht="12" customHeight="1" x14ac:dyDescent="0.2">
      <c r="AM4627" t="str">
        <f t="shared" si="72"/>
        <v>Forsmark [SEFOR]</v>
      </c>
      <c r="AN4627" t="s">
        <v>27577</v>
      </c>
      <c r="AO4627" t="s">
        <v>27578</v>
      </c>
    </row>
    <row r="4628" spans="39:41" ht="12" customHeight="1" x14ac:dyDescent="0.2">
      <c r="AM4628" t="str">
        <f t="shared" si="72"/>
        <v>Forsol [NOFSL]</v>
      </c>
      <c r="AN4628" t="s">
        <v>24098</v>
      </c>
      <c r="AO4628" t="s">
        <v>36170</v>
      </c>
    </row>
    <row r="4629" spans="39:41" ht="12" customHeight="1" x14ac:dyDescent="0.2">
      <c r="AM4629" t="str">
        <f t="shared" si="72"/>
        <v>Forsyth [USZYF]</v>
      </c>
      <c r="AN4629" t="s">
        <v>29831</v>
      </c>
      <c r="AO4629" t="s">
        <v>29832</v>
      </c>
    </row>
    <row r="4630" spans="39:41" ht="12" customHeight="1" x14ac:dyDescent="0.2">
      <c r="AM4630" t="str">
        <f t="shared" si="72"/>
        <v>Fort Albany [CAFAL]</v>
      </c>
      <c r="AN4630" t="s">
        <v>3846</v>
      </c>
      <c r="AO4630" t="s">
        <v>3847</v>
      </c>
    </row>
    <row r="4631" spans="39:41" ht="12" customHeight="1" x14ac:dyDescent="0.2">
      <c r="AM4631" t="str">
        <f t="shared" si="72"/>
        <v>Fort Atkinson [USXFO]</v>
      </c>
      <c r="AN4631" t="s">
        <v>29833</v>
      </c>
      <c r="AO4631" t="s">
        <v>29834</v>
      </c>
    </row>
    <row r="4632" spans="39:41" ht="12" customHeight="1" x14ac:dyDescent="0.2">
      <c r="AM4632" t="str">
        <f t="shared" si="72"/>
        <v>Fort Bragg [USFOB]</v>
      </c>
      <c r="AN4632" t="s">
        <v>29835</v>
      </c>
      <c r="AO4632" t="s">
        <v>29836</v>
      </c>
    </row>
    <row r="4633" spans="39:41" ht="12" customHeight="1" x14ac:dyDescent="0.2">
      <c r="AM4633" t="str">
        <f t="shared" si="72"/>
        <v>Fort Calhoun [USFTC]</v>
      </c>
      <c r="AN4633" t="s">
        <v>29837</v>
      </c>
      <c r="AO4633" t="s">
        <v>29838</v>
      </c>
    </row>
    <row r="4634" spans="39:41" ht="12" customHeight="1" x14ac:dyDescent="0.2">
      <c r="AM4634" t="str">
        <f t="shared" si="72"/>
        <v>Fort Dauphin (Toalagnaro) [MGFTU]</v>
      </c>
      <c r="AN4634" t="s">
        <v>22120</v>
      </c>
      <c r="AO4634" t="s">
        <v>22121</v>
      </c>
    </row>
    <row r="4635" spans="39:41" ht="12" customHeight="1" x14ac:dyDescent="0.2">
      <c r="AM4635" t="str">
        <f t="shared" si="72"/>
        <v>Fort Davis [USQFA]</v>
      </c>
      <c r="AN4635" t="s">
        <v>29839</v>
      </c>
      <c r="AO4635" t="s">
        <v>29840</v>
      </c>
    </row>
    <row r="4636" spans="39:41" ht="12" customHeight="1" x14ac:dyDescent="0.2">
      <c r="AM4636" t="str">
        <f t="shared" si="72"/>
        <v>Fort Frances [CAFFS]</v>
      </c>
      <c r="AN4636" t="s">
        <v>3848</v>
      </c>
      <c r="AO4636" t="s">
        <v>3849</v>
      </c>
    </row>
    <row r="4637" spans="39:41" ht="12" customHeight="1" x14ac:dyDescent="0.2">
      <c r="AM4637" t="str">
        <f t="shared" si="72"/>
        <v>Fort Franklin [CAFKN]</v>
      </c>
      <c r="AN4637" t="s">
        <v>3850</v>
      </c>
      <c r="AO4637" t="s">
        <v>3851</v>
      </c>
    </row>
    <row r="4638" spans="39:41" ht="12" customHeight="1" x14ac:dyDescent="0.2">
      <c r="AM4638" t="str">
        <f t="shared" si="72"/>
        <v>Fort Langley [CAFLY]</v>
      </c>
      <c r="AN4638" t="s">
        <v>3852</v>
      </c>
      <c r="AO4638" t="s">
        <v>3853</v>
      </c>
    </row>
    <row r="4639" spans="39:41" ht="12" customHeight="1" x14ac:dyDescent="0.2">
      <c r="AM4639" t="str">
        <f t="shared" si="72"/>
        <v>Fort Lauderdale [USFLL]</v>
      </c>
      <c r="AN4639" t="s">
        <v>29841</v>
      </c>
      <c r="AO4639" t="s">
        <v>29842</v>
      </c>
    </row>
    <row r="4640" spans="39:41" ht="12" customHeight="1" x14ac:dyDescent="0.2">
      <c r="AM4640" t="str">
        <f t="shared" si="72"/>
        <v>Fort Liberte [HTFLI]</v>
      </c>
      <c r="AN4640" t="s">
        <v>16031</v>
      </c>
      <c r="AO4640" t="s">
        <v>16032</v>
      </c>
    </row>
    <row r="4641" spans="39:41" ht="12" customHeight="1" x14ac:dyDescent="0.2">
      <c r="AM4641" t="str">
        <f t="shared" si="72"/>
        <v>Fort Lupton [USQFU]</v>
      </c>
      <c r="AN4641" t="s">
        <v>29843</v>
      </c>
      <c r="AO4641" t="s">
        <v>29844</v>
      </c>
    </row>
    <row r="4642" spans="39:41" ht="12" customHeight="1" x14ac:dyDescent="0.2">
      <c r="AM4642" t="str">
        <f t="shared" si="72"/>
        <v>Fort MacKay [CAFMA]</v>
      </c>
      <c r="AN4642" t="s">
        <v>3854</v>
      </c>
      <c r="AO4642" t="s">
        <v>3855</v>
      </c>
    </row>
    <row r="4643" spans="39:41" ht="12" customHeight="1" x14ac:dyDescent="0.2">
      <c r="AM4643" t="str">
        <f t="shared" si="72"/>
        <v>Fort Monmouth [USFTM]</v>
      </c>
      <c r="AN4643" t="s">
        <v>29845</v>
      </c>
      <c r="AO4643" t="s">
        <v>29846</v>
      </c>
    </row>
    <row r="4644" spans="39:41" ht="12" customHeight="1" x14ac:dyDescent="0.2">
      <c r="AM4644" t="str">
        <f t="shared" si="72"/>
        <v>Fort Pierce [USFPR]</v>
      </c>
      <c r="AN4644" t="s">
        <v>29847</v>
      </c>
      <c r="AO4644" t="s">
        <v>29848</v>
      </c>
    </row>
    <row r="4645" spans="39:41" ht="12" customHeight="1" x14ac:dyDescent="0.2">
      <c r="AM4645" t="str">
        <f t="shared" si="72"/>
        <v>Fort Recovery [USFVR]</v>
      </c>
      <c r="AN4645" t="s">
        <v>29849</v>
      </c>
      <c r="AO4645" t="s">
        <v>29850</v>
      </c>
    </row>
    <row r="4646" spans="39:41" ht="12" customHeight="1" x14ac:dyDescent="0.2">
      <c r="AM4646" t="str">
        <f t="shared" si="72"/>
        <v>Fort Simpson [CAFSI]</v>
      </c>
      <c r="AN4646" t="s">
        <v>3856</v>
      </c>
      <c r="AO4646" t="s">
        <v>3857</v>
      </c>
    </row>
    <row r="4647" spans="39:41" ht="12" customHeight="1" x14ac:dyDescent="0.2">
      <c r="AM4647" t="str">
        <f t="shared" si="72"/>
        <v>Fort Smith [CAFSM]</v>
      </c>
      <c r="AN4647" t="s">
        <v>3858</v>
      </c>
      <c r="AO4647" t="s">
        <v>3859</v>
      </c>
    </row>
    <row r="4648" spans="39:41" ht="12" customHeight="1" x14ac:dyDescent="0.2">
      <c r="AM4648" t="str">
        <f t="shared" si="72"/>
        <v>Fort Snelling [USTSN]</v>
      </c>
      <c r="AN4648" t="s">
        <v>29851</v>
      </c>
      <c r="AO4648" t="s">
        <v>29852</v>
      </c>
    </row>
    <row r="4649" spans="39:41" ht="12" customHeight="1" x14ac:dyDescent="0.2">
      <c r="AM4649" t="str">
        <f t="shared" si="72"/>
        <v>Fort William [CAFWL]</v>
      </c>
      <c r="AN4649" t="s">
        <v>3860</v>
      </c>
      <c r="AO4649" t="s">
        <v>3861</v>
      </c>
    </row>
    <row r="4650" spans="39:41" ht="12" customHeight="1" x14ac:dyDescent="0.2">
      <c r="AM4650" t="str">
        <f t="shared" si="72"/>
        <v>Fort William [GBFWM]</v>
      </c>
      <c r="AN4650" t="s">
        <v>13186</v>
      </c>
      <c r="AO4650" t="s">
        <v>3861</v>
      </c>
    </row>
    <row r="4651" spans="39:41" ht="12" customHeight="1" x14ac:dyDescent="0.2">
      <c r="AM4651" t="str">
        <f t="shared" si="72"/>
        <v>Fortaleza [BRFOR]</v>
      </c>
      <c r="AN4651" t="s">
        <v>3309</v>
      </c>
      <c r="AO4651" t="s">
        <v>3310</v>
      </c>
    </row>
    <row r="4652" spans="39:41" ht="12" customHeight="1" x14ac:dyDescent="0.2">
      <c r="AM4652" t="str">
        <f t="shared" si="72"/>
        <v>Fort-Batard [FRFTB]</v>
      </c>
      <c r="AN4652" t="s">
        <v>11297</v>
      </c>
      <c r="AO4652" t="s">
        <v>11298</v>
      </c>
    </row>
    <row r="4653" spans="39:41" ht="12" customHeight="1" x14ac:dyDescent="0.2">
      <c r="AM4653" t="str">
        <f t="shared" si="72"/>
        <v>Fort-de-France [MQFDF]</v>
      </c>
      <c r="AN4653" t="s">
        <v>22225</v>
      </c>
      <c r="AO4653" t="s">
        <v>22226</v>
      </c>
    </row>
    <row r="4654" spans="39:41" ht="12" customHeight="1" x14ac:dyDescent="0.2">
      <c r="AM4654" t="str">
        <f t="shared" si="72"/>
        <v>Fortem [BEFRM]</v>
      </c>
      <c r="AN4654" t="s">
        <v>2458</v>
      </c>
      <c r="AO4654" t="s">
        <v>2459</v>
      </c>
    </row>
    <row r="4655" spans="39:41" ht="12" customHeight="1" x14ac:dyDescent="0.2">
      <c r="AM4655" t="str">
        <f t="shared" si="72"/>
        <v>Forth [GBFOR]</v>
      </c>
      <c r="AN4655" t="s">
        <v>13187</v>
      </c>
      <c r="AO4655" t="s">
        <v>13188</v>
      </c>
    </row>
    <row r="4656" spans="39:41" ht="12" customHeight="1" x14ac:dyDescent="0.2">
      <c r="AM4656" t="str">
        <f t="shared" si="72"/>
        <v>Fortrose [GBFTR]</v>
      </c>
      <c r="AN4656" t="s">
        <v>13189</v>
      </c>
      <c r="AO4656" t="s">
        <v>13190</v>
      </c>
    </row>
    <row r="4657" spans="39:41" ht="12" customHeight="1" x14ac:dyDescent="0.2">
      <c r="AM4657" t="str">
        <f t="shared" si="72"/>
        <v>Fortune [CAFOR]</v>
      </c>
      <c r="AN4657" t="s">
        <v>3862</v>
      </c>
      <c r="AO4657" t="s">
        <v>3863</v>
      </c>
    </row>
    <row r="4658" spans="39:41" ht="12" customHeight="1" x14ac:dyDescent="0.2">
      <c r="AM4658" t="str">
        <f t="shared" si="72"/>
        <v>Forus [NOFRS]</v>
      </c>
      <c r="AN4658" t="s">
        <v>24099</v>
      </c>
      <c r="AO4658" t="s">
        <v>24100</v>
      </c>
    </row>
    <row r="4659" spans="39:41" ht="12" customHeight="1" x14ac:dyDescent="0.2">
      <c r="AM4659" t="str">
        <f t="shared" si="72"/>
        <v>Fosdyke [GBFDK]</v>
      </c>
      <c r="AN4659" t="s">
        <v>13191</v>
      </c>
      <c r="AO4659" t="s">
        <v>13192</v>
      </c>
    </row>
    <row r="4660" spans="39:41" ht="12" customHeight="1" x14ac:dyDescent="0.2">
      <c r="AM4660" t="str">
        <f t="shared" si="72"/>
        <v>Foshan New Pt [CNFRT]</v>
      </c>
      <c r="AN4660" t="s">
        <v>5298</v>
      </c>
      <c r="AO4660" t="s">
        <v>5299</v>
      </c>
    </row>
    <row r="4661" spans="39:41" ht="12" customHeight="1" x14ac:dyDescent="0.2">
      <c r="AM4661" t="str">
        <f t="shared" si="72"/>
        <v>Fosnavag [NOFOS]</v>
      </c>
      <c r="AN4661" t="s">
        <v>24101</v>
      </c>
      <c r="AO4661" t="s">
        <v>36171</v>
      </c>
    </row>
    <row r="4662" spans="39:41" ht="12" customHeight="1" x14ac:dyDescent="0.2">
      <c r="AM4662" t="str">
        <f t="shared" si="72"/>
        <v>Fosnes [NOFSN]</v>
      </c>
      <c r="AN4662" t="s">
        <v>24102</v>
      </c>
      <c r="AO4662" t="s">
        <v>24103</v>
      </c>
    </row>
    <row r="4663" spans="39:41" ht="12" customHeight="1" x14ac:dyDescent="0.2">
      <c r="AM4663" t="str">
        <f t="shared" si="72"/>
        <v>Fossing [NOFOI]</v>
      </c>
      <c r="AN4663" t="s">
        <v>24104</v>
      </c>
      <c r="AO4663" t="s">
        <v>24105</v>
      </c>
    </row>
    <row r="4664" spans="39:41" ht="12" customHeight="1" x14ac:dyDescent="0.2">
      <c r="AM4664" t="str">
        <f t="shared" si="72"/>
        <v>Fos-sur-Mer [FRFOS]</v>
      </c>
      <c r="AN4664" t="s">
        <v>11299</v>
      </c>
      <c r="AO4664" t="s">
        <v>11300</v>
      </c>
    </row>
    <row r="4665" spans="39:41" ht="12" customHeight="1" x14ac:dyDescent="0.2">
      <c r="AM4665" t="str">
        <f t="shared" si="72"/>
        <v>Foston [GBDFN]</v>
      </c>
      <c r="AN4665" t="s">
        <v>13193</v>
      </c>
      <c r="AO4665" t="s">
        <v>13194</v>
      </c>
    </row>
    <row r="4666" spans="39:41" ht="12" customHeight="1" x14ac:dyDescent="0.2">
      <c r="AM4666" t="str">
        <f t="shared" ref="AM4666:AM4729" si="73">AO4666 &amp; " [" &amp; AN4666 &amp; "]"</f>
        <v>Foston [GBLIF]</v>
      </c>
      <c r="AN4666" t="s">
        <v>13195</v>
      </c>
      <c r="AO4666" t="s">
        <v>13194</v>
      </c>
    </row>
    <row r="4667" spans="39:41" ht="12" customHeight="1" x14ac:dyDescent="0.2">
      <c r="AM4667" t="str">
        <f t="shared" si="73"/>
        <v>Fouesnant [FRFUS]</v>
      </c>
      <c r="AN4667" t="s">
        <v>11301</v>
      </c>
      <c r="AO4667" t="s">
        <v>11302</v>
      </c>
    </row>
    <row r="4668" spans="39:41" ht="12" customHeight="1" x14ac:dyDescent="0.2">
      <c r="AM4668" t="str">
        <f t="shared" si="73"/>
        <v>Fougeres-sur-Bievre [FRFBI]</v>
      </c>
      <c r="AN4668" t="s">
        <v>11303</v>
      </c>
      <c r="AO4668" t="s">
        <v>11304</v>
      </c>
    </row>
    <row r="4669" spans="39:41" ht="12" customHeight="1" x14ac:dyDescent="0.2">
      <c r="AM4669" t="str">
        <f t="shared" si="73"/>
        <v>Foumboni, Moheli [KMFOU]</v>
      </c>
      <c r="AN4669" t="s">
        <v>21567</v>
      </c>
      <c r="AO4669" t="s">
        <v>21568</v>
      </c>
    </row>
    <row r="4670" spans="39:41" ht="12" customHeight="1" x14ac:dyDescent="0.2">
      <c r="AM4670" t="str">
        <f t="shared" si="73"/>
        <v>Foundiougne [SNFOU]</v>
      </c>
      <c r="AN4670" t="s">
        <v>28092</v>
      </c>
      <c r="AO4670" t="s">
        <v>28093</v>
      </c>
    </row>
    <row r="4671" spans="39:41" ht="12" customHeight="1" x14ac:dyDescent="0.2">
      <c r="AM4671" t="str">
        <f t="shared" si="73"/>
        <v>Fountain Hills [USQWI]</v>
      </c>
      <c r="AN4671" t="s">
        <v>29853</v>
      </c>
      <c r="AO4671" t="s">
        <v>29854</v>
      </c>
    </row>
    <row r="4672" spans="39:41" ht="12" customHeight="1" x14ac:dyDescent="0.2">
      <c r="AM4672" t="str">
        <f t="shared" si="73"/>
        <v>Four Oaks [USFR6]</v>
      </c>
      <c r="AN4672" t="s">
        <v>29855</v>
      </c>
      <c r="AO4672" t="s">
        <v>29856</v>
      </c>
    </row>
    <row r="4673" spans="39:41" ht="12" customHeight="1" x14ac:dyDescent="0.2">
      <c r="AM4673" t="str">
        <f t="shared" si="73"/>
        <v>Four Vanguard [AUFVN]</v>
      </c>
      <c r="AN4673" t="s">
        <v>1667</v>
      </c>
      <c r="AO4673" t="s">
        <v>1668</v>
      </c>
    </row>
    <row r="4674" spans="39:41" ht="12" customHeight="1" x14ac:dyDescent="0.2">
      <c r="AM4674" t="str">
        <f t="shared" si="73"/>
        <v>Fournoi [GRFOU]</v>
      </c>
      <c r="AN4674" t="s">
        <v>15215</v>
      </c>
      <c r="AO4674" t="s">
        <v>35902</v>
      </c>
    </row>
    <row r="4675" spans="39:41" ht="12" customHeight="1" x14ac:dyDescent="0.2">
      <c r="AM4675" t="str">
        <f t="shared" si="73"/>
        <v>Fovling [DKFRK]</v>
      </c>
      <c r="AN4675" t="s">
        <v>8687</v>
      </c>
      <c r="AO4675" t="s">
        <v>35535</v>
      </c>
    </row>
    <row r="4676" spans="39:41" ht="12" customHeight="1" x14ac:dyDescent="0.2">
      <c r="AM4676" t="str">
        <f t="shared" si="73"/>
        <v>Fowey [GBFOY]</v>
      </c>
      <c r="AN4676" t="s">
        <v>13196</v>
      </c>
      <c r="AO4676" t="s">
        <v>13197</v>
      </c>
    </row>
    <row r="4677" spans="39:41" ht="12" customHeight="1" x14ac:dyDescent="0.2">
      <c r="AM4677" t="str">
        <f t="shared" si="73"/>
        <v>Fox Bay [FKFBE]</v>
      </c>
      <c r="AN4677" t="s">
        <v>10638</v>
      </c>
      <c r="AO4677" t="s">
        <v>10639</v>
      </c>
    </row>
    <row r="4678" spans="39:41" ht="12" customHeight="1" x14ac:dyDescent="0.2">
      <c r="AM4678" t="str">
        <f t="shared" si="73"/>
        <v>Fox Lake [USYFX]</v>
      </c>
      <c r="AN4678" t="s">
        <v>29857</v>
      </c>
      <c r="AO4678" t="s">
        <v>29858</v>
      </c>
    </row>
    <row r="4679" spans="39:41" ht="12" customHeight="1" x14ac:dyDescent="0.2">
      <c r="AM4679" t="str">
        <f t="shared" si="73"/>
        <v>Foxhol [NLFOX]</v>
      </c>
      <c r="AN4679" t="s">
        <v>37043</v>
      </c>
      <c r="AO4679" t="s">
        <v>37044</v>
      </c>
    </row>
    <row r="4680" spans="39:41" ht="12" customHeight="1" x14ac:dyDescent="0.2">
      <c r="AM4680" t="str">
        <f t="shared" si="73"/>
        <v>Foynes [IEFOV]</v>
      </c>
      <c r="AN4680" t="s">
        <v>16825</v>
      </c>
      <c r="AO4680" t="s">
        <v>16826</v>
      </c>
    </row>
    <row r="4681" spans="39:41" ht="12" customHeight="1" x14ac:dyDescent="0.2">
      <c r="AM4681" t="str">
        <f t="shared" si="73"/>
        <v>Foz do Arelho [PTFOZ]</v>
      </c>
      <c r="AN4681" t="s">
        <v>26506</v>
      </c>
      <c r="AO4681" t="s">
        <v>26507</v>
      </c>
    </row>
    <row r="4682" spans="39:41" ht="12" customHeight="1" x14ac:dyDescent="0.2">
      <c r="AM4682" t="str">
        <f t="shared" si="73"/>
        <v>Fraamklap [NLFKP]</v>
      </c>
      <c r="AN4682" t="s">
        <v>23191</v>
      </c>
      <c r="AO4682" t="s">
        <v>23192</v>
      </c>
    </row>
    <row r="4683" spans="39:41" ht="12" customHeight="1" x14ac:dyDescent="0.2">
      <c r="AM4683" t="str">
        <f t="shared" si="73"/>
        <v>Frades [ESFRA]</v>
      </c>
      <c r="AN4683" t="s">
        <v>9797</v>
      </c>
      <c r="AO4683" t="s">
        <v>9798</v>
      </c>
    </row>
    <row r="4684" spans="39:41" ht="12" customHeight="1" x14ac:dyDescent="0.2">
      <c r="AM4684" t="str">
        <f t="shared" si="73"/>
        <v>Fraena [NOFRE]</v>
      </c>
      <c r="AN4684" t="s">
        <v>24106</v>
      </c>
      <c r="AO4684" t="s">
        <v>36172</v>
      </c>
    </row>
    <row r="4685" spans="39:41" ht="12" customHeight="1" x14ac:dyDescent="0.2">
      <c r="AM4685" t="str">
        <f t="shared" si="73"/>
        <v>Frafjord [NOOLT]</v>
      </c>
      <c r="AN4685" t="s">
        <v>24107</v>
      </c>
      <c r="AO4685" t="s">
        <v>24108</v>
      </c>
    </row>
    <row r="4686" spans="39:41" ht="12" customHeight="1" x14ac:dyDescent="0.2">
      <c r="AM4686" t="str">
        <f t="shared" si="73"/>
        <v>Fraijanes [CRFPN]</v>
      </c>
      <c r="AN4686" t="s">
        <v>6575</v>
      </c>
      <c r="AO4686" t="s">
        <v>6576</v>
      </c>
    </row>
    <row r="4687" spans="39:41" ht="12" customHeight="1" x14ac:dyDescent="0.2">
      <c r="AM4687" t="str">
        <f t="shared" si="73"/>
        <v>Fraisse-des-Corbieres [FRFDR]</v>
      </c>
      <c r="AN4687" t="s">
        <v>11305</v>
      </c>
      <c r="AO4687" t="s">
        <v>11306</v>
      </c>
    </row>
    <row r="4688" spans="39:41" ht="12" customHeight="1" x14ac:dyDescent="0.2">
      <c r="AM4688" t="str">
        <f t="shared" si="73"/>
        <v>Fram [XZFRM]</v>
      </c>
      <c r="AN4688" t="s">
        <v>32567</v>
      </c>
      <c r="AO4688" t="s">
        <v>32568</v>
      </c>
    </row>
    <row r="4689" spans="39:41" ht="12" customHeight="1" x14ac:dyDescent="0.2">
      <c r="AM4689" t="str">
        <f t="shared" si="73"/>
        <v>Framersheim [DEFSH]</v>
      </c>
      <c r="AN4689" t="s">
        <v>7390</v>
      </c>
      <c r="AO4689" t="s">
        <v>7391</v>
      </c>
    </row>
    <row r="4690" spans="39:41" ht="12" customHeight="1" x14ac:dyDescent="0.2">
      <c r="AM4690" t="str">
        <f t="shared" si="73"/>
        <v>Francavilla al Mare [ITFME]</v>
      </c>
      <c r="AN4690" t="s">
        <v>17943</v>
      </c>
      <c r="AO4690" t="s">
        <v>17944</v>
      </c>
    </row>
    <row r="4691" spans="39:41" ht="12" customHeight="1" x14ac:dyDescent="0.2">
      <c r="AM4691" t="str">
        <f t="shared" si="73"/>
        <v>Francesville [USFCV]</v>
      </c>
      <c r="AN4691" t="s">
        <v>29859</v>
      </c>
      <c r="AO4691" t="s">
        <v>29860</v>
      </c>
    </row>
    <row r="4692" spans="39:41" ht="12" customHeight="1" x14ac:dyDescent="0.2">
      <c r="AM4692" t="str">
        <f t="shared" si="73"/>
        <v>Francueil [FRFA3]</v>
      </c>
      <c r="AN4692" t="s">
        <v>11307</v>
      </c>
      <c r="AO4692" t="s">
        <v>11308</v>
      </c>
    </row>
    <row r="4693" spans="39:41" ht="12" customHeight="1" x14ac:dyDescent="0.2">
      <c r="AM4693" t="str">
        <f t="shared" si="73"/>
        <v>Frangy [FRRNY]</v>
      </c>
      <c r="AN4693" t="s">
        <v>11309</v>
      </c>
      <c r="AO4693" t="s">
        <v>11310</v>
      </c>
    </row>
    <row r="4694" spans="39:41" ht="12" customHeight="1" x14ac:dyDescent="0.2">
      <c r="AM4694" t="str">
        <f t="shared" si="73"/>
        <v>Franiere [BEFNR]</v>
      </c>
      <c r="AN4694" t="s">
        <v>2460</v>
      </c>
      <c r="AO4694" t="s">
        <v>35267</v>
      </c>
    </row>
    <row r="4695" spans="39:41" ht="12" customHeight="1" x14ac:dyDescent="0.2">
      <c r="AM4695" t="str">
        <f t="shared" si="73"/>
        <v>Frank Cassin Wharf [IEFCW]</v>
      </c>
      <c r="AN4695" t="s">
        <v>16827</v>
      </c>
      <c r="AO4695" t="s">
        <v>16828</v>
      </c>
    </row>
    <row r="4696" spans="39:41" ht="12" customHeight="1" x14ac:dyDescent="0.2">
      <c r="AM4696" t="str">
        <f t="shared" si="73"/>
        <v>Frankfort [USFNF]</v>
      </c>
      <c r="AN4696" t="s">
        <v>29861</v>
      </c>
      <c r="AO4696" t="s">
        <v>29862</v>
      </c>
    </row>
    <row r="4697" spans="39:41" ht="12" customHeight="1" x14ac:dyDescent="0.2">
      <c r="AM4697" t="str">
        <f t="shared" si="73"/>
        <v>Frankfurt am Main [DEFRA]</v>
      </c>
      <c r="AN4697" t="s">
        <v>7392</v>
      </c>
      <c r="AO4697" t="s">
        <v>7393</v>
      </c>
    </row>
    <row r="4698" spans="39:41" ht="12" customHeight="1" x14ac:dyDescent="0.2">
      <c r="AM4698" t="str">
        <f t="shared" si="73"/>
        <v>Frankfurt/Oder [DEFFO]</v>
      </c>
      <c r="AN4698" t="s">
        <v>7394</v>
      </c>
      <c r="AO4698" t="s">
        <v>7395</v>
      </c>
    </row>
    <row r="4699" spans="39:41" ht="12" customHeight="1" x14ac:dyDescent="0.2">
      <c r="AM4699" t="str">
        <f t="shared" si="73"/>
        <v>Frankland [AUFLD]</v>
      </c>
      <c r="AN4699" t="s">
        <v>1669</v>
      </c>
      <c r="AO4699" t="s">
        <v>1670</v>
      </c>
    </row>
    <row r="4700" spans="39:41" ht="12" customHeight="1" x14ac:dyDescent="0.2">
      <c r="AM4700" t="str">
        <f t="shared" si="73"/>
        <v>Franklin Furnace [USFAU]</v>
      </c>
      <c r="AN4700" t="s">
        <v>29863</v>
      </c>
      <c r="AO4700" t="s">
        <v>29864</v>
      </c>
    </row>
    <row r="4701" spans="39:41" ht="12" customHeight="1" x14ac:dyDescent="0.2">
      <c r="AM4701" t="str">
        <f t="shared" si="73"/>
        <v>Frano [SEFRA]</v>
      </c>
      <c r="AN4701" t="s">
        <v>27579</v>
      </c>
      <c r="AO4701" t="s">
        <v>36441</v>
      </c>
    </row>
    <row r="4702" spans="39:41" ht="12" customHeight="1" x14ac:dyDescent="0.2">
      <c r="AM4702" t="str">
        <f t="shared" si="73"/>
        <v>Fraser River [CAFRR]</v>
      </c>
      <c r="AN4702" t="s">
        <v>3864</v>
      </c>
      <c r="AO4702" t="s">
        <v>3865</v>
      </c>
    </row>
    <row r="4703" spans="39:41" ht="12" customHeight="1" x14ac:dyDescent="0.2">
      <c r="AM4703" t="str">
        <f t="shared" si="73"/>
        <v>Fraser Wharves [CAFWS]</v>
      </c>
      <c r="AN4703" t="s">
        <v>3866</v>
      </c>
      <c r="AO4703" t="s">
        <v>3867</v>
      </c>
    </row>
    <row r="4704" spans="39:41" ht="12" customHeight="1" x14ac:dyDescent="0.2">
      <c r="AM4704" t="str">
        <f t="shared" si="73"/>
        <v>Fraserburgh [GBFRB]</v>
      </c>
      <c r="AN4704" t="s">
        <v>13198</v>
      </c>
      <c r="AO4704" t="s">
        <v>13199</v>
      </c>
    </row>
    <row r="4705" spans="39:41" ht="12" customHeight="1" x14ac:dyDescent="0.2">
      <c r="AM4705" t="str">
        <f t="shared" si="73"/>
        <v>Fraser-Surrey Docks [CAFSD]</v>
      </c>
      <c r="AN4705" t="s">
        <v>3868</v>
      </c>
      <c r="AO4705" t="s">
        <v>3869</v>
      </c>
    </row>
    <row r="4706" spans="39:41" ht="12" customHeight="1" x14ac:dyDescent="0.2">
      <c r="AM4706" t="str">
        <f t="shared" si="73"/>
        <v>Frauenau [DEFRR]</v>
      </c>
      <c r="AN4706" t="s">
        <v>7396</v>
      </c>
      <c r="AO4706" t="s">
        <v>7397</v>
      </c>
    </row>
    <row r="4707" spans="39:41" ht="12" customHeight="1" x14ac:dyDescent="0.2">
      <c r="AM4707" t="str">
        <f t="shared" si="73"/>
        <v>Fray Bentos [UYFZB]</v>
      </c>
      <c r="AN4707" t="s">
        <v>32109</v>
      </c>
      <c r="AO4707" t="s">
        <v>32110</v>
      </c>
    </row>
    <row r="4708" spans="39:41" ht="12" customHeight="1" x14ac:dyDescent="0.2">
      <c r="AM4708" t="str">
        <f t="shared" si="73"/>
        <v>Frazeysburg [USYFZ]</v>
      </c>
      <c r="AN4708" t="s">
        <v>29865</v>
      </c>
      <c r="AO4708" t="s">
        <v>29866</v>
      </c>
    </row>
    <row r="4709" spans="39:41" ht="12" customHeight="1" x14ac:dyDescent="0.2">
      <c r="AM4709" t="str">
        <f t="shared" si="73"/>
        <v>Frecatei [ROFTE]</v>
      </c>
      <c r="AN4709" t="s">
        <v>26754</v>
      </c>
      <c r="AO4709" t="s">
        <v>26755</v>
      </c>
    </row>
    <row r="4710" spans="39:41" ht="12" customHeight="1" x14ac:dyDescent="0.2">
      <c r="AM4710" t="str">
        <f t="shared" si="73"/>
        <v>Fredericia [DKFRC]</v>
      </c>
      <c r="AN4710" t="s">
        <v>8688</v>
      </c>
      <c r="AO4710" t="s">
        <v>8689</v>
      </c>
    </row>
    <row r="4711" spans="39:41" ht="12" customHeight="1" x14ac:dyDescent="0.2">
      <c r="AM4711" t="str">
        <f t="shared" si="73"/>
        <v>Frederick [USXZD]</v>
      </c>
      <c r="AN4711" t="s">
        <v>29867</v>
      </c>
      <c r="AO4711" t="s">
        <v>29868</v>
      </c>
    </row>
    <row r="4712" spans="39:41" ht="12" customHeight="1" x14ac:dyDescent="0.2">
      <c r="AM4712" t="str">
        <f t="shared" si="73"/>
        <v>Fredericksburg [USFDE]</v>
      </c>
      <c r="AN4712" t="s">
        <v>29869</v>
      </c>
      <c r="AO4712" t="s">
        <v>29870</v>
      </c>
    </row>
    <row r="4713" spans="39:41" ht="12" customHeight="1" x14ac:dyDescent="0.2">
      <c r="AM4713" t="str">
        <f t="shared" si="73"/>
        <v>Fredericton [CAFRE]</v>
      </c>
      <c r="AN4713" t="s">
        <v>3870</v>
      </c>
      <c r="AO4713" t="s">
        <v>3871</v>
      </c>
    </row>
    <row r="4714" spans="39:41" ht="12" customHeight="1" x14ac:dyDescent="0.2">
      <c r="AM4714" t="str">
        <f t="shared" si="73"/>
        <v>Frederikshavn [DKFDH]</v>
      </c>
      <c r="AN4714" t="s">
        <v>8690</v>
      </c>
      <c r="AO4714" t="s">
        <v>8691</v>
      </c>
    </row>
    <row r="4715" spans="39:41" ht="12" customHeight="1" x14ac:dyDescent="0.2">
      <c r="AM4715" t="str">
        <f t="shared" si="73"/>
        <v>Frederikssund [DKFDS]</v>
      </c>
      <c r="AN4715" t="s">
        <v>8692</v>
      </c>
      <c r="AO4715" t="s">
        <v>8693</v>
      </c>
    </row>
    <row r="4716" spans="39:41" ht="12" customHeight="1" x14ac:dyDescent="0.2">
      <c r="AM4716" t="str">
        <f t="shared" si="73"/>
        <v>Frederiksted, Saint Croix [VIFRD]</v>
      </c>
      <c r="AN4716" t="s">
        <v>32286</v>
      </c>
      <c r="AO4716" t="s">
        <v>32287</v>
      </c>
    </row>
    <row r="4717" spans="39:41" ht="12" customHeight="1" x14ac:dyDescent="0.2">
      <c r="AM4717" t="str">
        <f t="shared" si="73"/>
        <v>Frederiksvark [DKFDV]</v>
      </c>
      <c r="AN4717" t="s">
        <v>8694</v>
      </c>
      <c r="AO4717" t="s">
        <v>35536</v>
      </c>
    </row>
    <row r="4718" spans="39:41" ht="12" customHeight="1" x14ac:dyDescent="0.2">
      <c r="AM4718" t="str">
        <f t="shared" si="73"/>
        <v>Fredrikshamn (Hamina) [FIHMN]</v>
      </c>
      <c r="AN4718" t="s">
        <v>10340</v>
      </c>
      <c r="AO4718" t="s">
        <v>10341</v>
      </c>
    </row>
    <row r="4719" spans="39:41" ht="12" customHeight="1" x14ac:dyDescent="0.2">
      <c r="AM4719" t="str">
        <f t="shared" si="73"/>
        <v>Fredrikstad [NOFRK]</v>
      </c>
      <c r="AN4719" t="s">
        <v>24109</v>
      </c>
      <c r="AO4719" t="s">
        <v>24110</v>
      </c>
    </row>
    <row r="4720" spans="39:41" ht="12" customHeight="1" x14ac:dyDescent="0.2">
      <c r="AM4720" t="str">
        <f t="shared" si="73"/>
        <v>Free Port [AEFRP]</v>
      </c>
      <c r="AN4720" t="s">
        <v>729</v>
      </c>
      <c r="AO4720" t="s">
        <v>730</v>
      </c>
    </row>
    <row r="4721" spans="39:41" ht="12" customHeight="1" x14ac:dyDescent="0.2">
      <c r="AM4721" t="str">
        <f t="shared" si="73"/>
        <v>Freedom [USFZZ]</v>
      </c>
      <c r="AN4721" t="s">
        <v>29871</v>
      </c>
      <c r="AO4721" t="s">
        <v>29872</v>
      </c>
    </row>
    <row r="4722" spans="39:41" ht="12" customHeight="1" x14ac:dyDescent="0.2">
      <c r="AM4722" t="str">
        <f t="shared" si="73"/>
        <v>Freeland [USFNB]</v>
      </c>
      <c r="AN4722" t="s">
        <v>29873</v>
      </c>
      <c r="AO4722" t="s">
        <v>29874</v>
      </c>
    </row>
    <row r="4723" spans="39:41" ht="12" customHeight="1" x14ac:dyDescent="0.2">
      <c r="AM4723" t="str">
        <f t="shared" si="73"/>
        <v>Freeport [BMFPT]</v>
      </c>
      <c r="AN4723" t="s">
        <v>3198</v>
      </c>
      <c r="AO4723" t="s">
        <v>3199</v>
      </c>
    </row>
    <row r="4724" spans="39:41" ht="12" customHeight="1" x14ac:dyDescent="0.2">
      <c r="AM4724" t="str">
        <f t="shared" si="73"/>
        <v>Freeport [USXAS]</v>
      </c>
      <c r="AN4724" t="s">
        <v>29875</v>
      </c>
      <c r="AO4724" t="s">
        <v>3199</v>
      </c>
    </row>
    <row r="4725" spans="39:41" ht="12" customHeight="1" x14ac:dyDescent="0.2">
      <c r="AM4725" t="str">
        <f t="shared" si="73"/>
        <v>Freeport [USEE8]</v>
      </c>
      <c r="AN4725" t="s">
        <v>29876</v>
      </c>
      <c r="AO4725" t="s">
        <v>3199</v>
      </c>
    </row>
    <row r="4726" spans="39:41" ht="12" customHeight="1" x14ac:dyDescent="0.2">
      <c r="AM4726" t="str">
        <f t="shared" si="73"/>
        <v>Freeport [USFPO]</v>
      </c>
      <c r="AN4726" t="s">
        <v>29877</v>
      </c>
      <c r="AO4726" t="s">
        <v>3199</v>
      </c>
    </row>
    <row r="4727" spans="39:41" ht="12" customHeight="1" x14ac:dyDescent="0.2">
      <c r="AM4727" t="str">
        <f t="shared" si="73"/>
        <v>Freeport, Grand Bahama [BSFPO]</v>
      </c>
      <c r="AN4727" t="s">
        <v>3433</v>
      </c>
      <c r="AO4727" t="s">
        <v>3434</v>
      </c>
    </row>
    <row r="4728" spans="39:41" ht="12" customHeight="1" x14ac:dyDescent="0.2">
      <c r="AM4728" t="str">
        <f t="shared" si="73"/>
        <v>Freetown [SLFNA]</v>
      </c>
      <c r="AN4728" t="s">
        <v>28080</v>
      </c>
      <c r="AO4728" t="s">
        <v>28081</v>
      </c>
    </row>
    <row r="4729" spans="39:41" ht="12" customHeight="1" x14ac:dyDescent="0.2">
      <c r="AM4729" t="str">
        <f t="shared" si="73"/>
        <v>Fregene [ITFGE]</v>
      </c>
      <c r="AN4729" t="s">
        <v>17945</v>
      </c>
      <c r="AO4729" t="s">
        <v>17946</v>
      </c>
    </row>
    <row r="4730" spans="39:41" ht="12" customHeight="1" x14ac:dyDescent="0.2">
      <c r="AM4730" t="str">
        <f t="shared" ref="AM4730:AM4793" si="74">AO4730 &amp; " [" &amp; AN4730 &amp; "]"</f>
        <v>Frei [NOFRJ]</v>
      </c>
      <c r="AN4730" t="s">
        <v>24111</v>
      </c>
      <c r="AO4730" t="s">
        <v>24112</v>
      </c>
    </row>
    <row r="4731" spans="39:41" ht="12" customHeight="1" x14ac:dyDescent="0.2">
      <c r="AM4731" t="str">
        <f t="shared" si="74"/>
        <v>Freidoon Kenar [IRFKR]</v>
      </c>
      <c r="AN4731" t="s">
        <v>17623</v>
      </c>
      <c r="AO4731" t="s">
        <v>17624</v>
      </c>
    </row>
    <row r="4732" spans="39:41" ht="12" customHeight="1" x14ac:dyDescent="0.2">
      <c r="AM4732" t="str">
        <f t="shared" si="74"/>
        <v>Freistett [DEFES]</v>
      </c>
      <c r="AN4732" t="s">
        <v>7398</v>
      </c>
      <c r="AO4732" t="s">
        <v>7399</v>
      </c>
    </row>
    <row r="4733" spans="39:41" ht="12" customHeight="1" x14ac:dyDescent="0.2">
      <c r="AM4733" t="str">
        <f t="shared" si="74"/>
        <v>Frekhaug [NOFKG]</v>
      </c>
      <c r="AN4733" t="s">
        <v>24113</v>
      </c>
      <c r="AO4733" t="s">
        <v>24114</v>
      </c>
    </row>
    <row r="4734" spans="39:41" ht="12" customHeight="1" x14ac:dyDescent="0.2">
      <c r="AM4734" t="str">
        <f t="shared" si="74"/>
        <v>Fremantle [AUFRE]</v>
      </c>
      <c r="AN4734" t="s">
        <v>1671</v>
      </c>
      <c r="AO4734" t="s">
        <v>1672</v>
      </c>
    </row>
    <row r="4735" spans="39:41" ht="12" customHeight="1" x14ac:dyDescent="0.2">
      <c r="AM4735" t="str">
        <f t="shared" si="74"/>
        <v>Frenchtown [USJWY]</v>
      </c>
      <c r="AN4735" t="s">
        <v>29878</v>
      </c>
      <c r="AO4735" t="s">
        <v>29879</v>
      </c>
    </row>
    <row r="4736" spans="39:41" ht="12" customHeight="1" x14ac:dyDescent="0.2">
      <c r="AM4736" t="str">
        <f t="shared" si="74"/>
        <v>Fresco [CIFRE]</v>
      </c>
      <c r="AN4736" t="s">
        <v>4783</v>
      </c>
      <c r="AO4736" t="s">
        <v>4784</v>
      </c>
    </row>
    <row r="4737" spans="39:41" ht="12" customHeight="1" x14ac:dyDescent="0.2">
      <c r="AM4737" t="str">
        <f t="shared" si="74"/>
        <v>Fresenburg [DEFRE]</v>
      </c>
      <c r="AN4737" t="s">
        <v>7400</v>
      </c>
      <c r="AO4737" t="s">
        <v>7401</v>
      </c>
    </row>
    <row r="4738" spans="39:41" ht="12" customHeight="1" x14ac:dyDescent="0.2">
      <c r="AM4738" t="str">
        <f t="shared" si="74"/>
        <v>Freshwater [AUFWT]</v>
      </c>
      <c r="AN4738" t="s">
        <v>1673</v>
      </c>
      <c r="AO4738" t="s">
        <v>1674</v>
      </c>
    </row>
    <row r="4739" spans="39:41" ht="12" customHeight="1" x14ac:dyDescent="0.2">
      <c r="AM4739" t="str">
        <f t="shared" si="74"/>
        <v>Freshwater [GBFRW]</v>
      </c>
      <c r="AN4739" t="s">
        <v>13200</v>
      </c>
      <c r="AO4739" t="s">
        <v>1674</v>
      </c>
    </row>
    <row r="4740" spans="39:41" ht="12" customHeight="1" x14ac:dyDescent="0.2">
      <c r="AM4740" t="str">
        <f t="shared" si="74"/>
        <v>Freshwater East [GBFWE]</v>
      </c>
      <c r="AN4740" t="s">
        <v>13201</v>
      </c>
      <c r="AO4740" t="s">
        <v>13202</v>
      </c>
    </row>
    <row r="4741" spans="39:41" ht="12" customHeight="1" x14ac:dyDescent="0.2">
      <c r="AM4741" t="str">
        <f t="shared" si="74"/>
        <v>Fresnes-sur-Escaut [FRFAU]</v>
      </c>
      <c r="AN4741" t="s">
        <v>11311</v>
      </c>
      <c r="AO4741" t="s">
        <v>11312</v>
      </c>
    </row>
    <row r="4742" spans="39:41" ht="12" customHeight="1" x14ac:dyDescent="0.2">
      <c r="AM4742" t="str">
        <f t="shared" si="74"/>
        <v>Fresnes-sur-Marne [FRF3M]</v>
      </c>
      <c r="AN4742" t="s">
        <v>11313</v>
      </c>
      <c r="AO4742" t="s">
        <v>11314</v>
      </c>
    </row>
    <row r="4743" spans="39:41" ht="12" customHeight="1" x14ac:dyDescent="0.2">
      <c r="AM4743" t="str">
        <f t="shared" si="74"/>
        <v>Freudenau [ATFNA]</v>
      </c>
      <c r="AN4743" t="s">
        <v>1206</v>
      </c>
      <c r="AO4743" t="s">
        <v>1207</v>
      </c>
    </row>
    <row r="4744" spans="39:41" ht="12" customHeight="1" x14ac:dyDescent="0.2">
      <c r="AM4744" t="str">
        <f t="shared" si="74"/>
        <v>Friden [GBNFR]</v>
      </c>
      <c r="AN4744" t="s">
        <v>13203</v>
      </c>
      <c r="AO4744" t="s">
        <v>13204</v>
      </c>
    </row>
    <row r="4745" spans="39:41" ht="12" customHeight="1" x14ac:dyDescent="0.2">
      <c r="AM4745" t="str">
        <f t="shared" si="74"/>
        <v>Friedrichsfeld [DEFHL]</v>
      </c>
      <c r="AN4745" t="s">
        <v>7402</v>
      </c>
      <c r="AO4745" t="s">
        <v>7403</v>
      </c>
    </row>
    <row r="4746" spans="39:41" ht="12" customHeight="1" x14ac:dyDescent="0.2">
      <c r="AM4746" t="str">
        <f t="shared" si="74"/>
        <v>Friedrichshafen [DEFDH]</v>
      </c>
      <c r="AN4746" t="s">
        <v>7404</v>
      </c>
      <c r="AO4746" t="s">
        <v>7405</v>
      </c>
    </row>
    <row r="4747" spans="39:41" ht="12" customHeight="1" x14ac:dyDescent="0.2">
      <c r="AM4747" t="str">
        <f t="shared" si="74"/>
        <v>Friedrichstadt [DEFRI]</v>
      </c>
      <c r="AN4747" t="s">
        <v>7406</v>
      </c>
      <c r="AO4747" t="s">
        <v>7407</v>
      </c>
    </row>
    <row r="4748" spans="39:41" ht="12" customHeight="1" x14ac:dyDescent="0.2">
      <c r="AM4748" t="str">
        <f t="shared" si="74"/>
        <v>Friedrich-Wilhelmshutte [DEFWH]</v>
      </c>
      <c r="AN4748" t="s">
        <v>7408</v>
      </c>
      <c r="AO4748" t="s">
        <v>7409</v>
      </c>
    </row>
    <row r="4749" spans="39:41" ht="12" customHeight="1" x14ac:dyDescent="0.2">
      <c r="AM4749" t="str">
        <f t="shared" si="74"/>
        <v>Frielendorf [DEFHE]</v>
      </c>
      <c r="AN4749" t="s">
        <v>7410</v>
      </c>
      <c r="AO4749" t="s">
        <v>7411</v>
      </c>
    </row>
    <row r="4750" spans="39:41" ht="12" customHeight="1" x14ac:dyDescent="0.2">
      <c r="AM4750" t="str">
        <f t="shared" si="74"/>
        <v>Friendship [USFSP]</v>
      </c>
      <c r="AN4750" t="s">
        <v>29880</v>
      </c>
      <c r="AO4750" t="s">
        <v>29881</v>
      </c>
    </row>
    <row r="4751" spans="39:41" ht="12" customHeight="1" x14ac:dyDescent="0.2">
      <c r="AM4751" t="str">
        <f t="shared" si="74"/>
        <v>Friesoythe [DEFYE]</v>
      </c>
      <c r="AN4751" t="s">
        <v>7412</v>
      </c>
      <c r="AO4751" t="s">
        <v>7413</v>
      </c>
    </row>
    <row r="4752" spans="39:41" ht="12" customHeight="1" x14ac:dyDescent="0.2">
      <c r="AM4752" t="str">
        <f t="shared" si="74"/>
        <v>Frikes Ithakis [GRSAT]</v>
      </c>
      <c r="AN4752" t="s">
        <v>15216</v>
      </c>
      <c r="AO4752" t="s">
        <v>15217</v>
      </c>
    </row>
    <row r="4753" spans="39:41" ht="12" customHeight="1" x14ac:dyDescent="0.2">
      <c r="AM4753" t="str">
        <f t="shared" si="74"/>
        <v>Frinton-on-Sea [GBFRI]</v>
      </c>
      <c r="AN4753" t="s">
        <v>13205</v>
      </c>
      <c r="AO4753" t="s">
        <v>13206</v>
      </c>
    </row>
    <row r="4754" spans="39:41" ht="12" customHeight="1" x14ac:dyDescent="0.2">
      <c r="AM4754" t="str">
        <f t="shared" si="74"/>
        <v>Frisby on the Wreake [GBFOW]</v>
      </c>
      <c r="AN4754" t="s">
        <v>13207</v>
      </c>
      <c r="AO4754" t="s">
        <v>13208</v>
      </c>
    </row>
    <row r="4755" spans="39:41" ht="12" customHeight="1" x14ac:dyDescent="0.2">
      <c r="AM4755" t="str">
        <f t="shared" si="74"/>
        <v>Fritzdorf [DEFNW]</v>
      </c>
      <c r="AN4755" t="s">
        <v>7414</v>
      </c>
      <c r="AO4755" t="s">
        <v>7415</v>
      </c>
    </row>
    <row r="4756" spans="39:41" ht="12" customHeight="1" x14ac:dyDescent="0.2">
      <c r="AM4756" t="str">
        <f t="shared" si="74"/>
        <v>Froan [NOFOA]</v>
      </c>
      <c r="AN4756" t="s">
        <v>24115</v>
      </c>
      <c r="AO4756" t="s">
        <v>24116</v>
      </c>
    </row>
    <row r="4757" spans="39:41" ht="12" customHeight="1" x14ac:dyDescent="0.2">
      <c r="AM4757" t="str">
        <f t="shared" si="74"/>
        <v>Frogn [NOFRN]</v>
      </c>
      <c r="AN4757" t="s">
        <v>24117</v>
      </c>
      <c r="AO4757" t="s">
        <v>24118</v>
      </c>
    </row>
    <row r="4758" spans="39:41" ht="12" customHeight="1" x14ac:dyDescent="0.2">
      <c r="AM4758" t="str">
        <f t="shared" si="74"/>
        <v>Frombork [PLFBK]</v>
      </c>
      <c r="AN4758" t="s">
        <v>26296</v>
      </c>
      <c r="AO4758" t="s">
        <v>26297</v>
      </c>
    </row>
    <row r="4759" spans="39:41" ht="12" customHeight="1" x14ac:dyDescent="0.2">
      <c r="AM4759" t="str">
        <f t="shared" si="74"/>
        <v>Front Puffin FPSO [AUPUF]</v>
      </c>
      <c r="AN4759" t="s">
        <v>1675</v>
      </c>
      <c r="AO4759" t="s">
        <v>1676</v>
      </c>
    </row>
    <row r="4760" spans="39:41" ht="12" customHeight="1" x14ac:dyDescent="0.2">
      <c r="AM4760" t="str">
        <f t="shared" si="74"/>
        <v>Frontera [MXFRN]</v>
      </c>
      <c r="AN4760" t="s">
        <v>22360</v>
      </c>
      <c r="AO4760" t="s">
        <v>22361</v>
      </c>
    </row>
    <row r="4761" spans="39:41" ht="12" customHeight="1" x14ac:dyDescent="0.2">
      <c r="AM4761" t="str">
        <f t="shared" si="74"/>
        <v>Frosta [NOFRT]</v>
      </c>
      <c r="AN4761" t="s">
        <v>24119</v>
      </c>
      <c r="AO4761" t="s">
        <v>24120</v>
      </c>
    </row>
    <row r="4762" spans="39:41" ht="12" customHeight="1" x14ac:dyDescent="0.2">
      <c r="AM4762" t="str">
        <f t="shared" si="74"/>
        <v>Froya [NOFRA]</v>
      </c>
      <c r="AN4762" t="s">
        <v>24121</v>
      </c>
      <c r="AO4762" t="s">
        <v>36173</v>
      </c>
    </row>
    <row r="4763" spans="39:41" ht="12" customHeight="1" x14ac:dyDescent="0.2">
      <c r="AM4763" t="str">
        <f t="shared" si="74"/>
        <v>Fruitland [USRXR]</v>
      </c>
      <c r="AN4763" t="s">
        <v>29882</v>
      </c>
      <c r="AO4763" t="s">
        <v>29883</v>
      </c>
    </row>
    <row r="4764" spans="39:41" ht="12" customHeight="1" x14ac:dyDescent="0.2">
      <c r="AM4764" t="str">
        <f t="shared" si="74"/>
        <v>Fruitland [USZFM]</v>
      </c>
      <c r="AN4764" t="s">
        <v>29884</v>
      </c>
      <c r="AO4764" t="s">
        <v>29883</v>
      </c>
    </row>
    <row r="4765" spans="39:41" ht="12" customHeight="1" x14ac:dyDescent="0.2">
      <c r="AM4765" t="str">
        <f t="shared" si="74"/>
        <v>Fublaines [FRFBL]</v>
      </c>
      <c r="AN4765" t="s">
        <v>11315</v>
      </c>
      <c r="AO4765" t="s">
        <v>11316</v>
      </c>
    </row>
    <row r="4766" spans="39:41" ht="12" customHeight="1" x14ac:dyDescent="0.2">
      <c r="AM4766" t="str">
        <f t="shared" si="74"/>
        <v>Fucheng [CNFUC]</v>
      </c>
      <c r="AN4766" t="s">
        <v>5300</v>
      </c>
      <c r="AO4766" t="s">
        <v>5301</v>
      </c>
    </row>
    <row r="4767" spans="39:41" ht="12" customHeight="1" x14ac:dyDescent="0.2">
      <c r="AM4767" t="str">
        <f t="shared" si="74"/>
        <v>Fuchinomoto [JPFCM]</v>
      </c>
      <c r="AN4767" t="s">
        <v>18752</v>
      </c>
      <c r="AO4767" t="s">
        <v>18753</v>
      </c>
    </row>
    <row r="4768" spans="39:41" ht="12" customHeight="1" x14ac:dyDescent="0.2">
      <c r="AM4768" t="str">
        <f t="shared" si="74"/>
        <v>Fuensalida [ESFSL]</v>
      </c>
      <c r="AN4768" t="s">
        <v>9799</v>
      </c>
      <c r="AO4768" t="s">
        <v>9800</v>
      </c>
    </row>
    <row r="4769" spans="39:41" ht="12" customHeight="1" x14ac:dyDescent="0.2">
      <c r="AM4769" t="str">
        <f t="shared" si="74"/>
        <v>Fuente-Alamo [ESFAL]</v>
      </c>
      <c r="AN4769" t="s">
        <v>9801</v>
      </c>
      <c r="AO4769" t="s">
        <v>35670</v>
      </c>
    </row>
    <row r="4770" spans="39:41" ht="12" customHeight="1" x14ac:dyDescent="0.2">
      <c r="AM4770" t="str">
        <f t="shared" si="74"/>
        <v>Fuenterrabia [ESEWE]</v>
      </c>
      <c r="AN4770" t="s">
        <v>9802</v>
      </c>
      <c r="AO4770" t="s">
        <v>35671</v>
      </c>
    </row>
    <row r="4771" spans="39:41" ht="12" customHeight="1" x14ac:dyDescent="0.2">
      <c r="AM4771" t="str">
        <f t="shared" si="74"/>
        <v>Fuerte Olimpo [PYFUO]</v>
      </c>
      <c r="AN4771" t="s">
        <v>26670</v>
      </c>
      <c r="AO4771" t="s">
        <v>26671</v>
      </c>
    </row>
    <row r="4772" spans="39:41" ht="12" customHeight="1" x14ac:dyDescent="0.2">
      <c r="AM4772" t="str">
        <f t="shared" si="74"/>
        <v>Fugang [CNFAG]</v>
      </c>
      <c r="AN4772" t="s">
        <v>5302</v>
      </c>
      <c r="AO4772" t="s">
        <v>5303</v>
      </c>
    </row>
    <row r="4773" spans="39:41" ht="12" customHeight="1" x14ac:dyDescent="0.2">
      <c r="AM4773" t="str">
        <f t="shared" si="74"/>
        <v>Fuglafjordur [FOFUG]</v>
      </c>
      <c r="AN4773" t="s">
        <v>10673</v>
      </c>
      <c r="AO4773" t="s">
        <v>35762</v>
      </c>
    </row>
    <row r="4774" spans="39:41" ht="12" customHeight="1" x14ac:dyDescent="0.2">
      <c r="AM4774" t="str">
        <f t="shared" si="74"/>
        <v>Fugusaki [JPFGS]</v>
      </c>
      <c r="AN4774" t="s">
        <v>18754</v>
      </c>
      <c r="AO4774" t="s">
        <v>18755</v>
      </c>
    </row>
    <row r="4775" spans="39:41" ht="12" customHeight="1" x14ac:dyDescent="0.2">
      <c r="AM4775" t="str">
        <f t="shared" si="74"/>
        <v>Fuikbaai [CWFUI]</v>
      </c>
      <c r="AN4775" t="s">
        <v>6747</v>
      </c>
      <c r="AO4775" t="s">
        <v>6748</v>
      </c>
    </row>
    <row r="4776" spans="39:41" ht="12" customHeight="1" x14ac:dyDescent="0.2">
      <c r="AM4776" t="str">
        <f t="shared" si="74"/>
        <v>Fujin [CNFUJ]</v>
      </c>
      <c r="AN4776" t="s">
        <v>5304</v>
      </c>
      <c r="AO4776" t="s">
        <v>5305</v>
      </c>
    </row>
    <row r="4777" spans="39:41" ht="12" customHeight="1" x14ac:dyDescent="0.2">
      <c r="AM4777" t="str">
        <f t="shared" si="74"/>
        <v>Fujino [JPFJN]</v>
      </c>
      <c r="AN4777" t="s">
        <v>18756</v>
      </c>
      <c r="AO4777" t="s">
        <v>18757</v>
      </c>
    </row>
    <row r="4778" spans="39:41" ht="12" customHeight="1" x14ac:dyDescent="0.2">
      <c r="AM4778" t="str">
        <f t="shared" si="74"/>
        <v>Fukae, Hiroshima [JPFKH]</v>
      </c>
      <c r="AN4778" t="s">
        <v>18758</v>
      </c>
      <c r="AO4778" t="s">
        <v>18759</v>
      </c>
    </row>
    <row r="4779" spans="39:41" ht="12" customHeight="1" x14ac:dyDescent="0.2">
      <c r="AM4779" t="str">
        <f t="shared" si="74"/>
        <v>Fukae, Nagasaki [JPFAE]</v>
      </c>
      <c r="AN4779" t="s">
        <v>18760</v>
      </c>
      <c r="AO4779" t="s">
        <v>18761</v>
      </c>
    </row>
    <row r="4780" spans="39:41" ht="12" customHeight="1" x14ac:dyDescent="0.2">
      <c r="AM4780" t="str">
        <f t="shared" si="74"/>
        <v>Fukai [JPFKI]</v>
      </c>
      <c r="AN4780" t="s">
        <v>18762</v>
      </c>
      <c r="AO4780" t="s">
        <v>18763</v>
      </c>
    </row>
    <row r="4781" spans="39:41" ht="12" customHeight="1" x14ac:dyDescent="0.2">
      <c r="AM4781" t="str">
        <f t="shared" si="74"/>
        <v>Fukami [JPFUM]</v>
      </c>
      <c r="AN4781" t="s">
        <v>18764</v>
      </c>
      <c r="AO4781" t="s">
        <v>18765</v>
      </c>
    </row>
    <row r="4782" spans="39:41" ht="12" customHeight="1" x14ac:dyDescent="0.2">
      <c r="AM4782" t="str">
        <f t="shared" si="74"/>
        <v>Fukari [JPFRI]</v>
      </c>
      <c r="AN4782" t="s">
        <v>18766</v>
      </c>
      <c r="AO4782" t="s">
        <v>18767</v>
      </c>
    </row>
    <row r="4783" spans="39:41" ht="12" customHeight="1" x14ac:dyDescent="0.2">
      <c r="AM4783" t="str">
        <f t="shared" si="74"/>
        <v>Fukaura, Aomori [JPFKK]</v>
      </c>
      <c r="AN4783" t="s">
        <v>18768</v>
      </c>
      <c r="AO4783" t="s">
        <v>18769</v>
      </c>
    </row>
    <row r="4784" spans="39:41" ht="12" customHeight="1" x14ac:dyDescent="0.2">
      <c r="AM4784" t="str">
        <f t="shared" si="74"/>
        <v>Fukaura, Ehime [JPFKR]</v>
      </c>
      <c r="AN4784" t="s">
        <v>18770</v>
      </c>
      <c r="AO4784" t="s">
        <v>18771</v>
      </c>
    </row>
    <row r="4785" spans="39:41" ht="12" customHeight="1" x14ac:dyDescent="0.2">
      <c r="AM4785" t="str">
        <f t="shared" si="74"/>
        <v>Fukawa [JPFUW]</v>
      </c>
      <c r="AN4785" t="s">
        <v>18772</v>
      </c>
      <c r="AO4785" t="s">
        <v>18773</v>
      </c>
    </row>
    <row r="4786" spans="39:41" ht="12" customHeight="1" x14ac:dyDescent="0.2">
      <c r="AM4786" t="str">
        <f t="shared" si="74"/>
        <v>Fuke [JPFUE]</v>
      </c>
      <c r="AN4786" t="s">
        <v>18774</v>
      </c>
      <c r="AO4786" t="s">
        <v>18775</v>
      </c>
    </row>
    <row r="4787" spans="39:41" ht="12" customHeight="1" x14ac:dyDescent="0.2">
      <c r="AM4787" t="str">
        <f t="shared" si="74"/>
        <v>Fukuda [JPFKD]</v>
      </c>
      <c r="AN4787" t="s">
        <v>18776</v>
      </c>
      <c r="AO4787" t="s">
        <v>18777</v>
      </c>
    </row>
    <row r="4788" spans="39:41" ht="12" customHeight="1" x14ac:dyDescent="0.2">
      <c r="AM4788" t="str">
        <f t="shared" si="74"/>
        <v>Fukue, Aichi [JPFKE]</v>
      </c>
      <c r="AN4788" t="s">
        <v>18778</v>
      </c>
      <c r="AO4788" t="s">
        <v>18779</v>
      </c>
    </row>
    <row r="4789" spans="39:41" ht="12" customHeight="1" x14ac:dyDescent="0.2">
      <c r="AM4789" t="str">
        <f t="shared" si="74"/>
        <v>Fukue, Nagasaki [JPFUJ]</v>
      </c>
      <c r="AN4789" t="s">
        <v>18780</v>
      </c>
      <c r="AO4789" t="s">
        <v>18781</v>
      </c>
    </row>
    <row r="4790" spans="39:41" ht="12" customHeight="1" x14ac:dyDescent="0.2">
      <c r="AM4790" t="str">
        <f t="shared" si="74"/>
        <v>Fukui [JPFKJ]</v>
      </c>
      <c r="AN4790" t="s">
        <v>18782</v>
      </c>
      <c r="AO4790" t="s">
        <v>18783</v>
      </c>
    </row>
    <row r="4791" spans="39:41" ht="12" customHeight="1" x14ac:dyDescent="0.2">
      <c r="AM4791" t="str">
        <f t="shared" si="74"/>
        <v>Fukura, Hyogo [JPFRA]</v>
      </c>
      <c r="AN4791" t="s">
        <v>18784</v>
      </c>
      <c r="AO4791" t="s">
        <v>18785</v>
      </c>
    </row>
    <row r="4792" spans="39:41" ht="12" customHeight="1" x14ac:dyDescent="0.2">
      <c r="AM4792" t="str">
        <f t="shared" si="74"/>
        <v>Fukura, Kagoshima [JPFUU]</v>
      </c>
      <c r="AN4792" t="s">
        <v>18786</v>
      </c>
      <c r="AO4792" t="s">
        <v>18787</v>
      </c>
    </row>
    <row r="4793" spans="39:41" ht="12" customHeight="1" x14ac:dyDescent="0.2">
      <c r="AM4793" t="str">
        <f t="shared" si="74"/>
        <v>Fukuro [JPFUO]</v>
      </c>
      <c r="AN4793" t="s">
        <v>18788</v>
      </c>
      <c r="AO4793" t="s">
        <v>18789</v>
      </c>
    </row>
    <row r="4794" spans="39:41" ht="12" customHeight="1" x14ac:dyDescent="0.2">
      <c r="AM4794" t="str">
        <f t="shared" ref="AM4794:AM4857" si="75">AO4794 &amp; " [" &amp; AN4794 &amp; "]"</f>
        <v>Fukushima, Hokkaido [JPFKU]</v>
      </c>
      <c r="AN4794" t="s">
        <v>18790</v>
      </c>
      <c r="AO4794" t="s">
        <v>18791</v>
      </c>
    </row>
    <row r="4795" spans="39:41" ht="12" customHeight="1" x14ac:dyDescent="0.2">
      <c r="AM4795" t="str">
        <f t="shared" si="75"/>
        <v>Fukushima, Miyazaki [JPFMS]</v>
      </c>
      <c r="AN4795" t="s">
        <v>18792</v>
      </c>
      <c r="AO4795" t="s">
        <v>18793</v>
      </c>
    </row>
    <row r="4796" spans="39:41" ht="12" customHeight="1" x14ac:dyDescent="0.2">
      <c r="AM4796" t="str">
        <f t="shared" si="75"/>
        <v>Fukushima, Nagasaki [JPFKM]</v>
      </c>
      <c r="AN4796" t="s">
        <v>18794</v>
      </c>
      <c r="AO4796" t="s">
        <v>18795</v>
      </c>
    </row>
    <row r="4797" spans="39:41" ht="12" customHeight="1" x14ac:dyDescent="0.2">
      <c r="AM4797" t="str">
        <f t="shared" si="75"/>
        <v>Fukuura, Ehime [JPFUR]</v>
      </c>
      <c r="AN4797" t="s">
        <v>18796</v>
      </c>
      <c r="AO4797" t="s">
        <v>18797</v>
      </c>
    </row>
    <row r="4798" spans="39:41" ht="12" customHeight="1" x14ac:dyDescent="0.2">
      <c r="AM4798" t="str">
        <f t="shared" si="75"/>
        <v>Fukuura, Ishikawa [JPFRJ]</v>
      </c>
      <c r="AN4798" t="s">
        <v>18798</v>
      </c>
      <c r="AO4798" t="s">
        <v>18799</v>
      </c>
    </row>
    <row r="4799" spans="39:41" ht="12" customHeight="1" x14ac:dyDescent="0.2">
      <c r="AM4799" t="str">
        <f t="shared" si="75"/>
        <v>Fukuura, Kumamoto [JPFUA]</v>
      </c>
      <c r="AN4799" t="s">
        <v>18800</v>
      </c>
      <c r="AO4799" t="s">
        <v>18801</v>
      </c>
    </row>
    <row r="4800" spans="39:41" ht="12" customHeight="1" x14ac:dyDescent="0.2">
      <c r="AM4800" t="str">
        <f t="shared" si="75"/>
        <v>Fukuyama, Hiroshima [JPFKY]</v>
      </c>
      <c r="AN4800" t="s">
        <v>18802</v>
      </c>
      <c r="AO4800" t="s">
        <v>18803</v>
      </c>
    </row>
    <row r="4801" spans="39:41" ht="12" customHeight="1" x14ac:dyDescent="0.2">
      <c r="AM4801" t="str">
        <f t="shared" si="75"/>
        <v>Fukuyama, Kagoshima [JPFYM]</v>
      </c>
      <c r="AN4801" t="s">
        <v>18804</v>
      </c>
      <c r="AO4801" t="s">
        <v>18805</v>
      </c>
    </row>
    <row r="4802" spans="39:41" ht="12" customHeight="1" x14ac:dyDescent="0.2">
      <c r="AM4802" t="str">
        <f t="shared" si="75"/>
        <v>Fuling [CNFLG]</v>
      </c>
      <c r="AN4802" t="s">
        <v>5306</v>
      </c>
      <c r="AO4802" t="s">
        <v>5307</v>
      </c>
    </row>
    <row r="4803" spans="39:41" ht="12" customHeight="1" x14ac:dyDescent="0.2">
      <c r="AM4803" t="str">
        <f t="shared" si="75"/>
        <v>Fulleborn [PGFUB]</v>
      </c>
      <c r="AN4803" t="s">
        <v>25378</v>
      </c>
      <c r="AO4803" t="s">
        <v>25379</v>
      </c>
    </row>
    <row r="4804" spans="39:41" ht="12" customHeight="1" x14ac:dyDescent="0.2">
      <c r="AM4804" t="str">
        <f t="shared" si="75"/>
        <v>Fulmar Field [GBFMF]</v>
      </c>
      <c r="AN4804" t="s">
        <v>13209</v>
      </c>
      <c r="AO4804" t="s">
        <v>13210</v>
      </c>
    </row>
    <row r="4805" spans="39:41" ht="12" customHeight="1" x14ac:dyDescent="0.2">
      <c r="AM4805" t="str">
        <f t="shared" si="75"/>
        <v>Fulpmes [ATFPS]</v>
      </c>
      <c r="AN4805" t="s">
        <v>1208</v>
      </c>
      <c r="AO4805" t="s">
        <v>1209</v>
      </c>
    </row>
    <row r="4806" spans="39:41" ht="12" customHeight="1" x14ac:dyDescent="0.2">
      <c r="AM4806" t="str">
        <f t="shared" si="75"/>
        <v>Fumay [FRFMA]</v>
      </c>
      <c r="AN4806" t="s">
        <v>11317</v>
      </c>
      <c r="AO4806" t="s">
        <v>11318</v>
      </c>
    </row>
    <row r="4807" spans="39:41" ht="12" customHeight="1" x14ac:dyDescent="0.2">
      <c r="AM4807" t="str">
        <f t="shared" si="75"/>
        <v>Funabashi [JPFNB]</v>
      </c>
      <c r="AN4807" t="s">
        <v>18806</v>
      </c>
      <c r="AO4807" t="s">
        <v>18807</v>
      </c>
    </row>
    <row r="4808" spans="39:41" ht="12" customHeight="1" x14ac:dyDescent="0.2">
      <c r="AM4808" t="str">
        <f t="shared" si="75"/>
        <v>Funadomari [JPFND]</v>
      </c>
      <c r="AN4808" t="s">
        <v>18808</v>
      </c>
      <c r="AO4808" t="s">
        <v>18809</v>
      </c>
    </row>
    <row r="4809" spans="39:41" ht="12" customHeight="1" x14ac:dyDescent="0.2">
      <c r="AM4809" t="str">
        <f t="shared" si="75"/>
        <v>Funafuti [TVFUN]</v>
      </c>
      <c r="AN4809" t="s">
        <v>28660</v>
      </c>
      <c r="AO4809" t="s">
        <v>28661</v>
      </c>
    </row>
    <row r="4810" spans="39:41" ht="12" customHeight="1" x14ac:dyDescent="0.2">
      <c r="AM4810" t="str">
        <f t="shared" si="75"/>
        <v>Funagawa [JPFNK]</v>
      </c>
      <c r="AN4810" t="s">
        <v>18810</v>
      </c>
      <c r="AO4810" t="s">
        <v>18811</v>
      </c>
    </row>
    <row r="4811" spans="39:41" ht="12" customHeight="1" x14ac:dyDescent="0.2">
      <c r="AM4811" t="str">
        <f t="shared" si="75"/>
        <v>Funakakushi [JPFSH]</v>
      </c>
      <c r="AN4811" t="s">
        <v>18812</v>
      </c>
      <c r="AO4811" t="s">
        <v>18813</v>
      </c>
    </row>
    <row r="4812" spans="39:41" ht="12" customHeight="1" x14ac:dyDescent="0.2">
      <c r="AM4812" t="str">
        <f t="shared" si="75"/>
        <v>Funakoshi [JPFNS]</v>
      </c>
      <c r="AN4812" t="s">
        <v>18814</v>
      </c>
      <c r="AO4812" t="s">
        <v>18815</v>
      </c>
    </row>
    <row r="4813" spans="39:41" ht="12" customHeight="1" x14ac:dyDescent="0.2">
      <c r="AM4813" t="str">
        <f t="shared" si="75"/>
        <v>Funauki [JPFNU]</v>
      </c>
      <c r="AN4813" t="s">
        <v>18816</v>
      </c>
      <c r="AO4813" t="s">
        <v>18817</v>
      </c>
    </row>
    <row r="4814" spans="39:41" ht="12" customHeight="1" x14ac:dyDescent="0.2">
      <c r="AM4814" t="str">
        <f t="shared" si="75"/>
        <v>Funaura [JPFNR]</v>
      </c>
      <c r="AN4814" t="s">
        <v>18818</v>
      </c>
      <c r="AO4814" t="s">
        <v>18819</v>
      </c>
    </row>
    <row r="4815" spans="39:41" ht="12" customHeight="1" x14ac:dyDescent="0.2">
      <c r="AM4815" t="str">
        <f t="shared" si="75"/>
        <v>Funaya [JPFNA]</v>
      </c>
      <c r="AN4815" t="s">
        <v>18820</v>
      </c>
      <c r="AO4815" t="s">
        <v>18821</v>
      </c>
    </row>
    <row r="4816" spans="39:41" ht="12" customHeight="1" x14ac:dyDescent="0.2">
      <c r="AM4816" t="str">
        <f t="shared" si="75"/>
        <v>Funazu [JPFNZ]</v>
      </c>
      <c r="AN4816" t="s">
        <v>18822</v>
      </c>
      <c r="AO4816" t="s">
        <v>18823</v>
      </c>
    </row>
    <row r="4817" spans="39:41" ht="12" customHeight="1" x14ac:dyDescent="0.2">
      <c r="AM4817" t="str">
        <f t="shared" si="75"/>
        <v>Funchal, Madeira [PTFNC]</v>
      </c>
      <c r="AN4817" t="s">
        <v>26508</v>
      </c>
      <c r="AO4817" t="s">
        <v>26509</v>
      </c>
    </row>
    <row r="4818" spans="39:41" ht="12" customHeight="1" x14ac:dyDescent="0.2">
      <c r="AM4818" t="str">
        <f t="shared" si="75"/>
        <v>Fur [DKFUH]</v>
      </c>
      <c r="AN4818" t="s">
        <v>8695</v>
      </c>
      <c r="AO4818" t="s">
        <v>8696</v>
      </c>
    </row>
    <row r="4819" spans="39:41" ht="12" customHeight="1" x14ac:dyDescent="0.2">
      <c r="AM4819" t="str">
        <f t="shared" si="75"/>
        <v>Furnace [GBFUR]</v>
      </c>
      <c r="AN4819" t="s">
        <v>13211</v>
      </c>
      <c r="AO4819" t="s">
        <v>13212</v>
      </c>
    </row>
    <row r="4820" spans="39:41" ht="12" customHeight="1" x14ac:dyDescent="0.2">
      <c r="AM4820" t="str">
        <f t="shared" si="75"/>
        <v>Furubira [JPFHR]</v>
      </c>
      <c r="AN4820" t="s">
        <v>18824</v>
      </c>
      <c r="AO4820" t="s">
        <v>18825</v>
      </c>
    </row>
    <row r="4821" spans="39:41" ht="12" customHeight="1" x14ac:dyDescent="0.2">
      <c r="AM4821" t="str">
        <f t="shared" si="75"/>
        <v>Furue, Ehime [JPFRX]</v>
      </c>
      <c r="AN4821" t="s">
        <v>18826</v>
      </c>
      <c r="AO4821" t="s">
        <v>18827</v>
      </c>
    </row>
    <row r="4822" spans="39:41" ht="12" customHeight="1" x14ac:dyDescent="0.2">
      <c r="AM4822" t="str">
        <f t="shared" si="75"/>
        <v>Furue, Kagoshima [JPFRU]</v>
      </c>
      <c r="AN4822" t="s">
        <v>18828</v>
      </c>
      <c r="AO4822" t="s">
        <v>18829</v>
      </c>
    </row>
    <row r="4823" spans="39:41" ht="12" customHeight="1" x14ac:dyDescent="0.2">
      <c r="AM4823" t="str">
        <f t="shared" si="75"/>
        <v>Furue, Miyazaki [JPFRM]</v>
      </c>
      <c r="AN4823" t="s">
        <v>18830</v>
      </c>
      <c r="AO4823" t="s">
        <v>18831</v>
      </c>
    </row>
    <row r="4824" spans="39:41" ht="12" customHeight="1" x14ac:dyDescent="0.2">
      <c r="AM4824" t="str">
        <f t="shared" si="75"/>
        <v>Furue, Nagasaki [JPFRE]</v>
      </c>
      <c r="AN4824" t="s">
        <v>18832</v>
      </c>
      <c r="AO4824" t="s">
        <v>18833</v>
      </c>
    </row>
    <row r="4825" spans="39:41" ht="12" customHeight="1" x14ac:dyDescent="0.2">
      <c r="AM4825" t="str">
        <f t="shared" si="75"/>
        <v>Furuike [JPFRK]</v>
      </c>
      <c r="AN4825" t="s">
        <v>18834</v>
      </c>
      <c r="AO4825" t="s">
        <v>18835</v>
      </c>
    </row>
    <row r="4826" spans="39:41" ht="12" customHeight="1" x14ac:dyDescent="0.2">
      <c r="AM4826" t="str">
        <f t="shared" si="75"/>
        <v>Furumi [JPURU]</v>
      </c>
      <c r="AN4826" t="s">
        <v>18836</v>
      </c>
      <c r="AO4826" t="s">
        <v>18837</v>
      </c>
    </row>
    <row r="4827" spans="39:41" ht="12" customHeight="1" x14ac:dyDescent="0.2">
      <c r="AM4827" t="str">
        <f t="shared" si="75"/>
        <v>Furusato, Kagoshima [JPFST]</v>
      </c>
      <c r="AN4827" t="s">
        <v>18838</v>
      </c>
      <c r="AO4827" t="s">
        <v>18839</v>
      </c>
    </row>
    <row r="4828" spans="39:41" ht="12" customHeight="1" x14ac:dyDescent="0.2">
      <c r="AM4828" t="str">
        <f t="shared" si="75"/>
        <v>Furusato, Nagasaki [JPFRS]</v>
      </c>
      <c r="AN4828" t="s">
        <v>18840</v>
      </c>
      <c r="AO4828" t="s">
        <v>18841</v>
      </c>
    </row>
    <row r="4829" spans="39:41" ht="12" customHeight="1" x14ac:dyDescent="0.2">
      <c r="AM4829" t="str">
        <f t="shared" si="75"/>
        <v>Fusa [NOFUS]</v>
      </c>
      <c r="AN4829" t="s">
        <v>24122</v>
      </c>
      <c r="AO4829" t="s">
        <v>24123</v>
      </c>
    </row>
    <row r="4830" spans="39:41" ht="12" customHeight="1" x14ac:dyDescent="0.2">
      <c r="AM4830" t="str">
        <f t="shared" si="75"/>
        <v>Fushan [CNFSA]</v>
      </c>
      <c r="AN4830" t="s">
        <v>5308</v>
      </c>
      <c r="AO4830" t="s">
        <v>5309</v>
      </c>
    </row>
    <row r="4831" spans="39:41" ht="12" customHeight="1" x14ac:dyDescent="0.2">
      <c r="AM4831" t="str">
        <f t="shared" si="75"/>
        <v>Fushiki [JPFSK]</v>
      </c>
      <c r="AN4831" t="s">
        <v>18842</v>
      </c>
      <c r="AO4831" t="s">
        <v>18843</v>
      </c>
    </row>
    <row r="4832" spans="39:41" ht="12" customHeight="1" x14ac:dyDescent="0.2">
      <c r="AM4832" t="str">
        <f t="shared" si="75"/>
        <v>Fushikitoyama [JPFTX]</v>
      </c>
      <c r="AN4832" t="s">
        <v>18844</v>
      </c>
      <c r="AO4832" t="s">
        <v>18845</v>
      </c>
    </row>
    <row r="4833" spans="39:41" ht="12" customHeight="1" x14ac:dyDescent="0.2">
      <c r="AM4833" t="str">
        <f t="shared" si="75"/>
        <v>Fusina [ITFSA]</v>
      </c>
      <c r="AN4833" t="s">
        <v>17947</v>
      </c>
      <c r="AO4833" t="s">
        <v>17948</v>
      </c>
    </row>
    <row r="4834" spans="39:41" ht="12" customHeight="1" x14ac:dyDescent="0.2">
      <c r="AM4834" t="str">
        <f t="shared" si="75"/>
        <v>Fusui [CNFSI]</v>
      </c>
      <c r="AN4834" t="s">
        <v>5310</v>
      </c>
      <c r="AO4834" t="s">
        <v>5311</v>
      </c>
    </row>
    <row r="4835" spans="39:41" ht="12" customHeight="1" x14ac:dyDescent="0.2">
      <c r="AM4835" t="str">
        <f t="shared" si="75"/>
        <v>Futae [JPFTE]</v>
      </c>
      <c r="AN4835" t="s">
        <v>18846</v>
      </c>
      <c r="AO4835" t="s">
        <v>18847</v>
      </c>
    </row>
    <row r="4836" spans="39:41" ht="12" customHeight="1" x14ac:dyDescent="0.2">
      <c r="AM4836" t="str">
        <f t="shared" si="75"/>
        <v>Futagawa [JPFGW]</v>
      </c>
      <c r="AN4836" t="s">
        <v>18848</v>
      </c>
      <c r="AO4836" t="s">
        <v>18849</v>
      </c>
    </row>
    <row r="4837" spans="39:41" ht="12" customHeight="1" x14ac:dyDescent="0.2">
      <c r="AM4837" t="str">
        <f t="shared" si="75"/>
        <v>Futago [JPFTG]</v>
      </c>
      <c r="AN4837" t="s">
        <v>18850</v>
      </c>
      <c r="AO4837" t="s">
        <v>18851</v>
      </c>
    </row>
    <row r="4838" spans="39:41" ht="12" customHeight="1" x14ac:dyDescent="0.2">
      <c r="AM4838" t="str">
        <f t="shared" si="75"/>
        <v>Futamado [JPFMD]</v>
      </c>
      <c r="AN4838" t="s">
        <v>18852</v>
      </c>
      <c r="AO4838" t="s">
        <v>18853</v>
      </c>
    </row>
    <row r="4839" spans="39:41" ht="12" customHeight="1" x14ac:dyDescent="0.2">
      <c r="AM4839" t="str">
        <f t="shared" si="75"/>
        <v>Futamata, Kagoshima [JPFMT]</v>
      </c>
      <c r="AN4839" t="s">
        <v>18854</v>
      </c>
      <c r="AO4839" t="s">
        <v>18855</v>
      </c>
    </row>
    <row r="4840" spans="39:41" ht="12" customHeight="1" x14ac:dyDescent="0.2">
      <c r="AM4840" t="str">
        <f t="shared" si="75"/>
        <v>Futamata, Shimane [JPFTT]</v>
      </c>
      <c r="AN4840" t="s">
        <v>18856</v>
      </c>
      <c r="AO4840" t="s">
        <v>18857</v>
      </c>
    </row>
    <row r="4841" spans="39:41" ht="12" customHeight="1" x14ac:dyDescent="0.2">
      <c r="AM4841" t="str">
        <f t="shared" si="75"/>
        <v>Futami, Niigata [JPHUT]</v>
      </c>
      <c r="AN4841" t="s">
        <v>18858</v>
      </c>
      <c r="AO4841" t="s">
        <v>18859</v>
      </c>
    </row>
    <row r="4842" spans="39:41" ht="12" customHeight="1" x14ac:dyDescent="0.2">
      <c r="AM4842" t="str">
        <f t="shared" si="75"/>
        <v>Futami, Tokyo [JPHTM]</v>
      </c>
      <c r="AN4842" t="s">
        <v>18860</v>
      </c>
      <c r="AO4842" t="s">
        <v>18861</v>
      </c>
    </row>
    <row r="4843" spans="39:41" ht="12" customHeight="1" x14ac:dyDescent="0.2">
      <c r="AM4843" t="str">
        <f t="shared" si="75"/>
        <v>Futenma [JPFTM]</v>
      </c>
      <c r="AN4843" t="s">
        <v>18862</v>
      </c>
      <c r="AO4843" t="s">
        <v>18863</v>
      </c>
    </row>
    <row r="4844" spans="39:41" ht="12" customHeight="1" x14ac:dyDescent="0.2">
      <c r="AM4844" t="str">
        <f t="shared" si="75"/>
        <v>Futila Terminal [AOFLT]</v>
      </c>
      <c r="AN4844" t="s">
        <v>851</v>
      </c>
      <c r="AO4844" t="s">
        <v>852</v>
      </c>
    </row>
    <row r="4845" spans="39:41" ht="12" customHeight="1" x14ac:dyDescent="0.2">
      <c r="AM4845" t="str">
        <f t="shared" si="75"/>
        <v>Futtsu, Chiba [JPFTS]</v>
      </c>
      <c r="AN4845" t="s">
        <v>18864</v>
      </c>
      <c r="AO4845" t="s">
        <v>18865</v>
      </c>
    </row>
    <row r="4846" spans="39:41" ht="12" customHeight="1" x14ac:dyDescent="0.2">
      <c r="AM4846" t="str">
        <f t="shared" si="75"/>
        <v>Fuwan [CNFWN]</v>
      </c>
      <c r="AN4846" t="s">
        <v>5312</v>
      </c>
      <c r="AO4846" t="s">
        <v>5313</v>
      </c>
    </row>
    <row r="4847" spans="39:41" ht="12" customHeight="1" x14ac:dyDescent="0.2">
      <c r="AM4847" t="str">
        <f t="shared" si="75"/>
        <v>Fuxing [CNFXG]</v>
      </c>
      <c r="AN4847" t="s">
        <v>5314</v>
      </c>
      <c r="AO4847" t="s">
        <v>5315</v>
      </c>
    </row>
    <row r="4848" spans="39:41" ht="12" customHeight="1" x14ac:dyDescent="0.2">
      <c r="AM4848" t="str">
        <f t="shared" si="75"/>
        <v>Fuyong [CNFNG]</v>
      </c>
      <c r="AN4848" t="s">
        <v>5316</v>
      </c>
      <c r="AO4848" t="s">
        <v>5317</v>
      </c>
    </row>
    <row r="4849" spans="39:41" ht="12" customHeight="1" x14ac:dyDescent="0.2">
      <c r="AM4849" t="str">
        <f t="shared" si="75"/>
        <v>Fuyuan [CNFUY]</v>
      </c>
      <c r="AN4849" t="s">
        <v>5318</v>
      </c>
      <c r="AO4849" t="s">
        <v>5319</v>
      </c>
    </row>
    <row r="4850" spans="39:41" ht="12" customHeight="1" x14ac:dyDescent="0.2">
      <c r="AM4850" t="str">
        <f t="shared" si="75"/>
        <v>Fuzeta [PTFUZ]</v>
      </c>
      <c r="AN4850" t="s">
        <v>26510</v>
      </c>
      <c r="AO4850" t="s">
        <v>26511</v>
      </c>
    </row>
    <row r="4851" spans="39:41" ht="12" customHeight="1" x14ac:dyDescent="0.2">
      <c r="AM4851" t="str">
        <f t="shared" si="75"/>
        <v>Fuzhou [CNFZH]</v>
      </c>
      <c r="AN4851" t="s">
        <v>5320</v>
      </c>
      <c r="AO4851" t="s">
        <v>5321</v>
      </c>
    </row>
    <row r="4852" spans="39:41" ht="12" customHeight="1" x14ac:dyDescent="0.2">
      <c r="AM4852" t="str">
        <f t="shared" si="75"/>
        <v>Fuzhou Pt [CNFZG]</v>
      </c>
      <c r="AN4852" t="s">
        <v>5322</v>
      </c>
      <c r="AO4852" t="s">
        <v>5323</v>
      </c>
    </row>
    <row r="4853" spans="39:41" ht="12" customHeight="1" x14ac:dyDescent="0.2">
      <c r="AM4853" t="str">
        <f t="shared" si="75"/>
        <v>Fuzhouxingang [CNFZX]</v>
      </c>
      <c r="AN4853" t="s">
        <v>5324</v>
      </c>
      <c r="AO4853" t="s">
        <v>5325</v>
      </c>
    </row>
    <row r="4854" spans="39:41" ht="12" customHeight="1" x14ac:dyDescent="0.2">
      <c r="AM4854" t="str">
        <f t="shared" si="75"/>
        <v>Fynshav [DKFYH]</v>
      </c>
      <c r="AN4854" t="s">
        <v>8697</v>
      </c>
      <c r="AO4854" t="s">
        <v>8698</v>
      </c>
    </row>
    <row r="4855" spans="39:41" ht="12" customHeight="1" x14ac:dyDescent="0.2">
      <c r="AM4855" t="str">
        <f t="shared" si="75"/>
        <v>Gaarkeuken [NLGKN]</v>
      </c>
      <c r="AN4855" t="s">
        <v>23193</v>
      </c>
      <c r="AO4855" t="s">
        <v>23194</v>
      </c>
    </row>
    <row r="4856" spans="39:41" ht="12" customHeight="1" x14ac:dyDescent="0.2">
      <c r="AM4856" t="str">
        <f t="shared" si="75"/>
        <v>Gabes [TNGAE]</v>
      </c>
      <c r="AN4856" t="s">
        <v>28344</v>
      </c>
      <c r="AO4856" t="s">
        <v>36559</v>
      </c>
    </row>
    <row r="4857" spans="39:41" ht="12" customHeight="1" x14ac:dyDescent="0.2">
      <c r="AM4857" t="str">
        <f t="shared" si="75"/>
        <v>Gabicce Mare [ITGMA]</v>
      </c>
      <c r="AN4857" t="s">
        <v>17949</v>
      </c>
      <c r="AO4857" t="s">
        <v>17950</v>
      </c>
    </row>
    <row r="4858" spans="39:41" ht="12" customHeight="1" x14ac:dyDescent="0.2">
      <c r="AM4858" t="str">
        <f t="shared" ref="AM4858:AM4921" si="76">AO4858 &amp; " [" &amp; AN4858 &amp; "]"</f>
        <v>Gachitorena/Jose Panganiban [PHGAC]</v>
      </c>
      <c r="AN4858" t="s">
        <v>25745</v>
      </c>
      <c r="AO4858" t="s">
        <v>25746</v>
      </c>
    </row>
    <row r="4859" spans="39:41" ht="12" customHeight="1" x14ac:dyDescent="0.2">
      <c r="AM4859" t="str">
        <f t="shared" si="76"/>
        <v>Gaerwen [GBGAW]</v>
      </c>
      <c r="AN4859" t="s">
        <v>13213</v>
      </c>
      <c r="AO4859" t="s">
        <v>13214</v>
      </c>
    </row>
    <row r="4860" spans="39:41" ht="12" customHeight="1" x14ac:dyDescent="0.2">
      <c r="AM4860" t="str">
        <f t="shared" si="76"/>
        <v>Gaeta [ITGAE]</v>
      </c>
      <c r="AN4860" t="s">
        <v>17951</v>
      </c>
      <c r="AO4860" t="s">
        <v>17952</v>
      </c>
    </row>
    <row r="4861" spans="39:41" ht="12" customHeight="1" x14ac:dyDescent="0.2">
      <c r="AM4861" t="str">
        <f t="shared" si="76"/>
        <v>Gaferut Atoll [FMGAF]</v>
      </c>
      <c r="AN4861" t="s">
        <v>10647</v>
      </c>
      <c r="AO4861" t="s">
        <v>10648</v>
      </c>
    </row>
    <row r="4862" spans="39:41" ht="12" customHeight="1" x14ac:dyDescent="0.2">
      <c r="AM4862" t="str">
        <f t="shared" si="76"/>
        <v>Gagak Rimang Fso [IDGRG]</v>
      </c>
      <c r="AN4862" t="s">
        <v>16263</v>
      </c>
      <c r="AO4862" t="s">
        <v>16264</v>
      </c>
    </row>
    <row r="4863" spans="39:41" ht="12" customHeight="1" x14ac:dyDescent="0.2">
      <c r="AM4863" t="str">
        <f t="shared" si="76"/>
        <v>Gageohyangri [KRGGH]</v>
      </c>
      <c r="AN4863" t="s">
        <v>21634</v>
      </c>
      <c r="AO4863" t="s">
        <v>21635</v>
      </c>
    </row>
    <row r="4864" spans="39:41" ht="12" customHeight="1" x14ac:dyDescent="0.2">
      <c r="AM4864" t="str">
        <f t="shared" si="76"/>
        <v>Gager [DEGXG]</v>
      </c>
      <c r="AN4864" t="s">
        <v>7416</v>
      </c>
      <c r="AO4864" t="s">
        <v>7417</v>
      </c>
    </row>
    <row r="4865" spans="39:41" ht="12" customHeight="1" x14ac:dyDescent="0.2">
      <c r="AM4865" t="str">
        <f t="shared" si="76"/>
        <v>Gainsborough [GBGAI]</v>
      </c>
      <c r="AN4865" t="s">
        <v>13215</v>
      </c>
      <c r="AO4865" t="s">
        <v>13216</v>
      </c>
    </row>
    <row r="4866" spans="39:41" ht="12" customHeight="1" x14ac:dyDescent="0.2">
      <c r="AM4866" t="str">
        <f t="shared" si="76"/>
        <v>Gairloch [GBGAR]</v>
      </c>
      <c r="AN4866" t="s">
        <v>13217</v>
      </c>
      <c r="AO4866" t="s">
        <v>13218</v>
      </c>
    </row>
    <row r="4867" spans="39:41" ht="12" customHeight="1" x14ac:dyDescent="0.2">
      <c r="AM4867" t="str">
        <f t="shared" si="76"/>
        <v>Galanta [SKGLT]</v>
      </c>
      <c r="AN4867" t="s">
        <v>28041</v>
      </c>
      <c r="AO4867" t="s">
        <v>28042</v>
      </c>
    </row>
    <row r="4868" spans="39:41" ht="12" customHeight="1" x14ac:dyDescent="0.2">
      <c r="AM4868" t="str">
        <f t="shared" si="76"/>
        <v>Galata [TRGTA]</v>
      </c>
      <c r="AN4868" t="s">
        <v>28471</v>
      </c>
      <c r="AO4868" t="s">
        <v>28472</v>
      </c>
    </row>
    <row r="4869" spans="39:41" ht="12" customHeight="1" x14ac:dyDescent="0.2">
      <c r="AM4869" t="str">
        <f t="shared" si="76"/>
        <v>Galatas Troizinas [GRGAL]</v>
      </c>
      <c r="AN4869" t="s">
        <v>15218</v>
      </c>
      <c r="AO4869" t="s">
        <v>15219</v>
      </c>
    </row>
    <row r="4870" spans="39:41" ht="12" customHeight="1" x14ac:dyDescent="0.2">
      <c r="AM4870" t="str">
        <f t="shared" si="76"/>
        <v>Galati [ROGAL]</v>
      </c>
      <c r="AN4870" t="s">
        <v>26756</v>
      </c>
      <c r="AO4870" t="s">
        <v>26757</v>
      </c>
    </row>
    <row r="4871" spans="39:41" ht="12" customHeight="1" x14ac:dyDescent="0.2">
      <c r="AM4871" t="str">
        <f t="shared" si="76"/>
        <v>Galaxidi [GRGLX]</v>
      </c>
      <c r="AN4871" t="s">
        <v>15220</v>
      </c>
      <c r="AO4871" t="s">
        <v>15221</v>
      </c>
    </row>
    <row r="4872" spans="39:41" ht="12" customHeight="1" x14ac:dyDescent="0.2">
      <c r="AM4872" t="str">
        <f t="shared" si="76"/>
        <v>Galdoo [KRGDO]</v>
      </c>
      <c r="AN4872" t="s">
        <v>21636</v>
      </c>
      <c r="AO4872" t="s">
        <v>21637</v>
      </c>
    </row>
    <row r="4873" spans="39:41" ht="12" customHeight="1" x14ac:dyDescent="0.2">
      <c r="AM4873" t="str">
        <f t="shared" si="76"/>
        <v>Gales Ferry [USGSF]</v>
      </c>
      <c r="AN4873" t="s">
        <v>29885</v>
      </c>
      <c r="AO4873" t="s">
        <v>29886</v>
      </c>
    </row>
    <row r="4874" spans="39:41" ht="12" customHeight="1" x14ac:dyDescent="0.2">
      <c r="AM4874" t="str">
        <f t="shared" si="76"/>
        <v>Galeton [USZGQ]</v>
      </c>
      <c r="AN4874" t="s">
        <v>29887</v>
      </c>
      <c r="AO4874" t="s">
        <v>29888</v>
      </c>
    </row>
    <row r="4875" spans="39:41" ht="12" customHeight="1" x14ac:dyDescent="0.2">
      <c r="AM4875" t="str">
        <f t="shared" si="76"/>
        <v>Galion [USGQQ]</v>
      </c>
      <c r="AN4875" t="s">
        <v>29889</v>
      </c>
      <c r="AO4875" t="s">
        <v>29890</v>
      </c>
    </row>
    <row r="4876" spans="39:41" ht="12" customHeight="1" x14ac:dyDescent="0.2">
      <c r="AM4876" t="str">
        <f t="shared" si="76"/>
        <v>Galiraya [UGMKN]</v>
      </c>
      <c r="AN4876" t="s">
        <v>34224</v>
      </c>
      <c r="AO4876" t="s">
        <v>34292</v>
      </c>
    </row>
    <row r="4877" spans="39:41" ht="12" customHeight="1" x14ac:dyDescent="0.2">
      <c r="AM4877" t="str">
        <f t="shared" si="76"/>
        <v>Galisbay [MFGES]</v>
      </c>
      <c r="AN4877" t="s">
        <v>22098</v>
      </c>
      <c r="AO4877" t="s">
        <v>22099</v>
      </c>
    </row>
    <row r="4878" spans="39:41" ht="12" customHeight="1" x14ac:dyDescent="0.2">
      <c r="AM4878" t="str">
        <f t="shared" si="76"/>
        <v>Gallatin Gateway [USGG2]</v>
      </c>
      <c r="AN4878" t="s">
        <v>29891</v>
      </c>
      <c r="AO4878" t="s">
        <v>29892</v>
      </c>
    </row>
    <row r="4879" spans="39:41" ht="12" customHeight="1" x14ac:dyDescent="0.2">
      <c r="AM4879" t="str">
        <f t="shared" si="76"/>
        <v>Gallaway [USAWY]</v>
      </c>
      <c r="AN4879" t="s">
        <v>29893</v>
      </c>
      <c r="AO4879" t="s">
        <v>29894</v>
      </c>
    </row>
    <row r="4880" spans="39:41" ht="12" customHeight="1" x14ac:dyDescent="0.2">
      <c r="AM4880" t="str">
        <f t="shared" si="76"/>
        <v>Gallbrunn [ATRTV]</v>
      </c>
      <c r="AN4880" t="s">
        <v>1210</v>
      </c>
      <c r="AO4880" t="s">
        <v>1211</v>
      </c>
    </row>
    <row r="4881" spans="39:41" ht="12" customHeight="1" x14ac:dyDescent="0.2">
      <c r="AM4881" t="str">
        <f t="shared" si="76"/>
        <v>Galle [LKGAL]</v>
      </c>
      <c r="AN4881" t="s">
        <v>21823</v>
      </c>
      <c r="AO4881" t="s">
        <v>21824</v>
      </c>
    </row>
    <row r="4882" spans="39:41" ht="12" customHeight="1" x14ac:dyDescent="0.2">
      <c r="AM4882" t="str">
        <f t="shared" si="76"/>
        <v>Gallin [DELLI]</v>
      </c>
      <c r="AN4882" t="s">
        <v>7418</v>
      </c>
      <c r="AO4882" t="s">
        <v>7419</v>
      </c>
    </row>
    <row r="4883" spans="39:41" ht="12" customHeight="1" x14ac:dyDescent="0.2">
      <c r="AM4883" t="str">
        <f t="shared" si="76"/>
        <v>Gallipoli [ITGAL]</v>
      </c>
      <c r="AN4883" t="s">
        <v>17953</v>
      </c>
      <c r="AO4883" t="s">
        <v>17954</v>
      </c>
    </row>
    <row r="4884" spans="39:41" ht="12" customHeight="1" x14ac:dyDescent="0.2">
      <c r="AM4884" t="str">
        <f t="shared" si="76"/>
        <v>Gallis Bay [SXGES]</v>
      </c>
      <c r="AN4884" t="s">
        <v>28156</v>
      </c>
      <c r="AO4884" t="s">
        <v>28157</v>
      </c>
    </row>
    <row r="4885" spans="39:41" ht="12" customHeight="1" x14ac:dyDescent="0.2">
      <c r="AM4885" t="str">
        <f t="shared" si="76"/>
        <v>Galmisdale, Eigg [GBGAS]</v>
      </c>
      <c r="AN4885" t="s">
        <v>13219</v>
      </c>
      <c r="AO4885" t="s">
        <v>13220</v>
      </c>
    </row>
    <row r="4886" spans="39:41" ht="12" customHeight="1" x14ac:dyDescent="0.2">
      <c r="AM4886" t="str">
        <f t="shared" si="76"/>
        <v>Galt [CAGLT]</v>
      </c>
      <c r="AN4886" t="s">
        <v>3872</v>
      </c>
      <c r="AO4886" t="s">
        <v>3873</v>
      </c>
    </row>
    <row r="4887" spans="39:41" ht="12" customHeight="1" x14ac:dyDescent="0.2">
      <c r="AM4887" t="str">
        <f t="shared" si="76"/>
        <v>Galveston [USGLS]</v>
      </c>
      <c r="AN4887" t="s">
        <v>29895</v>
      </c>
      <c r="AO4887" t="s">
        <v>29896</v>
      </c>
    </row>
    <row r="4888" spans="39:41" ht="12" customHeight="1" x14ac:dyDescent="0.2">
      <c r="AM4888" t="str">
        <f t="shared" si="76"/>
        <v>Galway [IEGWY]</v>
      </c>
      <c r="AN4888" t="s">
        <v>16829</v>
      </c>
      <c r="AO4888" t="s">
        <v>16830</v>
      </c>
    </row>
    <row r="4889" spans="39:41" ht="12" customHeight="1" x14ac:dyDescent="0.2">
      <c r="AM4889" t="str">
        <f t="shared" si="76"/>
        <v>Gamagori [JPGAM]</v>
      </c>
      <c r="AN4889" t="s">
        <v>18866</v>
      </c>
      <c r="AO4889" t="s">
        <v>18867</v>
      </c>
    </row>
    <row r="4890" spans="39:41" ht="12" customHeight="1" x14ac:dyDescent="0.2">
      <c r="AM4890" t="str">
        <f t="shared" si="76"/>
        <v>Gamba [GAGAX]</v>
      </c>
      <c r="AN4890" t="s">
        <v>12229</v>
      </c>
      <c r="AO4890" t="s">
        <v>12230</v>
      </c>
    </row>
    <row r="4891" spans="39:41" ht="12" customHeight="1" x14ac:dyDescent="0.2">
      <c r="AM4891" t="str">
        <f t="shared" si="76"/>
        <v>Gamboa [PAGBA]</v>
      </c>
      <c r="AN4891" t="s">
        <v>25192</v>
      </c>
      <c r="AO4891" t="s">
        <v>25193</v>
      </c>
    </row>
    <row r="4892" spans="39:41" ht="12" customHeight="1" x14ac:dyDescent="0.2">
      <c r="AM4892" t="str">
        <f t="shared" si="76"/>
        <v>Gamcheon/Busan [KRKCN]</v>
      </c>
      <c r="AN4892" t="s">
        <v>21638</v>
      </c>
      <c r="AO4892" t="s">
        <v>21639</v>
      </c>
    </row>
    <row r="4893" spans="39:41" ht="12" customHeight="1" x14ac:dyDescent="0.2">
      <c r="AM4893" t="str">
        <f t="shared" si="76"/>
        <v>Gamleby [SEGAM]</v>
      </c>
      <c r="AN4893" t="s">
        <v>27580</v>
      </c>
      <c r="AO4893" t="s">
        <v>27581</v>
      </c>
    </row>
    <row r="4894" spans="39:41" ht="12" customHeight="1" x14ac:dyDescent="0.2">
      <c r="AM4894" t="str">
        <f t="shared" si="76"/>
        <v>Gamlitz [ATGA6]</v>
      </c>
      <c r="AN4894" t="s">
        <v>1212</v>
      </c>
      <c r="AO4894" t="s">
        <v>1213</v>
      </c>
    </row>
    <row r="4895" spans="39:41" ht="12" customHeight="1" x14ac:dyDescent="0.2">
      <c r="AM4895" t="str">
        <f t="shared" si="76"/>
        <v>Gamvik [NOGAM]</v>
      </c>
      <c r="AN4895" t="s">
        <v>24124</v>
      </c>
      <c r="AO4895" t="s">
        <v>24125</v>
      </c>
    </row>
    <row r="4896" spans="39:41" ht="12" customHeight="1" x14ac:dyDescent="0.2">
      <c r="AM4896" t="str">
        <f t="shared" si="76"/>
        <v>Gander [CAGAN]</v>
      </c>
      <c r="AN4896" t="s">
        <v>3874</v>
      </c>
      <c r="AO4896" t="s">
        <v>3875</v>
      </c>
    </row>
    <row r="4897" spans="39:41" ht="12" customHeight="1" x14ac:dyDescent="0.2">
      <c r="AM4897" t="str">
        <f t="shared" si="76"/>
        <v>Gandhar [INGAN]</v>
      </c>
      <c r="AN4897" t="s">
        <v>17142</v>
      </c>
      <c r="AO4897" t="s">
        <v>17143</v>
      </c>
    </row>
    <row r="4898" spans="39:41" ht="12" customHeight="1" x14ac:dyDescent="0.2">
      <c r="AM4898" t="str">
        <f t="shared" si="76"/>
        <v>Gandia [ESGAN]</v>
      </c>
      <c r="AN4898" t="s">
        <v>9803</v>
      </c>
      <c r="AO4898" t="s">
        <v>35672</v>
      </c>
    </row>
    <row r="4899" spans="39:41" ht="12" customHeight="1" x14ac:dyDescent="0.2">
      <c r="AM4899" t="str">
        <f t="shared" si="76"/>
        <v>Gangavaram [INGGV]</v>
      </c>
      <c r="AN4899" t="s">
        <v>17144</v>
      </c>
      <c r="AO4899" t="s">
        <v>17145</v>
      </c>
    </row>
    <row r="4900" spans="39:41" ht="12" customHeight="1" x14ac:dyDescent="0.2">
      <c r="AM4900" t="str">
        <f t="shared" si="76"/>
        <v>Ganges [CAGGS]</v>
      </c>
      <c r="AN4900" t="s">
        <v>3876</v>
      </c>
      <c r="AO4900" t="s">
        <v>3877</v>
      </c>
    </row>
    <row r="4901" spans="39:41" ht="12" customHeight="1" x14ac:dyDescent="0.2">
      <c r="AM4901" t="str">
        <f t="shared" si="76"/>
        <v>Ganggu [KRGGU]</v>
      </c>
      <c r="AN4901" t="s">
        <v>21640</v>
      </c>
      <c r="AO4901" t="s">
        <v>21641</v>
      </c>
    </row>
    <row r="4902" spans="39:41" ht="12" customHeight="1" x14ac:dyDescent="0.2">
      <c r="AM4902" t="str">
        <f t="shared" si="76"/>
        <v>Gangluan [CNGUL]</v>
      </c>
      <c r="AN4902" t="s">
        <v>5326</v>
      </c>
      <c r="AO4902" t="s">
        <v>5327</v>
      </c>
    </row>
    <row r="4903" spans="39:41" ht="12" customHeight="1" x14ac:dyDescent="0.2">
      <c r="AM4903" t="str">
        <f t="shared" si="76"/>
        <v>Gansevoort [USGVR]</v>
      </c>
      <c r="AN4903" t="s">
        <v>29897</v>
      </c>
      <c r="AO4903" t="s">
        <v>29898</v>
      </c>
    </row>
    <row r="4904" spans="39:41" ht="12" customHeight="1" x14ac:dyDescent="0.2">
      <c r="AM4904" t="str">
        <f t="shared" si="76"/>
        <v>Gaogang [CNGAO]</v>
      </c>
      <c r="AN4904" t="s">
        <v>5328</v>
      </c>
      <c r="AO4904" t="s">
        <v>5329</v>
      </c>
    </row>
    <row r="4905" spans="39:41" ht="12" customHeight="1" x14ac:dyDescent="0.2">
      <c r="AM4905" t="str">
        <f t="shared" si="76"/>
        <v>Gaolan [CNGON]</v>
      </c>
      <c r="AN4905" t="s">
        <v>5330</v>
      </c>
      <c r="AO4905" t="s">
        <v>5331</v>
      </c>
    </row>
    <row r="4906" spans="39:41" ht="12" customHeight="1" x14ac:dyDescent="0.2">
      <c r="AM4906" t="str">
        <f t="shared" si="76"/>
        <v>Gaolan [CNGLN]</v>
      </c>
      <c r="AN4906" t="s">
        <v>5332</v>
      </c>
      <c r="AO4906" t="s">
        <v>5331</v>
      </c>
    </row>
    <row r="4907" spans="39:41" ht="12" customHeight="1" x14ac:dyDescent="0.2">
      <c r="AM4907" t="str">
        <f t="shared" si="76"/>
        <v>Gaoleng [CNGLG]</v>
      </c>
      <c r="AN4907" t="s">
        <v>5333</v>
      </c>
      <c r="AO4907" t="s">
        <v>5334</v>
      </c>
    </row>
    <row r="4908" spans="39:41" ht="12" customHeight="1" x14ac:dyDescent="0.2">
      <c r="AM4908" t="str">
        <f t="shared" si="76"/>
        <v>Gaoming Pt [CNGOM]</v>
      </c>
      <c r="AN4908" t="s">
        <v>5335</v>
      </c>
      <c r="AO4908" t="s">
        <v>5336</v>
      </c>
    </row>
    <row r="4909" spans="39:41" ht="12" customHeight="1" x14ac:dyDescent="0.2">
      <c r="AM4909" t="str">
        <f t="shared" si="76"/>
        <v>Gaosha [CNGSH]</v>
      </c>
      <c r="AN4909" t="s">
        <v>5337</v>
      </c>
      <c r="AO4909" t="s">
        <v>5338</v>
      </c>
    </row>
    <row r="4910" spans="39:41" ht="12" customHeight="1" x14ac:dyDescent="0.2">
      <c r="AM4910" t="str">
        <f t="shared" si="76"/>
        <v>Garberville [USGBV]</v>
      </c>
      <c r="AN4910" t="s">
        <v>29899</v>
      </c>
      <c r="AO4910" t="s">
        <v>29900</v>
      </c>
    </row>
    <row r="4911" spans="39:41" ht="12" customHeight="1" x14ac:dyDescent="0.2">
      <c r="AM4911" t="str">
        <f t="shared" si="76"/>
        <v>Garbutt [AUGBT]</v>
      </c>
      <c r="AN4911" t="s">
        <v>1677</v>
      </c>
      <c r="AO4911" t="s">
        <v>1678</v>
      </c>
    </row>
    <row r="4912" spans="39:41" ht="12" customHeight="1" x14ac:dyDescent="0.2">
      <c r="AM4912" t="str">
        <f t="shared" si="76"/>
        <v>Garcia Hernandez [PHGHE]</v>
      </c>
      <c r="AN4912" t="s">
        <v>25747</v>
      </c>
      <c r="AO4912" t="s">
        <v>25748</v>
      </c>
    </row>
    <row r="4913" spans="39:41" ht="12" customHeight="1" x14ac:dyDescent="0.2">
      <c r="AM4913" t="str">
        <f t="shared" si="76"/>
        <v>Gardabaer [ISGRB]</v>
      </c>
      <c r="AN4913" t="s">
        <v>17700</v>
      </c>
      <c r="AO4913" t="s">
        <v>17701</v>
      </c>
    </row>
    <row r="4914" spans="39:41" ht="12" customHeight="1" x14ac:dyDescent="0.2">
      <c r="AM4914" t="str">
        <f t="shared" si="76"/>
        <v>Garden City [USTXU]</v>
      </c>
      <c r="AN4914" t="s">
        <v>29901</v>
      </c>
      <c r="AO4914" t="s">
        <v>29902</v>
      </c>
    </row>
    <row r="4915" spans="39:41" ht="12" customHeight="1" x14ac:dyDescent="0.2">
      <c r="AM4915" t="str">
        <f t="shared" si="76"/>
        <v>Garden Reach [INGRR]</v>
      </c>
      <c r="AN4915" t="s">
        <v>17146</v>
      </c>
      <c r="AO4915" t="s">
        <v>17147</v>
      </c>
    </row>
    <row r="4916" spans="39:41" ht="12" customHeight="1" x14ac:dyDescent="0.2">
      <c r="AM4916" t="str">
        <f t="shared" si="76"/>
        <v>Garden Valley [USG44]</v>
      </c>
      <c r="AN4916" t="s">
        <v>29903</v>
      </c>
      <c r="AO4916" t="s">
        <v>29904</v>
      </c>
    </row>
    <row r="4917" spans="39:41" ht="12" customHeight="1" x14ac:dyDescent="0.2">
      <c r="AM4917" t="str">
        <f t="shared" si="76"/>
        <v>Gardendale [USGT9]</v>
      </c>
      <c r="AN4917" t="s">
        <v>29905</v>
      </c>
      <c r="AO4917" t="s">
        <v>29906</v>
      </c>
    </row>
    <row r="4918" spans="39:41" ht="12" customHeight="1" x14ac:dyDescent="0.2">
      <c r="AM4918" t="str">
        <f t="shared" si="76"/>
        <v>Gardenstown [GBGDN]</v>
      </c>
      <c r="AN4918" t="s">
        <v>13221</v>
      </c>
      <c r="AO4918" t="s">
        <v>13222</v>
      </c>
    </row>
    <row r="4919" spans="39:41" ht="12" customHeight="1" x14ac:dyDescent="0.2">
      <c r="AM4919" t="str">
        <f t="shared" si="76"/>
        <v>Gardiner [USNXR]</v>
      </c>
      <c r="AN4919" t="s">
        <v>29907</v>
      </c>
      <c r="AO4919" t="s">
        <v>29908</v>
      </c>
    </row>
    <row r="4920" spans="39:41" ht="12" customHeight="1" x14ac:dyDescent="0.2">
      <c r="AM4920" t="str">
        <f t="shared" si="76"/>
        <v>Gardiner [USGDR]</v>
      </c>
      <c r="AN4920" t="s">
        <v>29909</v>
      </c>
      <c r="AO4920" t="s">
        <v>29908</v>
      </c>
    </row>
    <row r="4921" spans="39:41" ht="12" customHeight="1" x14ac:dyDescent="0.2">
      <c r="AM4921" t="str">
        <f t="shared" si="76"/>
        <v>Gardur [ISGRD]</v>
      </c>
      <c r="AN4921" t="s">
        <v>17702</v>
      </c>
      <c r="AO4921" t="s">
        <v>17703</v>
      </c>
    </row>
    <row r="4922" spans="39:41" ht="12" customHeight="1" x14ac:dyDescent="0.2">
      <c r="AM4922" t="str">
        <f t="shared" ref="AM4922:AM4985" si="77">AO4922 &amp; " [" &amp; AN4922 &amp; "]"</f>
        <v>Gareloch [GBGLH]</v>
      </c>
      <c r="AN4922" t="s">
        <v>13223</v>
      </c>
      <c r="AO4922" t="s">
        <v>13224</v>
      </c>
    </row>
    <row r="4923" spans="39:41" ht="12" customHeight="1" x14ac:dyDescent="0.2">
      <c r="AM4923" t="str">
        <f t="shared" si="77"/>
        <v>Garelochhead [GBGAD]</v>
      </c>
      <c r="AN4923" t="s">
        <v>13225</v>
      </c>
      <c r="AO4923" t="s">
        <v>13226</v>
      </c>
    </row>
    <row r="4924" spans="39:41" ht="12" customHeight="1" x14ac:dyDescent="0.2">
      <c r="AM4924" t="str">
        <f t="shared" si="77"/>
        <v>Garlieston [GBGIS]</v>
      </c>
      <c r="AN4924" t="s">
        <v>13227</v>
      </c>
      <c r="AO4924" t="s">
        <v>13228</v>
      </c>
    </row>
    <row r="4925" spans="39:41" ht="12" customHeight="1" x14ac:dyDescent="0.2">
      <c r="AM4925" t="str">
        <f t="shared" si="77"/>
        <v>Garmerwolde [NLGWO]</v>
      </c>
      <c r="AN4925" t="s">
        <v>23195</v>
      </c>
      <c r="AO4925" t="s">
        <v>23196</v>
      </c>
    </row>
    <row r="4926" spans="39:41" ht="12" customHeight="1" x14ac:dyDescent="0.2">
      <c r="AM4926" t="str">
        <f t="shared" si="77"/>
        <v>Garner [USGNR]</v>
      </c>
      <c r="AN4926" t="s">
        <v>29910</v>
      </c>
      <c r="AO4926" t="s">
        <v>29911</v>
      </c>
    </row>
    <row r="4927" spans="39:41" ht="12" customHeight="1" x14ac:dyDescent="0.2">
      <c r="AM4927" t="str">
        <f t="shared" si="77"/>
        <v>Garner [USGNC]</v>
      </c>
      <c r="AN4927" t="s">
        <v>29912</v>
      </c>
      <c r="AO4927" t="s">
        <v>29911</v>
      </c>
    </row>
    <row r="4928" spans="39:41" ht="12" customHeight="1" x14ac:dyDescent="0.2">
      <c r="AM4928" t="str">
        <f t="shared" si="77"/>
        <v>Garoua [CMGOU]</v>
      </c>
      <c r="AN4928" t="s">
        <v>4998</v>
      </c>
      <c r="AO4928" t="s">
        <v>4999</v>
      </c>
    </row>
    <row r="4929" spans="39:41" ht="12" customHeight="1" x14ac:dyDescent="0.2">
      <c r="AM4929" t="str">
        <f t="shared" si="77"/>
        <v>Garrabost [GBRRB]</v>
      </c>
      <c r="AN4929" t="s">
        <v>13229</v>
      </c>
      <c r="AO4929" t="s">
        <v>13230</v>
      </c>
    </row>
    <row r="4930" spans="39:41" ht="12" customHeight="1" x14ac:dyDescent="0.2">
      <c r="AM4930" t="str">
        <f t="shared" si="77"/>
        <v>Garrett [USQGT]</v>
      </c>
      <c r="AN4930" t="s">
        <v>29913</v>
      </c>
      <c r="AO4930" t="s">
        <v>29914</v>
      </c>
    </row>
    <row r="4931" spans="39:41" ht="12" customHeight="1" x14ac:dyDescent="0.2">
      <c r="AM4931" t="str">
        <f t="shared" si="77"/>
        <v>Garriguella [ESGGA]</v>
      </c>
      <c r="AN4931" t="s">
        <v>9804</v>
      </c>
      <c r="AO4931" t="s">
        <v>9805</v>
      </c>
    </row>
    <row r="4932" spans="39:41" ht="12" customHeight="1" x14ac:dyDescent="0.2">
      <c r="AM4932" t="str">
        <f t="shared" si="77"/>
        <v>Garrison [USGA7]</v>
      </c>
      <c r="AN4932" t="s">
        <v>29915</v>
      </c>
      <c r="AO4932" t="s">
        <v>29916</v>
      </c>
    </row>
    <row r="4933" spans="39:41" ht="12" customHeight="1" x14ac:dyDescent="0.2">
      <c r="AM4933" t="str">
        <f t="shared" si="77"/>
        <v>Garrucha [ESGAR]</v>
      </c>
      <c r="AN4933" t="s">
        <v>9806</v>
      </c>
      <c r="AO4933" t="s">
        <v>9807</v>
      </c>
    </row>
    <row r="4934" spans="39:41" ht="12" customHeight="1" x14ac:dyDescent="0.2">
      <c r="AM4934" t="str">
        <f t="shared" si="77"/>
        <v>Garsfontein [ZAGSF]</v>
      </c>
      <c r="AN4934" t="s">
        <v>34230</v>
      </c>
      <c r="AO4934" t="s">
        <v>34298</v>
      </c>
    </row>
    <row r="4935" spans="39:41" ht="12" customHeight="1" x14ac:dyDescent="0.2">
      <c r="AM4935" t="str">
        <f t="shared" si="77"/>
        <v>Garston [GBCSN]</v>
      </c>
      <c r="AN4935" t="s">
        <v>13231</v>
      </c>
      <c r="AO4935" t="s">
        <v>13232</v>
      </c>
    </row>
    <row r="4936" spans="39:41" ht="12" customHeight="1" x14ac:dyDescent="0.2">
      <c r="AM4936" t="str">
        <f t="shared" si="77"/>
        <v>Garston [GBGTN]</v>
      </c>
      <c r="AN4936" t="s">
        <v>13233</v>
      </c>
      <c r="AO4936" t="s">
        <v>13232</v>
      </c>
    </row>
    <row r="4937" spans="39:41" ht="12" customHeight="1" x14ac:dyDescent="0.2">
      <c r="AM4937" t="str">
        <f t="shared" si="77"/>
        <v>Gary [USGYY]</v>
      </c>
      <c r="AN4937" t="s">
        <v>29917</v>
      </c>
      <c r="AO4937" t="s">
        <v>29918</v>
      </c>
    </row>
    <row r="4938" spans="39:41" ht="12" customHeight="1" x14ac:dyDescent="0.2">
      <c r="AM4938" t="str">
        <f t="shared" si="77"/>
        <v>Gary [USGT4]</v>
      </c>
      <c r="AN4938" t="s">
        <v>29919</v>
      </c>
      <c r="AO4938" t="s">
        <v>29918</v>
      </c>
    </row>
    <row r="4939" spans="39:41" ht="12" customHeight="1" x14ac:dyDescent="0.2">
      <c r="AM4939" t="str">
        <f t="shared" si="77"/>
        <v>Gasan [PHGAS]</v>
      </c>
      <c r="AN4939" t="s">
        <v>25749</v>
      </c>
      <c r="AO4939" t="s">
        <v>25750</v>
      </c>
    </row>
    <row r="4940" spans="39:41" ht="12" customHeight="1" x14ac:dyDescent="0.2">
      <c r="AM4940" t="str">
        <f t="shared" si="77"/>
        <v>Gasmata Island [PGGMI]</v>
      </c>
      <c r="AN4940" t="s">
        <v>25380</v>
      </c>
      <c r="AO4940" t="s">
        <v>25381</v>
      </c>
    </row>
    <row r="4941" spans="39:41" ht="12" customHeight="1" x14ac:dyDescent="0.2">
      <c r="AM4941" t="str">
        <f t="shared" si="77"/>
        <v>Gaspe [CAGPE]</v>
      </c>
      <c r="AN4941" t="s">
        <v>3878</v>
      </c>
      <c r="AO4941" t="s">
        <v>35325</v>
      </c>
    </row>
    <row r="4942" spans="39:41" ht="12" customHeight="1" x14ac:dyDescent="0.2">
      <c r="AM4942" t="str">
        <f t="shared" si="77"/>
        <v>Gasport [USGSQ]</v>
      </c>
      <c r="AN4942" t="s">
        <v>29920</v>
      </c>
      <c r="AO4942" t="s">
        <v>29921</v>
      </c>
    </row>
    <row r="4943" spans="39:41" ht="12" customHeight="1" x14ac:dyDescent="0.2">
      <c r="AM4943" t="str">
        <f t="shared" si="77"/>
        <v>Gasselternijveen [NLGSS]</v>
      </c>
      <c r="AN4943" t="s">
        <v>23197</v>
      </c>
      <c r="AO4943" t="s">
        <v>23198</v>
      </c>
    </row>
    <row r="4944" spans="39:41" ht="12" customHeight="1" x14ac:dyDescent="0.2">
      <c r="AM4944" t="str">
        <f t="shared" si="77"/>
        <v>Gately [ZAGTY]</v>
      </c>
      <c r="AN4944" t="s">
        <v>32683</v>
      </c>
      <c r="AO4944" t="s">
        <v>32684</v>
      </c>
    </row>
    <row r="4945" spans="39:41" ht="12" customHeight="1" x14ac:dyDescent="0.2">
      <c r="AM4945" t="str">
        <f t="shared" si="77"/>
        <v>Gateshead [GBGAT]</v>
      </c>
      <c r="AN4945" t="s">
        <v>13234</v>
      </c>
      <c r="AO4945" t="s">
        <v>13235</v>
      </c>
    </row>
    <row r="4946" spans="39:41" ht="12" customHeight="1" x14ac:dyDescent="0.2">
      <c r="AM4946" t="str">
        <f t="shared" si="77"/>
        <v>Gatot Subroto Permai [IDGTS]</v>
      </c>
      <c r="AN4946" t="s">
        <v>34947</v>
      </c>
      <c r="AO4946" t="s">
        <v>34948</v>
      </c>
    </row>
    <row r="4947" spans="39:41" ht="12" customHeight="1" x14ac:dyDescent="0.2">
      <c r="AM4947" t="str">
        <f t="shared" si="77"/>
        <v>Gatun [PAGTN]</v>
      </c>
      <c r="AN4947" t="s">
        <v>25194</v>
      </c>
      <c r="AO4947" t="s">
        <v>25195</v>
      </c>
    </row>
    <row r="4948" spans="39:41" ht="12" customHeight="1" x14ac:dyDescent="0.2">
      <c r="AM4948" t="str">
        <f t="shared" si="77"/>
        <v>Gau Odernheim [DEGAO]</v>
      </c>
      <c r="AN4948" t="s">
        <v>7420</v>
      </c>
      <c r="AO4948" t="s">
        <v>7421</v>
      </c>
    </row>
    <row r="4949" spans="39:41" ht="12" customHeight="1" x14ac:dyDescent="0.2">
      <c r="AM4949" t="str">
        <f t="shared" si="77"/>
        <v>Gauhati (Panidi) [INGAU]</v>
      </c>
      <c r="AN4949" t="s">
        <v>17148</v>
      </c>
      <c r="AO4949" t="s">
        <v>17149</v>
      </c>
    </row>
    <row r="4950" spans="39:41" ht="12" customHeight="1" x14ac:dyDescent="0.2">
      <c r="AM4950" t="str">
        <f t="shared" si="77"/>
        <v>Gaular [NOGAU]</v>
      </c>
      <c r="AN4950" t="s">
        <v>24126</v>
      </c>
      <c r="AO4950" t="s">
        <v>24127</v>
      </c>
    </row>
    <row r="4951" spans="39:41" ht="12" customHeight="1" x14ac:dyDescent="0.2">
      <c r="AM4951" t="str">
        <f t="shared" si="77"/>
        <v>Gaupne [NOGPN]</v>
      </c>
      <c r="AN4951" t="s">
        <v>24128</v>
      </c>
      <c r="AO4951" t="s">
        <v>24129</v>
      </c>
    </row>
    <row r="4952" spans="39:41" ht="12" customHeight="1" x14ac:dyDescent="0.2">
      <c r="AM4952" t="str">
        <f t="shared" si="77"/>
        <v>Gauriac [FRGUR]</v>
      </c>
      <c r="AN4952" t="s">
        <v>11319</v>
      </c>
      <c r="AO4952" t="s">
        <v>11320</v>
      </c>
    </row>
    <row r="4953" spans="39:41" ht="12" customHeight="1" x14ac:dyDescent="0.2">
      <c r="AM4953" t="str">
        <f t="shared" si="77"/>
        <v>Gaussig [DEGXS]</v>
      </c>
      <c r="AN4953" t="s">
        <v>7422</v>
      </c>
      <c r="AO4953" t="s">
        <v>7423</v>
      </c>
    </row>
    <row r="4954" spans="39:41" ht="12" customHeight="1" x14ac:dyDescent="0.2">
      <c r="AM4954" t="str">
        <f t="shared" si="77"/>
        <v>Gavdos Chanea [GRGAD]</v>
      </c>
      <c r="AN4954" t="s">
        <v>15222</v>
      </c>
      <c r="AO4954" t="s">
        <v>15223</v>
      </c>
    </row>
    <row r="4955" spans="39:41" ht="12" customHeight="1" x14ac:dyDescent="0.2">
      <c r="AM4955" t="str">
        <f t="shared" si="77"/>
        <v>Gavere [BEGVR]</v>
      </c>
      <c r="AN4955" t="s">
        <v>2461</v>
      </c>
      <c r="AO4955" t="s">
        <v>2462</v>
      </c>
    </row>
    <row r="4956" spans="39:41" ht="12" customHeight="1" x14ac:dyDescent="0.2">
      <c r="AM4956" t="str">
        <f t="shared" si="77"/>
        <v>Gavle [SEGVX]</v>
      </c>
      <c r="AN4956" t="s">
        <v>27582</v>
      </c>
      <c r="AO4956" t="s">
        <v>36442</v>
      </c>
    </row>
    <row r="4957" spans="39:41" ht="12" customHeight="1" x14ac:dyDescent="0.2">
      <c r="AM4957" t="str">
        <f t="shared" si="77"/>
        <v>Gavrilov-Yam [RUGVY]</v>
      </c>
      <c r="AN4957" t="s">
        <v>26939</v>
      </c>
      <c r="AO4957" t="s">
        <v>26940</v>
      </c>
    </row>
    <row r="4958" spans="39:41" ht="12" customHeight="1" x14ac:dyDescent="0.2">
      <c r="AM4958" t="str">
        <f t="shared" si="77"/>
        <v>Gavrion [GRGAV]</v>
      </c>
      <c r="AN4958" t="s">
        <v>15224</v>
      </c>
      <c r="AO4958" t="s">
        <v>35903</v>
      </c>
    </row>
    <row r="4959" spans="39:41" ht="12" customHeight="1" x14ac:dyDescent="0.2">
      <c r="AM4959" t="str">
        <f t="shared" si="77"/>
        <v>Gawa Island [PGGAW]</v>
      </c>
      <c r="AN4959" t="s">
        <v>25382</v>
      </c>
      <c r="AO4959" t="s">
        <v>25383</v>
      </c>
    </row>
    <row r="4960" spans="39:41" ht="12" customHeight="1" x14ac:dyDescent="0.2">
      <c r="AM4960" t="str">
        <f t="shared" si="77"/>
        <v>Gazenica [HRGNA]</v>
      </c>
      <c r="AN4960" t="s">
        <v>15746</v>
      </c>
      <c r="AO4960" t="s">
        <v>15747</v>
      </c>
    </row>
    <row r="4961" spans="39:41" ht="12" customHeight="1" x14ac:dyDescent="0.2">
      <c r="AM4961" t="str">
        <f t="shared" si="77"/>
        <v>Gbabam [CIGBA]</v>
      </c>
      <c r="AN4961" t="s">
        <v>4785</v>
      </c>
      <c r="AO4961" t="s">
        <v>4786</v>
      </c>
    </row>
    <row r="4962" spans="39:41" ht="12" customHeight="1" x14ac:dyDescent="0.2">
      <c r="AM4962" t="str">
        <f t="shared" si="77"/>
        <v>Gdansk [PLGDN]</v>
      </c>
      <c r="AN4962" t="s">
        <v>26298</v>
      </c>
      <c r="AO4962" t="s">
        <v>26299</v>
      </c>
    </row>
    <row r="4963" spans="39:41" ht="12" customHeight="1" x14ac:dyDescent="0.2">
      <c r="AM4963" t="str">
        <f t="shared" si="77"/>
        <v>Gdynia [PLGDY]</v>
      </c>
      <c r="AN4963" t="s">
        <v>26300</v>
      </c>
      <c r="AO4963" t="s">
        <v>26301</v>
      </c>
    </row>
    <row r="4964" spans="39:41" ht="12" customHeight="1" x14ac:dyDescent="0.2">
      <c r="AM4964" t="str">
        <f t="shared" si="77"/>
        <v>Gebze [TRGEB]</v>
      </c>
      <c r="AN4964" t="s">
        <v>28473</v>
      </c>
      <c r="AO4964" t="s">
        <v>28474</v>
      </c>
    </row>
    <row r="4965" spans="39:41" ht="12" customHeight="1" x14ac:dyDescent="0.2">
      <c r="AM4965" t="str">
        <f t="shared" si="77"/>
        <v>Gedian [CNGDI]</v>
      </c>
      <c r="AN4965" t="s">
        <v>5339</v>
      </c>
      <c r="AO4965" t="s">
        <v>5340</v>
      </c>
    </row>
    <row r="4966" spans="39:41" ht="12" customHeight="1" x14ac:dyDescent="0.2">
      <c r="AM4966" t="str">
        <f t="shared" si="77"/>
        <v>Gedser [DKGED]</v>
      </c>
      <c r="AN4966" t="s">
        <v>8699</v>
      </c>
      <c r="AO4966" t="s">
        <v>8700</v>
      </c>
    </row>
    <row r="4967" spans="39:41" ht="12" customHeight="1" x14ac:dyDescent="0.2">
      <c r="AM4967" t="str">
        <f t="shared" si="77"/>
        <v>Gee Island [IDGEE]</v>
      </c>
      <c r="AN4967" t="s">
        <v>16265</v>
      </c>
      <c r="AO4967" t="s">
        <v>16266</v>
      </c>
    </row>
    <row r="4968" spans="39:41" ht="12" customHeight="1" x14ac:dyDescent="0.2">
      <c r="AM4968" t="str">
        <f t="shared" si="77"/>
        <v>Geel [BEGEL]</v>
      </c>
      <c r="AN4968" t="s">
        <v>2463</v>
      </c>
      <c r="AO4968" t="s">
        <v>2464</v>
      </c>
    </row>
    <row r="4969" spans="39:41" ht="12" customHeight="1" x14ac:dyDescent="0.2">
      <c r="AM4969" t="str">
        <f t="shared" si="77"/>
        <v>Geelong [AUGEX]</v>
      </c>
      <c r="AN4969" t="s">
        <v>1679</v>
      </c>
      <c r="AO4969" t="s">
        <v>1680</v>
      </c>
    </row>
    <row r="4970" spans="39:41" ht="12" customHeight="1" x14ac:dyDescent="0.2">
      <c r="AM4970" t="str">
        <f t="shared" si="77"/>
        <v>Geeste [DEGST]</v>
      </c>
      <c r="AN4970" t="s">
        <v>7424</v>
      </c>
      <c r="AO4970" t="s">
        <v>7425</v>
      </c>
    </row>
    <row r="4971" spans="39:41" ht="12" customHeight="1" x14ac:dyDescent="0.2">
      <c r="AM4971" t="str">
        <f t="shared" si="77"/>
        <v>Geeuwenbrug [NLGWU]</v>
      </c>
      <c r="AN4971" t="s">
        <v>23199</v>
      </c>
      <c r="AO4971" t="s">
        <v>23200</v>
      </c>
    </row>
    <row r="4972" spans="39:41" ht="12" customHeight="1" x14ac:dyDescent="0.2">
      <c r="AM4972" t="str">
        <f t="shared" si="77"/>
        <v>Geiranger [NOGNR]</v>
      </c>
      <c r="AN4972" t="s">
        <v>37075</v>
      </c>
      <c r="AO4972" t="s">
        <v>37076</v>
      </c>
    </row>
    <row r="4973" spans="39:41" ht="12" customHeight="1" x14ac:dyDescent="0.2">
      <c r="AM4973" t="str">
        <f t="shared" si="77"/>
        <v>Geisum Terminal [EGGEI]</v>
      </c>
      <c r="AN4973" t="s">
        <v>9480</v>
      </c>
      <c r="AO4973" t="s">
        <v>9481</v>
      </c>
    </row>
    <row r="4974" spans="39:41" ht="12" customHeight="1" x14ac:dyDescent="0.2">
      <c r="AM4974" t="str">
        <f t="shared" si="77"/>
        <v>Gela [ITGEA]</v>
      </c>
      <c r="AN4974" t="s">
        <v>17955</v>
      </c>
      <c r="AO4974" t="s">
        <v>17956</v>
      </c>
    </row>
    <row r="4975" spans="39:41" ht="12" customHeight="1" x14ac:dyDescent="0.2">
      <c r="AM4975" t="str">
        <f t="shared" si="77"/>
        <v>Gelbensande [DEGNL]</v>
      </c>
      <c r="AN4975" t="s">
        <v>7426</v>
      </c>
      <c r="AO4975" t="s">
        <v>7427</v>
      </c>
    </row>
    <row r="4976" spans="39:41" ht="12" customHeight="1" x14ac:dyDescent="0.2">
      <c r="AM4976" t="str">
        <f t="shared" si="77"/>
        <v>Geldermalsen [NLGDM]</v>
      </c>
      <c r="AN4976" t="s">
        <v>33883</v>
      </c>
      <c r="AO4976" t="s">
        <v>34005</v>
      </c>
    </row>
    <row r="4977" spans="39:41" ht="12" customHeight="1" x14ac:dyDescent="0.2">
      <c r="AM4977" t="str">
        <f t="shared" si="77"/>
        <v>Gelibolu [TRGEL]</v>
      </c>
      <c r="AN4977" t="s">
        <v>28475</v>
      </c>
      <c r="AO4977" t="s">
        <v>28476</v>
      </c>
    </row>
    <row r="4978" spans="39:41" ht="12" customHeight="1" x14ac:dyDescent="0.2">
      <c r="AM4978" t="str">
        <f t="shared" si="77"/>
        <v>Gellik [BEGLK]</v>
      </c>
      <c r="AN4978" t="s">
        <v>2465</v>
      </c>
      <c r="AO4978" t="s">
        <v>2466</v>
      </c>
    </row>
    <row r="4979" spans="39:41" ht="12" customHeight="1" x14ac:dyDescent="0.2">
      <c r="AM4979" t="str">
        <f t="shared" si="77"/>
        <v>Gelsenkirchen [DEGEK]</v>
      </c>
      <c r="AN4979" t="s">
        <v>7428</v>
      </c>
      <c r="AO4979" t="s">
        <v>7429</v>
      </c>
    </row>
    <row r="4980" spans="39:41" ht="12" customHeight="1" x14ac:dyDescent="0.2">
      <c r="AM4980" t="str">
        <f t="shared" si="77"/>
        <v>Gelting [DEGEL]</v>
      </c>
      <c r="AN4980" t="s">
        <v>7430</v>
      </c>
      <c r="AO4980" t="s">
        <v>7431</v>
      </c>
    </row>
    <row r="4981" spans="39:41" ht="12" customHeight="1" x14ac:dyDescent="0.2">
      <c r="AM4981" t="str">
        <f t="shared" si="77"/>
        <v>Gembrook [AUGEM]</v>
      </c>
      <c r="AN4981" t="s">
        <v>1681</v>
      </c>
      <c r="AO4981" t="s">
        <v>1682</v>
      </c>
    </row>
    <row r="4982" spans="39:41" ht="12" customHeight="1" x14ac:dyDescent="0.2">
      <c r="AM4982" t="str">
        <f t="shared" si="77"/>
        <v>Gemlik [TRGEM]</v>
      </c>
      <c r="AN4982" t="s">
        <v>28477</v>
      </c>
      <c r="AO4982" t="s">
        <v>28478</v>
      </c>
    </row>
    <row r="4983" spans="39:41" ht="12" customHeight="1" x14ac:dyDescent="0.2">
      <c r="AM4983" t="str">
        <f t="shared" si="77"/>
        <v>Gemunden [DEGEM]</v>
      </c>
      <c r="AN4983" t="s">
        <v>7432</v>
      </c>
      <c r="AO4983" t="s">
        <v>35438</v>
      </c>
    </row>
    <row r="4984" spans="39:41" ht="12" customHeight="1" x14ac:dyDescent="0.2">
      <c r="AM4984" t="str">
        <f t="shared" si="77"/>
        <v>Gendentokai [JPGPT]</v>
      </c>
      <c r="AN4984" t="s">
        <v>18868</v>
      </c>
      <c r="AO4984" t="s">
        <v>18869</v>
      </c>
    </row>
    <row r="4985" spans="39:41" ht="12" customHeight="1" x14ac:dyDescent="0.2">
      <c r="AM4985" t="str">
        <f t="shared" si="77"/>
        <v>Gendt [NLGET]</v>
      </c>
      <c r="AN4985" t="s">
        <v>33884</v>
      </c>
      <c r="AO4985" t="s">
        <v>34006</v>
      </c>
    </row>
    <row r="4986" spans="39:41" ht="12" customHeight="1" x14ac:dyDescent="0.2">
      <c r="AM4986" t="str">
        <f t="shared" ref="AM4986:AM5049" si="78">AO4986 &amp; " [" &amp; AN4986 &amp; "]"</f>
        <v>Genenbos [BEGBH]</v>
      </c>
      <c r="AN4986" t="s">
        <v>2467</v>
      </c>
      <c r="AO4986" t="s">
        <v>2468</v>
      </c>
    </row>
    <row r="4987" spans="39:41" ht="12" customHeight="1" x14ac:dyDescent="0.2">
      <c r="AM4987" t="str">
        <f t="shared" si="78"/>
        <v>General Bernardo O'higgins [AQOHG]</v>
      </c>
      <c r="AN4987" t="s">
        <v>926</v>
      </c>
      <c r="AO4987" t="s">
        <v>927</v>
      </c>
    </row>
    <row r="4988" spans="39:41" ht="12" customHeight="1" x14ac:dyDescent="0.2">
      <c r="AM4988" t="str">
        <f t="shared" si="78"/>
        <v>General Island/Bislig [PHGNI]</v>
      </c>
      <c r="AN4988" t="s">
        <v>25751</v>
      </c>
      <c r="AO4988" t="s">
        <v>25752</v>
      </c>
    </row>
    <row r="4989" spans="39:41" ht="12" customHeight="1" x14ac:dyDescent="0.2">
      <c r="AM4989" t="str">
        <f t="shared" si="78"/>
        <v>General San Martin [PEGSM]</v>
      </c>
      <c r="AN4989" t="s">
        <v>25247</v>
      </c>
      <c r="AO4989" t="s">
        <v>25248</v>
      </c>
    </row>
    <row r="4990" spans="39:41" ht="12" customHeight="1" x14ac:dyDescent="0.2">
      <c r="AM4990" t="str">
        <f t="shared" si="78"/>
        <v>General Santos [PHGES]</v>
      </c>
      <c r="AN4990" t="s">
        <v>25753</v>
      </c>
      <c r="AO4990" t="s">
        <v>25754</v>
      </c>
    </row>
    <row r="4991" spans="39:41" ht="12" customHeight="1" x14ac:dyDescent="0.2">
      <c r="AM4991" t="str">
        <f t="shared" si="78"/>
        <v>General Teran [MXGET]</v>
      </c>
      <c r="AN4991" t="s">
        <v>22362</v>
      </c>
      <c r="AO4991" t="s">
        <v>36090</v>
      </c>
    </row>
    <row r="4992" spans="39:41" ht="12" customHeight="1" x14ac:dyDescent="0.2">
      <c r="AM4992" t="str">
        <f t="shared" si="78"/>
        <v>Geneseo [USZGZ]</v>
      </c>
      <c r="AN4992" t="s">
        <v>29922</v>
      </c>
      <c r="AO4992" t="s">
        <v>29923</v>
      </c>
    </row>
    <row r="4993" spans="39:41" ht="12" customHeight="1" x14ac:dyDescent="0.2">
      <c r="AM4993" t="str">
        <f t="shared" si="78"/>
        <v>Genk [BEGNK]</v>
      </c>
      <c r="AN4993" t="s">
        <v>2469</v>
      </c>
      <c r="AO4993" t="s">
        <v>2470</v>
      </c>
    </row>
    <row r="4994" spans="39:41" ht="12" customHeight="1" x14ac:dyDescent="0.2">
      <c r="AM4994" t="str">
        <f t="shared" si="78"/>
        <v>Gennevilliers [FRGVL]</v>
      </c>
      <c r="AN4994" t="s">
        <v>11321</v>
      </c>
      <c r="AO4994" t="s">
        <v>11322</v>
      </c>
    </row>
    <row r="4995" spans="39:41" ht="12" customHeight="1" x14ac:dyDescent="0.2">
      <c r="AM4995" t="str">
        <f t="shared" si="78"/>
        <v>Genova [ITGOA]</v>
      </c>
      <c r="AN4995" t="s">
        <v>17957</v>
      </c>
      <c r="AO4995" t="s">
        <v>17958</v>
      </c>
    </row>
    <row r="4996" spans="39:41" ht="12" customHeight="1" x14ac:dyDescent="0.2">
      <c r="AM4996" t="str">
        <f t="shared" si="78"/>
        <v>Gensan [KPGEN]</v>
      </c>
      <c r="AN4996" t="s">
        <v>21580</v>
      </c>
      <c r="AO4996" t="s">
        <v>21581</v>
      </c>
    </row>
    <row r="4997" spans="39:41" ht="12" customHeight="1" x14ac:dyDescent="0.2">
      <c r="AM4997" t="str">
        <f t="shared" si="78"/>
        <v>Gent (Ghent) [BEGNE]</v>
      </c>
      <c r="AN4997" t="s">
        <v>2471</v>
      </c>
      <c r="AO4997" t="s">
        <v>2472</v>
      </c>
    </row>
    <row r="4998" spans="39:41" ht="12" customHeight="1" x14ac:dyDescent="0.2">
      <c r="AM4998" t="str">
        <f t="shared" si="78"/>
        <v>Gentbrugge [BEGBU]</v>
      </c>
      <c r="AN4998" t="s">
        <v>2473</v>
      </c>
      <c r="AO4998" t="s">
        <v>2474</v>
      </c>
    </row>
    <row r="4999" spans="39:41" ht="12" customHeight="1" x14ac:dyDescent="0.2">
      <c r="AM4999" t="str">
        <f t="shared" si="78"/>
        <v>Geoje [KRKJE]</v>
      </c>
      <c r="AN4999" t="s">
        <v>21642</v>
      </c>
      <c r="AO4999" t="s">
        <v>21643</v>
      </c>
    </row>
    <row r="5000" spans="39:41" ht="12" customHeight="1" x14ac:dyDescent="0.2">
      <c r="AM5000" t="str">
        <f t="shared" si="78"/>
        <v>Geomundo [KRGMD]</v>
      </c>
      <c r="AN5000" t="s">
        <v>21644</v>
      </c>
      <c r="AO5000" t="s">
        <v>21645</v>
      </c>
    </row>
    <row r="5001" spans="39:41" ht="12" customHeight="1" x14ac:dyDescent="0.2">
      <c r="AM5001" t="str">
        <f t="shared" si="78"/>
        <v>George Town [AUGEE]</v>
      </c>
      <c r="AN5001" t="s">
        <v>1683</v>
      </c>
      <c r="AO5001" t="s">
        <v>1684</v>
      </c>
    </row>
    <row r="5002" spans="39:41" ht="12" customHeight="1" x14ac:dyDescent="0.2">
      <c r="AM5002" t="str">
        <f t="shared" si="78"/>
        <v>George Town, Great Exuma Island [BSGGT]</v>
      </c>
      <c r="AN5002" t="s">
        <v>3435</v>
      </c>
      <c r="AO5002" t="s">
        <v>3436</v>
      </c>
    </row>
    <row r="5003" spans="39:41" ht="12" customHeight="1" x14ac:dyDescent="0.2">
      <c r="AM5003" t="str">
        <f t="shared" si="78"/>
        <v>Georgetown [GYGEO]</v>
      </c>
      <c r="AN5003" t="s">
        <v>15637</v>
      </c>
      <c r="AO5003" t="s">
        <v>15638</v>
      </c>
    </row>
    <row r="5004" spans="39:41" ht="12" customHeight="1" x14ac:dyDescent="0.2">
      <c r="AM5004" t="str">
        <f t="shared" si="78"/>
        <v>Georgetown [SHASI]</v>
      </c>
      <c r="AN5004" t="s">
        <v>27993</v>
      </c>
      <c r="AO5004" t="s">
        <v>15638</v>
      </c>
    </row>
    <row r="5005" spans="39:41" ht="12" customHeight="1" x14ac:dyDescent="0.2">
      <c r="AM5005" t="str">
        <f t="shared" si="78"/>
        <v>Georgetown [USGGE]</v>
      </c>
      <c r="AN5005" t="s">
        <v>29924</v>
      </c>
      <c r="AO5005" t="s">
        <v>15638</v>
      </c>
    </row>
    <row r="5006" spans="39:41" ht="12" customHeight="1" x14ac:dyDescent="0.2">
      <c r="AM5006" t="str">
        <f t="shared" si="78"/>
        <v>Georgetown [VCGRG]</v>
      </c>
      <c r="AN5006" t="s">
        <v>32137</v>
      </c>
      <c r="AO5006" t="s">
        <v>15638</v>
      </c>
    </row>
    <row r="5007" spans="39:41" ht="12" customHeight="1" x14ac:dyDescent="0.2">
      <c r="AM5007" t="str">
        <f t="shared" si="78"/>
        <v>Georgetown, Grand Cayman [KYGEC]</v>
      </c>
      <c r="AN5007" t="s">
        <v>21772</v>
      </c>
      <c r="AO5007" t="s">
        <v>21773</v>
      </c>
    </row>
    <row r="5008" spans="39:41" ht="12" customHeight="1" x14ac:dyDescent="0.2">
      <c r="AM5008" t="str">
        <f t="shared" si="78"/>
        <v>Geraardsbergen [BEGEA]</v>
      </c>
      <c r="AN5008" t="s">
        <v>2475</v>
      </c>
      <c r="AO5008" t="s">
        <v>2476</v>
      </c>
    </row>
    <row r="5009" spans="39:41" ht="12" customHeight="1" x14ac:dyDescent="0.2">
      <c r="AM5009" t="str">
        <f t="shared" si="78"/>
        <v>Geraldton [AUGET]</v>
      </c>
      <c r="AN5009" t="s">
        <v>1685</v>
      </c>
      <c r="AO5009" t="s">
        <v>1686</v>
      </c>
    </row>
    <row r="5010" spans="39:41" ht="12" customHeight="1" x14ac:dyDescent="0.2">
      <c r="AM5010" t="str">
        <f t="shared" si="78"/>
        <v>Gergy [FRGXY]</v>
      </c>
      <c r="AN5010" t="s">
        <v>11323</v>
      </c>
      <c r="AO5010" t="s">
        <v>11324</v>
      </c>
    </row>
    <row r="5011" spans="39:41" ht="12" customHeight="1" x14ac:dyDescent="0.2">
      <c r="AM5011" t="str">
        <f t="shared" si="78"/>
        <v>Germersheim [DEGER]</v>
      </c>
      <c r="AN5011" t="s">
        <v>7433</v>
      </c>
      <c r="AO5011" t="s">
        <v>7434</v>
      </c>
    </row>
    <row r="5012" spans="39:41" ht="12" customHeight="1" x14ac:dyDescent="0.2">
      <c r="AM5012" t="str">
        <f t="shared" si="78"/>
        <v>Gernsheim [DEGHM]</v>
      </c>
      <c r="AN5012" t="s">
        <v>7435</v>
      </c>
      <c r="AO5012" t="s">
        <v>7436</v>
      </c>
    </row>
    <row r="5013" spans="39:41" ht="12" customHeight="1" x14ac:dyDescent="0.2">
      <c r="AM5013" t="str">
        <f t="shared" si="78"/>
        <v>Gersfeld [DEGFD]</v>
      </c>
      <c r="AN5013" t="s">
        <v>7437</v>
      </c>
      <c r="AO5013" t="s">
        <v>7438</v>
      </c>
    </row>
    <row r="5014" spans="39:41" ht="12" customHeight="1" x14ac:dyDescent="0.2">
      <c r="AM5014" t="str">
        <f t="shared" si="78"/>
        <v>Gersheim [DEGHZ]</v>
      </c>
      <c r="AN5014" t="s">
        <v>7439</v>
      </c>
      <c r="AO5014" t="s">
        <v>7440</v>
      </c>
    </row>
    <row r="5015" spans="39:41" ht="12" customHeight="1" x14ac:dyDescent="0.2">
      <c r="AM5015" t="str">
        <f t="shared" si="78"/>
        <v>Gertrude Cove [USTUV]</v>
      </c>
      <c r="AN5015" t="s">
        <v>29925</v>
      </c>
      <c r="AO5015" t="s">
        <v>29926</v>
      </c>
    </row>
    <row r="5016" spans="39:41" ht="12" customHeight="1" x14ac:dyDescent="0.2">
      <c r="AM5016" t="str">
        <f t="shared" si="78"/>
        <v>Gerze [TRGZE]</v>
      </c>
      <c r="AN5016" t="s">
        <v>28479</v>
      </c>
      <c r="AO5016" t="s">
        <v>28480</v>
      </c>
    </row>
    <row r="5017" spans="39:41" ht="12" customHeight="1" x14ac:dyDescent="0.2">
      <c r="AM5017" t="str">
        <f t="shared" si="78"/>
        <v>Getxo [ESGTX]</v>
      </c>
      <c r="AN5017" t="s">
        <v>9808</v>
      </c>
      <c r="AO5017" t="s">
        <v>9809</v>
      </c>
    </row>
    <row r="5018" spans="39:41" ht="12" customHeight="1" x14ac:dyDescent="0.2">
      <c r="AM5018" t="str">
        <f t="shared" si="78"/>
        <v>Geudertheim [FRGHD]</v>
      </c>
      <c r="AN5018" t="s">
        <v>11325</v>
      </c>
      <c r="AO5018" t="s">
        <v>11326</v>
      </c>
    </row>
    <row r="5019" spans="39:41" ht="12" customHeight="1" x14ac:dyDescent="0.2">
      <c r="AM5019" t="str">
        <f t="shared" si="78"/>
        <v>Geulle [NLGLL]</v>
      </c>
      <c r="AN5019" t="s">
        <v>23201</v>
      </c>
      <c r="AO5019" t="s">
        <v>23202</v>
      </c>
    </row>
    <row r="5020" spans="39:41" ht="12" customHeight="1" x14ac:dyDescent="0.2">
      <c r="AM5020" t="str">
        <f t="shared" si="78"/>
        <v>Geversdorf [DEGEV]</v>
      </c>
      <c r="AN5020" t="s">
        <v>7441</v>
      </c>
      <c r="AO5020" t="s">
        <v>7442</v>
      </c>
    </row>
    <row r="5021" spans="39:41" ht="12" customHeight="1" x14ac:dyDescent="0.2">
      <c r="AM5021" t="str">
        <f t="shared" si="78"/>
        <v>Ghardaia [DZGHA]</v>
      </c>
      <c r="AN5021" t="s">
        <v>9057</v>
      </c>
      <c r="AO5021" t="s">
        <v>35608</v>
      </c>
    </row>
    <row r="5022" spans="39:41" ht="12" customHeight="1" x14ac:dyDescent="0.2">
      <c r="AM5022" t="str">
        <f t="shared" si="78"/>
        <v>Ghargur [MTGHA]</v>
      </c>
      <c r="AN5022" t="s">
        <v>22254</v>
      </c>
      <c r="AO5022" t="s">
        <v>22255</v>
      </c>
    </row>
    <row r="5023" spans="39:41" ht="12" customHeight="1" x14ac:dyDescent="0.2">
      <c r="AM5023" t="str">
        <f t="shared" si="78"/>
        <v>Ghazaouet [DZGHZ]</v>
      </c>
      <c r="AN5023" t="s">
        <v>9058</v>
      </c>
      <c r="AO5023" t="s">
        <v>9059</v>
      </c>
    </row>
    <row r="5024" spans="39:41" ht="12" customHeight="1" x14ac:dyDescent="0.2">
      <c r="AM5024" t="str">
        <f t="shared" si="78"/>
        <v>Ghent [USGHE]</v>
      </c>
      <c r="AN5024" t="s">
        <v>29927</v>
      </c>
      <c r="AO5024" t="s">
        <v>29928</v>
      </c>
    </row>
    <row r="5025" spans="39:41" ht="12" customHeight="1" x14ac:dyDescent="0.2">
      <c r="AM5025" t="str">
        <f t="shared" si="78"/>
        <v>Ghlin [BEGHL]</v>
      </c>
      <c r="AN5025" t="s">
        <v>2477</v>
      </c>
      <c r="AO5025" t="s">
        <v>2478</v>
      </c>
    </row>
    <row r="5026" spans="39:41" ht="12" customHeight="1" x14ac:dyDescent="0.2">
      <c r="AM5026" t="str">
        <f t="shared" si="78"/>
        <v>Ghogha [INGHA]</v>
      </c>
      <c r="AN5026" t="s">
        <v>17150</v>
      </c>
      <c r="AO5026" t="s">
        <v>17151</v>
      </c>
    </row>
    <row r="5027" spans="39:41" ht="12" customHeight="1" x14ac:dyDescent="0.2">
      <c r="AM5027" t="str">
        <f t="shared" si="78"/>
        <v>Giannutri [ITGII]</v>
      </c>
      <c r="AN5027" t="s">
        <v>17959</v>
      </c>
      <c r="AO5027" t="s">
        <v>17960</v>
      </c>
    </row>
    <row r="5028" spans="39:41" ht="12" customHeight="1" x14ac:dyDescent="0.2">
      <c r="AM5028" t="str">
        <f t="shared" si="78"/>
        <v>Giardini Naxos [ITGIA]</v>
      </c>
      <c r="AN5028" t="s">
        <v>17961</v>
      </c>
      <c r="AO5028" t="s">
        <v>17962</v>
      </c>
    </row>
    <row r="5029" spans="39:41" ht="12" customHeight="1" x14ac:dyDescent="0.2">
      <c r="AM5029" t="str">
        <f t="shared" si="78"/>
        <v>Gibara [CUGIB]</v>
      </c>
      <c r="AN5029" t="s">
        <v>6684</v>
      </c>
      <c r="AO5029" t="s">
        <v>6685</v>
      </c>
    </row>
    <row r="5030" spans="39:41" ht="12" customHeight="1" x14ac:dyDescent="0.2">
      <c r="AM5030" t="str">
        <f t="shared" si="78"/>
        <v>Gibraltar [GIGIB]</v>
      </c>
      <c r="AN5030" t="s">
        <v>14974</v>
      </c>
      <c r="AO5030" t="s">
        <v>14975</v>
      </c>
    </row>
    <row r="5031" spans="39:41" ht="12" customHeight="1" x14ac:dyDescent="0.2">
      <c r="AM5031" t="str">
        <f t="shared" si="78"/>
        <v>Gibson City [USGBC]</v>
      </c>
      <c r="AN5031" t="s">
        <v>29929</v>
      </c>
      <c r="AO5031" t="s">
        <v>29930</v>
      </c>
    </row>
    <row r="5032" spans="39:41" ht="12" customHeight="1" x14ac:dyDescent="0.2">
      <c r="AM5032" t="str">
        <f t="shared" si="78"/>
        <v>Gideon [USGID]</v>
      </c>
      <c r="AN5032" t="s">
        <v>29931</v>
      </c>
      <c r="AO5032" t="s">
        <v>29932</v>
      </c>
    </row>
    <row r="5033" spans="39:41" ht="12" customHeight="1" x14ac:dyDescent="0.2">
      <c r="AM5033" t="str">
        <f t="shared" si="78"/>
        <v>Giethoorn [NLGHO]</v>
      </c>
      <c r="AN5033" t="s">
        <v>23203</v>
      </c>
      <c r="AO5033" t="s">
        <v>23204</v>
      </c>
    </row>
    <row r="5034" spans="39:41" ht="12" customHeight="1" x14ac:dyDescent="0.2">
      <c r="AM5034" t="str">
        <f t="shared" si="78"/>
        <v>Gigaquit, Mindanao [PHGGG]</v>
      </c>
      <c r="AN5034" t="s">
        <v>25755</v>
      </c>
      <c r="AO5034" t="s">
        <v>25756</v>
      </c>
    </row>
    <row r="5035" spans="39:41" ht="12" customHeight="1" x14ac:dyDescent="0.2">
      <c r="AM5035" t="str">
        <f t="shared" si="78"/>
        <v>Gigmoto, Catanduanes [PHGGM]</v>
      </c>
      <c r="AN5035" t="s">
        <v>25757</v>
      </c>
      <c r="AO5035" t="s">
        <v>25758</v>
      </c>
    </row>
    <row r="5036" spans="39:41" ht="12" customHeight="1" x14ac:dyDescent="0.2">
      <c r="AM5036" t="str">
        <f t="shared" si="78"/>
        <v>Gigny-sur-Saone [FRGAO]</v>
      </c>
      <c r="AN5036" t="s">
        <v>11327</v>
      </c>
      <c r="AO5036" t="s">
        <v>11328</v>
      </c>
    </row>
    <row r="5037" spans="39:41" ht="12" customHeight="1" x14ac:dyDescent="0.2">
      <c r="AM5037" t="str">
        <f t="shared" si="78"/>
        <v>Gijon [ESGIJ]</v>
      </c>
      <c r="AN5037" t="s">
        <v>9810</v>
      </c>
      <c r="AO5037" t="s">
        <v>35673</v>
      </c>
    </row>
    <row r="5038" spans="39:41" ht="12" customHeight="1" x14ac:dyDescent="0.2">
      <c r="AM5038" t="str">
        <f t="shared" si="78"/>
        <v>Gilau [PGGIL]</v>
      </c>
      <c r="AN5038" t="s">
        <v>25384</v>
      </c>
      <c r="AO5038" t="s">
        <v>25385</v>
      </c>
    </row>
    <row r="5039" spans="39:41" ht="12" customHeight="1" x14ac:dyDescent="0.2">
      <c r="AM5039" t="str">
        <f t="shared" si="78"/>
        <v>Gilbertville [USGEZ]</v>
      </c>
      <c r="AN5039" t="s">
        <v>29933</v>
      </c>
      <c r="AO5039" t="s">
        <v>29934</v>
      </c>
    </row>
    <row r="5040" spans="39:41" ht="12" customHeight="1" x14ac:dyDescent="0.2">
      <c r="AM5040" t="str">
        <f t="shared" si="78"/>
        <v>Gildeskal [NOGIL]</v>
      </c>
      <c r="AN5040" t="s">
        <v>24130</v>
      </c>
      <c r="AO5040" t="s">
        <v>36174</v>
      </c>
    </row>
    <row r="5041" spans="39:41" ht="12" customHeight="1" x14ac:dyDescent="0.2">
      <c r="AM5041" t="str">
        <f t="shared" si="78"/>
        <v>Gilimanuk, Bali [IDGIL]</v>
      </c>
      <c r="AN5041" t="s">
        <v>16267</v>
      </c>
      <c r="AO5041" t="s">
        <v>16268</v>
      </c>
    </row>
    <row r="5042" spans="39:41" ht="12" customHeight="1" x14ac:dyDescent="0.2">
      <c r="AM5042" t="str">
        <f t="shared" si="78"/>
        <v>Gilleleje [DKGLE]</v>
      </c>
      <c r="AN5042" t="s">
        <v>36862</v>
      </c>
      <c r="AO5042" t="s">
        <v>36863</v>
      </c>
    </row>
    <row r="5043" spans="39:41" ht="12" customHeight="1" x14ac:dyDescent="0.2">
      <c r="AM5043" t="str">
        <f t="shared" si="78"/>
        <v>Gillingham [GBGIL]</v>
      </c>
      <c r="AN5043" t="s">
        <v>13236</v>
      </c>
      <c r="AO5043" t="s">
        <v>13237</v>
      </c>
    </row>
    <row r="5044" spans="39:41" ht="12" customHeight="1" x14ac:dyDescent="0.2">
      <c r="AM5044" t="str">
        <f t="shared" si="78"/>
        <v>Gills [GBILL]</v>
      </c>
      <c r="AN5044" t="s">
        <v>13238</v>
      </c>
      <c r="AO5044" t="s">
        <v>13239</v>
      </c>
    </row>
    <row r="5045" spans="39:41" ht="12" customHeight="1" x14ac:dyDescent="0.2">
      <c r="AM5045" t="str">
        <f t="shared" si="78"/>
        <v>Gilseberg [DEGS5]</v>
      </c>
      <c r="AN5045" t="s">
        <v>7443</v>
      </c>
      <c r="AO5045" t="s">
        <v>7444</v>
      </c>
    </row>
    <row r="5046" spans="39:41" ht="12" customHeight="1" x14ac:dyDescent="0.2">
      <c r="AM5046" t="str">
        <f t="shared" si="78"/>
        <v>Gimboa [AOGIM]</v>
      </c>
      <c r="AN5046" t="s">
        <v>853</v>
      </c>
      <c r="AO5046" t="s">
        <v>854</v>
      </c>
    </row>
    <row r="5047" spans="39:41" ht="12" customHeight="1" x14ac:dyDescent="0.2">
      <c r="AM5047" t="str">
        <f t="shared" si="78"/>
        <v>Gimmeldingen [DEGXN]</v>
      </c>
      <c r="AN5047" t="s">
        <v>7445</v>
      </c>
      <c r="AO5047" t="s">
        <v>7446</v>
      </c>
    </row>
    <row r="5048" spans="39:41" ht="12" customHeight="1" x14ac:dyDescent="0.2">
      <c r="AM5048" t="str">
        <f t="shared" si="78"/>
        <v>Ginepp [DEGNP]</v>
      </c>
      <c r="AN5048" t="s">
        <v>7447</v>
      </c>
      <c r="AO5048" t="s">
        <v>7448</v>
      </c>
    </row>
    <row r="5049" spans="39:41" ht="12" customHeight="1" x14ac:dyDescent="0.2">
      <c r="AM5049" t="str">
        <f t="shared" si="78"/>
        <v>Gingoog/Masao [PHGIN]</v>
      </c>
      <c r="AN5049" t="s">
        <v>25759</v>
      </c>
      <c r="AO5049" t="s">
        <v>25760</v>
      </c>
    </row>
    <row r="5050" spans="39:41" ht="12" customHeight="1" x14ac:dyDescent="0.2">
      <c r="AM5050" t="str">
        <f t="shared" ref="AM5050:AM5113" si="79">AO5050 &amp; " [" &amp; AN5050 &amp; "]"</f>
        <v>Ginowan [JPGNW]</v>
      </c>
      <c r="AN5050" t="s">
        <v>18870</v>
      </c>
      <c r="AO5050" t="s">
        <v>18871</v>
      </c>
    </row>
    <row r="5051" spans="39:41" ht="12" customHeight="1" x14ac:dyDescent="0.2">
      <c r="AM5051" t="str">
        <f t="shared" si="79"/>
        <v>Ginsheim-Gustavsburg [DEGIG]</v>
      </c>
      <c r="AN5051" t="s">
        <v>7449</v>
      </c>
      <c r="AO5051" t="s">
        <v>7450</v>
      </c>
    </row>
    <row r="5052" spans="39:41" ht="12" customHeight="1" x14ac:dyDescent="0.2">
      <c r="AM5052" t="str">
        <f t="shared" si="79"/>
        <v>Giohar [SOGHR]</v>
      </c>
      <c r="AN5052" t="s">
        <v>28108</v>
      </c>
      <c r="AO5052" t="s">
        <v>28109</v>
      </c>
    </row>
    <row r="5053" spans="39:41" ht="12" customHeight="1" x14ac:dyDescent="0.2">
      <c r="AM5053" t="str">
        <f t="shared" si="79"/>
        <v>Gioia Tauro [ITGIT]</v>
      </c>
      <c r="AN5053" t="s">
        <v>17963</v>
      </c>
      <c r="AO5053" t="s">
        <v>17964</v>
      </c>
    </row>
    <row r="5054" spans="39:41" ht="12" customHeight="1" x14ac:dyDescent="0.2">
      <c r="AM5054" t="str">
        <f t="shared" si="79"/>
        <v>Giovinazzo [ITGVZ]</v>
      </c>
      <c r="AN5054" t="s">
        <v>17965</v>
      </c>
      <c r="AO5054" t="s">
        <v>17966</v>
      </c>
    </row>
    <row r="5055" spans="39:41" ht="12" customHeight="1" x14ac:dyDescent="0.2">
      <c r="AM5055" t="str">
        <f t="shared" si="79"/>
        <v>Girassol Terminal [AOGIR]</v>
      </c>
      <c r="AN5055" t="s">
        <v>855</v>
      </c>
      <c r="AO5055" t="s">
        <v>856</v>
      </c>
    </row>
    <row r="5056" spans="39:41" ht="12" customHeight="1" x14ac:dyDescent="0.2">
      <c r="AM5056" t="str">
        <f t="shared" si="79"/>
        <v>Giresun [TRGIR]</v>
      </c>
      <c r="AN5056" t="s">
        <v>28481</v>
      </c>
      <c r="AO5056" t="s">
        <v>28482</v>
      </c>
    </row>
    <row r="5057" spans="39:41" ht="12" customHeight="1" x14ac:dyDescent="0.2">
      <c r="AM5057" t="str">
        <f t="shared" si="79"/>
        <v>Girvan [GBGIR]</v>
      </c>
      <c r="AN5057" t="s">
        <v>13240</v>
      </c>
      <c r="AO5057" t="s">
        <v>13241</v>
      </c>
    </row>
    <row r="5058" spans="39:41" ht="12" customHeight="1" x14ac:dyDescent="0.2">
      <c r="AM5058" t="str">
        <f t="shared" si="79"/>
        <v>Gisborne [NZGIS]</v>
      </c>
      <c r="AN5058" t="s">
        <v>25064</v>
      </c>
      <c r="AO5058" t="s">
        <v>25065</v>
      </c>
    </row>
    <row r="5059" spans="39:41" ht="12" customHeight="1" x14ac:dyDescent="0.2">
      <c r="AM5059" t="str">
        <f t="shared" si="79"/>
        <v>Giske [NOGIS]</v>
      </c>
      <c r="AN5059" t="s">
        <v>24131</v>
      </c>
      <c r="AO5059" t="s">
        <v>24132</v>
      </c>
    </row>
    <row r="5060" spans="39:41" ht="12" customHeight="1" x14ac:dyDescent="0.2">
      <c r="AM5060" t="str">
        <f t="shared" si="79"/>
        <v>Gismarvik [NOGIK]</v>
      </c>
      <c r="AN5060" t="s">
        <v>24133</v>
      </c>
      <c r="AO5060" t="s">
        <v>24134</v>
      </c>
    </row>
    <row r="5061" spans="39:41" ht="12" customHeight="1" x14ac:dyDescent="0.2">
      <c r="AM5061" t="str">
        <f t="shared" si="79"/>
        <v>Gistel [BEGIS]</v>
      </c>
      <c r="AN5061" t="s">
        <v>36767</v>
      </c>
      <c r="AO5061" t="s">
        <v>36768</v>
      </c>
    </row>
    <row r="5062" spans="39:41" ht="12" customHeight="1" x14ac:dyDescent="0.2">
      <c r="AM5062" t="str">
        <f t="shared" si="79"/>
        <v>Gittelde [DEGIT]</v>
      </c>
      <c r="AN5062" t="s">
        <v>7451</v>
      </c>
      <c r="AO5062" t="s">
        <v>7452</v>
      </c>
    </row>
    <row r="5063" spans="39:41" ht="12" customHeight="1" x14ac:dyDescent="0.2">
      <c r="AM5063" t="str">
        <f t="shared" si="79"/>
        <v>Giulianova [ITGUI]</v>
      </c>
      <c r="AN5063" t="s">
        <v>17967</v>
      </c>
      <c r="AO5063" t="s">
        <v>17968</v>
      </c>
    </row>
    <row r="5064" spans="39:41" ht="12" customHeight="1" x14ac:dyDescent="0.2">
      <c r="AM5064" t="str">
        <f t="shared" si="79"/>
        <v>Giurgiu [ROGRG]</v>
      </c>
      <c r="AN5064" t="s">
        <v>26758</v>
      </c>
      <c r="AO5064" t="s">
        <v>26759</v>
      </c>
    </row>
    <row r="5065" spans="39:41" ht="12" customHeight="1" x14ac:dyDescent="0.2">
      <c r="AM5065" t="str">
        <f t="shared" si="79"/>
        <v>Giurgiulesti [MDGIU]</v>
      </c>
      <c r="AN5065" t="s">
        <v>22074</v>
      </c>
      <c r="AO5065" t="s">
        <v>22075</v>
      </c>
    </row>
    <row r="5066" spans="39:41" ht="12" customHeight="1" x14ac:dyDescent="0.2">
      <c r="AM5066" t="str">
        <f t="shared" si="79"/>
        <v>Gizo [SBGZO]</v>
      </c>
      <c r="AN5066" t="s">
        <v>27439</v>
      </c>
      <c r="AO5066" t="s">
        <v>27440</v>
      </c>
    </row>
    <row r="5067" spans="39:41" ht="12" customHeight="1" x14ac:dyDescent="0.2">
      <c r="AM5067" t="str">
        <f t="shared" si="79"/>
        <v>Gjemnes [NOGJM]</v>
      </c>
      <c r="AN5067" t="s">
        <v>24135</v>
      </c>
      <c r="AO5067" t="s">
        <v>24136</v>
      </c>
    </row>
    <row r="5068" spans="39:41" ht="12" customHeight="1" x14ac:dyDescent="0.2">
      <c r="AM5068" t="str">
        <f t="shared" si="79"/>
        <v>Gjerdsvika [NOROM]</v>
      </c>
      <c r="AN5068" t="s">
        <v>24137</v>
      </c>
      <c r="AO5068" t="s">
        <v>24138</v>
      </c>
    </row>
    <row r="5069" spans="39:41" ht="12" customHeight="1" x14ac:dyDescent="0.2">
      <c r="AM5069" t="str">
        <f t="shared" si="79"/>
        <v>Gjesdal [NOGJS]</v>
      </c>
      <c r="AN5069" t="s">
        <v>24139</v>
      </c>
      <c r="AO5069" t="s">
        <v>24140</v>
      </c>
    </row>
    <row r="5070" spans="39:41" ht="12" customHeight="1" x14ac:dyDescent="0.2">
      <c r="AM5070" t="str">
        <f t="shared" si="79"/>
        <v>Gjesvar [NOGJV]</v>
      </c>
      <c r="AN5070" t="s">
        <v>24141</v>
      </c>
      <c r="AO5070" t="s">
        <v>36175</v>
      </c>
    </row>
    <row r="5071" spans="39:41" ht="12" customHeight="1" x14ac:dyDescent="0.2">
      <c r="AM5071" t="str">
        <f t="shared" si="79"/>
        <v>Gjoa [XZGJO]</v>
      </c>
      <c r="AN5071" t="s">
        <v>32569</v>
      </c>
      <c r="AO5071" t="s">
        <v>32570</v>
      </c>
    </row>
    <row r="5072" spans="39:41" ht="12" customHeight="1" x14ac:dyDescent="0.2">
      <c r="AM5072" t="str">
        <f t="shared" si="79"/>
        <v>Gjoa Haven [CAYHK]</v>
      </c>
      <c r="AN5072" t="s">
        <v>3879</v>
      </c>
      <c r="AO5072" t="s">
        <v>3880</v>
      </c>
    </row>
    <row r="5073" spans="39:41" ht="12" customHeight="1" x14ac:dyDescent="0.2">
      <c r="AM5073" t="str">
        <f t="shared" si="79"/>
        <v>Gjosundet [NOGJD]</v>
      </c>
      <c r="AN5073" t="s">
        <v>24142</v>
      </c>
      <c r="AO5073" t="s">
        <v>36176</v>
      </c>
    </row>
    <row r="5074" spans="39:41" ht="12" customHeight="1" x14ac:dyDescent="0.2">
      <c r="AM5074" t="str">
        <f t="shared" si="79"/>
        <v>Glace Bay [CAGLB]</v>
      </c>
      <c r="AN5074" t="s">
        <v>3881</v>
      </c>
      <c r="AO5074" t="s">
        <v>3882</v>
      </c>
    </row>
    <row r="5075" spans="39:41" ht="12" customHeight="1" x14ac:dyDescent="0.2">
      <c r="AM5075" t="str">
        <f t="shared" si="79"/>
        <v>Gladstone [AUGLT]</v>
      </c>
      <c r="AN5075" t="s">
        <v>1687</v>
      </c>
      <c r="AO5075" t="s">
        <v>1688</v>
      </c>
    </row>
    <row r="5076" spans="39:41" ht="12" customHeight="1" x14ac:dyDescent="0.2">
      <c r="AM5076" t="str">
        <f t="shared" si="79"/>
        <v>Glaire-et-Villette [FRG8V]</v>
      </c>
      <c r="AN5076" t="s">
        <v>11329</v>
      </c>
      <c r="AO5076" t="s">
        <v>11330</v>
      </c>
    </row>
    <row r="5077" spans="39:41" ht="12" customHeight="1" x14ac:dyDescent="0.2">
      <c r="AM5077" t="str">
        <f t="shared" si="79"/>
        <v>Glasgow [GBGLW]</v>
      </c>
      <c r="AN5077" t="s">
        <v>13242</v>
      </c>
      <c r="AO5077" t="s">
        <v>13243</v>
      </c>
    </row>
    <row r="5078" spans="39:41" ht="12" customHeight="1" x14ac:dyDescent="0.2">
      <c r="AM5078" t="str">
        <f t="shared" si="79"/>
        <v>Glasson Dock [GBGLD]</v>
      </c>
      <c r="AN5078" t="s">
        <v>13244</v>
      </c>
      <c r="AO5078" t="s">
        <v>13245</v>
      </c>
    </row>
    <row r="5079" spans="39:41" ht="12" customHeight="1" x14ac:dyDescent="0.2">
      <c r="AM5079" t="str">
        <f t="shared" si="79"/>
        <v>Glatved Strand [DKGTS]</v>
      </c>
      <c r="AN5079" t="s">
        <v>8701</v>
      </c>
      <c r="AO5079" t="s">
        <v>8702</v>
      </c>
    </row>
    <row r="5080" spans="39:41" ht="12" customHeight="1" x14ac:dyDescent="0.2">
      <c r="AM5080" t="str">
        <f t="shared" si="79"/>
        <v>Glebe Island [AUGLL]</v>
      </c>
      <c r="AN5080" t="s">
        <v>1689</v>
      </c>
      <c r="AO5080" t="s">
        <v>1690</v>
      </c>
    </row>
    <row r="5081" spans="39:41" ht="12" customHeight="1" x14ac:dyDescent="0.2">
      <c r="AM5081" t="str">
        <f t="shared" si="79"/>
        <v>Glen Flora [USZLO]</v>
      </c>
      <c r="AN5081" t="s">
        <v>29935</v>
      </c>
      <c r="AO5081" t="s">
        <v>29936</v>
      </c>
    </row>
    <row r="5082" spans="39:41" ht="12" customHeight="1" x14ac:dyDescent="0.2">
      <c r="AM5082" t="str">
        <f t="shared" si="79"/>
        <v>Glen Ridge [USGJQ]</v>
      </c>
      <c r="AN5082" t="s">
        <v>29937</v>
      </c>
      <c r="AO5082" t="s">
        <v>29938</v>
      </c>
    </row>
    <row r="5083" spans="39:41" ht="12" customHeight="1" x14ac:dyDescent="0.2">
      <c r="AM5083" t="str">
        <f t="shared" si="79"/>
        <v>Glenarm [GBGLA]</v>
      </c>
      <c r="AN5083" t="s">
        <v>13246</v>
      </c>
      <c r="AO5083" t="s">
        <v>13247</v>
      </c>
    </row>
    <row r="5084" spans="39:41" ht="12" customHeight="1" x14ac:dyDescent="0.2">
      <c r="AM5084" t="str">
        <f t="shared" si="79"/>
        <v>Glenavy [NZGLE]</v>
      </c>
      <c r="AN5084" t="s">
        <v>36685</v>
      </c>
      <c r="AO5084" t="s">
        <v>36686</v>
      </c>
    </row>
    <row r="5085" spans="39:41" ht="12" customHeight="1" x14ac:dyDescent="0.2">
      <c r="AM5085" t="str">
        <f t="shared" si="79"/>
        <v>Glendale [USOR8]</v>
      </c>
      <c r="AN5085" t="s">
        <v>29940</v>
      </c>
      <c r="AO5085" t="s">
        <v>29939</v>
      </c>
    </row>
    <row r="5086" spans="39:41" ht="12" customHeight="1" x14ac:dyDescent="0.2">
      <c r="AM5086" t="str">
        <f t="shared" si="79"/>
        <v>Glendale Heights [USG2H]</v>
      </c>
      <c r="AN5086" t="s">
        <v>29941</v>
      </c>
      <c r="AO5086" t="s">
        <v>29942</v>
      </c>
    </row>
    <row r="5087" spans="39:41" ht="12" customHeight="1" x14ac:dyDescent="0.2">
      <c r="AM5087" t="str">
        <f t="shared" si="79"/>
        <v>Glenelg [GBGNL]</v>
      </c>
      <c r="AN5087" t="s">
        <v>13248</v>
      </c>
      <c r="AO5087" t="s">
        <v>13249</v>
      </c>
    </row>
    <row r="5088" spans="39:41" ht="12" customHeight="1" x14ac:dyDescent="0.2">
      <c r="AM5088" t="str">
        <f t="shared" si="79"/>
        <v>Glengarriff [IEGGA]</v>
      </c>
      <c r="AN5088" t="s">
        <v>16831</v>
      </c>
      <c r="AO5088" t="s">
        <v>16832</v>
      </c>
    </row>
    <row r="5089" spans="39:41" ht="12" customHeight="1" x14ac:dyDescent="0.2">
      <c r="AM5089" t="str">
        <f t="shared" si="79"/>
        <v>Glenluce [GBGLC]</v>
      </c>
      <c r="AN5089" t="s">
        <v>13250</v>
      </c>
      <c r="AO5089" t="s">
        <v>13251</v>
      </c>
    </row>
    <row r="5090" spans="39:41" ht="12" customHeight="1" x14ac:dyDescent="0.2">
      <c r="AM5090" t="str">
        <f t="shared" si="79"/>
        <v>Glenmallan [GBGMA]</v>
      </c>
      <c r="AN5090" t="s">
        <v>13252</v>
      </c>
      <c r="AO5090" t="s">
        <v>13253</v>
      </c>
    </row>
    <row r="5091" spans="39:41" ht="12" customHeight="1" x14ac:dyDescent="0.2">
      <c r="AM5091" t="str">
        <f t="shared" si="79"/>
        <v>Glenndale [USYNN]</v>
      </c>
      <c r="AN5091" t="s">
        <v>29943</v>
      </c>
      <c r="AO5091" t="s">
        <v>29944</v>
      </c>
    </row>
    <row r="5092" spans="39:41" ht="12" customHeight="1" x14ac:dyDescent="0.2">
      <c r="AM5092" t="str">
        <f t="shared" si="79"/>
        <v>Glennville [USYGL]</v>
      </c>
      <c r="AN5092" t="s">
        <v>29945</v>
      </c>
      <c r="AO5092" t="s">
        <v>29946</v>
      </c>
    </row>
    <row r="5093" spans="39:41" ht="12" customHeight="1" x14ac:dyDescent="0.2">
      <c r="AM5093" t="str">
        <f t="shared" si="79"/>
        <v>Glensanda [GBGSA]</v>
      </c>
      <c r="AN5093" t="s">
        <v>13254</v>
      </c>
      <c r="AO5093" t="s">
        <v>13255</v>
      </c>
    </row>
    <row r="5094" spans="39:41" ht="12" customHeight="1" x14ac:dyDescent="0.2">
      <c r="AM5094" t="str">
        <f t="shared" si="79"/>
        <v>Glenuig [GBGLG]</v>
      </c>
      <c r="AN5094" t="s">
        <v>13256</v>
      </c>
      <c r="AO5094" t="s">
        <v>13257</v>
      </c>
    </row>
    <row r="5095" spans="39:41" ht="12" customHeight="1" x14ac:dyDescent="0.2">
      <c r="AM5095" t="str">
        <f t="shared" si="79"/>
        <v>Glenwood [USGKX]</v>
      </c>
      <c r="AN5095" t="s">
        <v>29947</v>
      </c>
      <c r="AO5095" t="s">
        <v>29948</v>
      </c>
    </row>
    <row r="5096" spans="39:41" ht="12" customHeight="1" x14ac:dyDescent="0.2">
      <c r="AM5096" t="str">
        <f t="shared" si="79"/>
        <v>Glesvar [NONZL]</v>
      </c>
      <c r="AN5096" t="s">
        <v>24143</v>
      </c>
      <c r="AO5096" t="s">
        <v>36177</v>
      </c>
    </row>
    <row r="5097" spans="39:41" ht="12" customHeight="1" x14ac:dyDescent="0.2">
      <c r="AM5097" t="str">
        <f t="shared" si="79"/>
        <v>Glidden [USZGE]</v>
      </c>
      <c r="AN5097" t="s">
        <v>29949</v>
      </c>
      <c r="AO5097" t="s">
        <v>29950</v>
      </c>
    </row>
    <row r="5098" spans="39:41" ht="12" customHeight="1" x14ac:dyDescent="0.2">
      <c r="AM5098" t="str">
        <f t="shared" si="79"/>
        <v>Glinki [PLGKI]</v>
      </c>
      <c r="AN5098" t="s">
        <v>26302</v>
      </c>
      <c r="AO5098" t="s">
        <v>26303</v>
      </c>
    </row>
    <row r="5099" spans="39:41" ht="12" customHeight="1" x14ac:dyDescent="0.2">
      <c r="AM5099" t="str">
        <f t="shared" si="79"/>
        <v>Glomfjord [NOGLO]</v>
      </c>
      <c r="AN5099" t="s">
        <v>24144</v>
      </c>
      <c r="AO5099" t="s">
        <v>24145</v>
      </c>
    </row>
    <row r="5100" spans="39:41" ht="12" customHeight="1" x14ac:dyDescent="0.2">
      <c r="AM5100" t="str">
        <f t="shared" si="79"/>
        <v>Glommen [SEGLM]</v>
      </c>
      <c r="AN5100" t="s">
        <v>27583</v>
      </c>
      <c r="AO5100" t="s">
        <v>27584</v>
      </c>
    </row>
    <row r="5101" spans="39:41" ht="12" customHeight="1" x14ac:dyDescent="0.2">
      <c r="AM5101" t="str">
        <f t="shared" si="79"/>
        <v>Gloppen [NOGLP]</v>
      </c>
      <c r="AN5101" t="s">
        <v>24146</v>
      </c>
      <c r="AO5101" t="s">
        <v>24147</v>
      </c>
    </row>
    <row r="5102" spans="39:41" ht="12" customHeight="1" x14ac:dyDescent="0.2">
      <c r="AM5102" t="str">
        <f t="shared" si="79"/>
        <v>Glossa [GRGLO]</v>
      </c>
      <c r="AN5102" t="s">
        <v>15225</v>
      </c>
      <c r="AO5102" t="s">
        <v>15226</v>
      </c>
    </row>
    <row r="5103" spans="39:41" ht="12" customHeight="1" x14ac:dyDescent="0.2">
      <c r="AM5103" t="str">
        <f t="shared" si="79"/>
        <v>Gloucester [GBGLO]</v>
      </c>
      <c r="AN5103" t="s">
        <v>13258</v>
      </c>
      <c r="AO5103" t="s">
        <v>13259</v>
      </c>
    </row>
    <row r="5104" spans="39:41" ht="12" customHeight="1" x14ac:dyDescent="0.2">
      <c r="AM5104" t="str">
        <f t="shared" si="79"/>
        <v>Gloucester [USGLO]</v>
      </c>
      <c r="AN5104" t="s">
        <v>29951</v>
      </c>
      <c r="AO5104" t="s">
        <v>13259</v>
      </c>
    </row>
    <row r="5105" spans="39:41" ht="12" customHeight="1" x14ac:dyDescent="0.2">
      <c r="AM5105" t="str">
        <f t="shared" si="79"/>
        <v>Gloucester City [USGLC]</v>
      </c>
      <c r="AN5105" t="s">
        <v>29952</v>
      </c>
      <c r="AO5105" t="s">
        <v>29953</v>
      </c>
    </row>
    <row r="5106" spans="39:41" ht="12" customHeight="1" x14ac:dyDescent="0.2">
      <c r="AM5106" t="str">
        <f t="shared" si="79"/>
        <v>Glucksburg [DEGLK]</v>
      </c>
      <c r="AN5106" t="s">
        <v>7453</v>
      </c>
      <c r="AO5106" t="s">
        <v>7454</v>
      </c>
    </row>
    <row r="5107" spans="39:41" ht="12" customHeight="1" x14ac:dyDescent="0.2">
      <c r="AM5107" t="str">
        <f t="shared" si="79"/>
        <v>Gluckstadt [DEGLU]</v>
      </c>
      <c r="AN5107" t="s">
        <v>7455</v>
      </c>
      <c r="AO5107" t="s">
        <v>35439</v>
      </c>
    </row>
    <row r="5108" spans="39:41" ht="12" customHeight="1" x14ac:dyDescent="0.2">
      <c r="AM5108" t="str">
        <f t="shared" si="79"/>
        <v>Glyfa Fthiotidas [GRGLY]</v>
      </c>
      <c r="AN5108" t="s">
        <v>15227</v>
      </c>
      <c r="AO5108" t="s">
        <v>15228</v>
      </c>
    </row>
    <row r="5109" spans="39:41" ht="12" customHeight="1" x14ac:dyDescent="0.2">
      <c r="AM5109" t="str">
        <f t="shared" si="79"/>
        <v>Glyfada [GRGFD]</v>
      </c>
      <c r="AN5109" t="s">
        <v>34086</v>
      </c>
      <c r="AO5109" t="s">
        <v>34132</v>
      </c>
    </row>
    <row r="5110" spans="39:41" ht="12" customHeight="1" x14ac:dyDescent="0.2">
      <c r="AM5110" t="str">
        <f t="shared" si="79"/>
        <v>Glyngore [DKGLY]</v>
      </c>
      <c r="AN5110" t="s">
        <v>8703</v>
      </c>
      <c r="AO5110" t="s">
        <v>35537</v>
      </c>
    </row>
    <row r="5111" spans="39:41" ht="12" customHeight="1" x14ac:dyDescent="0.2">
      <c r="AM5111" t="str">
        <f t="shared" si="79"/>
        <v>Gmund am Tegernsee [DEUND]</v>
      </c>
      <c r="AN5111" t="s">
        <v>7456</v>
      </c>
      <c r="AO5111" t="s">
        <v>7457</v>
      </c>
    </row>
    <row r="5112" spans="39:41" ht="12" customHeight="1" x14ac:dyDescent="0.2">
      <c r="AM5112" t="str">
        <f t="shared" si="79"/>
        <v>Gmunden [ATGDN]</v>
      </c>
      <c r="AN5112" t="s">
        <v>1214</v>
      </c>
      <c r="AO5112" t="s">
        <v>1215</v>
      </c>
    </row>
    <row r="5113" spans="39:41" ht="12" customHeight="1" x14ac:dyDescent="0.2">
      <c r="AM5113" t="str">
        <f t="shared" si="79"/>
        <v>Gnjilane [RSGNJ]</v>
      </c>
      <c r="AN5113" t="s">
        <v>26842</v>
      </c>
      <c r="AO5113" t="s">
        <v>26843</v>
      </c>
    </row>
    <row r="5114" spans="39:41" ht="12" customHeight="1" x14ac:dyDescent="0.2">
      <c r="AM5114" t="str">
        <f t="shared" ref="AM5114:AM5177" si="80">AO5114 &amp; " [" &amp; AN5114 &amp; "]"</f>
        <v>Go Dau A Terminal [VNGDA]</v>
      </c>
      <c r="AN5114" t="s">
        <v>32366</v>
      </c>
      <c r="AO5114" t="s">
        <v>32367</v>
      </c>
    </row>
    <row r="5115" spans="39:41" ht="12" customHeight="1" x14ac:dyDescent="0.2">
      <c r="AM5115" t="str">
        <f t="shared" si="80"/>
        <v>Go Dau B Terminal [VNGDB]</v>
      </c>
      <c r="AN5115" t="s">
        <v>32368</v>
      </c>
      <c r="AO5115" t="s">
        <v>32369</v>
      </c>
    </row>
    <row r="5116" spans="39:41" ht="12" customHeight="1" x14ac:dyDescent="0.2">
      <c r="AM5116" t="str">
        <f t="shared" si="80"/>
        <v>Gobo Wakayama [JPGOO]</v>
      </c>
      <c r="AN5116" t="s">
        <v>36695</v>
      </c>
      <c r="AO5116" t="s">
        <v>36696</v>
      </c>
    </row>
    <row r="5117" spans="39:41" ht="12" customHeight="1" x14ac:dyDescent="0.2">
      <c r="AM5117" t="str">
        <f t="shared" si="80"/>
        <v>Gocek [TRGCK]</v>
      </c>
      <c r="AN5117" t="s">
        <v>28483</v>
      </c>
      <c r="AO5117" t="s">
        <v>28484</v>
      </c>
    </row>
    <row r="5118" spans="39:41" ht="12" customHeight="1" x14ac:dyDescent="0.2">
      <c r="AM5118" t="str">
        <f t="shared" si="80"/>
        <v>God [HUOOD]</v>
      </c>
      <c r="AN5118" t="s">
        <v>16085</v>
      </c>
      <c r="AO5118" t="s">
        <v>36013</v>
      </c>
    </row>
    <row r="5119" spans="39:41" ht="12" customHeight="1" x14ac:dyDescent="0.2">
      <c r="AM5119" t="str">
        <f t="shared" si="80"/>
        <v>Godbout [CAGBT]</v>
      </c>
      <c r="AN5119" t="s">
        <v>3883</v>
      </c>
      <c r="AO5119" t="s">
        <v>3884</v>
      </c>
    </row>
    <row r="5120" spans="39:41" ht="12" customHeight="1" x14ac:dyDescent="0.2">
      <c r="AM5120" t="str">
        <f t="shared" si="80"/>
        <v>Godella [ESGDL]</v>
      </c>
      <c r="AN5120" t="s">
        <v>9811</v>
      </c>
      <c r="AO5120" t="s">
        <v>9812</v>
      </c>
    </row>
    <row r="5121" spans="39:41" ht="12" customHeight="1" x14ac:dyDescent="0.2">
      <c r="AM5121" t="str">
        <f t="shared" si="80"/>
        <v>Goderich [CAGOH]</v>
      </c>
      <c r="AN5121" t="s">
        <v>3885</v>
      </c>
      <c r="AO5121" t="s">
        <v>3886</v>
      </c>
    </row>
    <row r="5122" spans="39:41" ht="12" customHeight="1" x14ac:dyDescent="0.2">
      <c r="AM5122" t="str">
        <f t="shared" si="80"/>
        <v>Godinne [BEGDN]</v>
      </c>
      <c r="AN5122" t="s">
        <v>2479</v>
      </c>
      <c r="AO5122" t="s">
        <v>2480</v>
      </c>
    </row>
    <row r="5123" spans="39:41" ht="12" customHeight="1" x14ac:dyDescent="0.2">
      <c r="AM5123" t="str">
        <f t="shared" si="80"/>
        <v>Godorf [DEGDO]</v>
      </c>
      <c r="AN5123" t="s">
        <v>7458</v>
      </c>
      <c r="AO5123" t="s">
        <v>7459</v>
      </c>
    </row>
    <row r="5124" spans="39:41" ht="12" customHeight="1" x14ac:dyDescent="0.2">
      <c r="AM5124" t="str">
        <f t="shared" si="80"/>
        <v>Godoya [NOGOO]</v>
      </c>
      <c r="AN5124" t="s">
        <v>24148</v>
      </c>
      <c r="AO5124" t="s">
        <v>36178</v>
      </c>
    </row>
    <row r="5125" spans="39:41" ht="12" customHeight="1" x14ac:dyDescent="0.2">
      <c r="AM5125" t="str">
        <f t="shared" si="80"/>
        <v>Godsheide [BEGDE]</v>
      </c>
      <c r="AN5125" t="s">
        <v>2481</v>
      </c>
      <c r="AO5125" t="s">
        <v>2482</v>
      </c>
    </row>
    <row r="5126" spans="39:41" ht="12" customHeight="1" x14ac:dyDescent="0.2">
      <c r="AM5126" t="str">
        <f t="shared" si="80"/>
        <v>Goedereede [NLGDR]</v>
      </c>
      <c r="AN5126" t="s">
        <v>23205</v>
      </c>
      <c r="AO5126" t="s">
        <v>23206</v>
      </c>
    </row>
    <row r="5127" spans="39:41" ht="12" customHeight="1" x14ac:dyDescent="0.2">
      <c r="AM5127" t="str">
        <f t="shared" si="80"/>
        <v>Goehner [USN3E]</v>
      </c>
      <c r="AN5127" t="s">
        <v>29954</v>
      </c>
      <c r="AO5127" t="s">
        <v>29955</v>
      </c>
    </row>
    <row r="5128" spans="39:41" ht="12" customHeight="1" x14ac:dyDescent="0.2">
      <c r="AM5128" t="str">
        <f t="shared" si="80"/>
        <v>Goes [NLGOE]</v>
      </c>
      <c r="AN5128" t="s">
        <v>33885</v>
      </c>
      <c r="AO5128" t="s">
        <v>34007</v>
      </c>
    </row>
    <row r="5129" spans="39:41" ht="12" customHeight="1" x14ac:dyDescent="0.2">
      <c r="AM5129" t="str">
        <f t="shared" si="80"/>
        <v>Gofrep Area [XZGOF]</v>
      </c>
      <c r="AN5129" t="s">
        <v>36628</v>
      </c>
      <c r="AO5129" t="s">
        <v>36629</v>
      </c>
    </row>
    <row r="5130" spans="39:41" ht="12" customHeight="1" x14ac:dyDescent="0.2">
      <c r="AM5130" t="str">
        <f t="shared" si="80"/>
        <v>Gogha [INGGA]</v>
      </c>
      <c r="AN5130" t="s">
        <v>17152</v>
      </c>
      <c r="AO5130" t="s">
        <v>17153</v>
      </c>
    </row>
    <row r="5131" spans="39:41" ht="12" customHeight="1" x14ac:dyDescent="0.2">
      <c r="AM5131" t="str">
        <f t="shared" si="80"/>
        <v>Gohlis [DEGTR]</v>
      </c>
      <c r="AN5131" t="s">
        <v>7460</v>
      </c>
      <c r="AO5131" t="s">
        <v>7461</v>
      </c>
    </row>
    <row r="5132" spans="39:41" ht="12" customHeight="1" x14ac:dyDescent="0.2">
      <c r="AM5132" t="str">
        <f t="shared" si="80"/>
        <v>Gohnokubi [JPGKB]</v>
      </c>
      <c r="AN5132" t="s">
        <v>18872</v>
      </c>
      <c r="AO5132" t="s">
        <v>18873</v>
      </c>
    </row>
    <row r="5133" spans="39:41" ht="12" customHeight="1" x14ac:dyDescent="0.2">
      <c r="AM5133" t="str">
        <f t="shared" si="80"/>
        <v>Gohtsu [JPGOT]</v>
      </c>
      <c r="AN5133" t="s">
        <v>18874</v>
      </c>
      <c r="AO5133" t="s">
        <v>18875</v>
      </c>
    </row>
    <row r="5134" spans="39:41" ht="12" customHeight="1" x14ac:dyDescent="0.2">
      <c r="AM5134" t="str">
        <f t="shared" si="80"/>
        <v>Gohyeon/Geoje [KRKHN]</v>
      </c>
      <c r="AN5134" t="s">
        <v>21646</v>
      </c>
      <c r="AO5134" t="s">
        <v>21647</v>
      </c>
    </row>
    <row r="5135" spans="39:41" ht="12" customHeight="1" x14ac:dyDescent="0.2">
      <c r="AM5135" t="str">
        <f t="shared" si="80"/>
        <v>Goi/Ichihara [JPGOI]</v>
      </c>
      <c r="AN5135" t="s">
        <v>18876</v>
      </c>
      <c r="AO5135" t="s">
        <v>18877</v>
      </c>
    </row>
    <row r="5136" spans="39:41" ht="12" customHeight="1" x14ac:dyDescent="0.2">
      <c r="AM5136" t="str">
        <f t="shared" si="80"/>
        <v>Gokan [JPGKN]</v>
      </c>
      <c r="AN5136" t="s">
        <v>18878</v>
      </c>
      <c r="AO5136" t="s">
        <v>18879</v>
      </c>
    </row>
    <row r="5137" spans="39:41" ht="12" customHeight="1" x14ac:dyDescent="0.2">
      <c r="AM5137" t="str">
        <f t="shared" si="80"/>
        <v>Gokasho [JPGKS]</v>
      </c>
      <c r="AN5137" t="s">
        <v>18880</v>
      </c>
      <c r="AO5137" t="s">
        <v>18881</v>
      </c>
    </row>
    <row r="5138" spans="39:41" ht="12" customHeight="1" x14ac:dyDescent="0.2">
      <c r="AM5138" t="str">
        <f t="shared" si="80"/>
        <v>Golconda [USGCA]</v>
      </c>
      <c r="AN5138" t="s">
        <v>29956</v>
      </c>
      <c r="AO5138" t="s">
        <v>29957</v>
      </c>
    </row>
    <row r="5139" spans="39:41" ht="12" customHeight="1" x14ac:dyDescent="0.2">
      <c r="AM5139" t="str">
        <f t="shared" si="80"/>
        <v>Gold River [CAGOR]</v>
      </c>
      <c r="AN5139" t="s">
        <v>3887</v>
      </c>
      <c r="AO5139" t="s">
        <v>3888</v>
      </c>
    </row>
    <row r="5140" spans="39:41" ht="12" customHeight="1" x14ac:dyDescent="0.2">
      <c r="AM5140" t="str">
        <f t="shared" si="80"/>
        <v>Gold River [USGXR]</v>
      </c>
      <c r="AN5140" t="s">
        <v>29958</v>
      </c>
      <c r="AO5140" t="s">
        <v>3888</v>
      </c>
    </row>
    <row r="5141" spans="39:41" ht="12" customHeight="1" x14ac:dyDescent="0.2">
      <c r="AM5141" t="str">
        <f t="shared" si="80"/>
        <v>Goldendale [USGLA]</v>
      </c>
      <c r="AN5141" t="s">
        <v>29959</v>
      </c>
      <c r="AO5141" t="s">
        <v>29960</v>
      </c>
    </row>
    <row r="5142" spans="39:41" ht="12" customHeight="1" x14ac:dyDescent="0.2">
      <c r="AM5142" t="str">
        <f t="shared" si="80"/>
        <v>Goldkronach [DEGKR]</v>
      </c>
      <c r="AN5142" t="s">
        <v>7462</v>
      </c>
      <c r="AO5142" t="s">
        <v>7463</v>
      </c>
    </row>
    <row r="5143" spans="39:41" ht="12" customHeight="1" x14ac:dyDescent="0.2">
      <c r="AM5143" t="str">
        <f t="shared" si="80"/>
        <v>Goldthwaite [USQGX]</v>
      </c>
      <c r="AN5143" t="s">
        <v>29961</v>
      </c>
      <c r="AO5143" t="s">
        <v>29962</v>
      </c>
    </row>
    <row r="5144" spans="39:41" ht="12" customHeight="1" x14ac:dyDescent="0.2">
      <c r="AM5144" t="str">
        <f t="shared" si="80"/>
        <v>Golfe-Juan [FRGJU]</v>
      </c>
      <c r="AN5144" t="s">
        <v>11331</v>
      </c>
      <c r="AO5144" t="s">
        <v>11332</v>
      </c>
    </row>
    <row r="5145" spans="39:41" ht="12" customHeight="1" x14ac:dyDescent="0.2">
      <c r="AM5145" t="str">
        <f t="shared" si="80"/>
        <v>Golfito [CRGLF]</v>
      </c>
      <c r="AN5145" t="s">
        <v>6577</v>
      </c>
      <c r="AO5145" t="s">
        <v>6578</v>
      </c>
    </row>
    <row r="5146" spans="39:41" ht="12" customHeight="1" x14ac:dyDescent="0.2">
      <c r="AM5146" t="str">
        <f t="shared" si="80"/>
        <v>Golfo Aranci [ITGAI]</v>
      </c>
      <c r="AN5146" t="s">
        <v>17969</v>
      </c>
      <c r="AO5146" t="s">
        <v>17970</v>
      </c>
    </row>
    <row r="5147" spans="39:41" ht="12" customHeight="1" x14ac:dyDescent="0.2">
      <c r="AM5147" t="str">
        <f t="shared" si="80"/>
        <v>Golfo de Papagayo [CRGDP]</v>
      </c>
      <c r="AN5147" t="s">
        <v>6579</v>
      </c>
      <c r="AO5147" t="s">
        <v>6580</v>
      </c>
    </row>
    <row r="5148" spans="39:41" ht="12" customHeight="1" x14ac:dyDescent="0.2">
      <c r="AM5148" t="str">
        <f t="shared" si="80"/>
        <v>Golspie [GBGLP]</v>
      </c>
      <c r="AN5148" t="s">
        <v>13260</v>
      </c>
      <c r="AO5148" t="s">
        <v>13261</v>
      </c>
    </row>
    <row r="5149" spans="39:41" ht="12" customHeight="1" x14ac:dyDescent="0.2">
      <c r="AM5149" t="str">
        <f t="shared" si="80"/>
        <v>Gonaives [HTGVS]</v>
      </c>
      <c r="AN5149" t="s">
        <v>16033</v>
      </c>
      <c r="AO5149" t="s">
        <v>36003</v>
      </c>
    </row>
    <row r="5150" spans="39:41" ht="12" customHeight="1" x14ac:dyDescent="0.2">
      <c r="AM5150" t="str">
        <f t="shared" si="80"/>
        <v>Gonfreville-l'Orcher [FRGLO]</v>
      </c>
      <c r="AN5150" t="s">
        <v>11333</v>
      </c>
      <c r="AO5150" t="s">
        <v>11334</v>
      </c>
    </row>
    <row r="5151" spans="39:41" ht="12" customHeight="1" x14ac:dyDescent="0.2">
      <c r="AM5151" t="str">
        <f t="shared" si="80"/>
        <v>Gongan [CNGGN]</v>
      </c>
      <c r="AN5151" t="s">
        <v>5341</v>
      </c>
      <c r="AO5151" t="s">
        <v>5342</v>
      </c>
    </row>
    <row r="5152" spans="39:41" ht="12" customHeight="1" x14ac:dyDescent="0.2">
      <c r="AM5152" t="str">
        <f t="shared" si="80"/>
        <v>Gongguan [CNGGU]</v>
      </c>
      <c r="AN5152" t="s">
        <v>5343</v>
      </c>
      <c r="AO5152" t="s">
        <v>5344</v>
      </c>
    </row>
    <row r="5153" spans="39:41" ht="12" customHeight="1" x14ac:dyDescent="0.2">
      <c r="AM5153" t="str">
        <f t="shared" si="80"/>
        <v>Gongkou [CNGGK]</v>
      </c>
      <c r="AN5153" t="s">
        <v>5345</v>
      </c>
      <c r="AO5153" t="s">
        <v>5346</v>
      </c>
    </row>
    <row r="5154" spans="39:41" ht="12" customHeight="1" x14ac:dyDescent="0.2">
      <c r="AM5154" t="str">
        <f t="shared" si="80"/>
        <v>Gongming [CNGOG]</v>
      </c>
      <c r="AN5154" t="s">
        <v>5347</v>
      </c>
      <c r="AO5154" t="s">
        <v>5348</v>
      </c>
    </row>
    <row r="5155" spans="39:41" ht="12" customHeight="1" x14ac:dyDescent="0.2">
      <c r="AM5155" t="str">
        <f t="shared" si="80"/>
        <v>Gongyi [CNTSG]</v>
      </c>
      <c r="AN5155" t="s">
        <v>5349</v>
      </c>
      <c r="AO5155" t="s">
        <v>5350</v>
      </c>
    </row>
    <row r="5156" spans="39:41" ht="12" customHeight="1" x14ac:dyDescent="0.2">
      <c r="AM5156" t="str">
        <f t="shared" si="80"/>
        <v>Gonoura [JPGON]</v>
      </c>
      <c r="AN5156" t="s">
        <v>18882</v>
      </c>
      <c r="AO5156" t="s">
        <v>18883</v>
      </c>
    </row>
    <row r="5157" spans="39:41" ht="12" customHeight="1" x14ac:dyDescent="0.2">
      <c r="AM5157" t="str">
        <f t="shared" si="80"/>
        <v>Gonyu [HUGNY]</v>
      </c>
      <c r="AN5157" t="s">
        <v>16086</v>
      </c>
      <c r="AO5157" t="s">
        <v>36014</v>
      </c>
    </row>
    <row r="5158" spans="39:41" ht="12" customHeight="1" x14ac:dyDescent="0.2">
      <c r="AM5158" t="str">
        <f t="shared" si="80"/>
        <v>Goochland [USVZZ]</v>
      </c>
      <c r="AN5158" t="s">
        <v>29963</v>
      </c>
      <c r="AO5158" t="s">
        <v>29964</v>
      </c>
    </row>
    <row r="5159" spans="39:41" ht="12" customHeight="1" x14ac:dyDescent="0.2">
      <c r="AM5159" t="str">
        <f t="shared" si="80"/>
        <v>Good Hope [USGOP]</v>
      </c>
      <c r="AN5159" t="s">
        <v>29965</v>
      </c>
      <c r="AO5159" t="s">
        <v>29966</v>
      </c>
    </row>
    <row r="5160" spans="39:41" ht="12" customHeight="1" x14ac:dyDescent="0.2">
      <c r="AM5160" t="str">
        <f t="shared" si="80"/>
        <v>Goods Is [AUGOI]</v>
      </c>
      <c r="AN5160" t="s">
        <v>1691</v>
      </c>
      <c r="AO5160" t="s">
        <v>1692</v>
      </c>
    </row>
    <row r="5161" spans="39:41" ht="12" customHeight="1" x14ac:dyDescent="0.2">
      <c r="AM5161" t="str">
        <f t="shared" si="80"/>
        <v>Goole [GBGOO]</v>
      </c>
      <c r="AN5161" t="s">
        <v>13262</v>
      </c>
      <c r="AO5161" t="s">
        <v>13263</v>
      </c>
    </row>
    <row r="5162" spans="39:41" ht="12" customHeight="1" x14ac:dyDescent="0.2">
      <c r="AM5162" t="str">
        <f t="shared" si="80"/>
        <v>Goolwa [AUGOA]</v>
      </c>
      <c r="AN5162" t="s">
        <v>1693</v>
      </c>
      <c r="AO5162" t="s">
        <v>1694</v>
      </c>
    </row>
    <row r="5163" spans="39:41" ht="12" customHeight="1" x14ac:dyDescent="0.2">
      <c r="AM5163" t="str">
        <f t="shared" si="80"/>
        <v>Goor [NLGOO]</v>
      </c>
      <c r="AN5163" t="s">
        <v>33886</v>
      </c>
      <c r="AO5163" t="s">
        <v>34008</v>
      </c>
    </row>
    <row r="5164" spans="39:41" ht="12" customHeight="1" x14ac:dyDescent="0.2">
      <c r="AM5164" t="str">
        <f t="shared" si="80"/>
        <v>Goose Bay [CAGOO]</v>
      </c>
      <c r="AN5164" t="s">
        <v>3889</v>
      </c>
      <c r="AO5164" t="s">
        <v>3890</v>
      </c>
    </row>
    <row r="5165" spans="39:41" ht="12" customHeight="1" x14ac:dyDescent="0.2">
      <c r="AM5165" t="str">
        <f t="shared" si="80"/>
        <v>Gopalpur [INGPR]</v>
      </c>
      <c r="AN5165" t="s">
        <v>17154</v>
      </c>
      <c r="AO5165" t="s">
        <v>17155</v>
      </c>
    </row>
    <row r="5166" spans="39:41" ht="12" customHeight="1" x14ac:dyDescent="0.2">
      <c r="AM5166" t="str">
        <f t="shared" si="80"/>
        <v>Gorda Cay [BSGOC]</v>
      </c>
      <c r="AN5166" t="s">
        <v>3437</v>
      </c>
      <c r="AO5166" t="s">
        <v>3438</v>
      </c>
    </row>
    <row r="5167" spans="39:41" ht="12" customHeight="1" x14ac:dyDescent="0.2">
      <c r="AM5167" t="str">
        <f t="shared" si="80"/>
        <v>Gordon [AUGOR]</v>
      </c>
      <c r="AN5167" t="s">
        <v>1695</v>
      </c>
      <c r="AO5167" t="s">
        <v>1696</v>
      </c>
    </row>
    <row r="5168" spans="39:41" ht="12" customHeight="1" x14ac:dyDescent="0.2">
      <c r="AM5168" t="str">
        <f t="shared" si="80"/>
        <v>Gordonville [USLLJ]</v>
      </c>
      <c r="AN5168" t="s">
        <v>29967</v>
      </c>
      <c r="AO5168" t="s">
        <v>29968</v>
      </c>
    </row>
    <row r="5169" spans="39:41" ht="12" customHeight="1" x14ac:dyDescent="0.2">
      <c r="AM5169" t="str">
        <f t="shared" si="80"/>
        <v>Gordonville [USGVZ]</v>
      </c>
      <c r="AN5169" t="s">
        <v>29969</v>
      </c>
      <c r="AO5169" t="s">
        <v>29968</v>
      </c>
    </row>
    <row r="5170" spans="39:41" ht="12" customHeight="1" x14ac:dyDescent="0.2">
      <c r="AM5170" t="str">
        <f t="shared" si="80"/>
        <v>Gore [USGVA]</v>
      </c>
      <c r="AN5170" t="s">
        <v>29970</v>
      </c>
      <c r="AO5170" t="s">
        <v>29971</v>
      </c>
    </row>
    <row r="5171" spans="39:41" ht="12" customHeight="1" x14ac:dyDescent="0.2">
      <c r="AM5171" t="str">
        <f t="shared" si="80"/>
        <v>Gorele [TRGOR]</v>
      </c>
      <c r="AN5171" t="s">
        <v>28485</v>
      </c>
      <c r="AO5171" t="s">
        <v>36573</v>
      </c>
    </row>
    <row r="5172" spans="39:41" ht="12" customHeight="1" x14ac:dyDescent="0.2">
      <c r="AM5172" t="str">
        <f t="shared" si="80"/>
        <v>Gorgier [CHGRG]</v>
      </c>
      <c r="AN5172" t="s">
        <v>4692</v>
      </c>
      <c r="AO5172" t="s">
        <v>4693</v>
      </c>
    </row>
    <row r="5173" spans="39:41" ht="12" customHeight="1" x14ac:dyDescent="0.2">
      <c r="AM5173" t="str">
        <f t="shared" si="80"/>
        <v>Gorgona [ITGOR]</v>
      </c>
      <c r="AN5173" t="s">
        <v>17971</v>
      </c>
      <c r="AO5173" t="s">
        <v>17972</v>
      </c>
    </row>
    <row r="5174" spans="39:41" ht="12" customHeight="1" x14ac:dyDescent="0.2">
      <c r="AM5174" t="str">
        <f t="shared" si="80"/>
        <v>Gorinchem [NLGOR]</v>
      </c>
      <c r="AN5174" t="s">
        <v>37045</v>
      </c>
      <c r="AO5174" t="s">
        <v>37046</v>
      </c>
    </row>
    <row r="5175" spans="39:41" ht="12" customHeight="1" x14ac:dyDescent="0.2">
      <c r="AM5175" t="str">
        <f t="shared" si="80"/>
        <v>Goring-by-Sea [GBGBS]</v>
      </c>
      <c r="AN5175" t="s">
        <v>13264</v>
      </c>
      <c r="AO5175" t="s">
        <v>13265</v>
      </c>
    </row>
    <row r="5176" spans="39:41" ht="12" customHeight="1" x14ac:dyDescent="0.2">
      <c r="AM5176" t="str">
        <f t="shared" si="80"/>
        <v>Gorki Zachodnie [PLGKZ]</v>
      </c>
      <c r="AN5176" t="s">
        <v>26304</v>
      </c>
      <c r="AO5176" t="s">
        <v>36365</v>
      </c>
    </row>
    <row r="5177" spans="39:41" ht="12" customHeight="1" x14ac:dyDescent="0.2">
      <c r="AM5177" t="str">
        <f t="shared" si="80"/>
        <v>Goro [ITGOO]</v>
      </c>
      <c r="AN5177" t="s">
        <v>17973</v>
      </c>
      <c r="AO5177" t="s">
        <v>17974</v>
      </c>
    </row>
    <row r="5178" spans="39:41" ht="12" customHeight="1" x14ac:dyDescent="0.2">
      <c r="AM5178" t="str">
        <f t="shared" ref="AM5178:AM5241" si="81">AO5178 &amp; " [" &amp; AN5178 &amp; "]"</f>
        <v>Gorontalo, Sulawesi [IDGTO]</v>
      </c>
      <c r="AN5178" t="s">
        <v>16269</v>
      </c>
      <c r="AO5178" t="s">
        <v>16270</v>
      </c>
    </row>
    <row r="5179" spans="39:41" ht="12" customHeight="1" x14ac:dyDescent="0.2">
      <c r="AM5179" t="str">
        <f t="shared" si="81"/>
        <v>Gorran Haven [GBGOR]</v>
      </c>
      <c r="AN5179" t="s">
        <v>13266</v>
      </c>
      <c r="AO5179" t="s">
        <v>13267</v>
      </c>
    </row>
    <row r="5180" spans="39:41" ht="12" customHeight="1" x14ac:dyDescent="0.2">
      <c r="AM5180" t="str">
        <f t="shared" si="81"/>
        <v>Gorsingeholm [SEGOR]</v>
      </c>
      <c r="AN5180" t="s">
        <v>27585</v>
      </c>
      <c r="AO5180" t="s">
        <v>27586</v>
      </c>
    </row>
    <row r="5181" spans="39:41" ht="12" customHeight="1" x14ac:dyDescent="0.2">
      <c r="AM5181" t="str">
        <f t="shared" si="81"/>
        <v>Gorskaya [RUGSA]</v>
      </c>
      <c r="AN5181" t="s">
        <v>26941</v>
      </c>
      <c r="AO5181" t="s">
        <v>26942</v>
      </c>
    </row>
    <row r="5182" spans="39:41" ht="12" customHeight="1" x14ac:dyDescent="0.2">
      <c r="AM5182" t="str">
        <f t="shared" si="81"/>
        <v>Gortahork [IEGRT]</v>
      </c>
      <c r="AN5182" t="s">
        <v>16833</v>
      </c>
      <c r="AO5182" t="s">
        <v>16834</v>
      </c>
    </row>
    <row r="5183" spans="39:41" ht="12" customHeight="1" x14ac:dyDescent="0.2">
      <c r="AM5183" t="str">
        <f t="shared" si="81"/>
        <v>Goshen [USGOH]</v>
      </c>
      <c r="AN5183" t="s">
        <v>29972</v>
      </c>
      <c r="AO5183" t="s">
        <v>29973</v>
      </c>
    </row>
    <row r="5184" spans="39:41" ht="12" customHeight="1" x14ac:dyDescent="0.2">
      <c r="AM5184" t="str">
        <f t="shared" si="81"/>
        <v>Goshen [USOEN]</v>
      </c>
      <c r="AN5184" t="s">
        <v>29974</v>
      </c>
      <c r="AO5184" t="s">
        <v>29973</v>
      </c>
    </row>
    <row r="5185" spans="39:41" ht="12" customHeight="1" x14ac:dyDescent="0.2">
      <c r="AM5185" t="str">
        <f t="shared" si="81"/>
        <v>Gosport [GBGOS]</v>
      </c>
      <c r="AN5185" t="s">
        <v>13268</v>
      </c>
      <c r="AO5185" t="s">
        <v>13269</v>
      </c>
    </row>
    <row r="5186" spans="39:41" ht="12" customHeight="1" x14ac:dyDescent="0.2">
      <c r="AM5186" t="str">
        <f t="shared" si="81"/>
        <v>Gosport [USGP2]</v>
      </c>
      <c r="AN5186" t="s">
        <v>29975</v>
      </c>
      <c r="AO5186" t="s">
        <v>13269</v>
      </c>
    </row>
    <row r="5187" spans="39:41" ht="12" customHeight="1" x14ac:dyDescent="0.2">
      <c r="AM5187" t="str">
        <f t="shared" si="81"/>
        <v>Gosselies [BEGOS]</v>
      </c>
      <c r="AN5187" t="s">
        <v>2483</v>
      </c>
      <c r="AO5187" t="s">
        <v>2484</v>
      </c>
    </row>
    <row r="5188" spans="39:41" ht="12" customHeight="1" x14ac:dyDescent="0.2">
      <c r="AM5188" t="str">
        <f t="shared" si="81"/>
        <v>Gossenheim [DEGO4]</v>
      </c>
      <c r="AN5188" t="s">
        <v>7464</v>
      </c>
      <c r="AO5188" t="s">
        <v>35440</v>
      </c>
    </row>
    <row r="5189" spans="39:41" ht="12" customHeight="1" x14ac:dyDescent="0.2">
      <c r="AM5189" t="str">
        <f t="shared" si="81"/>
        <v>Gota [SEGOA]</v>
      </c>
      <c r="AN5189" t="s">
        <v>27587</v>
      </c>
      <c r="AO5189" t="s">
        <v>36443</v>
      </c>
    </row>
    <row r="5190" spans="39:41" ht="12" customHeight="1" x14ac:dyDescent="0.2">
      <c r="AM5190" t="str">
        <f t="shared" si="81"/>
        <v>Goteborg [SEGOT]</v>
      </c>
      <c r="AN5190" t="s">
        <v>27588</v>
      </c>
      <c r="AO5190" t="s">
        <v>36444</v>
      </c>
    </row>
    <row r="5191" spans="39:41" ht="12" customHeight="1" x14ac:dyDescent="0.2">
      <c r="AM5191" t="str">
        <f t="shared" si="81"/>
        <v>Goto [BQGOT]</v>
      </c>
      <c r="AN5191" t="s">
        <v>3240</v>
      </c>
      <c r="AO5191" t="s">
        <v>3241</v>
      </c>
    </row>
    <row r="5192" spans="39:41" ht="12" customHeight="1" x14ac:dyDescent="0.2">
      <c r="AM5192" t="str">
        <f t="shared" si="81"/>
        <v>Gottby (Godby) [FIGDB]</v>
      </c>
      <c r="AN5192" t="s">
        <v>10342</v>
      </c>
      <c r="AO5192" t="s">
        <v>10343</v>
      </c>
    </row>
    <row r="5193" spans="39:41" ht="12" customHeight="1" x14ac:dyDescent="0.2">
      <c r="AM5193" t="str">
        <f t="shared" si="81"/>
        <v>Gouda [NLGOU]</v>
      </c>
      <c r="AN5193" t="s">
        <v>34102</v>
      </c>
      <c r="AO5193" t="s">
        <v>34148</v>
      </c>
    </row>
    <row r="5194" spans="39:41" ht="12" customHeight="1" x14ac:dyDescent="0.2">
      <c r="AM5194" t="str">
        <f t="shared" si="81"/>
        <v>Goudiniweg [ZA3WC]</v>
      </c>
      <c r="AN5194" t="s">
        <v>34231</v>
      </c>
      <c r="AO5194" t="s">
        <v>34299</v>
      </c>
    </row>
    <row r="5195" spans="39:41" ht="12" customHeight="1" x14ac:dyDescent="0.2">
      <c r="AM5195" t="str">
        <f t="shared" si="81"/>
        <v>Goudriaan [NLGUN]</v>
      </c>
      <c r="AN5195" t="s">
        <v>23207</v>
      </c>
      <c r="AO5195" t="s">
        <v>23208</v>
      </c>
    </row>
    <row r="5196" spans="39:41" ht="12" customHeight="1" x14ac:dyDescent="0.2">
      <c r="AM5196" t="str">
        <f t="shared" si="81"/>
        <v>Gourdon [GBGUD]</v>
      </c>
      <c r="AN5196" t="s">
        <v>13270</v>
      </c>
      <c r="AO5196" t="s">
        <v>13271</v>
      </c>
    </row>
    <row r="5197" spans="39:41" ht="12" customHeight="1" x14ac:dyDescent="0.2">
      <c r="AM5197" t="str">
        <f t="shared" si="81"/>
        <v>Gourock [GBGUR]</v>
      </c>
      <c r="AN5197" t="s">
        <v>13272</v>
      </c>
      <c r="AO5197" t="s">
        <v>13273</v>
      </c>
    </row>
    <row r="5198" spans="39:41" ht="12" customHeight="1" x14ac:dyDescent="0.2">
      <c r="AM5198" t="str">
        <f t="shared" si="81"/>
        <v>Gove [AUGOV]</v>
      </c>
      <c r="AN5198" t="s">
        <v>1697</v>
      </c>
      <c r="AO5198" t="s">
        <v>1698</v>
      </c>
    </row>
    <row r="5199" spans="39:41" ht="12" customHeight="1" x14ac:dyDescent="0.2">
      <c r="AM5199" t="str">
        <f t="shared" si="81"/>
        <v>Gove Harbour [AUGOH]</v>
      </c>
      <c r="AN5199" t="s">
        <v>1699</v>
      </c>
      <c r="AO5199" t="s">
        <v>1700</v>
      </c>
    </row>
    <row r="5200" spans="39:41" ht="12" customHeight="1" x14ac:dyDescent="0.2">
      <c r="AM5200" t="str">
        <f t="shared" si="81"/>
        <v>Governors Harbour, Eleuthera [BSGHB]</v>
      </c>
      <c r="AN5200" t="s">
        <v>3439</v>
      </c>
      <c r="AO5200" t="s">
        <v>3440</v>
      </c>
    </row>
    <row r="5201" spans="39:41" ht="12" customHeight="1" x14ac:dyDescent="0.2">
      <c r="AM5201" t="str">
        <f t="shared" si="81"/>
        <v>Govilon [GBGIV]</v>
      </c>
      <c r="AN5201" t="s">
        <v>13274</v>
      </c>
      <c r="AO5201" t="s">
        <v>13275</v>
      </c>
    </row>
    <row r="5202" spans="39:41" ht="12" customHeight="1" x14ac:dyDescent="0.2">
      <c r="AM5202" t="str">
        <f t="shared" si="81"/>
        <v>Gowdall [GBWWL]</v>
      </c>
      <c r="AN5202" t="s">
        <v>13276</v>
      </c>
      <c r="AO5202" t="s">
        <v>13277</v>
      </c>
    </row>
    <row r="5203" spans="39:41" ht="12" customHeight="1" x14ac:dyDescent="0.2">
      <c r="AM5203" t="str">
        <f t="shared" si="81"/>
        <v>Gowran [IEGOW]</v>
      </c>
      <c r="AN5203" t="s">
        <v>16835</v>
      </c>
      <c r="AO5203" t="s">
        <v>16836</v>
      </c>
    </row>
    <row r="5204" spans="39:41" ht="12" customHeight="1" x14ac:dyDescent="0.2">
      <c r="AM5204" t="str">
        <f t="shared" si="81"/>
        <v>Goxhill [GBHXL]</v>
      </c>
      <c r="AN5204" t="s">
        <v>13278</v>
      </c>
      <c r="AO5204" t="s">
        <v>13279</v>
      </c>
    </row>
    <row r="5205" spans="39:41" ht="12" customHeight="1" x14ac:dyDescent="0.2">
      <c r="AM5205" t="str">
        <f t="shared" si="81"/>
        <v>Goxhill [GBGOX]</v>
      </c>
      <c r="AN5205" t="s">
        <v>13280</v>
      </c>
      <c r="AO5205" t="s">
        <v>13279</v>
      </c>
    </row>
    <row r="5206" spans="39:41" ht="12" customHeight="1" x14ac:dyDescent="0.2">
      <c r="AM5206" t="str">
        <f t="shared" si="81"/>
        <v>Goya [AROYA]</v>
      </c>
      <c r="AN5206" t="s">
        <v>1023</v>
      </c>
      <c r="AO5206" t="s">
        <v>1024</v>
      </c>
    </row>
    <row r="5207" spans="39:41" ht="12" customHeight="1" x14ac:dyDescent="0.2">
      <c r="AM5207" t="str">
        <f t="shared" si="81"/>
        <v>Gozee [BEGZE]</v>
      </c>
      <c r="AN5207" t="s">
        <v>36769</v>
      </c>
      <c r="AO5207" t="s">
        <v>36770</v>
      </c>
    </row>
    <row r="5208" spans="39:41" ht="12" customHeight="1" x14ac:dyDescent="0.2">
      <c r="AM5208" t="str">
        <f t="shared" si="81"/>
        <v>Graal-Muritz [DEGMV]</v>
      </c>
      <c r="AN5208" t="s">
        <v>7465</v>
      </c>
      <c r="AO5208" t="s">
        <v>35441</v>
      </c>
    </row>
    <row r="5209" spans="39:41" ht="12" customHeight="1" x14ac:dyDescent="0.2">
      <c r="AM5209" t="str">
        <f t="shared" si="81"/>
        <v>Grabill [USGZB]</v>
      </c>
      <c r="AN5209" t="s">
        <v>29976</v>
      </c>
      <c r="AO5209" t="s">
        <v>29977</v>
      </c>
    </row>
    <row r="5210" spans="39:41" ht="12" customHeight="1" x14ac:dyDescent="0.2">
      <c r="AM5210" t="str">
        <f t="shared" si="81"/>
        <v>Grado [ITGRD]</v>
      </c>
      <c r="AN5210" t="s">
        <v>17975</v>
      </c>
      <c r="AO5210" t="s">
        <v>17976</v>
      </c>
    </row>
    <row r="5211" spans="39:41" ht="12" customHeight="1" x14ac:dyDescent="0.2">
      <c r="AM5211" t="str">
        <f t="shared" si="81"/>
        <v>Graemsay [GBGAE]</v>
      </c>
      <c r="AN5211" t="s">
        <v>13281</v>
      </c>
      <c r="AO5211" t="s">
        <v>13282</v>
      </c>
    </row>
    <row r="5212" spans="39:41" ht="12" customHeight="1" x14ac:dyDescent="0.2">
      <c r="AM5212" t="str">
        <f t="shared" si="81"/>
        <v>Grafenhainichen [DEEFE]</v>
      </c>
      <c r="AN5212" t="s">
        <v>7466</v>
      </c>
      <c r="AO5212" t="s">
        <v>35442</v>
      </c>
    </row>
    <row r="5213" spans="39:41" ht="12" customHeight="1" x14ac:dyDescent="0.2">
      <c r="AM5213" t="str">
        <f t="shared" si="81"/>
        <v>Grafschaft [DEGFF]</v>
      </c>
      <c r="AN5213" t="s">
        <v>7467</v>
      </c>
      <c r="AO5213" t="s">
        <v>7468</v>
      </c>
    </row>
    <row r="5214" spans="39:41" ht="12" customHeight="1" x14ac:dyDescent="0.2">
      <c r="AM5214" t="str">
        <f t="shared" si="81"/>
        <v>Grahamstown [ZAGRH]</v>
      </c>
      <c r="AN5214" t="s">
        <v>32685</v>
      </c>
      <c r="AO5214" t="s">
        <v>32686</v>
      </c>
    </row>
    <row r="5215" spans="39:41" ht="12" customHeight="1" x14ac:dyDescent="0.2">
      <c r="AM5215" t="str">
        <f t="shared" si="81"/>
        <v>Grajal de Ribera [ESGDR]</v>
      </c>
      <c r="AN5215" t="s">
        <v>9813</v>
      </c>
      <c r="AO5215" t="s">
        <v>9814</v>
      </c>
    </row>
    <row r="5216" spans="39:41" ht="12" customHeight="1" x14ac:dyDescent="0.2">
      <c r="AM5216" t="str">
        <f t="shared" si="81"/>
        <v>Grambin [DERBI]</v>
      </c>
      <c r="AN5216" t="s">
        <v>7469</v>
      </c>
      <c r="AO5216" t="s">
        <v>7470</v>
      </c>
    </row>
    <row r="5217" spans="39:41" ht="12" customHeight="1" x14ac:dyDescent="0.2">
      <c r="AM5217" t="str">
        <f t="shared" si="81"/>
        <v>Gramercy [USGRY]</v>
      </c>
      <c r="AN5217" t="s">
        <v>29978</v>
      </c>
      <c r="AO5217" t="s">
        <v>29979</v>
      </c>
    </row>
    <row r="5218" spans="39:41" ht="12" customHeight="1" x14ac:dyDescent="0.2">
      <c r="AM5218" t="str">
        <f t="shared" si="81"/>
        <v>Gramsbergen [NLGBG]</v>
      </c>
      <c r="AN5218" t="s">
        <v>23209</v>
      </c>
      <c r="AO5218" t="s">
        <v>23210</v>
      </c>
    </row>
    <row r="5219" spans="39:41" ht="12" customHeight="1" x14ac:dyDescent="0.2">
      <c r="AM5219" t="str">
        <f t="shared" si="81"/>
        <v>Gran Tarajal [ESGTL]</v>
      </c>
      <c r="AN5219" t="s">
        <v>9815</v>
      </c>
      <c r="AO5219" t="s">
        <v>9816</v>
      </c>
    </row>
    <row r="5220" spans="39:41" ht="12" customHeight="1" x14ac:dyDescent="0.2">
      <c r="AM5220" t="str">
        <f t="shared" si="81"/>
        <v>Grand Bank [CAGRB]</v>
      </c>
      <c r="AN5220" t="s">
        <v>3891</v>
      </c>
      <c r="AO5220" t="s">
        <v>3892</v>
      </c>
    </row>
    <row r="5221" spans="39:41" ht="12" customHeight="1" x14ac:dyDescent="0.2">
      <c r="AM5221" t="str">
        <f t="shared" si="81"/>
        <v>Grand Bassa [LRGBS]</v>
      </c>
      <c r="AN5221" t="s">
        <v>21867</v>
      </c>
      <c r="AO5221" t="s">
        <v>21868</v>
      </c>
    </row>
    <row r="5222" spans="39:41" ht="12" customHeight="1" x14ac:dyDescent="0.2">
      <c r="AM5222" t="str">
        <f t="shared" si="81"/>
        <v>Grand Blanc [USQGB]</v>
      </c>
      <c r="AN5222" t="s">
        <v>29980</v>
      </c>
      <c r="AO5222" t="s">
        <v>29981</v>
      </c>
    </row>
    <row r="5223" spans="39:41" ht="12" customHeight="1" x14ac:dyDescent="0.2">
      <c r="AM5223" t="str">
        <f t="shared" si="81"/>
        <v>Grand Haven [USGHN]</v>
      </c>
      <c r="AN5223" t="s">
        <v>29982</v>
      </c>
      <c r="AO5223" t="s">
        <v>29983</v>
      </c>
    </row>
    <row r="5224" spans="39:41" ht="12" customHeight="1" x14ac:dyDescent="0.2">
      <c r="AM5224" t="str">
        <f t="shared" si="81"/>
        <v>Grand Lahou [CIGLU]</v>
      </c>
      <c r="AN5224" t="s">
        <v>4787</v>
      </c>
      <c r="AO5224" t="s">
        <v>4788</v>
      </c>
    </row>
    <row r="5225" spans="39:41" ht="12" customHeight="1" x14ac:dyDescent="0.2">
      <c r="AM5225" t="str">
        <f t="shared" si="81"/>
        <v>Grand Manan [CAGMA]</v>
      </c>
      <c r="AN5225" t="s">
        <v>3893</v>
      </c>
      <c r="AO5225" t="s">
        <v>3894</v>
      </c>
    </row>
    <row r="5226" spans="39:41" ht="12" customHeight="1" x14ac:dyDescent="0.2">
      <c r="AM5226" t="str">
        <f t="shared" si="81"/>
        <v>Grand Portage [USGRA]</v>
      </c>
      <c r="AN5226" t="s">
        <v>29984</v>
      </c>
      <c r="AO5226" t="s">
        <v>29985</v>
      </c>
    </row>
    <row r="5227" spans="39:41" ht="12" customHeight="1" x14ac:dyDescent="0.2">
      <c r="AM5227" t="str">
        <f t="shared" si="81"/>
        <v>Grand Rapids [USGRR]</v>
      </c>
      <c r="AN5227" t="s">
        <v>29986</v>
      </c>
      <c r="AO5227" t="s">
        <v>29987</v>
      </c>
    </row>
    <row r="5228" spans="39:41" ht="12" customHeight="1" x14ac:dyDescent="0.2">
      <c r="AM5228" t="str">
        <f t="shared" si="81"/>
        <v>Grand Turk Island [TCGDT]</v>
      </c>
      <c r="AN5228" t="s">
        <v>28184</v>
      </c>
      <c r="AO5228" t="s">
        <v>28185</v>
      </c>
    </row>
    <row r="5229" spans="39:41" ht="12" customHeight="1" x14ac:dyDescent="0.2">
      <c r="AM5229" t="str">
        <f t="shared" si="81"/>
        <v>Grand-Bourg [GPGRB]</v>
      </c>
      <c r="AN5229" t="s">
        <v>15053</v>
      </c>
      <c r="AO5229" t="s">
        <v>15054</v>
      </c>
    </row>
    <row r="5230" spans="39:41" ht="12" customHeight="1" x14ac:dyDescent="0.2">
      <c r="AM5230" t="str">
        <f t="shared" si="81"/>
        <v>Grand-Couronne [FRGRC]</v>
      </c>
      <c r="AN5230" t="s">
        <v>36958</v>
      </c>
      <c r="AO5230" t="s">
        <v>36959</v>
      </c>
    </row>
    <row r="5231" spans="39:41" ht="12" customHeight="1" x14ac:dyDescent="0.2">
      <c r="AM5231" t="str">
        <f t="shared" si="81"/>
        <v>Grande-Digue [CAEDI]</v>
      </c>
      <c r="AN5231" t="s">
        <v>3895</v>
      </c>
      <c r="AO5231" t="s">
        <v>3896</v>
      </c>
    </row>
    <row r="5232" spans="39:41" ht="12" customHeight="1" x14ac:dyDescent="0.2">
      <c r="AM5232" t="str">
        <f t="shared" si="81"/>
        <v>Grande-Synthe [FRGDS]</v>
      </c>
      <c r="AN5232" t="s">
        <v>11335</v>
      </c>
      <c r="AO5232" t="s">
        <v>11336</v>
      </c>
    </row>
    <row r="5233" spans="39:41" ht="12" customHeight="1" x14ac:dyDescent="0.2">
      <c r="AM5233" t="str">
        <f t="shared" si="81"/>
        <v>Grand-Quevilly [FRUEV]</v>
      </c>
      <c r="AN5233" t="s">
        <v>11337</v>
      </c>
      <c r="AO5233" t="s">
        <v>11338</v>
      </c>
    </row>
    <row r="5234" spans="39:41" ht="12" customHeight="1" x14ac:dyDescent="0.2">
      <c r="AM5234" t="str">
        <f t="shared" si="81"/>
        <v>Grane [XZGRA]</v>
      </c>
      <c r="AN5234" t="s">
        <v>32571</v>
      </c>
      <c r="AO5234" t="s">
        <v>32572</v>
      </c>
    </row>
    <row r="5235" spans="39:41" ht="12" customHeight="1" x14ac:dyDescent="0.2">
      <c r="AM5235" t="str">
        <f t="shared" si="81"/>
        <v>Granerudstoa [NOGRI]</v>
      </c>
      <c r="AN5235" t="s">
        <v>37077</v>
      </c>
      <c r="AO5235" t="s">
        <v>37078</v>
      </c>
    </row>
    <row r="5236" spans="39:41" ht="12" customHeight="1" x14ac:dyDescent="0.2">
      <c r="AM5236" t="str">
        <f t="shared" si="81"/>
        <v>Grangemouth [GBGRG]</v>
      </c>
      <c r="AN5236" t="s">
        <v>13283</v>
      </c>
      <c r="AO5236" t="s">
        <v>13284</v>
      </c>
    </row>
    <row r="5237" spans="39:41" ht="12" customHeight="1" x14ac:dyDescent="0.2">
      <c r="AM5237" t="str">
        <f t="shared" si="81"/>
        <v>Granite City [USGZI]</v>
      </c>
      <c r="AN5237" t="s">
        <v>34949</v>
      </c>
      <c r="AO5237" t="s">
        <v>34950</v>
      </c>
    </row>
    <row r="5238" spans="39:41" ht="12" customHeight="1" x14ac:dyDescent="0.2">
      <c r="AM5238" t="str">
        <f t="shared" si="81"/>
        <v>Granjas [MXGRA]</v>
      </c>
      <c r="AN5238" t="s">
        <v>22363</v>
      </c>
      <c r="AO5238" t="s">
        <v>22364</v>
      </c>
    </row>
    <row r="5239" spans="39:41" ht="12" customHeight="1" x14ac:dyDescent="0.2">
      <c r="AM5239" t="str">
        <f t="shared" si="81"/>
        <v>Grankullavik [SEGKV]</v>
      </c>
      <c r="AN5239" t="s">
        <v>27589</v>
      </c>
      <c r="AO5239" t="s">
        <v>27590</v>
      </c>
    </row>
    <row r="5240" spans="39:41" ht="12" customHeight="1" x14ac:dyDescent="0.2">
      <c r="AM5240" t="str">
        <f t="shared" si="81"/>
        <v>Grantham [AUGTH]</v>
      </c>
      <c r="AN5240" t="s">
        <v>1701</v>
      </c>
      <c r="AO5240" t="s">
        <v>1702</v>
      </c>
    </row>
    <row r="5241" spans="39:41" ht="12" customHeight="1" x14ac:dyDescent="0.2">
      <c r="AM5241" t="str">
        <f t="shared" si="81"/>
        <v>Granton [GBGRN]</v>
      </c>
      <c r="AN5241" t="s">
        <v>13285</v>
      </c>
      <c r="AO5241" t="s">
        <v>13286</v>
      </c>
    </row>
    <row r="5242" spans="39:41" ht="12" customHeight="1" x14ac:dyDescent="0.2">
      <c r="AM5242" t="str">
        <f t="shared" ref="AM5242:AM5304" si="82">AO5242 &amp; " [" &amp; AN5242 &amp; "]"</f>
        <v>Granville [FRGFR]</v>
      </c>
      <c r="AN5242" t="s">
        <v>11339</v>
      </c>
      <c r="AO5242" t="s">
        <v>11340</v>
      </c>
    </row>
    <row r="5243" spans="39:41" ht="12" customHeight="1" x14ac:dyDescent="0.2">
      <c r="AM5243" t="str">
        <f t="shared" si="82"/>
        <v>Granvin [NOGRV]</v>
      </c>
      <c r="AN5243" t="s">
        <v>24149</v>
      </c>
      <c r="AO5243" t="s">
        <v>24150</v>
      </c>
    </row>
    <row r="5244" spans="39:41" ht="12" customHeight="1" x14ac:dyDescent="0.2">
      <c r="AM5244" t="str">
        <f t="shared" si="82"/>
        <v>Granyanella [ESGYA]</v>
      </c>
      <c r="AN5244" t="s">
        <v>9817</v>
      </c>
      <c r="AO5244" t="s">
        <v>9818</v>
      </c>
    </row>
    <row r="5245" spans="39:41" ht="12" customHeight="1" x14ac:dyDescent="0.2">
      <c r="AM5245" t="str">
        <f t="shared" si="82"/>
        <v>Grao [ESGRY]</v>
      </c>
      <c r="AN5245" t="s">
        <v>9819</v>
      </c>
      <c r="AO5245" t="s">
        <v>9820</v>
      </c>
    </row>
    <row r="5246" spans="39:41" ht="12" customHeight="1" x14ac:dyDescent="0.2">
      <c r="AM5246" t="str">
        <f t="shared" si="82"/>
        <v>Grasten [DKGRA]</v>
      </c>
      <c r="AN5246" t="s">
        <v>8704</v>
      </c>
      <c r="AO5246" t="s">
        <v>35538</v>
      </c>
    </row>
    <row r="5247" spans="39:41" ht="12" customHeight="1" x14ac:dyDescent="0.2">
      <c r="AM5247" t="str">
        <f t="shared" si="82"/>
        <v>Gratangen [NOGRT]</v>
      </c>
      <c r="AN5247" t="s">
        <v>24151</v>
      </c>
      <c r="AO5247" t="s">
        <v>24152</v>
      </c>
    </row>
    <row r="5248" spans="39:41" ht="12" customHeight="1" x14ac:dyDescent="0.2">
      <c r="AM5248" t="str">
        <f t="shared" si="82"/>
        <v>Grau Rheindorf [DEGNR]</v>
      </c>
      <c r="AN5248" t="s">
        <v>7471</v>
      </c>
      <c r="AO5248" t="s">
        <v>7472</v>
      </c>
    </row>
    <row r="5249" spans="39:41" ht="12" customHeight="1" x14ac:dyDescent="0.2">
      <c r="AM5249" t="str">
        <f t="shared" si="82"/>
        <v>Grauelsbaum [DERLB]</v>
      </c>
      <c r="AN5249" t="s">
        <v>7473</v>
      </c>
      <c r="AO5249" t="s">
        <v>7474</v>
      </c>
    </row>
    <row r="5250" spans="39:41" ht="12" customHeight="1" x14ac:dyDescent="0.2">
      <c r="AM5250" t="str">
        <f t="shared" si="82"/>
        <v>Gravarne [SEGVN]</v>
      </c>
      <c r="AN5250" t="s">
        <v>27591</v>
      </c>
      <c r="AO5250" t="s">
        <v>27592</v>
      </c>
    </row>
    <row r="5251" spans="39:41" ht="12" customHeight="1" x14ac:dyDescent="0.2">
      <c r="AM5251" t="str">
        <f t="shared" si="82"/>
        <v>Gravdal [NOGRD]</v>
      </c>
      <c r="AN5251" t="s">
        <v>24153</v>
      </c>
      <c r="AO5251" t="s">
        <v>24154</v>
      </c>
    </row>
    <row r="5252" spans="39:41" ht="12" customHeight="1" x14ac:dyDescent="0.2">
      <c r="AM5252" t="str">
        <f t="shared" si="82"/>
        <v>Gravelines [FRGRV]</v>
      </c>
      <c r="AN5252" t="s">
        <v>11341</v>
      </c>
      <c r="AO5252" t="s">
        <v>11342</v>
      </c>
    </row>
    <row r="5253" spans="39:41" ht="12" customHeight="1" x14ac:dyDescent="0.2">
      <c r="AM5253" t="str">
        <f t="shared" si="82"/>
        <v>Gravelly Beach [AUGRB]</v>
      </c>
      <c r="AN5253" t="s">
        <v>1703</v>
      </c>
      <c r="AO5253" t="s">
        <v>1704</v>
      </c>
    </row>
    <row r="5254" spans="39:41" ht="12" customHeight="1" x14ac:dyDescent="0.2">
      <c r="AM5254" t="str">
        <f t="shared" si="82"/>
        <v>Gravesend [GBGVS]</v>
      </c>
      <c r="AN5254" t="s">
        <v>13287</v>
      </c>
      <c r="AO5254" t="s">
        <v>13288</v>
      </c>
    </row>
    <row r="5255" spans="39:41" ht="12" customHeight="1" x14ac:dyDescent="0.2">
      <c r="AM5255" t="str">
        <f t="shared" si="82"/>
        <v>Gravette [FRGV6]</v>
      </c>
      <c r="AN5255" t="s">
        <v>11343</v>
      </c>
      <c r="AO5255" t="s">
        <v>11344</v>
      </c>
    </row>
    <row r="5256" spans="39:41" ht="12" customHeight="1" x14ac:dyDescent="0.2">
      <c r="AM5256" t="str">
        <f t="shared" si="82"/>
        <v>Grays [GBGYS]</v>
      </c>
      <c r="AN5256" t="s">
        <v>13289</v>
      </c>
      <c r="AO5256" t="s">
        <v>13290</v>
      </c>
    </row>
    <row r="5257" spans="39:41" ht="12" customHeight="1" x14ac:dyDescent="0.2">
      <c r="AM5257" t="str">
        <f t="shared" si="82"/>
        <v>Grays Harbor City [USGHC]</v>
      </c>
      <c r="AN5257" t="s">
        <v>29988</v>
      </c>
      <c r="AO5257" t="s">
        <v>29989</v>
      </c>
    </row>
    <row r="5258" spans="39:41" ht="12" customHeight="1" x14ac:dyDescent="0.2">
      <c r="AM5258" t="str">
        <f t="shared" si="82"/>
        <v>Grayson [USYYG]</v>
      </c>
      <c r="AN5258" t="s">
        <v>29990</v>
      </c>
      <c r="AO5258" t="s">
        <v>29991</v>
      </c>
    </row>
    <row r="5259" spans="39:41" ht="12" customHeight="1" x14ac:dyDescent="0.2">
      <c r="AM5259" t="str">
        <f t="shared" si="82"/>
        <v>Great Exuma Island [BSEXU]</v>
      </c>
      <c r="AN5259" t="s">
        <v>3441</v>
      </c>
      <c r="AO5259" t="s">
        <v>3442</v>
      </c>
    </row>
    <row r="5260" spans="39:41" ht="12" customHeight="1" x14ac:dyDescent="0.2">
      <c r="AM5260" t="str">
        <f t="shared" si="82"/>
        <v>Great Harbour Cay [BSGHC]</v>
      </c>
      <c r="AN5260" t="s">
        <v>3443</v>
      </c>
      <c r="AO5260" t="s">
        <v>3444</v>
      </c>
    </row>
    <row r="5261" spans="39:41" ht="12" customHeight="1" x14ac:dyDescent="0.2">
      <c r="AM5261" t="str">
        <f t="shared" si="82"/>
        <v>Great Harwood [GBGRH]</v>
      </c>
      <c r="AN5261" t="s">
        <v>13291</v>
      </c>
      <c r="AO5261" t="s">
        <v>13292</v>
      </c>
    </row>
    <row r="5262" spans="39:41" ht="12" customHeight="1" x14ac:dyDescent="0.2">
      <c r="AM5262" t="str">
        <f t="shared" si="82"/>
        <v>Great Massingham [GBMSI]</v>
      </c>
      <c r="AN5262" t="s">
        <v>13293</v>
      </c>
      <c r="AO5262" t="s">
        <v>13294</v>
      </c>
    </row>
    <row r="5263" spans="39:41" ht="12" customHeight="1" x14ac:dyDescent="0.2">
      <c r="AM5263" t="str">
        <f t="shared" si="82"/>
        <v>Great Oakley [GBGOA]</v>
      </c>
      <c r="AN5263" t="s">
        <v>13295</v>
      </c>
      <c r="AO5263" t="s">
        <v>13296</v>
      </c>
    </row>
    <row r="5264" spans="39:41" ht="12" customHeight="1" x14ac:dyDescent="0.2">
      <c r="AM5264" t="str">
        <f t="shared" si="82"/>
        <v>Great Stirrup Cay [BSGSC]</v>
      </c>
      <c r="AN5264" t="s">
        <v>3445</v>
      </c>
      <c r="AO5264" t="s">
        <v>3446</v>
      </c>
    </row>
    <row r="5265" spans="39:41" ht="12" customHeight="1" x14ac:dyDescent="0.2">
      <c r="AM5265" t="str">
        <f t="shared" si="82"/>
        <v>Great Wakering [GBGWG]</v>
      </c>
      <c r="AN5265" t="s">
        <v>13297</v>
      </c>
      <c r="AO5265" t="s">
        <v>13298</v>
      </c>
    </row>
    <row r="5266" spans="39:41" ht="12" customHeight="1" x14ac:dyDescent="0.2">
      <c r="AM5266" t="str">
        <f t="shared" si="82"/>
        <v>Great Wall [AQGWL]</v>
      </c>
      <c r="AN5266" t="s">
        <v>928</v>
      </c>
      <c r="AO5266" t="s">
        <v>929</v>
      </c>
    </row>
    <row r="5267" spans="39:41" ht="12" customHeight="1" x14ac:dyDescent="0.2">
      <c r="AM5267" t="str">
        <f t="shared" si="82"/>
        <v>Great Western [AUGTW]</v>
      </c>
      <c r="AN5267" t="s">
        <v>1705</v>
      </c>
      <c r="AO5267" t="s">
        <v>1706</v>
      </c>
    </row>
    <row r="5268" spans="39:41" ht="12" customHeight="1" x14ac:dyDescent="0.2">
      <c r="AM5268" t="str">
        <f t="shared" si="82"/>
        <v>Great Yarmouth [GBGTY]</v>
      </c>
      <c r="AN5268" t="s">
        <v>13299</v>
      </c>
      <c r="AO5268" t="s">
        <v>13300</v>
      </c>
    </row>
    <row r="5269" spans="39:41" ht="12" customHeight="1" x14ac:dyDescent="0.2">
      <c r="AM5269" t="str">
        <f t="shared" si="82"/>
        <v>Greater Nodia [INGND]</v>
      </c>
      <c r="AN5269" t="s">
        <v>17156</v>
      </c>
      <c r="AO5269" t="s">
        <v>17157</v>
      </c>
    </row>
    <row r="5270" spans="39:41" ht="12" customHeight="1" x14ac:dyDescent="0.2">
      <c r="AM5270" t="str">
        <f t="shared" si="82"/>
        <v>Greater Noida [INGNO]</v>
      </c>
      <c r="AN5270" t="s">
        <v>17158</v>
      </c>
      <c r="AO5270" t="s">
        <v>17159</v>
      </c>
    </row>
    <row r="5271" spans="39:41" ht="12" customHeight="1" x14ac:dyDescent="0.2">
      <c r="AM5271" t="str">
        <f t="shared" si="82"/>
        <v>Greater Plutonio [AOGPO]</v>
      </c>
      <c r="AN5271" t="s">
        <v>857</v>
      </c>
      <c r="AO5271" t="s">
        <v>858</v>
      </c>
    </row>
    <row r="5272" spans="39:41" ht="12" customHeight="1" x14ac:dyDescent="0.2">
      <c r="AM5272" t="str">
        <f t="shared" si="82"/>
        <v>Greatham [GBHP2]</v>
      </c>
      <c r="AN5272" t="s">
        <v>13301</v>
      </c>
      <c r="AO5272" t="s">
        <v>13302</v>
      </c>
    </row>
    <row r="5273" spans="39:41" ht="12" customHeight="1" x14ac:dyDescent="0.2">
      <c r="AM5273" t="str">
        <f t="shared" si="82"/>
        <v>Grebbestad [SEGRE]</v>
      </c>
      <c r="AN5273" t="s">
        <v>27593</v>
      </c>
      <c r="AO5273" t="s">
        <v>27594</v>
      </c>
    </row>
    <row r="5274" spans="39:41" ht="12" customHeight="1" x14ac:dyDescent="0.2">
      <c r="AM5274" t="str">
        <f t="shared" si="82"/>
        <v>Greek Port [NGGRP]</v>
      </c>
      <c r="AN5274" t="s">
        <v>22943</v>
      </c>
      <c r="AO5274" t="s">
        <v>22944</v>
      </c>
    </row>
    <row r="5275" spans="39:41" ht="12" customHeight="1" x14ac:dyDescent="0.2">
      <c r="AM5275" t="str">
        <f t="shared" si="82"/>
        <v>Green Bay [USGRB]</v>
      </c>
      <c r="AN5275" t="s">
        <v>29992</v>
      </c>
      <c r="AO5275" t="s">
        <v>29993</v>
      </c>
    </row>
    <row r="5276" spans="39:41" ht="12" customHeight="1" x14ac:dyDescent="0.2">
      <c r="AM5276" t="str">
        <f t="shared" si="82"/>
        <v>Green Islands [PGGEI]</v>
      </c>
      <c r="AN5276" t="s">
        <v>25386</v>
      </c>
      <c r="AO5276" t="s">
        <v>25387</v>
      </c>
    </row>
    <row r="5277" spans="39:41" ht="12" customHeight="1" x14ac:dyDescent="0.2">
      <c r="AM5277" t="str">
        <f t="shared" si="82"/>
        <v>Green Town [USFWZ]</v>
      </c>
      <c r="AN5277" t="s">
        <v>29994</v>
      </c>
      <c r="AO5277" t="s">
        <v>29995</v>
      </c>
    </row>
    <row r="5278" spans="39:41" ht="12" customHeight="1" x14ac:dyDescent="0.2">
      <c r="AM5278" t="str">
        <f t="shared" si="82"/>
        <v>Green Turtle Cay [BSGTC]</v>
      </c>
      <c r="AN5278" t="s">
        <v>3447</v>
      </c>
      <c r="AO5278" t="s">
        <v>3448</v>
      </c>
    </row>
    <row r="5279" spans="39:41" ht="12" customHeight="1" x14ac:dyDescent="0.2">
      <c r="AM5279" t="str">
        <f t="shared" si="82"/>
        <v>Greenboro [USGEB]</v>
      </c>
      <c r="AN5279" t="s">
        <v>29996</v>
      </c>
      <c r="AO5279" t="s">
        <v>29997</v>
      </c>
    </row>
    <row r="5280" spans="39:41" ht="12" customHeight="1" x14ac:dyDescent="0.2">
      <c r="AM5280" t="str">
        <f t="shared" si="82"/>
        <v>Greencastle [GBGNC]</v>
      </c>
      <c r="AN5280" t="s">
        <v>13303</v>
      </c>
      <c r="AO5280" t="s">
        <v>13304</v>
      </c>
    </row>
    <row r="5281" spans="39:41" ht="12" customHeight="1" x14ac:dyDescent="0.2">
      <c r="AM5281" t="str">
        <f t="shared" si="82"/>
        <v>Greencastle [IEGRE]</v>
      </c>
      <c r="AN5281" t="s">
        <v>34328</v>
      </c>
      <c r="AO5281" t="s">
        <v>13304</v>
      </c>
    </row>
    <row r="5282" spans="39:41" ht="12" customHeight="1" x14ac:dyDescent="0.2">
      <c r="AM5282" t="str">
        <f t="shared" si="82"/>
        <v>Greenhead [AUGRH]</v>
      </c>
      <c r="AN5282" t="s">
        <v>1707</v>
      </c>
      <c r="AO5282" t="s">
        <v>1708</v>
      </c>
    </row>
    <row r="5283" spans="39:41" ht="12" customHeight="1" x14ac:dyDescent="0.2">
      <c r="AM5283" t="str">
        <f t="shared" si="82"/>
        <v>Greenock [AUGRK]</v>
      </c>
      <c r="AN5283" t="s">
        <v>1709</v>
      </c>
      <c r="AO5283" t="s">
        <v>1710</v>
      </c>
    </row>
    <row r="5284" spans="39:41" ht="12" customHeight="1" x14ac:dyDescent="0.2">
      <c r="AM5284" t="str">
        <f t="shared" si="82"/>
        <v>Greenock [GBGRK]</v>
      </c>
      <c r="AN5284" t="s">
        <v>13305</v>
      </c>
      <c r="AO5284" t="s">
        <v>1710</v>
      </c>
    </row>
    <row r="5285" spans="39:41" ht="12" customHeight="1" x14ac:dyDescent="0.2">
      <c r="AM5285" t="str">
        <f t="shared" si="82"/>
        <v>Greenore [IEGRN]</v>
      </c>
      <c r="AN5285" t="s">
        <v>16837</v>
      </c>
      <c r="AO5285" t="s">
        <v>16838</v>
      </c>
    </row>
    <row r="5286" spans="39:41" ht="12" customHeight="1" x14ac:dyDescent="0.2">
      <c r="AM5286" t="str">
        <f t="shared" si="82"/>
        <v>Greenport [USGP4]</v>
      </c>
      <c r="AN5286" t="s">
        <v>29998</v>
      </c>
      <c r="AO5286" t="s">
        <v>29999</v>
      </c>
    </row>
    <row r="5287" spans="39:41" ht="12" customHeight="1" x14ac:dyDescent="0.2">
      <c r="AM5287" t="str">
        <f t="shared" si="82"/>
        <v>Greentown [USPA9]</v>
      </c>
      <c r="AN5287" t="s">
        <v>30000</v>
      </c>
      <c r="AO5287" t="s">
        <v>30001</v>
      </c>
    </row>
    <row r="5288" spans="39:41" ht="12" customHeight="1" x14ac:dyDescent="0.2">
      <c r="AM5288" t="str">
        <f t="shared" si="82"/>
        <v>Greenville [LRGRE]</v>
      </c>
      <c r="AN5288" t="s">
        <v>21869</v>
      </c>
      <c r="AO5288" t="s">
        <v>21870</v>
      </c>
    </row>
    <row r="5289" spans="39:41" ht="12" customHeight="1" x14ac:dyDescent="0.2">
      <c r="AM5289" t="str">
        <f t="shared" si="82"/>
        <v>Greenville [USGLH]</v>
      </c>
      <c r="AN5289" t="s">
        <v>30002</v>
      </c>
      <c r="AO5289" t="s">
        <v>21870</v>
      </c>
    </row>
    <row r="5290" spans="39:41" ht="12" customHeight="1" x14ac:dyDescent="0.2">
      <c r="AM5290" t="str">
        <f t="shared" si="82"/>
        <v>Greenwood, Guernsey [USGNS]</v>
      </c>
      <c r="AN5290" t="s">
        <v>30003</v>
      </c>
      <c r="AO5290" t="s">
        <v>30004</v>
      </c>
    </row>
    <row r="5291" spans="39:41" ht="12" customHeight="1" x14ac:dyDescent="0.2">
      <c r="AM5291" t="str">
        <f t="shared" si="82"/>
        <v>Greetsiel [DEGRE]</v>
      </c>
      <c r="AN5291" t="s">
        <v>7475</v>
      </c>
      <c r="AO5291" t="s">
        <v>7476</v>
      </c>
    </row>
    <row r="5292" spans="39:41" ht="12" customHeight="1" x14ac:dyDescent="0.2">
      <c r="AM5292" t="str">
        <f t="shared" si="82"/>
        <v>Greifenstein [ATGFS]</v>
      </c>
      <c r="AN5292" t="s">
        <v>1216</v>
      </c>
      <c r="AO5292" t="s">
        <v>1217</v>
      </c>
    </row>
    <row r="5293" spans="39:41" ht="12" customHeight="1" x14ac:dyDescent="0.2">
      <c r="AM5293" t="str">
        <f t="shared" si="82"/>
        <v>Greifswald [DEGRD]</v>
      </c>
      <c r="AN5293" t="s">
        <v>7477</v>
      </c>
      <c r="AO5293" t="s">
        <v>7478</v>
      </c>
    </row>
    <row r="5294" spans="39:41" ht="12" customHeight="1" x14ac:dyDescent="0.2">
      <c r="AM5294" t="str">
        <f t="shared" si="82"/>
        <v>Grein [ATGRN]</v>
      </c>
      <c r="AN5294" t="s">
        <v>1218</v>
      </c>
      <c r="AO5294" t="s">
        <v>1219</v>
      </c>
    </row>
    <row r="5295" spans="39:41" ht="12" customHeight="1" x14ac:dyDescent="0.2">
      <c r="AM5295" t="str">
        <f t="shared" si="82"/>
        <v>Grembergen [BEGGM]</v>
      </c>
      <c r="AN5295" t="s">
        <v>2485</v>
      </c>
      <c r="AO5295" t="s">
        <v>2486</v>
      </c>
    </row>
    <row r="5296" spans="39:41" ht="12" customHeight="1" x14ac:dyDescent="0.2">
      <c r="AM5296" t="str">
        <f t="shared" si="82"/>
        <v>Gremikha [RUGRH]</v>
      </c>
      <c r="AN5296" t="s">
        <v>26943</v>
      </c>
      <c r="AO5296" t="s">
        <v>26944</v>
      </c>
    </row>
    <row r="5297" spans="39:41" ht="12" customHeight="1" x14ac:dyDescent="0.2">
      <c r="AM5297" t="str">
        <f t="shared" si="82"/>
        <v>Grenaa [DKGRE]</v>
      </c>
      <c r="AN5297" t="s">
        <v>8705</v>
      </c>
      <c r="AO5297" t="s">
        <v>8706</v>
      </c>
    </row>
    <row r="5298" spans="39:41" ht="12" customHeight="1" x14ac:dyDescent="0.2">
      <c r="AM5298" t="str">
        <f t="shared" si="82"/>
        <v>Grenivik [ISGRE]</v>
      </c>
      <c r="AN5298" t="s">
        <v>17704</v>
      </c>
      <c r="AO5298" t="s">
        <v>36044</v>
      </c>
    </row>
    <row r="5299" spans="39:41" ht="12" customHeight="1" x14ac:dyDescent="0.2">
      <c r="AM5299" t="str">
        <f t="shared" si="82"/>
        <v>Grenville [GDGRE]</v>
      </c>
      <c r="AN5299" t="s">
        <v>14922</v>
      </c>
      <c r="AO5299" t="s">
        <v>14923</v>
      </c>
    </row>
    <row r="5300" spans="39:41" ht="12" customHeight="1" x14ac:dyDescent="0.2">
      <c r="AM5300" t="str">
        <f t="shared" si="82"/>
        <v>Gresik, Java [IDGRE]</v>
      </c>
      <c r="AN5300" t="s">
        <v>16271</v>
      </c>
      <c r="AO5300" t="s">
        <v>16272</v>
      </c>
    </row>
    <row r="5301" spans="39:41" ht="12" customHeight="1" x14ac:dyDescent="0.2">
      <c r="AM5301" t="str">
        <f t="shared" si="82"/>
        <v>Gretton [GBNO2]</v>
      </c>
      <c r="AN5301" t="s">
        <v>13306</v>
      </c>
      <c r="AO5301" t="s">
        <v>13307</v>
      </c>
    </row>
    <row r="5302" spans="39:41" ht="12" customHeight="1" x14ac:dyDescent="0.2">
      <c r="AM5302" t="str">
        <f t="shared" si="82"/>
        <v>Greymouth [NZGMN]</v>
      </c>
      <c r="AN5302" t="s">
        <v>25066</v>
      </c>
      <c r="AO5302" t="s">
        <v>25067</v>
      </c>
    </row>
    <row r="5303" spans="39:41" ht="12" customHeight="1" x14ac:dyDescent="0.2">
      <c r="AM5303" t="str">
        <f t="shared" si="82"/>
        <v>Grieth [DEITH]</v>
      </c>
      <c r="AN5303" t="s">
        <v>7479</v>
      </c>
      <c r="AO5303" t="s">
        <v>7480</v>
      </c>
    </row>
    <row r="5304" spans="39:41" ht="12" customHeight="1" x14ac:dyDescent="0.2">
      <c r="AM5304" t="str">
        <f t="shared" si="82"/>
        <v>Griffin Venture (oil terminal) [AUGRV]</v>
      </c>
      <c r="AN5304" t="s">
        <v>1711</v>
      </c>
      <c r="AO5304" t="s">
        <v>1712</v>
      </c>
    </row>
    <row r="5305" spans="39:41" ht="12" customHeight="1" x14ac:dyDescent="0.2">
      <c r="AM5305" t="str">
        <f t="shared" ref="AM5305:AM5368" si="83">AO5305 &amp; " [" &amp; AN5305 &amp; "]"</f>
        <v>Grigny [FRGNY]</v>
      </c>
      <c r="AN5305" t="s">
        <v>11345</v>
      </c>
      <c r="AO5305" t="s">
        <v>11346</v>
      </c>
    </row>
    <row r="5306" spans="39:41" ht="12" customHeight="1" x14ac:dyDescent="0.2">
      <c r="AM5306" t="str">
        <f t="shared" si="83"/>
        <v>Grimberg [DEGMR]</v>
      </c>
      <c r="AN5306" t="s">
        <v>7481</v>
      </c>
      <c r="AO5306" t="s">
        <v>7482</v>
      </c>
    </row>
    <row r="5307" spans="39:41" ht="12" customHeight="1" x14ac:dyDescent="0.2">
      <c r="AM5307" t="str">
        <f t="shared" si="83"/>
        <v>Grimbergen [BEGRB]</v>
      </c>
      <c r="AN5307" t="s">
        <v>2487</v>
      </c>
      <c r="AO5307" t="s">
        <v>2488</v>
      </c>
    </row>
    <row r="5308" spans="39:41" ht="12" customHeight="1" x14ac:dyDescent="0.2">
      <c r="AM5308" t="str">
        <f t="shared" si="83"/>
        <v>Grimes [USQR5]</v>
      </c>
      <c r="AN5308" t="s">
        <v>30005</v>
      </c>
      <c r="AO5308" t="s">
        <v>30006</v>
      </c>
    </row>
    <row r="5309" spans="39:41" ht="12" customHeight="1" x14ac:dyDescent="0.2">
      <c r="AM5309" t="str">
        <f t="shared" si="83"/>
        <v>Grimmen [DEGMN]</v>
      </c>
      <c r="AN5309" t="s">
        <v>7483</v>
      </c>
      <c r="AO5309" t="s">
        <v>7484</v>
      </c>
    </row>
    <row r="5310" spans="39:41" ht="12" customHeight="1" x14ac:dyDescent="0.2">
      <c r="AM5310" t="str">
        <f t="shared" si="83"/>
        <v>Grimsay [GBGMY]</v>
      </c>
      <c r="AN5310" t="s">
        <v>13308</v>
      </c>
      <c r="AO5310" t="s">
        <v>13309</v>
      </c>
    </row>
    <row r="5311" spans="39:41" ht="12" customHeight="1" x14ac:dyDescent="0.2">
      <c r="AM5311" t="str">
        <f t="shared" si="83"/>
        <v>Grimsby [GBGSY]</v>
      </c>
      <c r="AN5311" t="s">
        <v>13310</v>
      </c>
      <c r="AO5311" t="s">
        <v>13311</v>
      </c>
    </row>
    <row r="5312" spans="39:41" ht="12" customHeight="1" x14ac:dyDescent="0.2">
      <c r="AM5312" t="str">
        <f t="shared" si="83"/>
        <v>Grimsey [ISGRY]</v>
      </c>
      <c r="AN5312" t="s">
        <v>37003</v>
      </c>
      <c r="AO5312" t="s">
        <v>37004</v>
      </c>
    </row>
    <row r="5313" spans="39:41" ht="12" customHeight="1" x14ac:dyDescent="0.2">
      <c r="AM5313" t="str">
        <f t="shared" si="83"/>
        <v>Grimstad [NOGTD]</v>
      </c>
      <c r="AN5313" t="s">
        <v>24155</v>
      </c>
      <c r="AO5313" t="s">
        <v>24156</v>
      </c>
    </row>
    <row r="5314" spans="39:41" ht="12" customHeight="1" x14ac:dyDescent="0.2">
      <c r="AM5314" t="str">
        <f t="shared" si="83"/>
        <v>Grindavik [ISGRI]</v>
      </c>
      <c r="AN5314" t="s">
        <v>17705</v>
      </c>
      <c r="AO5314" t="s">
        <v>36045</v>
      </c>
    </row>
    <row r="5315" spans="39:41" ht="12" customHeight="1" x14ac:dyDescent="0.2">
      <c r="AM5315" t="str">
        <f t="shared" si="83"/>
        <v>Grindstone [CAGRS]</v>
      </c>
      <c r="AN5315" t="s">
        <v>3897</v>
      </c>
      <c r="AO5315" t="s">
        <v>3898</v>
      </c>
    </row>
    <row r="5316" spans="39:41" ht="12" customHeight="1" x14ac:dyDescent="0.2">
      <c r="AM5316" t="str">
        <f t="shared" si="83"/>
        <v>Grip [NOGRP]</v>
      </c>
      <c r="AN5316" t="s">
        <v>24157</v>
      </c>
      <c r="AO5316" t="s">
        <v>24158</v>
      </c>
    </row>
    <row r="5317" spans="39:41" ht="12" customHeight="1" x14ac:dyDescent="0.2">
      <c r="AM5317" t="str">
        <f t="shared" si="83"/>
        <v>Grise Fiord [CAYGZ]</v>
      </c>
      <c r="AN5317" t="s">
        <v>3899</v>
      </c>
      <c r="AO5317" t="s">
        <v>3900</v>
      </c>
    </row>
    <row r="5318" spans="39:41" ht="12" customHeight="1" x14ac:dyDescent="0.2">
      <c r="AM5318" t="str">
        <f t="shared" si="83"/>
        <v>Grisslehamn [SEGRH]</v>
      </c>
      <c r="AN5318" t="s">
        <v>27595</v>
      </c>
      <c r="AO5318" t="s">
        <v>27596</v>
      </c>
    </row>
    <row r="5319" spans="39:41" ht="12" customHeight="1" x14ac:dyDescent="0.2">
      <c r="AM5319" t="str">
        <f t="shared" si="83"/>
        <v>Griswold [USG77]</v>
      </c>
      <c r="AN5319" t="s">
        <v>30007</v>
      </c>
      <c r="AO5319" t="s">
        <v>30008</v>
      </c>
    </row>
    <row r="5320" spans="39:41" ht="12" customHeight="1" x14ac:dyDescent="0.2">
      <c r="AM5320" t="str">
        <f t="shared" si="83"/>
        <v>Grobbendonk [BEGBB]</v>
      </c>
      <c r="AN5320" t="s">
        <v>2489</v>
      </c>
      <c r="AO5320" t="s">
        <v>2490</v>
      </c>
    </row>
    <row r="5321" spans="39:41" ht="12" customHeight="1" x14ac:dyDescent="0.2">
      <c r="AM5321" t="str">
        <f t="shared" si="83"/>
        <v>Grode [DEGXR]</v>
      </c>
      <c r="AN5321" t="s">
        <v>7485</v>
      </c>
      <c r="AO5321" t="s">
        <v>35443</v>
      </c>
    </row>
    <row r="5322" spans="39:41" ht="12" customHeight="1" x14ac:dyDescent="0.2">
      <c r="AM5322" t="str">
        <f t="shared" si="83"/>
        <v>Grodziczno [PLZIN]</v>
      </c>
      <c r="AN5322" t="s">
        <v>26305</v>
      </c>
      <c r="AO5322" t="s">
        <v>26306</v>
      </c>
    </row>
    <row r="5323" spans="39:41" ht="12" customHeight="1" x14ac:dyDescent="0.2">
      <c r="AM5323" t="str">
        <f t="shared" si="83"/>
        <v>Groenendijk [NLGRK]</v>
      </c>
      <c r="AN5323" t="s">
        <v>23211</v>
      </c>
      <c r="AO5323" t="s">
        <v>23212</v>
      </c>
    </row>
    <row r="5324" spans="39:41" ht="12" customHeight="1" x14ac:dyDescent="0.2">
      <c r="AM5324" t="str">
        <f t="shared" si="83"/>
        <v>Groeneweg [NLGRW]</v>
      </c>
      <c r="AN5324" t="s">
        <v>23213</v>
      </c>
      <c r="AO5324" t="s">
        <v>23214</v>
      </c>
    </row>
    <row r="5325" spans="39:41" ht="12" customHeight="1" x14ac:dyDescent="0.2">
      <c r="AM5325" t="str">
        <f t="shared" si="83"/>
        <v>Groenewoud [NLGWD]</v>
      </c>
      <c r="AN5325" t="s">
        <v>23215</v>
      </c>
      <c r="AO5325" t="s">
        <v>23216</v>
      </c>
    </row>
    <row r="5326" spans="39:41" ht="12" customHeight="1" x14ac:dyDescent="0.2">
      <c r="AM5326" t="str">
        <f t="shared" si="83"/>
        <v>Groix [FRG2X]</v>
      </c>
      <c r="AN5326" t="s">
        <v>11347</v>
      </c>
      <c r="AO5326" t="s">
        <v>11348</v>
      </c>
    </row>
    <row r="5327" spans="39:41" ht="12" customHeight="1" x14ac:dyDescent="0.2">
      <c r="AM5327" t="str">
        <f t="shared" si="83"/>
        <v>Gronau [DEGNU]</v>
      </c>
      <c r="AN5327" t="s">
        <v>7486</v>
      </c>
      <c r="AO5327" t="s">
        <v>7487</v>
      </c>
    </row>
    <row r="5328" spans="39:41" ht="12" customHeight="1" x14ac:dyDescent="0.2">
      <c r="AM5328" t="str">
        <f t="shared" si="83"/>
        <v>Grong [NOGRO]</v>
      </c>
      <c r="AN5328" t="s">
        <v>37079</v>
      </c>
      <c r="AO5328" t="s">
        <v>37080</v>
      </c>
    </row>
    <row r="5329" spans="39:41" ht="12" customHeight="1" x14ac:dyDescent="0.2">
      <c r="AM5329" t="str">
        <f t="shared" si="83"/>
        <v>Groningen [NLGRQ]</v>
      </c>
      <c r="AN5329" t="s">
        <v>23217</v>
      </c>
      <c r="AO5329" t="s">
        <v>23218</v>
      </c>
    </row>
    <row r="5330" spans="39:41" ht="12" customHeight="1" x14ac:dyDescent="0.2">
      <c r="AM5330" t="str">
        <f t="shared" si="83"/>
        <v>Grono [SEGNR]</v>
      </c>
      <c r="AN5330" t="s">
        <v>27597</v>
      </c>
      <c r="AO5330" t="s">
        <v>36445</v>
      </c>
    </row>
    <row r="5331" spans="39:41" ht="12" customHeight="1" x14ac:dyDescent="0.2">
      <c r="AM5331" t="str">
        <f t="shared" si="83"/>
        <v>Groomsport [GBGRO]</v>
      </c>
      <c r="AN5331" t="s">
        <v>13312</v>
      </c>
      <c r="AO5331" t="s">
        <v>13313</v>
      </c>
    </row>
    <row r="5332" spans="39:41" ht="12" customHeight="1" x14ac:dyDescent="0.2">
      <c r="AM5332" t="str">
        <f t="shared" si="83"/>
        <v>Groot Bijgaarden [BEGRO]</v>
      </c>
      <c r="AN5332" t="s">
        <v>2491</v>
      </c>
      <c r="AO5332" t="s">
        <v>2492</v>
      </c>
    </row>
    <row r="5333" spans="39:41" ht="12" customHeight="1" x14ac:dyDescent="0.2">
      <c r="AM5333" t="str">
        <f t="shared" si="83"/>
        <v>Groot Dochteren [NLGDO]</v>
      </c>
      <c r="AN5333" t="s">
        <v>23219</v>
      </c>
      <c r="AO5333" t="s">
        <v>23220</v>
      </c>
    </row>
    <row r="5334" spans="39:41" ht="12" customHeight="1" x14ac:dyDescent="0.2">
      <c r="AM5334" t="str">
        <f t="shared" si="83"/>
        <v>Groote Eylandt [AUGTE]</v>
      </c>
      <c r="AN5334" t="s">
        <v>1713</v>
      </c>
      <c r="AO5334" t="s">
        <v>1714</v>
      </c>
    </row>
    <row r="5335" spans="39:41" ht="12" customHeight="1" x14ac:dyDescent="0.2">
      <c r="AM5335" t="str">
        <f t="shared" si="83"/>
        <v>Groppenbruch [DEGPR]</v>
      </c>
      <c r="AN5335" t="s">
        <v>7488</v>
      </c>
      <c r="AO5335" t="s">
        <v>7489</v>
      </c>
    </row>
    <row r="5336" spans="39:41" ht="12" customHeight="1" x14ac:dyDescent="0.2">
      <c r="AM5336" t="str">
        <f t="shared" si="83"/>
        <v>Gros Cacouna [CAGCA]</v>
      </c>
      <c r="AN5336" t="s">
        <v>3901</v>
      </c>
      <c r="AO5336" t="s">
        <v>3902</v>
      </c>
    </row>
    <row r="5337" spans="39:41" ht="12" customHeight="1" x14ac:dyDescent="0.2">
      <c r="AM5337" t="str">
        <f t="shared" si="83"/>
        <v>Gross Krotzenburg [DEGKG]</v>
      </c>
      <c r="AN5337" t="s">
        <v>7490</v>
      </c>
      <c r="AO5337" t="s">
        <v>7491</v>
      </c>
    </row>
    <row r="5338" spans="39:41" ht="12" customHeight="1" x14ac:dyDescent="0.2">
      <c r="AM5338" t="str">
        <f t="shared" si="83"/>
        <v>Grosse Ile [USZGP]</v>
      </c>
      <c r="AN5338" t="s">
        <v>30009</v>
      </c>
      <c r="AO5338" t="s">
        <v>30010</v>
      </c>
    </row>
    <row r="5339" spans="39:41" ht="12" customHeight="1" x14ac:dyDescent="0.2">
      <c r="AM5339" t="str">
        <f t="shared" si="83"/>
        <v>Grosse Point Woods [USGPW]</v>
      </c>
      <c r="AN5339" t="s">
        <v>30011</v>
      </c>
      <c r="AO5339" t="s">
        <v>30012</v>
      </c>
    </row>
    <row r="5340" spans="39:41" ht="12" customHeight="1" x14ac:dyDescent="0.2">
      <c r="AM5340" t="str">
        <f t="shared" si="83"/>
        <v>Grosseichholzheim [DEHHO]</v>
      </c>
      <c r="AN5340" t="s">
        <v>7492</v>
      </c>
      <c r="AO5340" t="s">
        <v>7493</v>
      </c>
    </row>
    <row r="5341" spans="39:41" ht="12" customHeight="1" x14ac:dyDescent="0.2">
      <c r="AM5341" t="str">
        <f t="shared" si="83"/>
        <v>Grossenbrode [DEGRO]</v>
      </c>
      <c r="AN5341" t="s">
        <v>7494</v>
      </c>
      <c r="AO5341" t="s">
        <v>7495</v>
      </c>
    </row>
    <row r="5342" spans="39:41" ht="12" customHeight="1" x14ac:dyDescent="0.2">
      <c r="AM5342" t="str">
        <f t="shared" si="83"/>
        <v>Grossensiel [DEGSI]</v>
      </c>
      <c r="AN5342" t="s">
        <v>7496</v>
      </c>
      <c r="AO5342" t="s">
        <v>7497</v>
      </c>
    </row>
    <row r="5343" spans="39:41" ht="12" customHeight="1" x14ac:dyDescent="0.2">
      <c r="AM5343" t="str">
        <f t="shared" si="83"/>
        <v>Grosslehna [DEGSA]</v>
      </c>
      <c r="AN5343" t="s">
        <v>7498</v>
      </c>
      <c r="AO5343" t="s">
        <v>7499</v>
      </c>
    </row>
    <row r="5344" spans="39:41" ht="12" customHeight="1" x14ac:dyDescent="0.2">
      <c r="AM5344" t="str">
        <f t="shared" si="83"/>
        <v>Gross-Schweinbarth [ATSWH]</v>
      </c>
      <c r="AN5344" t="s">
        <v>1220</v>
      </c>
      <c r="AO5344" t="s">
        <v>1221</v>
      </c>
    </row>
    <row r="5345" spans="39:41" ht="12" customHeight="1" x14ac:dyDescent="0.2">
      <c r="AM5345" t="str">
        <f t="shared" si="83"/>
        <v>Grosszerlang [DEGZG]</v>
      </c>
      <c r="AN5345" t="s">
        <v>7500</v>
      </c>
      <c r="AO5345" t="s">
        <v>7501</v>
      </c>
    </row>
    <row r="5346" spans="39:41" ht="12" customHeight="1" x14ac:dyDescent="0.2">
      <c r="AM5346" t="str">
        <f t="shared" si="83"/>
        <v>Grotavar [NOGOT]</v>
      </c>
      <c r="AN5346" t="s">
        <v>24159</v>
      </c>
      <c r="AO5346" t="s">
        <v>36179</v>
      </c>
    </row>
    <row r="5347" spans="39:41" ht="12" customHeight="1" x14ac:dyDescent="0.2">
      <c r="AM5347" t="str">
        <f t="shared" si="83"/>
        <v>Grove [ESEGR]</v>
      </c>
      <c r="AN5347" t="s">
        <v>9821</v>
      </c>
      <c r="AO5347" t="s">
        <v>9822</v>
      </c>
    </row>
    <row r="5348" spans="39:41" ht="12" customHeight="1" x14ac:dyDescent="0.2">
      <c r="AM5348" t="str">
        <f t="shared" si="83"/>
        <v>Grove Port [GBGRW]</v>
      </c>
      <c r="AN5348" t="s">
        <v>13314</v>
      </c>
      <c r="AO5348" t="s">
        <v>13315</v>
      </c>
    </row>
    <row r="5349" spans="39:41" ht="12" customHeight="1" x14ac:dyDescent="0.2">
      <c r="AM5349" t="str">
        <f t="shared" si="83"/>
        <v>Grovehurst Jetty/Sittingbourne [GBGRJ]</v>
      </c>
      <c r="AN5349" t="s">
        <v>13316</v>
      </c>
      <c r="AO5349" t="s">
        <v>13317</v>
      </c>
    </row>
    <row r="5350" spans="39:41" ht="12" customHeight="1" x14ac:dyDescent="0.2">
      <c r="AM5350" t="str">
        <f t="shared" si="83"/>
        <v>Grover Beach [USGVB]</v>
      </c>
      <c r="AN5350" t="s">
        <v>30013</v>
      </c>
      <c r="AO5350" t="s">
        <v>30014</v>
      </c>
    </row>
    <row r="5351" spans="39:41" ht="12" customHeight="1" x14ac:dyDescent="0.2">
      <c r="AM5351" t="str">
        <f t="shared" si="83"/>
        <v>Groves [USYGS]</v>
      </c>
      <c r="AN5351" t="s">
        <v>30015</v>
      </c>
      <c r="AO5351" t="s">
        <v>30016</v>
      </c>
    </row>
    <row r="5352" spans="39:41" ht="12" customHeight="1" x14ac:dyDescent="0.2">
      <c r="AM5352" t="str">
        <f t="shared" si="83"/>
        <v>Grovetown [USGTG]</v>
      </c>
      <c r="AN5352" t="s">
        <v>30017</v>
      </c>
      <c r="AO5352" t="s">
        <v>30018</v>
      </c>
    </row>
    <row r="5353" spans="39:41" ht="12" customHeight="1" x14ac:dyDescent="0.2">
      <c r="AM5353" t="str">
        <f t="shared" si="83"/>
        <v>Grovfjord [NOGRF]</v>
      </c>
      <c r="AN5353" t="s">
        <v>24160</v>
      </c>
      <c r="AO5353" t="s">
        <v>24161</v>
      </c>
    </row>
    <row r="5354" spans="39:41" ht="12" customHeight="1" x14ac:dyDescent="0.2">
      <c r="AM5354" t="str">
        <f t="shared" si="83"/>
        <v>Gruiu [ROGUU]</v>
      </c>
      <c r="AN5354" t="s">
        <v>26760</v>
      </c>
      <c r="AO5354" t="s">
        <v>26761</v>
      </c>
    </row>
    <row r="5355" spans="39:41" ht="12" customHeight="1" x14ac:dyDescent="0.2">
      <c r="AM5355" t="str">
        <f t="shared" si="83"/>
        <v>Grums [SEGMS]</v>
      </c>
      <c r="AN5355" t="s">
        <v>37144</v>
      </c>
      <c r="AO5355" t="s">
        <v>37145</v>
      </c>
    </row>
    <row r="5356" spans="39:41" ht="12" customHeight="1" x14ac:dyDescent="0.2">
      <c r="AM5356" t="str">
        <f t="shared" si="83"/>
        <v>Grundarfjordur [ISGRF]</v>
      </c>
      <c r="AN5356" t="s">
        <v>17706</v>
      </c>
      <c r="AO5356" t="s">
        <v>36046</v>
      </c>
    </row>
    <row r="5357" spans="39:41" ht="12" customHeight="1" x14ac:dyDescent="0.2">
      <c r="AM5357" t="str">
        <f t="shared" si="83"/>
        <v>Grundartangi [ISGRT]</v>
      </c>
      <c r="AN5357" t="s">
        <v>17707</v>
      </c>
      <c r="AO5357" t="s">
        <v>17708</v>
      </c>
    </row>
    <row r="5358" spans="39:41" ht="12" customHeight="1" x14ac:dyDescent="0.2">
      <c r="AM5358" t="str">
        <f t="shared" si="83"/>
        <v>Grundhof [LUZXC]</v>
      </c>
      <c r="AN5358" t="s">
        <v>21904</v>
      </c>
      <c r="AO5358" t="s">
        <v>21905</v>
      </c>
    </row>
    <row r="5359" spans="39:41" ht="12" customHeight="1" x14ac:dyDescent="0.2">
      <c r="AM5359" t="str">
        <f t="shared" si="83"/>
        <v>Grundsund [SEGRD]</v>
      </c>
      <c r="AN5359" t="s">
        <v>27598</v>
      </c>
      <c r="AO5359" t="s">
        <v>27599</v>
      </c>
    </row>
    <row r="5360" spans="39:41" ht="12" customHeight="1" x14ac:dyDescent="0.2">
      <c r="AM5360" t="str">
        <f t="shared" si="83"/>
        <v>Grutness [GBGRU]</v>
      </c>
      <c r="AN5360" t="s">
        <v>13318</v>
      </c>
      <c r="AO5360" t="s">
        <v>13319</v>
      </c>
    </row>
    <row r="5361" spans="39:41" ht="12" customHeight="1" x14ac:dyDescent="0.2">
      <c r="AM5361" t="str">
        <f t="shared" si="83"/>
        <v>Gruvon [SEGRU]</v>
      </c>
      <c r="AN5361" t="s">
        <v>27600</v>
      </c>
      <c r="AO5361" t="s">
        <v>36446</v>
      </c>
    </row>
    <row r="5362" spans="39:41" ht="12" customHeight="1" x14ac:dyDescent="0.2">
      <c r="AM5362" t="str">
        <f t="shared" si="83"/>
        <v>Gruyere [AUGRU]</v>
      </c>
      <c r="AN5362" t="s">
        <v>1715</v>
      </c>
      <c r="AO5362" t="s">
        <v>1716</v>
      </c>
    </row>
    <row r="5363" spans="39:41" ht="12" customHeight="1" x14ac:dyDescent="0.2">
      <c r="AM5363" t="str">
        <f t="shared" si="83"/>
        <v>Gryllefjord [NOGRY]</v>
      </c>
      <c r="AN5363" t="s">
        <v>24162</v>
      </c>
      <c r="AO5363" t="s">
        <v>24163</v>
      </c>
    </row>
    <row r="5364" spans="39:41" ht="12" customHeight="1" x14ac:dyDescent="0.2">
      <c r="AM5364" t="str">
        <f t="shared" si="83"/>
        <v>Grytestranda [NOGRS]</v>
      </c>
      <c r="AN5364" t="s">
        <v>24164</v>
      </c>
      <c r="AO5364" t="s">
        <v>24165</v>
      </c>
    </row>
    <row r="5365" spans="39:41" ht="12" customHeight="1" x14ac:dyDescent="0.2">
      <c r="AM5365" t="str">
        <f t="shared" si="83"/>
        <v>Grytviken [GSGRV]</v>
      </c>
      <c r="AN5365" t="s">
        <v>15586</v>
      </c>
      <c r="AO5365" t="s">
        <v>15587</v>
      </c>
    </row>
    <row r="5366" spans="39:41" ht="12" customHeight="1" x14ac:dyDescent="0.2">
      <c r="AM5366" t="str">
        <f t="shared" si="83"/>
        <v>Guaitecas [CLGUA]</v>
      </c>
      <c r="AN5366" t="s">
        <v>4868</v>
      </c>
      <c r="AO5366" t="s">
        <v>4869</v>
      </c>
    </row>
    <row r="5367" spans="39:41" ht="12" customHeight="1" x14ac:dyDescent="0.2">
      <c r="AM5367" t="str">
        <f t="shared" si="83"/>
        <v>Gualaca [PAG8L]</v>
      </c>
      <c r="AN5367" t="s">
        <v>25196</v>
      </c>
      <c r="AO5367" t="s">
        <v>25197</v>
      </c>
    </row>
    <row r="5368" spans="39:41" ht="12" customHeight="1" x14ac:dyDescent="0.2">
      <c r="AM5368" t="str">
        <f t="shared" si="83"/>
        <v>Gualdicciolo [SMAQ8]</v>
      </c>
      <c r="AN5368" t="s">
        <v>28088</v>
      </c>
      <c r="AO5368" t="s">
        <v>28089</v>
      </c>
    </row>
    <row r="5369" spans="39:41" ht="12" customHeight="1" x14ac:dyDescent="0.2">
      <c r="AM5369" t="str">
        <f t="shared" ref="AM5369:AM5432" si="84">AO5369 &amp; " [" &amp; AN5369 &amp; "]"</f>
        <v>Gualeguaychu [ARGHU]</v>
      </c>
      <c r="AN5369" t="s">
        <v>1025</v>
      </c>
      <c r="AO5369" t="s">
        <v>35243</v>
      </c>
    </row>
    <row r="5370" spans="39:41" ht="12" customHeight="1" x14ac:dyDescent="0.2">
      <c r="AM5370" t="str">
        <f t="shared" si="84"/>
        <v>Guam [GUGUM]</v>
      </c>
      <c r="AN5370" t="s">
        <v>15615</v>
      </c>
      <c r="AO5370" t="s">
        <v>15616</v>
      </c>
    </row>
    <row r="5371" spans="39:41" ht="12" customHeight="1" x14ac:dyDescent="0.2">
      <c r="AM5371" t="str">
        <f t="shared" si="84"/>
        <v>Guamare [BRGUA]</v>
      </c>
      <c r="AN5371" t="s">
        <v>3311</v>
      </c>
      <c r="AO5371" t="s">
        <v>35294</v>
      </c>
    </row>
    <row r="5372" spans="39:41" ht="12" customHeight="1" x14ac:dyDescent="0.2">
      <c r="AM5372" t="str">
        <f t="shared" si="84"/>
        <v>Guanaja [HNGJA]</v>
      </c>
      <c r="AN5372" t="s">
        <v>15671</v>
      </c>
      <c r="AO5372" t="s">
        <v>15672</v>
      </c>
    </row>
    <row r="5373" spans="39:41" ht="12" customHeight="1" x14ac:dyDescent="0.2">
      <c r="AM5373" t="str">
        <f t="shared" si="84"/>
        <v>Guanbu Pt [CNGBG]</v>
      </c>
      <c r="AN5373" t="s">
        <v>5351</v>
      </c>
      <c r="AO5373" t="s">
        <v>5352</v>
      </c>
    </row>
    <row r="5374" spans="39:41" ht="12" customHeight="1" x14ac:dyDescent="0.2">
      <c r="AM5374" t="str">
        <f t="shared" si="84"/>
        <v>Guancheng [CNGCH]</v>
      </c>
      <c r="AN5374" t="s">
        <v>5353</v>
      </c>
      <c r="AO5374" t="s">
        <v>5354</v>
      </c>
    </row>
    <row r="5375" spans="39:41" ht="12" customHeight="1" x14ac:dyDescent="0.2">
      <c r="AM5375" t="str">
        <f t="shared" si="84"/>
        <v>Guangbaotong [CNGBT]</v>
      </c>
      <c r="AN5375" t="s">
        <v>5355</v>
      </c>
      <c r="AO5375" t="s">
        <v>5356</v>
      </c>
    </row>
    <row r="5376" spans="39:41" ht="12" customHeight="1" x14ac:dyDescent="0.2">
      <c r="AM5376" t="str">
        <f t="shared" si="84"/>
        <v>Guangdong Terminal [CNGUT]</v>
      </c>
      <c r="AN5376" t="s">
        <v>5357</v>
      </c>
      <c r="AO5376" t="s">
        <v>5358</v>
      </c>
    </row>
    <row r="5377" spans="39:41" ht="12" customHeight="1" x14ac:dyDescent="0.2">
      <c r="AM5377" t="str">
        <f t="shared" si="84"/>
        <v>Guanghai Pt [CNGHI]</v>
      </c>
      <c r="AN5377" t="s">
        <v>5359</v>
      </c>
      <c r="AO5377" t="s">
        <v>5360</v>
      </c>
    </row>
    <row r="5378" spans="39:41" ht="12" customHeight="1" x14ac:dyDescent="0.2">
      <c r="AM5378" t="str">
        <f t="shared" si="84"/>
        <v>Guangli [CNGLI]</v>
      </c>
      <c r="AN5378" t="s">
        <v>5361</v>
      </c>
      <c r="AO5378" t="s">
        <v>5362</v>
      </c>
    </row>
    <row r="5379" spans="39:41" ht="12" customHeight="1" x14ac:dyDescent="0.2">
      <c r="AM5379" t="str">
        <f t="shared" si="84"/>
        <v>Guangning [CNGNI]</v>
      </c>
      <c r="AN5379" t="s">
        <v>5363</v>
      </c>
      <c r="AO5379" t="s">
        <v>5364</v>
      </c>
    </row>
    <row r="5380" spans="39:41" ht="12" customHeight="1" x14ac:dyDescent="0.2">
      <c r="AM5380" t="str">
        <f t="shared" si="84"/>
        <v>Guangning [CNGNG]</v>
      </c>
      <c r="AN5380" t="s">
        <v>5365</v>
      </c>
      <c r="AO5380" t="s">
        <v>5364</v>
      </c>
    </row>
    <row r="5381" spans="39:41" ht="12" customHeight="1" x14ac:dyDescent="0.2">
      <c r="AM5381" t="str">
        <f t="shared" si="84"/>
        <v>Guangzhou [CNGGZ]</v>
      </c>
      <c r="AN5381" t="s">
        <v>5366</v>
      </c>
      <c r="AO5381" t="s">
        <v>5367</v>
      </c>
    </row>
    <row r="5382" spans="39:41" ht="12" customHeight="1" x14ac:dyDescent="0.2">
      <c r="AM5382" t="str">
        <f t="shared" si="84"/>
        <v>Guangzhou Pt [CNGZG]</v>
      </c>
      <c r="AN5382" t="s">
        <v>5368</v>
      </c>
      <c r="AO5382" t="s">
        <v>5369</v>
      </c>
    </row>
    <row r="5383" spans="39:41" ht="12" customHeight="1" x14ac:dyDescent="0.2">
      <c r="AM5383" t="str">
        <f t="shared" si="84"/>
        <v>Guangzhouchuanchang [CNGZC]</v>
      </c>
      <c r="AN5383" t="s">
        <v>5370</v>
      </c>
      <c r="AO5383" t="s">
        <v>5371</v>
      </c>
    </row>
    <row r="5384" spans="39:41" ht="12" customHeight="1" x14ac:dyDescent="0.2">
      <c r="AM5384" t="str">
        <f t="shared" si="84"/>
        <v>Guanica [PRGUX]</v>
      </c>
      <c r="AN5384" t="s">
        <v>26421</v>
      </c>
      <c r="AO5384" t="s">
        <v>26422</v>
      </c>
    </row>
    <row r="5385" spans="39:41" ht="12" customHeight="1" x14ac:dyDescent="0.2">
      <c r="AM5385" t="str">
        <f t="shared" si="84"/>
        <v>Guanta [VEGUT]</v>
      </c>
      <c r="AN5385" t="s">
        <v>32182</v>
      </c>
      <c r="AO5385" t="s">
        <v>32183</v>
      </c>
    </row>
    <row r="5386" spans="39:41" ht="12" customHeight="1" x14ac:dyDescent="0.2">
      <c r="AM5386" t="str">
        <f t="shared" si="84"/>
        <v>Guantanamo Bay [CUGUB]</v>
      </c>
      <c r="AN5386" t="s">
        <v>6686</v>
      </c>
      <c r="AO5386" t="s">
        <v>6687</v>
      </c>
    </row>
    <row r="5387" spans="39:41" ht="12" customHeight="1" x14ac:dyDescent="0.2">
      <c r="AM5387" t="str">
        <f t="shared" si="84"/>
        <v>Guanyao [CNGYO]</v>
      </c>
      <c r="AN5387" t="s">
        <v>5372</v>
      </c>
      <c r="AO5387" t="s">
        <v>5373</v>
      </c>
    </row>
    <row r="5388" spans="39:41" ht="12" customHeight="1" x14ac:dyDescent="0.2">
      <c r="AM5388" t="str">
        <f t="shared" si="84"/>
        <v>Guaqui [BOGUQ]</v>
      </c>
      <c r="AN5388" t="s">
        <v>3222</v>
      </c>
      <c r="AO5388" t="s">
        <v>3223</v>
      </c>
    </row>
    <row r="5389" spans="39:41" ht="12" customHeight="1" x14ac:dyDescent="0.2">
      <c r="AM5389" t="str">
        <f t="shared" si="84"/>
        <v>Guaranao [VEGUA]</v>
      </c>
      <c r="AN5389" t="s">
        <v>32184</v>
      </c>
      <c r="AO5389" t="s">
        <v>32185</v>
      </c>
    </row>
    <row r="5390" spans="39:41" ht="12" customHeight="1" x14ac:dyDescent="0.2">
      <c r="AM5390" t="str">
        <f t="shared" si="84"/>
        <v>Guaranao Bay [VEGUB]</v>
      </c>
      <c r="AN5390" t="s">
        <v>32186</v>
      </c>
      <c r="AO5390" t="s">
        <v>32187</v>
      </c>
    </row>
    <row r="5391" spans="39:41" ht="12" customHeight="1" x14ac:dyDescent="0.2">
      <c r="AM5391" t="str">
        <f t="shared" si="84"/>
        <v>Guaratuba [BRGTB]</v>
      </c>
      <c r="AN5391" t="s">
        <v>3312</v>
      </c>
      <c r="AO5391" t="s">
        <v>3313</v>
      </c>
    </row>
    <row r="5392" spans="39:41" ht="12" customHeight="1" x14ac:dyDescent="0.2">
      <c r="AM5392" t="str">
        <f t="shared" si="84"/>
        <v>Guarbecque [FRGBQ]</v>
      </c>
      <c r="AN5392" t="s">
        <v>11349</v>
      </c>
      <c r="AO5392" t="s">
        <v>11350</v>
      </c>
    </row>
    <row r="5393" spans="39:41" ht="12" customHeight="1" x14ac:dyDescent="0.2">
      <c r="AM5393" t="str">
        <f t="shared" si="84"/>
        <v>Guardbridge [GBGDB]</v>
      </c>
      <c r="AN5393" t="s">
        <v>13320</v>
      </c>
      <c r="AO5393" t="s">
        <v>13321</v>
      </c>
    </row>
    <row r="5394" spans="39:41" ht="12" customHeight="1" x14ac:dyDescent="0.2">
      <c r="AM5394" t="str">
        <f t="shared" si="84"/>
        <v>Guardia [CRGDA]</v>
      </c>
      <c r="AN5394" t="s">
        <v>6581</v>
      </c>
      <c r="AO5394" t="s">
        <v>6582</v>
      </c>
    </row>
    <row r="5395" spans="39:41" ht="12" customHeight="1" x14ac:dyDescent="0.2">
      <c r="AM5395" t="str">
        <f t="shared" si="84"/>
        <v>Guardizela [PTGUA]</v>
      </c>
      <c r="AN5395" t="s">
        <v>26512</v>
      </c>
      <c r="AO5395" t="s">
        <v>26513</v>
      </c>
    </row>
    <row r="5396" spans="39:41" ht="12" customHeight="1" x14ac:dyDescent="0.2">
      <c r="AM5396" t="str">
        <f t="shared" si="84"/>
        <v>Guasave [MXGSV]</v>
      </c>
      <c r="AN5396" t="s">
        <v>22365</v>
      </c>
      <c r="AO5396" t="s">
        <v>22366</v>
      </c>
    </row>
    <row r="5397" spans="39:41" ht="12" customHeight="1" x14ac:dyDescent="0.2">
      <c r="AM5397" t="str">
        <f t="shared" si="84"/>
        <v>Guatuso [CRGUA]</v>
      </c>
      <c r="AN5397" t="s">
        <v>6583</v>
      </c>
      <c r="AO5397" t="s">
        <v>6584</v>
      </c>
    </row>
    <row r="5398" spans="39:41" ht="12" customHeight="1" x14ac:dyDescent="0.2">
      <c r="AM5398" t="str">
        <f t="shared" si="84"/>
        <v>Guayabal [CUGYB]</v>
      </c>
      <c r="AN5398" t="s">
        <v>6688</v>
      </c>
      <c r="AO5398" t="s">
        <v>6689</v>
      </c>
    </row>
    <row r="5399" spans="39:41" ht="12" customHeight="1" x14ac:dyDescent="0.2">
      <c r="AM5399" t="str">
        <f t="shared" si="84"/>
        <v>Guayacan [CLGYC]</v>
      </c>
      <c r="AN5399" t="s">
        <v>4870</v>
      </c>
      <c r="AO5399" t="s">
        <v>35355</v>
      </c>
    </row>
    <row r="5400" spans="39:41" ht="12" customHeight="1" x14ac:dyDescent="0.2">
      <c r="AM5400" t="str">
        <f t="shared" si="84"/>
        <v>Guayaguayare [TTGUA]</v>
      </c>
      <c r="AN5400" t="s">
        <v>28639</v>
      </c>
      <c r="AO5400" t="s">
        <v>28640</v>
      </c>
    </row>
    <row r="5401" spans="39:41" ht="12" customHeight="1" x14ac:dyDescent="0.2">
      <c r="AM5401" t="str">
        <f t="shared" si="84"/>
        <v>Guayanilla [PRGUY]</v>
      </c>
      <c r="AN5401" t="s">
        <v>26423</v>
      </c>
      <c r="AO5401" t="s">
        <v>26424</v>
      </c>
    </row>
    <row r="5402" spans="39:41" ht="12" customHeight="1" x14ac:dyDescent="0.2">
      <c r="AM5402" t="str">
        <f t="shared" si="84"/>
        <v>Guayaquil [ECGYE]</v>
      </c>
      <c r="AN5402" t="s">
        <v>9093</v>
      </c>
      <c r="AO5402" t="s">
        <v>9094</v>
      </c>
    </row>
    <row r="5403" spans="39:41" ht="12" customHeight="1" x14ac:dyDescent="0.2">
      <c r="AM5403" t="str">
        <f t="shared" si="84"/>
        <v>Guayas [ECGUA]</v>
      </c>
      <c r="AN5403" t="s">
        <v>9095</v>
      </c>
      <c r="AO5403" t="s">
        <v>9096</v>
      </c>
    </row>
    <row r="5404" spans="39:41" ht="12" customHeight="1" x14ac:dyDescent="0.2">
      <c r="AM5404" t="str">
        <f t="shared" si="84"/>
        <v>Guaymas [MXGYM]</v>
      </c>
      <c r="AN5404" t="s">
        <v>22367</v>
      </c>
      <c r="AO5404" t="s">
        <v>22368</v>
      </c>
    </row>
    <row r="5405" spans="39:41" ht="12" customHeight="1" x14ac:dyDescent="0.2">
      <c r="AM5405" t="str">
        <f t="shared" si="84"/>
        <v>Gudderath [DEGDZ]</v>
      </c>
      <c r="AN5405" t="s">
        <v>7502</v>
      </c>
      <c r="AO5405" t="s">
        <v>7503</v>
      </c>
    </row>
    <row r="5406" spans="39:41" ht="12" customHeight="1" x14ac:dyDescent="0.2">
      <c r="AM5406" t="str">
        <f t="shared" si="84"/>
        <v>Gudhjem [DKGDM]</v>
      </c>
      <c r="AN5406" t="s">
        <v>8707</v>
      </c>
      <c r="AO5406" t="s">
        <v>8708</v>
      </c>
    </row>
    <row r="5407" spans="39:41" ht="12" customHeight="1" x14ac:dyDescent="0.2">
      <c r="AM5407" t="str">
        <f t="shared" si="84"/>
        <v>Gudmont [FRGDT]</v>
      </c>
      <c r="AN5407" t="s">
        <v>11351</v>
      </c>
      <c r="AO5407" t="s">
        <v>11352</v>
      </c>
    </row>
    <row r="5408" spans="39:41" ht="12" customHeight="1" x14ac:dyDescent="0.2">
      <c r="AM5408" t="str">
        <f t="shared" si="84"/>
        <v>Gudvangen [NOGUD]</v>
      </c>
      <c r="AN5408" t="s">
        <v>24166</v>
      </c>
      <c r="AO5408" t="s">
        <v>24167</v>
      </c>
    </row>
    <row r="5409" spans="39:41" ht="12" customHeight="1" x14ac:dyDescent="0.2">
      <c r="AM5409" t="str">
        <f t="shared" si="84"/>
        <v>Gueberschwihr [FRGEW]</v>
      </c>
      <c r="AN5409" t="s">
        <v>11353</v>
      </c>
      <c r="AO5409" t="s">
        <v>11354</v>
      </c>
    </row>
    <row r="5410" spans="39:41" ht="12" customHeight="1" x14ac:dyDescent="0.2">
      <c r="AM5410" t="str">
        <f t="shared" si="84"/>
        <v>Gueifaes [PTGUE]</v>
      </c>
      <c r="AN5410" t="s">
        <v>26514</v>
      </c>
      <c r="AO5410" t="s">
        <v>36384</v>
      </c>
    </row>
    <row r="5411" spans="39:41" ht="12" customHeight="1" x14ac:dyDescent="0.2">
      <c r="AM5411" t="str">
        <f t="shared" si="84"/>
        <v>Guenrouet [FRGXE]</v>
      </c>
      <c r="AN5411" t="s">
        <v>11355</v>
      </c>
      <c r="AO5411" t="s">
        <v>11356</v>
      </c>
    </row>
    <row r="5412" spans="39:41" ht="12" customHeight="1" x14ac:dyDescent="0.2">
      <c r="AM5412" t="str">
        <f t="shared" si="84"/>
        <v>Guerande [FRGOA]</v>
      </c>
      <c r="AN5412" t="s">
        <v>36956</v>
      </c>
      <c r="AO5412" t="s">
        <v>36957</v>
      </c>
    </row>
    <row r="5413" spans="39:41" ht="12" customHeight="1" x14ac:dyDescent="0.2">
      <c r="AM5413" t="str">
        <f t="shared" si="84"/>
        <v>Guernsey [GGGCI]</v>
      </c>
      <c r="AN5413" t="s">
        <v>14947</v>
      </c>
      <c r="AO5413" t="s">
        <v>14948</v>
      </c>
    </row>
    <row r="5414" spans="39:41" ht="12" customHeight="1" x14ac:dyDescent="0.2">
      <c r="AM5414" t="str">
        <f t="shared" si="84"/>
        <v>Guerville [FRUVI]</v>
      </c>
      <c r="AN5414" t="s">
        <v>11357</v>
      </c>
      <c r="AO5414" t="s">
        <v>11358</v>
      </c>
    </row>
    <row r="5415" spans="39:41" ht="12" customHeight="1" x14ac:dyDescent="0.2">
      <c r="AM5415" t="str">
        <f t="shared" si="84"/>
        <v>Gueux [FRUEU]</v>
      </c>
      <c r="AN5415" t="s">
        <v>11359</v>
      </c>
      <c r="AO5415" t="s">
        <v>11360</v>
      </c>
    </row>
    <row r="5416" spans="39:41" ht="12" customHeight="1" x14ac:dyDescent="0.2">
      <c r="AM5416" t="str">
        <f t="shared" si="84"/>
        <v>Gufunes/Reykjavik [ISGUF]</v>
      </c>
      <c r="AN5416" t="s">
        <v>17709</v>
      </c>
      <c r="AO5416" t="s">
        <v>17710</v>
      </c>
    </row>
    <row r="5417" spans="39:41" ht="12" customHeight="1" x14ac:dyDescent="0.2">
      <c r="AM5417" t="str">
        <f t="shared" si="84"/>
        <v>Guichen [FRGCH]</v>
      </c>
      <c r="AN5417" t="s">
        <v>11361</v>
      </c>
      <c r="AO5417" t="s">
        <v>11362</v>
      </c>
    </row>
    <row r="5418" spans="39:41" ht="12" customHeight="1" x14ac:dyDescent="0.2">
      <c r="AM5418" t="str">
        <f t="shared" si="84"/>
        <v>Guifoes [PTGIF]</v>
      </c>
      <c r="AN5418" t="s">
        <v>26515</v>
      </c>
      <c r="AO5418" t="s">
        <v>36385</v>
      </c>
    </row>
    <row r="5419" spans="39:41" ht="12" customHeight="1" x14ac:dyDescent="0.2">
      <c r="AM5419" t="str">
        <f t="shared" si="84"/>
        <v>Guigang [CNGUG]</v>
      </c>
      <c r="AN5419" t="s">
        <v>5374</v>
      </c>
      <c r="AO5419" t="s">
        <v>5375</v>
      </c>
    </row>
    <row r="5420" spans="39:41" ht="12" customHeight="1" x14ac:dyDescent="0.2">
      <c r="AM5420" t="str">
        <f t="shared" si="84"/>
        <v>Guihulngan [PHGHG]</v>
      </c>
      <c r="AN5420" t="s">
        <v>25761</v>
      </c>
      <c r="AO5420" t="s">
        <v>25762</v>
      </c>
    </row>
    <row r="5421" spans="39:41" ht="12" customHeight="1" x14ac:dyDescent="0.2">
      <c r="AM5421" t="str">
        <f t="shared" si="84"/>
        <v>Guijuelo [ESJUE]</v>
      </c>
      <c r="AN5421" t="s">
        <v>9823</v>
      </c>
      <c r="AO5421" t="s">
        <v>9824</v>
      </c>
    </row>
    <row r="5422" spans="39:41" ht="12" customHeight="1" x14ac:dyDescent="0.2">
      <c r="AM5422" t="str">
        <f t="shared" si="84"/>
        <v>Guildhall [USGDJ]</v>
      </c>
      <c r="AN5422" t="s">
        <v>30019</v>
      </c>
      <c r="AO5422" t="s">
        <v>30020</v>
      </c>
    </row>
    <row r="5423" spans="39:41" ht="12" customHeight="1" x14ac:dyDescent="0.2">
      <c r="AM5423" t="str">
        <f t="shared" si="84"/>
        <v>Guilin [CNGUI]</v>
      </c>
      <c r="AN5423" t="s">
        <v>36671</v>
      </c>
      <c r="AO5423" t="s">
        <v>36672</v>
      </c>
    </row>
    <row r="5424" spans="39:41" ht="12" customHeight="1" x14ac:dyDescent="0.2">
      <c r="AM5424" t="str">
        <f t="shared" si="84"/>
        <v>Guimaec [FRUIM]</v>
      </c>
      <c r="AN5424" t="s">
        <v>11363</v>
      </c>
      <c r="AO5424" t="s">
        <v>11364</v>
      </c>
    </row>
    <row r="5425" spans="39:41" ht="12" customHeight="1" x14ac:dyDescent="0.2">
      <c r="AM5425" t="str">
        <f t="shared" si="84"/>
        <v>Guimaras/Iloilo [PHGMS]</v>
      </c>
      <c r="AN5425" t="s">
        <v>25763</v>
      </c>
      <c r="AO5425" t="s">
        <v>25764</v>
      </c>
    </row>
    <row r="5426" spans="39:41" ht="12" customHeight="1" x14ac:dyDescent="0.2">
      <c r="AM5426" t="str">
        <f t="shared" si="84"/>
        <v>Guines [FRUNS]</v>
      </c>
      <c r="AN5426" t="s">
        <v>11365</v>
      </c>
      <c r="AO5426" t="s">
        <v>35801</v>
      </c>
    </row>
    <row r="5427" spans="39:41" ht="12" customHeight="1" x14ac:dyDescent="0.2">
      <c r="AM5427" t="str">
        <f t="shared" si="84"/>
        <v>Guiping [CNGPG]</v>
      </c>
      <c r="AN5427" t="s">
        <v>5376</v>
      </c>
      <c r="AO5427" t="s">
        <v>5377</v>
      </c>
    </row>
    <row r="5428" spans="39:41" ht="12" customHeight="1" x14ac:dyDescent="0.2">
      <c r="AM5428" t="str">
        <f t="shared" si="84"/>
        <v>Guiria [VEGUI]</v>
      </c>
      <c r="AN5428" t="s">
        <v>32188</v>
      </c>
      <c r="AO5428" t="s">
        <v>32189</v>
      </c>
    </row>
    <row r="5429" spans="39:41" ht="12" customHeight="1" x14ac:dyDescent="0.2">
      <c r="AM5429" t="str">
        <f t="shared" si="84"/>
        <v>Guishan [CNGIS]</v>
      </c>
      <c r="AN5429" t="s">
        <v>5378</v>
      </c>
      <c r="AO5429" t="s">
        <v>5379</v>
      </c>
    </row>
    <row r="5430" spans="39:41" ht="12" customHeight="1" x14ac:dyDescent="0.2">
      <c r="AM5430" t="str">
        <f t="shared" si="84"/>
        <v>Guiuan [PHGUN]</v>
      </c>
      <c r="AN5430" t="s">
        <v>25765</v>
      </c>
      <c r="AO5430" t="s">
        <v>25766</v>
      </c>
    </row>
    <row r="5431" spans="39:41" ht="12" customHeight="1" x14ac:dyDescent="0.2">
      <c r="AM5431" t="str">
        <f t="shared" si="84"/>
        <v>Gujan-Mestras [FRGMS]</v>
      </c>
      <c r="AN5431" t="s">
        <v>11366</v>
      </c>
      <c r="AO5431" t="s">
        <v>11367</v>
      </c>
    </row>
    <row r="5432" spans="39:41" ht="12" customHeight="1" x14ac:dyDescent="0.2">
      <c r="AM5432" t="str">
        <f t="shared" si="84"/>
        <v>Gulen [NOGUL]</v>
      </c>
      <c r="AN5432" t="s">
        <v>24168</v>
      </c>
      <c r="AO5432" t="s">
        <v>24169</v>
      </c>
    </row>
    <row r="5433" spans="39:41" ht="12" customHeight="1" x14ac:dyDescent="0.2">
      <c r="AM5433" t="str">
        <f t="shared" ref="AM5433:AM5496" si="85">AO5433 &amp; " [" &amp; AN5433 &amp; "]"</f>
        <v>Gulf of Biscay [XZBIS]</v>
      </c>
      <c r="AN5433" t="s">
        <v>36608</v>
      </c>
      <c r="AO5433" t="s">
        <v>36609</v>
      </c>
    </row>
    <row r="5434" spans="39:41" ht="12" customHeight="1" x14ac:dyDescent="0.2">
      <c r="AM5434" t="str">
        <f t="shared" si="85"/>
        <v>Gulfhavn [DKGFH]</v>
      </c>
      <c r="AN5434" t="s">
        <v>8709</v>
      </c>
      <c r="AO5434" t="s">
        <v>8710</v>
      </c>
    </row>
    <row r="5435" spans="39:41" ht="12" customHeight="1" x14ac:dyDescent="0.2">
      <c r="AM5435" t="str">
        <f t="shared" si="85"/>
        <v>Gulfmex Lightering Area [USGUM]</v>
      </c>
      <c r="AN5435" t="s">
        <v>30021</v>
      </c>
      <c r="AO5435" t="s">
        <v>30022</v>
      </c>
    </row>
    <row r="5436" spans="39:41" ht="12" customHeight="1" x14ac:dyDescent="0.2">
      <c r="AM5436" t="str">
        <f t="shared" si="85"/>
        <v>Gulfport [USGPT]</v>
      </c>
      <c r="AN5436" t="s">
        <v>30023</v>
      </c>
      <c r="AO5436" t="s">
        <v>30024</v>
      </c>
    </row>
    <row r="5437" spans="39:41" ht="12" customHeight="1" x14ac:dyDescent="0.2">
      <c r="AM5437" t="str">
        <f t="shared" si="85"/>
        <v>Gullo [FIGUL]</v>
      </c>
      <c r="AN5437" t="s">
        <v>10344</v>
      </c>
      <c r="AO5437" t="s">
        <v>35721</v>
      </c>
    </row>
    <row r="5438" spans="39:41" ht="12" customHeight="1" x14ac:dyDescent="0.2">
      <c r="AM5438" t="str">
        <f t="shared" si="85"/>
        <v>Gulluk [TRGUL]</v>
      </c>
      <c r="AN5438" t="s">
        <v>28486</v>
      </c>
      <c r="AO5438" t="s">
        <v>36574</v>
      </c>
    </row>
    <row r="5439" spans="39:41" ht="12" customHeight="1" x14ac:dyDescent="0.2">
      <c r="AM5439" t="str">
        <f t="shared" si="85"/>
        <v>Gulval [GBGVL]</v>
      </c>
      <c r="AN5439" t="s">
        <v>13322</v>
      </c>
      <c r="AO5439" t="s">
        <v>13323</v>
      </c>
    </row>
    <row r="5440" spans="39:41" ht="12" customHeight="1" x14ac:dyDescent="0.2">
      <c r="AM5440" t="str">
        <f t="shared" si="85"/>
        <v>Gumeracha [AUGUM]</v>
      </c>
      <c r="AN5440" t="s">
        <v>1717</v>
      </c>
      <c r="AO5440" t="s">
        <v>1718</v>
      </c>
    </row>
    <row r="5441" spans="39:41" ht="12" customHeight="1" x14ac:dyDescent="0.2">
      <c r="AM5441" t="str">
        <f t="shared" si="85"/>
        <v>Gunge [JPGNG]</v>
      </c>
      <c r="AN5441" t="s">
        <v>18884</v>
      </c>
      <c r="AO5441" t="s">
        <v>18885</v>
      </c>
    </row>
    <row r="5442" spans="39:41" ht="12" customHeight="1" x14ac:dyDescent="0.2">
      <c r="AM5442" t="str">
        <f t="shared" si="85"/>
        <v>Gunhildvagen [NOGHV]</v>
      </c>
      <c r="AN5442" t="s">
        <v>24170</v>
      </c>
      <c r="AO5442" t="s">
        <v>36180</v>
      </c>
    </row>
    <row r="5443" spans="39:41" ht="12" customHeight="1" x14ac:dyDescent="0.2">
      <c r="AM5443" t="str">
        <f t="shared" si="85"/>
        <v>Gunnebo [SEGUN]</v>
      </c>
      <c r="AN5443" t="s">
        <v>27601</v>
      </c>
      <c r="AO5443" t="s">
        <v>27602</v>
      </c>
    </row>
    <row r="5444" spans="39:41" ht="12" customHeight="1" x14ac:dyDescent="0.2">
      <c r="AM5444" t="str">
        <f t="shared" si="85"/>
        <v>Gunness Wharf [GBGUW]</v>
      </c>
      <c r="AN5444" t="s">
        <v>13324</v>
      </c>
      <c r="AO5444" t="s">
        <v>13325</v>
      </c>
    </row>
    <row r="5445" spans="39:41" ht="12" customHeight="1" x14ac:dyDescent="0.2">
      <c r="AM5445" t="str">
        <f t="shared" si="85"/>
        <v>Gunsan [KRKUV]</v>
      </c>
      <c r="AN5445" t="s">
        <v>21648</v>
      </c>
      <c r="AO5445" t="s">
        <v>21649</v>
      </c>
    </row>
    <row r="5446" spans="39:41" ht="12" customHeight="1" x14ac:dyDescent="0.2">
      <c r="AM5446" t="str">
        <f t="shared" si="85"/>
        <v>Gunthorpe [GBGNQ]</v>
      </c>
      <c r="AN5446" t="s">
        <v>13326</v>
      </c>
      <c r="AO5446" t="s">
        <v>13327</v>
      </c>
    </row>
    <row r="5447" spans="39:41" ht="12" customHeight="1" x14ac:dyDescent="0.2">
      <c r="AM5447" t="str">
        <f t="shared" si="85"/>
        <v>Gunung Sitoli, St [IDGNS]</v>
      </c>
      <c r="AN5447" t="s">
        <v>16273</v>
      </c>
      <c r="AO5447" t="s">
        <v>16274</v>
      </c>
    </row>
    <row r="5448" spans="39:41" ht="12" customHeight="1" x14ac:dyDescent="0.2">
      <c r="AM5448" t="str">
        <f t="shared" si="85"/>
        <v>Gunzburg [DEGUG]</v>
      </c>
      <c r="AN5448" t="s">
        <v>7504</v>
      </c>
      <c r="AO5448" t="s">
        <v>35444</v>
      </c>
    </row>
    <row r="5449" spans="39:41" ht="12" customHeight="1" x14ac:dyDescent="0.2">
      <c r="AM5449" t="str">
        <f t="shared" si="85"/>
        <v>Gurkovo [BGGUR]</v>
      </c>
      <c r="AN5449" t="s">
        <v>3142</v>
      </c>
      <c r="AO5449" t="s">
        <v>3143</v>
      </c>
    </row>
    <row r="5450" spans="39:41" ht="12" customHeight="1" x14ac:dyDescent="0.2">
      <c r="AM5450" t="str">
        <f t="shared" si="85"/>
        <v>Gursken [NOGUR]</v>
      </c>
      <c r="AN5450" t="s">
        <v>24171</v>
      </c>
      <c r="AO5450" t="s">
        <v>24172</v>
      </c>
    </row>
    <row r="5451" spans="39:41" ht="12" customHeight="1" x14ac:dyDescent="0.2">
      <c r="AM5451" t="str">
        <f t="shared" si="85"/>
        <v>Guryongpo [KRGRP]</v>
      </c>
      <c r="AN5451" t="s">
        <v>21650</v>
      </c>
      <c r="AO5451" t="s">
        <v>21651</v>
      </c>
    </row>
    <row r="5452" spans="39:41" ht="12" customHeight="1" x14ac:dyDescent="0.2">
      <c r="AM5452" t="str">
        <f t="shared" si="85"/>
        <v>Gusen [DEGUE]</v>
      </c>
      <c r="AN5452" t="s">
        <v>7505</v>
      </c>
      <c r="AO5452" t="s">
        <v>7506</v>
      </c>
    </row>
    <row r="5453" spans="39:41" ht="12" customHeight="1" x14ac:dyDescent="0.2">
      <c r="AM5453" t="str">
        <f t="shared" si="85"/>
        <v>Gush Halav [IL8UH]</v>
      </c>
      <c r="AN5453" t="s">
        <v>16960</v>
      </c>
      <c r="AO5453" t="s">
        <v>16961</v>
      </c>
    </row>
    <row r="5454" spans="39:41" ht="12" customHeight="1" x14ac:dyDescent="0.2">
      <c r="AM5454" t="str">
        <f t="shared" si="85"/>
        <v>Gushikawa [JPGKA]</v>
      </c>
      <c r="AN5454" t="s">
        <v>18886</v>
      </c>
      <c r="AO5454" t="s">
        <v>18887</v>
      </c>
    </row>
    <row r="5455" spans="39:41" ht="12" customHeight="1" x14ac:dyDescent="0.2">
      <c r="AM5455" t="str">
        <f t="shared" si="85"/>
        <v>Gustavs (Kustavi) [FIKUS]</v>
      </c>
      <c r="AN5455" t="s">
        <v>10345</v>
      </c>
      <c r="AO5455" t="s">
        <v>10346</v>
      </c>
    </row>
    <row r="5456" spans="39:41" ht="12" customHeight="1" x14ac:dyDescent="0.2">
      <c r="AM5456" t="str">
        <f t="shared" si="85"/>
        <v>Gustavsberg [SEGUB]</v>
      </c>
      <c r="AN5456" t="s">
        <v>27603</v>
      </c>
      <c r="AO5456" t="s">
        <v>27604</v>
      </c>
    </row>
    <row r="5457" spans="39:41" ht="12" customHeight="1" x14ac:dyDescent="0.2">
      <c r="AM5457" t="str">
        <f t="shared" si="85"/>
        <v>Gustavsvik [SEGUS]</v>
      </c>
      <c r="AN5457" t="s">
        <v>27605</v>
      </c>
      <c r="AO5457" t="s">
        <v>27606</v>
      </c>
    </row>
    <row r="5458" spans="39:41" ht="12" customHeight="1" x14ac:dyDescent="0.2">
      <c r="AM5458" t="str">
        <f t="shared" si="85"/>
        <v>Gustavsvik/Stockholm [SEGKS]</v>
      </c>
      <c r="AN5458" t="s">
        <v>27607</v>
      </c>
      <c r="AO5458" t="s">
        <v>27608</v>
      </c>
    </row>
    <row r="5459" spans="39:41" ht="12" customHeight="1" x14ac:dyDescent="0.2">
      <c r="AM5459" t="str">
        <f t="shared" si="85"/>
        <v>Gutcher, Yell [GBGUT]</v>
      </c>
      <c r="AN5459" t="s">
        <v>13328</v>
      </c>
      <c r="AO5459" t="s">
        <v>13329</v>
      </c>
    </row>
    <row r="5460" spans="39:41" ht="12" customHeight="1" x14ac:dyDescent="0.2">
      <c r="AM5460" t="str">
        <f t="shared" si="85"/>
        <v>Gutenberg [DEGNX]</v>
      </c>
      <c r="AN5460" t="s">
        <v>7507</v>
      </c>
      <c r="AO5460" t="s">
        <v>7508</v>
      </c>
    </row>
    <row r="5461" spans="39:41" ht="12" customHeight="1" x14ac:dyDescent="0.2">
      <c r="AM5461" t="str">
        <f t="shared" si="85"/>
        <v>Gutenstein [ATGSN]</v>
      </c>
      <c r="AN5461" t="s">
        <v>1222</v>
      </c>
      <c r="AO5461" t="s">
        <v>1223</v>
      </c>
    </row>
    <row r="5462" spans="39:41" ht="12" customHeight="1" x14ac:dyDescent="0.2">
      <c r="AM5462" t="str">
        <f t="shared" si="85"/>
        <v>Guttenberg [USGUG]</v>
      </c>
      <c r="AN5462" t="s">
        <v>30025</v>
      </c>
      <c r="AO5462" t="s">
        <v>30026</v>
      </c>
    </row>
    <row r="5463" spans="39:41" ht="12" customHeight="1" x14ac:dyDescent="0.2">
      <c r="AM5463" t="str">
        <f t="shared" si="85"/>
        <v>Guttingen [CHGTT]</v>
      </c>
      <c r="AN5463" t="s">
        <v>4694</v>
      </c>
      <c r="AO5463" t="s">
        <v>35342</v>
      </c>
    </row>
    <row r="5464" spans="39:41" ht="12" customHeight="1" x14ac:dyDescent="0.2">
      <c r="AM5464" t="str">
        <f t="shared" si="85"/>
        <v>Gutvik [NOGUT]</v>
      </c>
      <c r="AN5464" t="s">
        <v>24173</v>
      </c>
      <c r="AO5464" t="s">
        <v>24174</v>
      </c>
    </row>
    <row r="5465" spans="39:41" ht="12" customHeight="1" x14ac:dyDescent="0.2">
      <c r="AM5465" t="str">
        <f t="shared" si="85"/>
        <v>Guy [USG8Y]</v>
      </c>
      <c r="AN5465" t="s">
        <v>30027</v>
      </c>
      <c r="AO5465" t="s">
        <v>30028</v>
      </c>
    </row>
    <row r="5466" spans="39:41" ht="12" customHeight="1" x14ac:dyDescent="0.2">
      <c r="AM5466" t="str">
        <f t="shared" si="85"/>
        <v>Guzhen [CNGZE]</v>
      </c>
      <c r="AN5466" t="s">
        <v>5380</v>
      </c>
      <c r="AO5466" t="s">
        <v>5381</v>
      </c>
    </row>
    <row r="5467" spans="39:41" ht="12" customHeight="1" x14ac:dyDescent="0.2">
      <c r="AM5467" t="str">
        <f t="shared" si="85"/>
        <v>Gwadar [PKGWD]</v>
      </c>
      <c r="AN5467" t="s">
        <v>26244</v>
      </c>
      <c r="AO5467" t="s">
        <v>26245</v>
      </c>
    </row>
    <row r="5468" spans="39:41" ht="12" customHeight="1" x14ac:dyDescent="0.2">
      <c r="AM5468" t="str">
        <f t="shared" si="85"/>
        <v>Gwanda [ZWGWA]</v>
      </c>
      <c r="AN5468" t="s">
        <v>32756</v>
      </c>
      <c r="AO5468" t="s">
        <v>32757</v>
      </c>
    </row>
    <row r="5469" spans="39:41" ht="12" customHeight="1" x14ac:dyDescent="0.2">
      <c r="AM5469" t="str">
        <f t="shared" si="85"/>
        <v>Gwangyang [KRKAN]</v>
      </c>
      <c r="AN5469" t="s">
        <v>21652</v>
      </c>
      <c r="AO5469" t="s">
        <v>21653</v>
      </c>
    </row>
    <row r="5470" spans="39:41" ht="12" customHeight="1" x14ac:dyDescent="0.2">
      <c r="AM5470" t="str">
        <f t="shared" si="85"/>
        <v>Gweek [GBGWK]</v>
      </c>
      <c r="AN5470" t="s">
        <v>13330</v>
      </c>
      <c r="AO5470" t="s">
        <v>13331</v>
      </c>
    </row>
    <row r="5471" spans="39:41" ht="12" customHeight="1" x14ac:dyDescent="0.2">
      <c r="AM5471" t="str">
        <f t="shared" si="85"/>
        <v>Gyeongin [KRGIN]</v>
      </c>
      <c r="AN5471" t="s">
        <v>21654</v>
      </c>
      <c r="AO5471" t="s">
        <v>21655</v>
      </c>
    </row>
    <row r="5472" spans="39:41" ht="12" customHeight="1" x14ac:dyDescent="0.2">
      <c r="AM5472" t="str">
        <f t="shared" si="85"/>
        <v>Gyor [HUGYO]</v>
      </c>
      <c r="AN5472" t="s">
        <v>16087</v>
      </c>
      <c r="AO5472" t="s">
        <v>16088</v>
      </c>
    </row>
    <row r="5473" spans="39:41" ht="12" customHeight="1" x14ac:dyDescent="0.2">
      <c r="AM5473" t="str">
        <f t="shared" si="85"/>
        <v>Gypsum [USGM2]</v>
      </c>
      <c r="AN5473" t="s">
        <v>30029</v>
      </c>
      <c r="AO5473" t="s">
        <v>30030</v>
      </c>
    </row>
    <row r="5474" spans="39:41" ht="12" customHeight="1" x14ac:dyDescent="0.2">
      <c r="AM5474" t="str">
        <f t="shared" si="85"/>
        <v>Gythion [GRGYT]</v>
      </c>
      <c r="AN5474" t="s">
        <v>15229</v>
      </c>
      <c r="AO5474" t="s">
        <v>15230</v>
      </c>
    </row>
    <row r="5475" spans="39:41" ht="12" customHeight="1" x14ac:dyDescent="0.2">
      <c r="AM5475" t="str">
        <f t="shared" si="85"/>
        <v>Gzira [MTGZI]</v>
      </c>
      <c r="AN5475" t="s">
        <v>22256</v>
      </c>
      <c r="AO5475" t="s">
        <v>22257</v>
      </c>
    </row>
    <row r="5476" spans="39:41" ht="12" customHeight="1" x14ac:dyDescent="0.2">
      <c r="AM5476" t="str">
        <f t="shared" si="85"/>
        <v>Ha [NOHAA]</v>
      </c>
      <c r="AN5476" t="s">
        <v>24175</v>
      </c>
      <c r="AO5476" t="s">
        <v>36181</v>
      </c>
    </row>
    <row r="5477" spans="39:41" ht="12" customHeight="1" x14ac:dyDescent="0.2">
      <c r="AM5477" t="str">
        <f t="shared" si="85"/>
        <v>Ha Kwai Chung [HKHKC]</v>
      </c>
      <c r="AN5477" t="s">
        <v>15648</v>
      </c>
      <c r="AO5477" t="s">
        <v>15649</v>
      </c>
    </row>
    <row r="5478" spans="39:41" ht="12" customHeight="1" x14ac:dyDescent="0.2">
      <c r="AM5478" t="str">
        <f t="shared" si="85"/>
        <v>Ha Tinh [VNHAT]</v>
      </c>
      <c r="AN5478" t="s">
        <v>32370</v>
      </c>
      <c r="AO5478" t="s">
        <v>32371</v>
      </c>
    </row>
    <row r="5479" spans="39:41" ht="12" customHeight="1" x14ac:dyDescent="0.2">
      <c r="AM5479" t="str">
        <f t="shared" si="85"/>
        <v>Haaften [NLHFN]</v>
      </c>
      <c r="AN5479" t="s">
        <v>23221</v>
      </c>
      <c r="AO5479" t="s">
        <v>23222</v>
      </c>
    </row>
    <row r="5480" spans="39:41" ht="12" customHeight="1" x14ac:dyDescent="0.2">
      <c r="AM5480" t="str">
        <f t="shared" si="85"/>
        <v>Haaldersbroek [NLHBK]</v>
      </c>
      <c r="AN5480" t="s">
        <v>23223</v>
      </c>
      <c r="AO5480" t="s">
        <v>23224</v>
      </c>
    </row>
    <row r="5481" spans="39:41" ht="12" customHeight="1" x14ac:dyDescent="0.2">
      <c r="AM5481" t="str">
        <f t="shared" si="85"/>
        <v>Ha'apai [TOHPA]</v>
      </c>
      <c r="AN5481" t="s">
        <v>28375</v>
      </c>
      <c r="AO5481" t="s">
        <v>28376</v>
      </c>
    </row>
    <row r="5482" spans="39:41" ht="12" customHeight="1" x14ac:dyDescent="0.2">
      <c r="AM5482" t="str">
        <f t="shared" si="85"/>
        <v>Haapsalu [EEHAA]</v>
      </c>
      <c r="AN5482" t="s">
        <v>9150</v>
      </c>
      <c r="AO5482" t="s">
        <v>9151</v>
      </c>
    </row>
    <row r="5483" spans="39:41" ht="12" customHeight="1" x14ac:dyDescent="0.2">
      <c r="AM5483" t="str">
        <f t="shared" si="85"/>
        <v>Haapsalu Veskiviigi [EEHVV]</v>
      </c>
      <c r="AN5483" t="s">
        <v>9152</v>
      </c>
      <c r="AO5483" t="s">
        <v>9153</v>
      </c>
    </row>
    <row r="5484" spans="39:41" ht="12" customHeight="1" x14ac:dyDescent="0.2">
      <c r="AM5484" t="str">
        <f t="shared" si="85"/>
        <v>Haarlem [NLHAA]</v>
      </c>
      <c r="AN5484" t="s">
        <v>34103</v>
      </c>
      <c r="AO5484" t="s">
        <v>34149</v>
      </c>
    </row>
    <row r="5485" spans="39:41" ht="12" customHeight="1" x14ac:dyDescent="0.2">
      <c r="AM5485" t="str">
        <f t="shared" si="85"/>
        <v>Haarlemmerliede [NLHLR]</v>
      </c>
      <c r="AN5485" t="s">
        <v>23225</v>
      </c>
      <c r="AO5485" t="s">
        <v>23226</v>
      </c>
    </row>
    <row r="5486" spans="39:41" ht="12" customHeight="1" x14ac:dyDescent="0.2">
      <c r="AM5486" t="str">
        <f t="shared" si="85"/>
        <v>Haboro [JPHBO]</v>
      </c>
      <c r="AN5486" t="s">
        <v>18888</v>
      </c>
      <c r="AO5486" t="s">
        <v>18889</v>
      </c>
    </row>
    <row r="5487" spans="39:41" ht="12" customHeight="1" x14ac:dyDescent="0.2">
      <c r="AM5487" t="str">
        <f t="shared" si="85"/>
        <v>Habu, Hiroshima [JPHAB]</v>
      </c>
      <c r="AN5487" t="s">
        <v>18890</v>
      </c>
      <c r="AO5487" t="s">
        <v>18891</v>
      </c>
    </row>
    <row r="5488" spans="39:41" ht="12" customHeight="1" x14ac:dyDescent="0.2">
      <c r="AM5488" t="str">
        <f t="shared" si="85"/>
        <v>Habu, Tokyo [JPHAU]</v>
      </c>
      <c r="AN5488" t="s">
        <v>18892</v>
      </c>
      <c r="AO5488" t="s">
        <v>18893</v>
      </c>
    </row>
    <row r="5489" spans="39:41" ht="12" customHeight="1" x14ac:dyDescent="0.2">
      <c r="AM5489" t="str">
        <f t="shared" si="85"/>
        <v>Habu, Yamaguchi [JPHBB]</v>
      </c>
      <c r="AN5489" t="s">
        <v>18894</v>
      </c>
      <c r="AO5489" t="s">
        <v>18895</v>
      </c>
    </row>
    <row r="5490" spans="39:41" ht="12" customHeight="1" x14ac:dyDescent="0.2">
      <c r="AM5490" t="str">
        <f t="shared" si="85"/>
        <v>Haccourt [BEHCT]</v>
      </c>
      <c r="AN5490" t="s">
        <v>2493</v>
      </c>
      <c r="AO5490" t="s">
        <v>2494</v>
      </c>
    </row>
    <row r="5491" spans="39:41" ht="12" customHeight="1" x14ac:dyDescent="0.2">
      <c r="AM5491" t="str">
        <f t="shared" si="85"/>
        <v>Hachigo [JPHGO]</v>
      </c>
      <c r="AN5491" t="s">
        <v>18896</v>
      </c>
      <c r="AO5491" t="s">
        <v>18897</v>
      </c>
    </row>
    <row r="5492" spans="39:41" ht="12" customHeight="1" x14ac:dyDescent="0.2">
      <c r="AM5492" t="str">
        <f t="shared" si="85"/>
        <v>Hachinohe [JPHHE]</v>
      </c>
      <c r="AN5492" t="s">
        <v>18898</v>
      </c>
      <c r="AO5492" t="s">
        <v>18899</v>
      </c>
    </row>
    <row r="5493" spans="39:41" ht="12" customHeight="1" x14ac:dyDescent="0.2">
      <c r="AM5493" t="str">
        <f t="shared" si="85"/>
        <v>Hackas [SEHAC]</v>
      </c>
      <c r="AN5493" t="s">
        <v>27609</v>
      </c>
      <c r="AO5493" t="s">
        <v>36447</v>
      </c>
    </row>
    <row r="5494" spans="39:41" ht="12" customHeight="1" x14ac:dyDescent="0.2">
      <c r="AM5494" t="str">
        <f t="shared" si="85"/>
        <v>Hackensack [USHS2]</v>
      </c>
      <c r="AN5494" t="s">
        <v>30031</v>
      </c>
      <c r="AO5494" t="s">
        <v>30032</v>
      </c>
    </row>
    <row r="5495" spans="39:41" ht="12" customHeight="1" x14ac:dyDescent="0.2">
      <c r="AM5495" t="str">
        <f t="shared" si="85"/>
        <v>Hacketts Cove [CAHCC]</v>
      </c>
      <c r="AN5495" t="s">
        <v>3903</v>
      </c>
      <c r="AO5495" t="s">
        <v>3904</v>
      </c>
    </row>
    <row r="5496" spans="39:41" ht="12" customHeight="1" x14ac:dyDescent="0.2">
      <c r="AM5496" t="str">
        <f t="shared" si="85"/>
        <v>Hadera [ILHAD]</v>
      </c>
      <c r="AN5496" t="s">
        <v>16962</v>
      </c>
      <c r="AO5496" t="s">
        <v>16963</v>
      </c>
    </row>
    <row r="5497" spans="39:41" ht="12" customHeight="1" x14ac:dyDescent="0.2">
      <c r="AM5497" t="str">
        <f t="shared" ref="AM5497:AM5560" si="86">AO5497 &amp; " [" &amp; AN5497 &amp; "]"</f>
        <v>Hadersdorf [ATDOF]</v>
      </c>
      <c r="AN5497" t="s">
        <v>1224</v>
      </c>
      <c r="AO5497" t="s">
        <v>1225</v>
      </c>
    </row>
    <row r="5498" spans="39:41" ht="12" customHeight="1" x14ac:dyDescent="0.2">
      <c r="AM5498" t="str">
        <f t="shared" si="86"/>
        <v>Hadersdorf-Kammern [ATHKM]</v>
      </c>
      <c r="AN5498" t="s">
        <v>1226</v>
      </c>
      <c r="AO5498" t="s">
        <v>1227</v>
      </c>
    </row>
    <row r="5499" spans="39:41" ht="12" customHeight="1" x14ac:dyDescent="0.2">
      <c r="AM5499" t="str">
        <f t="shared" si="86"/>
        <v>Haderslev [DKHAD]</v>
      </c>
      <c r="AN5499" t="s">
        <v>8711</v>
      </c>
      <c r="AO5499" t="s">
        <v>8712</v>
      </c>
    </row>
    <row r="5500" spans="39:41" ht="12" customHeight="1" x14ac:dyDescent="0.2">
      <c r="AM5500" t="str">
        <f t="shared" si="86"/>
        <v>Hadsel [NOHAD]</v>
      </c>
      <c r="AN5500" t="s">
        <v>24176</v>
      </c>
      <c r="AO5500" t="s">
        <v>24177</v>
      </c>
    </row>
    <row r="5501" spans="39:41" ht="12" customHeight="1" x14ac:dyDescent="0.2">
      <c r="AM5501" t="str">
        <f t="shared" si="86"/>
        <v>Hadsund [DKHSU]</v>
      </c>
      <c r="AN5501" t="s">
        <v>8713</v>
      </c>
      <c r="AO5501" t="s">
        <v>8714</v>
      </c>
    </row>
    <row r="5502" spans="39:41" ht="12" customHeight="1" x14ac:dyDescent="0.2">
      <c r="AM5502" t="str">
        <f t="shared" si="86"/>
        <v>Haeimsvika [NOHEM]</v>
      </c>
      <c r="AN5502" t="s">
        <v>24178</v>
      </c>
      <c r="AO5502" t="s">
        <v>36182</v>
      </c>
    </row>
    <row r="5503" spans="39:41" ht="12" customHeight="1" x14ac:dyDescent="0.2">
      <c r="AM5503" t="str">
        <f t="shared" si="86"/>
        <v>Haeju [KPHAE]</v>
      </c>
      <c r="AN5503" t="s">
        <v>21582</v>
      </c>
      <c r="AO5503" t="s">
        <v>21583</v>
      </c>
    </row>
    <row r="5504" spans="39:41" ht="12" customHeight="1" x14ac:dyDescent="0.2">
      <c r="AM5504" t="str">
        <f t="shared" si="86"/>
        <v>Haelen [NLHAE]</v>
      </c>
      <c r="AN5504" t="s">
        <v>33887</v>
      </c>
      <c r="AO5504" t="s">
        <v>34009</v>
      </c>
    </row>
    <row r="5505" spans="39:41" ht="12" customHeight="1" x14ac:dyDescent="0.2">
      <c r="AM5505" t="str">
        <f t="shared" si="86"/>
        <v>Haenohama [JPHAE]</v>
      </c>
      <c r="AN5505" t="s">
        <v>18900</v>
      </c>
      <c r="AO5505" t="s">
        <v>18901</v>
      </c>
    </row>
    <row r="5506" spans="39:41" ht="12" customHeight="1" x14ac:dyDescent="0.2">
      <c r="AM5506" t="str">
        <f t="shared" si="86"/>
        <v>Hafenlohr [DEHAF]</v>
      </c>
      <c r="AN5506" t="s">
        <v>7509</v>
      </c>
      <c r="AO5506" t="s">
        <v>7510</v>
      </c>
    </row>
    <row r="5507" spans="39:41" ht="12" customHeight="1" x14ac:dyDescent="0.2">
      <c r="AM5507" t="str">
        <f t="shared" si="86"/>
        <v>Hafnarfjordur [ISHAF]</v>
      </c>
      <c r="AN5507" t="s">
        <v>17711</v>
      </c>
      <c r="AO5507" t="s">
        <v>36047</v>
      </c>
    </row>
    <row r="5508" spans="39:41" ht="12" customHeight="1" x14ac:dyDescent="0.2">
      <c r="AM5508" t="str">
        <f t="shared" si="86"/>
        <v>Hafnir [ISHNR]</v>
      </c>
      <c r="AN5508" t="s">
        <v>17712</v>
      </c>
      <c r="AO5508" t="s">
        <v>17713</v>
      </c>
    </row>
    <row r="5509" spans="39:41" ht="12" customHeight="1" x14ac:dyDescent="0.2">
      <c r="AM5509" t="str">
        <f t="shared" si="86"/>
        <v>Hagerstown [USHWN]</v>
      </c>
      <c r="AN5509" t="s">
        <v>30033</v>
      </c>
      <c r="AO5509" t="s">
        <v>30034</v>
      </c>
    </row>
    <row r="5510" spans="39:41" ht="12" customHeight="1" x14ac:dyDescent="0.2">
      <c r="AM5510" t="str">
        <f t="shared" si="86"/>
        <v>Haghorst [NLHST]</v>
      </c>
      <c r="AN5510" t="s">
        <v>23227</v>
      </c>
      <c r="AO5510" t="s">
        <v>23228</v>
      </c>
    </row>
    <row r="5511" spans="39:41" ht="12" customHeight="1" x14ac:dyDescent="0.2">
      <c r="AM5511" t="str">
        <f t="shared" si="86"/>
        <v>Hagi [JPHAG]</v>
      </c>
      <c r="AN5511" t="s">
        <v>18902</v>
      </c>
      <c r="AO5511" t="s">
        <v>18903</v>
      </c>
    </row>
    <row r="5512" spans="39:41" ht="12" customHeight="1" x14ac:dyDescent="0.2">
      <c r="AM5512" t="str">
        <f t="shared" si="86"/>
        <v>Hagnava Bay [PHHYB]</v>
      </c>
      <c r="AN5512" t="s">
        <v>25767</v>
      </c>
      <c r="AO5512" t="s">
        <v>25768</v>
      </c>
    </row>
    <row r="5513" spans="39:41" ht="12" customHeight="1" x14ac:dyDescent="0.2">
      <c r="AM5513" t="str">
        <f t="shared" si="86"/>
        <v>Hahndorf [AUHAH]</v>
      </c>
      <c r="AN5513" t="s">
        <v>1719</v>
      </c>
      <c r="AO5513" t="s">
        <v>1720</v>
      </c>
    </row>
    <row r="5514" spans="39:41" ht="12" customHeight="1" x14ac:dyDescent="0.2">
      <c r="AM5514" t="str">
        <f t="shared" si="86"/>
        <v>Hahnville [USHAH]</v>
      </c>
      <c r="AN5514" t="s">
        <v>30035</v>
      </c>
      <c r="AO5514" t="s">
        <v>30036</v>
      </c>
    </row>
    <row r="5515" spans="39:41" ht="12" customHeight="1" x14ac:dyDescent="0.2">
      <c r="AM5515" t="str">
        <f t="shared" si="86"/>
        <v>Hai Duong [VNHDG]</v>
      </c>
      <c r="AN5515" t="s">
        <v>32372</v>
      </c>
      <c r="AO5515" t="s">
        <v>32373</v>
      </c>
    </row>
    <row r="5516" spans="39:41" ht="12" customHeight="1" x14ac:dyDescent="0.2">
      <c r="AM5516" t="str">
        <f t="shared" si="86"/>
        <v>Hai Son [VNHSN]</v>
      </c>
      <c r="AN5516" t="s">
        <v>32374</v>
      </c>
      <c r="AO5516" t="s">
        <v>32375</v>
      </c>
    </row>
    <row r="5517" spans="39:41" ht="12" customHeight="1" x14ac:dyDescent="0.2">
      <c r="AM5517" t="str">
        <f t="shared" si="86"/>
        <v>Haian [CNXWH]</v>
      </c>
      <c r="AN5517" t="s">
        <v>5382</v>
      </c>
      <c r="AO5517" t="s">
        <v>5383</v>
      </c>
    </row>
    <row r="5518" spans="39:41" ht="12" customHeight="1" x14ac:dyDescent="0.2">
      <c r="AM5518" t="str">
        <f t="shared" si="86"/>
        <v>Haidian [CNHDN]</v>
      </c>
      <c r="AN5518" t="s">
        <v>5384</v>
      </c>
      <c r="AO5518" t="s">
        <v>5385</v>
      </c>
    </row>
    <row r="5519" spans="39:41" ht="12" customHeight="1" x14ac:dyDescent="0.2">
      <c r="AM5519" t="str">
        <f t="shared" si="86"/>
        <v>Haifa [ILHFA]</v>
      </c>
      <c r="AN5519" t="s">
        <v>16964</v>
      </c>
      <c r="AO5519" t="s">
        <v>16965</v>
      </c>
    </row>
    <row r="5520" spans="39:41" ht="12" customHeight="1" x14ac:dyDescent="0.2">
      <c r="AM5520" t="str">
        <f t="shared" si="86"/>
        <v>Haifa Israel Shipyards Port [ILMSP]</v>
      </c>
      <c r="AN5520" t="s">
        <v>16966</v>
      </c>
      <c r="AO5520" t="s">
        <v>16967</v>
      </c>
    </row>
    <row r="5521" spans="39:41" ht="12" customHeight="1" x14ac:dyDescent="0.2">
      <c r="AM5521" t="str">
        <f t="shared" si="86"/>
        <v>Haigeng [CNHGN]</v>
      </c>
      <c r="AN5521" t="s">
        <v>5386</v>
      </c>
      <c r="AO5521" t="s">
        <v>5387</v>
      </c>
    </row>
    <row r="5522" spans="39:41" ht="12" customHeight="1" x14ac:dyDescent="0.2">
      <c r="AM5522" t="str">
        <f t="shared" si="86"/>
        <v>Haiki [JPHAI]</v>
      </c>
      <c r="AN5522" t="s">
        <v>18904</v>
      </c>
      <c r="AO5522" t="s">
        <v>18905</v>
      </c>
    </row>
    <row r="5523" spans="39:41" ht="12" customHeight="1" x14ac:dyDescent="0.2">
      <c r="AM5523" t="str">
        <f t="shared" si="86"/>
        <v>Haikou [CNHKO]</v>
      </c>
      <c r="AN5523" t="s">
        <v>5388</v>
      </c>
      <c r="AO5523" t="s">
        <v>5389</v>
      </c>
    </row>
    <row r="5524" spans="39:41" ht="12" customHeight="1" x14ac:dyDescent="0.2">
      <c r="AM5524" t="str">
        <f t="shared" si="86"/>
        <v>Haikou New Pt [CNHXG]</v>
      </c>
      <c r="AN5524" t="s">
        <v>5390</v>
      </c>
      <c r="AO5524" t="s">
        <v>5391</v>
      </c>
    </row>
    <row r="5525" spans="39:41" ht="12" customHeight="1" x14ac:dyDescent="0.2">
      <c r="AM5525" t="str">
        <f t="shared" si="86"/>
        <v>Haikou Pt [CNHIG]</v>
      </c>
      <c r="AN5525" t="s">
        <v>5392</v>
      </c>
      <c r="AO5525" t="s">
        <v>5393</v>
      </c>
    </row>
    <row r="5526" spans="39:41" ht="12" customHeight="1" x14ac:dyDescent="0.2">
      <c r="AM5526" t="str">
        <f t="shared" si="86"/>
        <v>Haiku [USHXK]</v>
      </c>
      <c r="AN5526" t="s">
        <v>30037</v>
      </c>
      <c r="AO5526" t="s">
        <v>30038</v>
      </c>
    </row>
    <row r="5527" spans="39:41" ht="12" customHeight="1" x14ac:dyDescent="0.2">
      <c r="AM5527" t="str">
        <f t="shared" si="86"/>
        <v>Hail [AEHIL]</v>
      </c>
      <c r="AN5527" t="s">
        <v>34951</v>
      </c>
      <c r="AO5527" t="s">
        <v>34952</v>
      </c>
    </row>
    <row r="5528" spans="39:41" ht="12" customHeight="1" x14ac:dyDescent="0.2">
      <c r="AM5528" t="str">
        <f t="shared" si="86"/>
        <v>Hailuoto [FIHAO]</v>
      </c>
      <c r="AN5528" t="s">
        <v>10347</v>
      </c>
      <c r="AO5528" t="s">
        <v>10348</v>
      </c>
    </row>
    <row r="5529" spans="39:41" ht="12" customHeight="1" x14ac:dyDescent="0.2">
      <c r="AM5529" t="str">
        <f t="shared" si="86"/>
        <v>Haimen [CNCYH]</v>
      </c>
      <c r="AN5529" t="s">
        <v>5394</v>
      </c>
      <c r="AO5529" t="s">
        <v>5395</v>
      </c>
    </row>
    <row r="5530" spans="39:41" ht="12" customHeight="1" x14ac:dyDescent="0.2">
      <c r="AM5530" t="str">
        <f t="shared" si="86"/>
        <v>Haimen [CNHME]</v>
      </c>
      <c r="AN5530" t="s">
        <v>34953</v>
      </c>
      <c r="AO5530" t="s">
        <v>5395</v>
      </c>
    </row>
    <row r="5531" spans="39:41" ht="12" customHeight="1" x14ac:dyDescent="0.2">
      <c r="AM5531" t="str">
        <f t="shared" si="86"/>
        <v>Haimiao [CNHIM]</v>
      </c>
      <c r="AN5531" t="s">
        <v>5396</v>
      </c>
      <c r="AO5531" t="s">
        <v>5397</v>
      </c>
    </row>
    <row r="5532" spans="39:41" ht="12" customHeight="1" x14ac:dyDescent="0.2">
      <c r="AM5532" t="str">
        <f t="shared" si="86"/>
        <v>Haina [DOINA]</v>
      </c>
      <c r="AN5532" t="s">
        <v>9002</v>
      </c>
      <c r="AO5532" t="s">
        <v>9003</v>
      </c>
    </row>
    <row r="5533" spans="39:41" ht="12" customHeight="1" x14ac:dyDescent="0.2">
      <c r="AM5533" t="str">
        <f t="shared" si="86"/>
        <v>Hainault [GBHNU]</v>
      </c>
      <c r="AN5533" t="s">
        <v>13332</v>
      </c>
      <c r="AO5533" t="s">
        <v>13333</v>
      </c>
    </row>
    <row r="5534" spans="39:41" ht="12" customHeight="1" x14ac:dyDescent="0.2">
      <c r="AM5534" t="str">
        <f t="shared" si="86"/>
        <v>Haines [USHNS]</v>
      </c>
      <c r="AN5534" t="s">
        <v>30039</v>
      </c>
      <c r="AO5534" t="s">
        <v>30040</v>
      </c>
    </row>
    <row r="5535" spans="39:41" ht="12" customHeight="1" x14ac:dyDescent="0.2">
      <c r="AM5535" t="str">
        <f t="shared" si="86"/>
        <v>Hainfeld [ATLTX]</v>
      </c>
      <c r="AN5535" t="s">
        <v>1228</v>
      </c>
      <c r="AO5535" t="s">
        <v>1229</v>
      </c>
    </row>
    <row r="5536" spans="39:41" ht="12" customHeight="1" x14ac:dyDescent="0.2">
      <c r="AM5536" t="str">
        <f t="shared" si="86"/>
        <v>Haiphong [VNHPH]</v>
      </c>
      <c r="AN5536" t="s">
        <v>32376</v>
      </c>
      <c r="AO5536" t="s">
        <v>32377</v>
      </c>
    </row>
    <row r="5537" spans="39:41" ht="12" customHeight="1" x14ac:dyDescent="0.2">
      <c r="AM5537" t="str">
        <f t="shared" si="86"/>
        <v>Haisnes [FRHS2]</v>
      </c>
      <c r="AN5537" t="s">
        <v>11368</v>
      </c>
      <c r="AO5537" t="s">
        <v>11369</v>
      </c>
    </row>
    <row r="5538" spans="39:41" ht="12" customHeight="1" x14ac:dyDescent="0.2">
      <c r="AM5538" t="str">
        <f t="shared" si="86"/>
        <v>Haitian Terminal/ Xiamen [CNHHT]</v>
      </c>
      <c r="AN5538" t="s">
        <v>5398</v>
      </c>
      <c r="AO5538" t="s">
        <v>5399</v>
      </c>
    </row>
    <row r="5539" spans="39:41" ht="12" customHeight="1" x14ac:dyDescent="0.2">
      <c r="AM5539" t="str">
        <f t="shared" si="86"/>
        <v>Haitou [CNHTO]</v>
      </c>
      <c r="AN5539" t="s">
        <v>5400</v>
      </c>
      <c r="AO5539" t="s">
        <v>5401</v>
      </c>
    </row>
    <row r="5540" spans="39:41" ht="12" customHeight="1" x14ac:dyDescent="0.2">
      <c r="AM5540" t="str">
        <f t="shared" si="86"/>
        <v>Hakata/Fukuoka [JPHKT]</v>
      </c>
      <c r="AN5540" t="s">
        <v>18906</v>
      </c>
      <c r="AO5540" t="s">
        <v>18907</v>
      </c>
    </row>
    <row r="5541" spans="39:41" ht="12" customHeight="1" x14ac:dyDescent="0.2">
      <c r="AM5541" t="str">
        <f t="shared" si="86"/>
        <v>Hakatashima [JPHKS]</v>
      </c>
      <c r="AN5541" t="s">
        <v>18908</v>
      </c>
      <c r="AO5541" t="s">
        <v>18909</v>
      </c>
    </row>
    <row r="5542" spans="39:41" ht="12" customHeight="1" x14ac:dyDescent="0.2">
      <c r="AM5542" t="str">
        <f t="shared" si="86"/>
        <v>Hakkola [FIHAK]</v>
      </c>
      <c r="AN5542" t="s">
        <v>10349</v>
      </c>
      <c r="AO5542" t="s">
        <v>10350</v>
      </c>
    </row>
    <row r="5543" spans="39:41" ht="12" customHeight="1" x14ac:dyDescent="0.2">
      <c r="AM5543" t="str">
        <f t="shared" si="86"/>
        <v>Hakodate [JPHKD]</v>
      </c>
      <c r="AN5543" t="s">
        <v>18910</v>
      </c>
      <c r="AO5543" t="s">
        <v>18911</v>
      </c>
    </row>
    <row r="5544" spans="39:41" ht="12" customHeight="1" x14ac:dyDescent="0.2">
      <c r="AM5544" t="str">
        <f t="shared" si="86"/>
        <v>Hakoura [JPHKU]</v>
      </c>
      <c r="AN5544" t="s">
        <v>18912</v>
      </c>
      <c r="AO5544" t="s">
        <v>18913</v>
      </c>
    </row>
    <row r="5545" spans="39:41" ht="12" customHeight="1" x14ac:dyDescent="0.2">
      <c r="AM5545" t="str">
        <f t="shared" si="86"/>
        <v>Halach [TMHAL]</v>
      </c>
      <c r="AN5545" t="s">
        <v>28320</v>
      </c>
      <c r="AO5545" t="s">
        <v>28321</v>
      </c>
    </row>
    <row r="5546" spans="39:41" ht="12" customHeight="1" x14ac:dyDescent="0.2">
      <c r="AM5546" t="str">
        <f t="shared" si="86"/>
        <v>Halaib [EGHAL]</v>
      </c>
      <c r="AN5546" t="s">
        <v>9482</v>
      </c>
      <c r="AO5546" t="s">
        <v>9483</v>
      </c>
    </row>
    <row r="5547" spans="39:41" ht="12" customHeight="1" x14ac:dyDescent="0.2">
      <c r="AM5547" t="str">
        <f t="shared" si="86"/>
        <v>Halasztelek [HUHAL]</v>
      </c>
      <c r="AN5547" t="s">
        <v>16089</v>
      </c>
      <c r="AO5547" t="s">
        <v>36015</v>
      </c>
    </row>
    <row r="5548" spans="39:41" ht="12" customHeight="1" x14ac:dyDescent="0.2">
      <c r="AM5548" t="str">
        <f t="shared" si="86"/>
        <v>Halaveli [MVHID]</v>
      </c>
      <c r="AN5548" t="s">
        <v>34183</v>
      </c>
      <c r="AO5548" t="s">
        <v>34257</v>
      </c>
    </row>
    <row r="5549" spans="39:41" ht="12" customHeight="1" x14ac:dyDescent="0.2">
      <c r="AM5549" t="str">
        <f t="shared" si="86"/>
        <v>Halchiu [ROHAU]</v>
      </c>
      <c r="AN5549" t="s">
        <v>26762</v>
      </c>
      <c r="AO5549" t="s">
        <v>26763</v>
      </c>
    </row>
    <row r="5550" spans="39:41" ht="12" customHeight="1" x14ac:dyDescent="0.2">
      <c r="AM5550" t="str">
        <f t="shared" si="86"/>
        <v>Halden [NOHAL]</v>
      </c>
      <c r="AN5550" t="s">
        <v>24179</v>
      </c>
      <c r="AO5550" t="s">
        <v>24180</v>
      </c>
    </row>
    <row r="5551" spans="39:41" ht="12" customHeight="1" x14ac:dyDescent="0.2">
      <c r="AM5551" t="str">
        <f t="shared" si="86"/>
        <v>Haldensleben [DEHLH]</v>
      </c>
      <c r="AN5551" t="s">
        <v>7511</v>
      </c>
      <c r="AO5551" t="s">
        <v>7512</v>
      </c>
    </row>
    <row r="5552" spans="39:41" ht="12" customHeight="1" x14ac:dyDescent="0.2">
      <c r="AM5552" t="str">
        <f t="shared" si="86"/>
        <v>Haldi [EEHLD]</v>
      </c>
      <c r="AN5552" t="s">
        <v>9154</v>
      </c>
      <c r="AO5552" t="s">
        <v>9155</v>
      </c>
    </row>
    <row r="5553" spans="39:41" ht="12" customHeight="1" x14ac:dyDescent="0.2">
      <c r="AM5553" t="str">
        <f t="shared" si="86"/>
        <v>Haldia [INHAL]</v>
      </c>
      <c r="AN5553" t="s">
        <v>17160</v>
      </c>
      <c r="AO5553" t="s">
        <v>17161</v>
      </c>
    </row>
    <row r="5554" spans="39:41" ht="12" customHeight="1" x14ac:dyDescent="0.2">
      <c r="AM5554" t="str">
        <f t="shared" si="86"/>
        <v>Haleiwa [USHA7]</v>
      </c>
      <c r="AN5554" t="s">
        <v>30041</v>
      </c>
      <c r="AO5554" t="s">
        <v>30042</v>
      </c>
    </row>
    <row r="5555" spans="39:41" ht="12" customHeight="1" x14ac:dyDescent="0.2">
      <c r="AM5555" t="str">
        <f t="shared" si="86"/>
        <v>Halifax [CAHAL]</v>
      </c>
      <c r="AN5555" t="s">
        <v>3905</v>
      </c>
      <c r="AO5555" t="s">
        <v>3906</v>
      </c>
    </row>
    <row r="5556" spans="39:41" ht="12" customHeight="1" x14ac:dyDescent="0.2">
      <c r="AM5556" t="str">
        <f t="shared" si="86"/>
        <v>Halki Dodekanison [GRHAL]</v>
      </c>
      <c r="AN5556" t="s">
        <v>15231</v>
      </c>
      <c r="AO5556" t="s">
        <v>15232</v>
      </c>
    </row>
    <row r="5557" spans="39:41" ht="12" customHeight="1" x14ac:dyDescent="0.2">
      <c r="AM5557" t="str">
        <f t="shared" si="86"/>
        <v>Halkirk [GBHKI]</v>
      </c>
      <c r="AN5557" t="s">
        <v>13334</v>
      </c>
      <c r="AO5557" t="s">
        <v>13335</v>
      </c>
    </row>
    <row r="5558" spans="39:41" ht="12" customHeight="1" x14ac:dyDescent="0.2">
      <c r="AM5558" t="str">
        <f t="shared" si="86"/>
        <v>Hall Beach [CAHAB]</v>
      </c>
      <c r="AN5558" t="s">
        <v>3907</v>
      </c>
      <c r="AO5558" t="s">
        <v>3908</v>
      </c>
    </row>
    <row r="5559" spans="39:41" ht="12" customHeight="1" x14ac:dyDescent="0.2">
      <c r="AM5559" t="str">
        <f t="shared" si="86"/>
        <v>Halle [BEHFB]</v>
      </c>
      <c r="AN5559" t="s">
        <v>2495</v>
      </c>
      <c r="AO5559" t="s">
        <v>2496</v>
      </c>
    </row>
    <row r="5560" spans="39:41" ht="12" customHeight="1" x14ac:dyDescent="0.2">
      <c r="AM5560" t="str">
        <f t="shared" si="86"/>
        <v>Hallekis [SEHLS]</v>
      </c>
      <c r="AN5560" t="s">
        <v>27610</v>
      </c>
      <c r="AO5560" t="s">
        <v>36448</v>
      </c>
    </row>
    <row r="5561" spans="39:41" ht="12" customHeight="1" x14ac:dyDescent="0.2">
      <c r="AM5561" t="str">
        <f t="shared" ref="AM5561:AM5624" si="87">AO5561 &amp; " [" &amp; AN5561 &amp; "]"</f>
        <v>Halletts Cove [AUHTT]</v>
      </c>
      <c r="AN5561" t="s">
        <v>1721</v>
      </c>
      <c r="AO5561" t="s">
        <v>1722</v>
      </c>
    </row>
    <row r="5562" spans="39:41" ht="12" customHeight="1" x14ac:dyDescent="0.2">
      <c r="AM5562" t="str">
        <f t="shared" si="87"/>
        <v>Halley [AQHLY]</v>
      </c>
      <c r="AN5562" t="s">
        <v>930</v>
      </c>
      <c r="AO5562" t="s">
        <v>931</v>
      </c>
    </row>
    <row r="5563" spans="39:41" ht="12" customHeight="1" x14ac:dyDescent="0.2">
      <c r="AM5563" t="str">
        <f t="shared" si="87"/>
        <v>Hallig [DEHRX]</v>
      </c>
      <c r="AN5563" t="s">
        <v>7513</v>
      </c>
      <c r="AO5563" t="s">
        <v>7514</v>
      </c>
    </row>
    <row r="5564" spans="39:41" ht="12" customHeight="1" x14ac:dyDescent="0.2">
      <c r="AM5564" t="str">
        <f t="shared" si="87"/>
        <v>Hallim [KRHLM]</v>
      </c>
      <c r="AN5564" t="s">
        <v>21656</v>
      </c>
      <c r="AO5564" t="s">
        <v>21657</v>
      </c>
    </row>
    <row r="5565" spans="39:41" ht="12" customHeight="1" x14ac:dyDescent="0.2">
      <c r="AM5565" t="str">
        <f t="shared" si="87"/>
        <v>Halls [USHLJ]</v>
      </c>
      <c r="AN5565" t="s">
        <v>30043</v>
      </c>
      <c r="AO5565" t="s">
        <v>30044</v>
      </c>
    </row>
    <row r="5566" spans="39:41" ht="12" customHeight="1" x14ac:dyDescent="0.2">
      <c r="AM5566" t="str">
        <f t="shared" si="87"/>
        <v>Hallsberg [SEHSG]</v>
      </c>
      <c r="AN5566" t="s">
        <v>37146</v>
      </c>
      <c r="AO5566" t="s">
        <v>37147</v>
      </c>
    </row>
    <row r="5567" spans="39:41" ht="12" customHeight="1" x14ac:dyDescent="0.2">
      <c r="AM5567" t="str">
        <f t="shared" si="87"/>
        <v>Hallstanas [SEHAS]</v>
      </c>
      <c r="AN5567" t="s">
        <v>27611</v>
      </c>
      <c r="AO5567" t="s">
        <v>36449</v>
      </c>
    </row>
    <row r="5568" spans="39:41" ht="12" customHeight="1" x14ac:dyDescent="0.2">
      <c r="AM5568" t="str">
        <f t="shared" si="87"/>
        <v>Hallstavik [SEHAK]</v>
      </c>
      <c r="AN5568" t="s">
        <v>27612</v>
      </c>
      <c r="AO5568" t="s">
        <v>27613</v>
      </c>
    </row>
    <row r="5569" spans="39:41" ht="12" customHeight="1" x14ac:dyDescent="0.2">
      <c r="AM5569" t="str">
        <f t="shared" si="87"/>
        <v>Hallstead [USHS6]</v>
      </c>
      <c r="AN5569" t="s">
        <v>30045</v>
      </c>
      <c r="AO5569" t="s">
        <v>30046</v>
      </c>
    </row>
    <row r="5570" spans="39:41" ht="12" customHeight="1" x14ac:dyDescent="0.2">
      <c r="AM5570" t="str">
        <f t="shared" si="87"/>
        <v>Halluin [BEHLU]</v>
      </c>
      <c r="AN5570" t="s">
        <v>2497</v>
      </c>
      <c r="AO5570" t="s">
        <v>2498</v>
      </c>
    </row>
    <row r="5571" spans="39:41" ht="12" customHeight="1" x14ac:dyDescent="0.2">
      <c r="AM5571" t="str">
        <f t="shared" si="87"/>
        <v>Halmstad [SEHAD]</v>
      </c>
      <c r="AN5571" t="s">
        <v>27614</v>
      </c>
      <c r="AO5571" t="s">
        <v>27615</v>
      </c>
    </row>
    <row r="5572" spans="39:41" ht="12" customHeight="1" x14ac:dyDescent="0.2">
      <c r="AM5572" t="str">
        <f t="shared" si="87"/>
        <v>Halonen [FIHAL]</v>
      </c>
      <c r="AN5572" t="s">
        <v>10351</v>
      </c>
      <c r="AO5572" t="s">
        <v>10352</v>
      </c>
    </row>
    <row r="5573" spans="39:41" ht="12" customHeight="1" x14ac:dyDescent="0.2">
      <c r="AM5573" t="str">
        <f t="shared" si="87"/>
        <v>Halosenlahti [FILHO]</v>
      </c>
      <c r="AN5573" t="s">
        <v>10353</v>
      </c>
      <c r="AO5573" t="s">
        <v>10354</v>
      </c>
    </row>
    <row r="5574" spans="39:41" ht="12" customHeight="1" x14ac:dyDescent="0.2">
      <c r="AM5574" t="str">
        <f t="shared" si="87"/>
        <v>Hals [DKHAS]</v>
      </c>
      <c r="AN5574" t="s">
        <v>8715</v>
      </c>
      <c r="AO5574" t="s">
        <v>8716</v>
      </c>
    </row>
    <row r="5575" spans="39:41" ht="12" customHeight="1" x14ac:dyDescent="0.2">
      <c r="AM5575" t="str">
        <f t="shared" si="87"/>
        <v>Halsa [NOHLS]</v>
      </c>
      <c r="AN5575" t="s">
        <v>24181</v>
      </c>
      <c r="AO5575" t="s">
        <v>24182</v>
      </c>
    </row>
    <row r="5576" spans="39:41" ht="12" customHeight="1" x14ac:dyDescent="0.2">
      <c r="AM5576" t="str">
        <f t="shared" si="87"/>
        <v>Halsa Meloy [NOHSA]</v>
      </c>
      <c r="AN5576" t="s">
        <v>24183</v>
      </c>
      <c r="AO5576" t="s">
        <v>36183</v>
      </c>
    </row>
    <row r="5577" spans="39:41" ht="12" customHeight="1" x14ac:dyDescent="0.2">
      <c r="AM5577" t="str">
        <f t="shared" si="87"/>
        <v>Halsnoy [NOHAZ]</v>
      </c>
      <c r="AN5577" t="s">
        <v>24184</v>
      </c>
      <c r="AO5577" t="s">
        <v>36184</v>
      </c>
    </row>
    <row r="5578" spans="39:41" ht="12" customHeight="1" x14ac:dyDescent="0.2">
      <c r="AM5578" t="str">
        <f t="shared" si="87"/>
        <v>Halton Hills [CAOON]</v>
      </c>
      <c r="AN5578" t="s">
        <v>3909</v>
      </c>
      <c r="AO5578" t="s">
        <v>3910</v>
      </c>
    </row>
    <row r="5579" spans="39:41" ht="12" customHeight="1" x14ac:dyDescent="0.2">
      <c r="AM5579" t="str">
        <f t="shared" si="87"/>
        <v>Halul [QAHAL]</v>
      </c>
      <c r="AN5579" t="s">
        <v>26695</v>
      </c>
      <c r="AO5579" t="s">
        <v>26696</v>
      </c>
    </row>
    <row r="5580" spans="39:41" ht="12" customHeight="1" x14ac:dyDescent="0.2">
      <c r="AM5580" t="str">
        <f t="shared" si="87"/>
        <v>Halvorshavn [NOHAN]</v>
      </c>
      <c r="AN5580" t="s">
        <v>24185</v>
      </c>
      <c r="AO5580" t="s">
        <v>24186</v>
      </c>
    </row>
    <row r="5581" spans="39:41" ht="12" customHeight="1" x14ac:dyDescent="0.2">
      <c r="AM5581" t="str">
        <f t="shared" si="87"/>
        <v>Ham Voe, Foula [GBHVO]</v>
      </c>
      <c r="AN5581" t="s">
        <v>13336</v>
      </c>
      <c r="AO5581" t="s">
        <v>13337</v>
      </c>
    </row>
    <row r="5582" spans="39:41" ht="12" customHeight="1" x14ac:dyDescent="0.2">
      <c r="AM5582" t="str">
        <f t="shared" si="87"/>
        <v>Hamada [JPHMD]</v>
      </c>
      <c r="AN5582" t="s">
        <v>18914</v>
      </c>
      <c r="AO5582" t="s">
        <v>18915</v>
      </c>
    </row>
    <row r="5583" spans="39:41" ht="12" customHeight="1" x14ac:dyDescent="0.2">
      <c r="AM5583" t="str">
        <f t="shared" si="87"/>
        <v>Hamaguri [JPHMG]</v>
      </c>
      <c r="AN5583" t="s">
        <v>18916</v>
      </c>
      <c r="AO5583" t="s">
        <v>18917</v>
      </c>
    </row>
    <row r="5584" spans="39:41" ht="12" customHeight="1" x14ac:dyDescent="0.2">
      <c r="AM5584" t="str">
        <f t="shared" si="87"/>
        <v>Hamajima [JPHJM]</v>
      </c>
      <c r="AN5584" t="s">
        <v>18918</v>
      </c>
      <c r="AO5584" t="s">
        <v>18919</v>
      </c>
    </row>
    <row r="5585" spans="39:41" ht="12" customHeight="1" x14ac:dyDescent="0.2">
      <c r="AM5585" t="str">
        <f t="shared" si="87"/>
        <v>Hamajiri [JPHJR]</v>
      </c>
      <c r="AN5585" t="s">
        <v>18920</v>
      </c>
      <c r="AO5585" t="s">
        <v>18921</v>
      </c>
    </row>
    <row r="5586" spans="39:41" ht="12" customHeight="1" x14ac:dyDescent="0.2">
      <c r="AM5586" t="str">
        <f t="shared" si="87"/>
        <v>Hamakanaya [JPHKW]</v>
      </c>
      <c r="AN5586" t="s">
        <v>18922</v>
      </c>
      <c r="AO5586" t="s">
        <v>18923</v>
      </c>
    </row>
    <row r="5587" spans="39:41" ht="12" customHeight="1" x14ac:dyDescent="0.2">
      <c r="AM5587" t="str">
        <f t="shared" si="87"/>
        <v>Hamamatsu [JPHMM]</v>
      </c>
      <c r="AN5587" t="s">
        <v>18924</v>
      </c>
      <c r="AO5587" t="s">
        <v>18925</v>
      </c>
    </row>
    <row r="5588" spans="39:41" ht="12" customHeight="1" x14ac:dyDescent="0.2">
      <c r="AM5588" t="str">
        <f t="shared" si="87"/>
        <v>Hamana [JPHMN]</v>
      </c>
      <c r="AN5588" t="s">
        <v>18926</v>
      </c>
      <c r="AO5588" t="s">
        <v>18927</v>
      </c>
    </row>
    <row r="5589" spans="39:41" ht="12" customHeight="1" x14ac:dyDescent="0.2">
      <c r="AM5589" t="str">
        <f t="shared" si="87"/>
        <v>Hamaroy [NOHMY]</v>
      </c>
      <c r="AN5589" t="s">
        <v>24187</v>
      </c>
      <c r="AO5589" t="s">
        <v>36185</v>
      </c>
    </row>
    <row r="5590" spans="39:41" ht="12" customHeight="1" x14ac:dyDescent="0.2">
      <c r="AM5590" t="str">
        <f t="shared" si="87"/>
        <v>Hamars Ness, Fetlar [GBHNS]</v>
      </c>
      <c r="AN5590" t="s">
        <v>13338</v>
      </c>
      <c r="AO5590" t="s">
        <v>13339</v>
      </c>
    </row>
    <row r="5591" spans="39:41" ht="12" customHeight="1" x14ac:dyDescent="0.2">
      <c r="AM5591" t="str">
        <f t="shared" si="87"/>
        <v>Hamasaka [JPHKJ]</v>
      </c>
      <c r="AN5591" t="s">
        <v>18928</v>
      </c>
      <c r="AO5591" t="s">
        <v>18929</v>
      </c>
    </row>
    <row r="5592" spans="39:41" ht="12" customHeight="1" x14ac:dyDescent="0.2">
      <c r="AM5592" t="str">
        <f t="shared" si="87"/>
        <v>Hamasaki [JPHMX]</v>
      </c>
      <c r="AN5592" t="s">
        <v>18930</v>
      </c>
      <c r="AO5592" t="s">
        <v>18931</v>
      </c>
    </row>
    <row r="5593" spans="39:41" ht="12" customHeight="1" x14ac:dyDescent="0.2">
      <c r="AM5593" t="str">
        <f t="shared" si="87"/>
        <v>Hamasako [JPHSK]</v>
      </c>
      <c r="AN5593" t="s">
        <v>18932</v>
      </c>
      <c r="AO5593" t="s">
        <v>18933</v>
      </c>
    </row>
    <row r="5594" spans="39:41" ht="12" customHeight="1" x14ac:dyDescent="0.2">
      <c r="AM5594" t="str">
        <f t="shared" si="87"/>
        <v>Hamasarufutsu [JPHAM]</v>
      </c>
      <c r="AN5594" t="s">
        <v>18934</v>
      </c>
      <c r="AO5594" t="s">
        <v>18935</v>
      </c>
    </row>
    <row r="5595" spans="39:41" ht="12" customHeight="1" x14ac:dyDescent="0.2">
      <c r="AM5595" t="str">
        <f t="shared" si="87"/>
        <v>Hamasuki [JPHSU]</v>
      </c>
      <c r="AN5595" t="s">
        <v>18936</v>
      </c>
      <c r="AO5595" t="s">
        <v>18937</v>
      </c>
    </row>
    <row r="5596" spans="39:41" ht="12" customHeight="1" x14ac:dyDescent="0.2">
      <c r="AM5596" t="str">
        <f t="shared" si="87"/>
        <v>Hamatsuwaki [JPHWA]</v>
      </c>
      <c r="AN5596" t="s">
        <v>18938</v>
      </c>
      <c r="AO5596" t="s">
        <v>18939</v>
      </c>
    </row>
    <row r="5597" spans="39:41" ht="12" customHeight="1" x14ac:dyDescent="0.2">
      <c r="AM5597" t="str">
        <f t="shared" si="87"/>
        <v>Hamawaki [JPHMW]</v>
      </c>
      <c r="AN5597" t="s">
        <v>18940</v>
      </c>
      <c r="AO5597" t="s">
        <v>18941</v>
      </c>
    </row>
    <row r="5598" spans="39:41" ht="12" customHeight="1" x14ac:dyDescent="0.2">
      <c r="AM5598" t="str">
        <f t="shared" si="87"/>
        <v>Hambantota [LKHBA]</v>
      </c>
      <c r="AN5598" t="s">
        <v>21825</v>
      </c>
      <c r="AO5598" t="s">
        <v>21826</v>
      </c>
    </row>
    <row r="5599" spans="39:41" ht="12" customHeight="1" x14ac:dyDescent="0.2">
      <c r="AM5599" t="str">
        <f t="shared" si="87"/>
        <v>Hamble [GBHAM]</v>
      </c>
      <c r="AN5599" t="s">
        <v>13340</v>
      </c>
      <c r="AO5599" t="s">
        <v>13341</v>
      </c>
    </row>
    <row r="5600" spans="39:41" ht="12" customHeight="1" x14ac:dyDescent="0.2">
      <c r="AM5600" t="str">
        <f t="shared" si="87"/>
        <v>Hamburg [DEHAM]</v>
      </c>
      <c r="AN5600" t="s">
        <v>7515</v>
      </c>
      <c r="AO5600" t="s">
        <v>7516</v>
      </c>
    </row>
    <row r="5601" spans="39:41" ht="12" customHeight="1" x14ac:dyDescent="0.2">
      <c r="AM5601" t="str">
        <f t="shared" si="87"/>
        <v>Hamburg-Mitte [DEHTJ]</v>
      </c>
      <c r="AN5601" t="s">
        <v>7517</v>
      </c>
      <c r="AO5601" t="s">
        <v>7518</v>
      </c>
    </row>
    <row r="5602" spans="39:41" ht="12" customHeight="1" x14ac:dyDescent="0.2">
      <c r="AM5602" t="str">
        <f t="shared" si="87"/>
        <v>Hamburgsund [SEHBG]</v>
      </c>
      <c r="AN5602" t="s">
        <v>27616</v>
      </c>
      <c r="AO5602" t="s">
        <v>27617</v>
      </c>
    </row>
    <row r="5603" spans="39:41" ht="12" customHeight="1" x14ac:dyDescent="0.2">
      <c r="AM5603" t="str">
        <f t="shared" si="87"/>
        <v>Hameln [DEHAN]</v>
      </c>
      <c r="AN5603" t="s">
        <v>7519</v>
      </c>
      <c r="AO5603" t="s">
        <v>7520</v>
      </c>
    </row>
    <row r="5604" spans="39:41" ht="12" customHeight="1" x14ac:dyDescent="0.2">
      <c r="AM5604" t="str">
        <f t="shared" si="87"/>
        <v>Hamer [USHMR]</v>
      </c>
      <c r="AN5604" t="s">
        <v>30047</v>
      </c>
      <c r="AO5604" t="s">
        <v>30048</v>
      </c>
    </row>
    <row r="5605" spans="39:41" ht="12" customHeight="1" x14ac:dyDescent="0.2">
      <c r="AM5605" t="str">
        <f t="shared" si="87"/>
        <v>Hami [JPHAA]</v>
      </c>
      <c r="AN5605" t="s">
        <v>18942</v>
      </c>
      <c r="AO5605" t="s">
        <v>18943</v>
      </c>
    </row>
    <row r="5606" spans="39:41" ht="12" customHeight="1" x14ac:dyDescent="0.2">
      <c r="AM5606" t="str">
        <f t="shared" si="87"/>
        <v>Hamilton [BMBDA]</v>
      </c>
      <c r="AN5606" t="s">
        <v>3200</v>
      </c>
      <c r="AO5606" t="s">
        <v>3201</v>
      </c>
    </row>
    <row r="5607" spans="39:41" ht="12" customHeight="1" x14ac:dyDescent="0.2">
      <c r="AM5607" t="str">
        <f t="shared" si="87"/>
        <v>Hamilton [CAHAM]</v>
      </c>
      <c r="AN5607" t="s">
        <v>3911</v>
      </c>
      <c r="AO5607" t="s">
        <v>3201</v>
      </c>
    </row>
    <row r="5608" spans="39:41" ht="12" customHeight="1" x14ac:dyDescent="0.2">
      <c r="AM5608" t="str">
        <f t="shared" si="87"/>
        <v>Hamilton [USHM7]</v>
      </c>
      <c r="AN5608" t="s">
        <v>30049</v>
      </c>
      <c r="AO5608" t="s">
        <v>3201</v>
      </c>
    </row>
    <row r="5609" spans="39:41" ht="12" customHeight="1" x14ac:dyDescent="0.2">
      <c r="AM5609" t="str">
        <f t="shared" si="87"/>
        <v>Hamm [DEHMM]</v>
      </c>
      <c r="AN5609" t="s">
        <v>7521</v>
      </c>
      <c r="AO5609" t="s">
        <v>7522</v>
      </c>
    </row>
    <row r="5610" spans="39:41" ht="12" customHeight="1" x14ac:dyDescent="0.2">
      <c r="AM5610" t="str">
        <f t="shared" si="87"/>
        <v>Hammar [SEHMR]</v>
      </c>
      <c r="AN5610" t="s">
        <v>27618</v>
      </c>
      <c r="AO5610" t="s">
        <v>27619</v>
      </c>
    </row>
    <row r="5611" spans="39:41" ht="12" customHeight="1" x14ac:dyDescent="0.2">
      <c r="AM5611" t="str">
        <f t="shared" si="87"/>
        <v>Hammarvika - Froya [NONIA]</v>
      </c>
      <c r="AN5611" t="s">
        <v>24188</v>
      </c>
      <c r="AO5611" t="s">
        <v>36186</v>
      </c>
    </row>
    <row r="5612" spans="39:41" ht="12" customHeight="1" x14ac:dyDescent="0.2">
      <c r="AM5612" t="str">
        <f t="shared" si="87"/>
        <v>Hamme [BEHMM]</v>
      </c>
      <c r="AN5612" t="s">
        <v>2499</v>
      </c>
      <c r="AO5612" t="s">
        <v>2500</v>
      </c>
    </row>
    <row r="5613" spans="39:41" ht="12" customHeight="1" x14ac:dyDescent="0.2">
      <c r="AM5613" t="str">
        <f t="shared" si="87"/>
        <v>Hammerfall [NOHFL]</v>
      </c>
      <c r="AN5613" t="s">
        <v>24189</v>
      </c>
      <c r="AO5613" t="s">
        <v>24190</v>
      </c>
    </row>
    <row r="5614" spans="39:41" ht="12" customHeight="1" x14ac:dyDescent="0.2">
      <c r="AM5614" t="str">
        <f t="shared" si="87"/>
        <v>Hammerfest [NOHFT]</v>
      </c>
      <c r="AN5614" t="s">
        <v>24191</v>
      </c>
      <c r="AO5614" t="s">
        <v>24192</v>
      </c>
    </row>
    <row r="5615" spans="39:41" ht="12" customHeight="1" x14ac:dyDescent="0.2">
      <c r="AM5615" t="str">
        <f t="shared" si="87"/>
        <v>Hammerhavn [DKHHV]</v>
      </c>
      <c r="AN5615" t="s">
        <v>8717</v>
      </c>
      <c r="AO5615" t="s">
        <v>8718</v>
      </c>
    </row>
    <row r="5616" spans="39:41" ht="12" customHeight="1" x14ac:dyDescent="0.2">
      <c r="AM5616" t="str">
        <f t="shared" si="87"/>
        <v>Hamnavoe, Burra Isle [GBHMV]</v>
      </c>
      <c r="AN5616" t="s">
        <v>13342</v>
      </c>
      <c r="AO5616" t="s">
        <v>13343</v>
      </c>
    </row>
    <row r="5617" spans="39:41" ht="12" customHeight="1" x14ac:dyDescent="0.2">
      <c r="AM5617" t="str">
        <f t="shared" si="87"/>
        <v>Hamnbukt - Porsanger [NOHBT]</v>
      </c>
      <c r="AN5617" t="s">
        <v>24193</v>
      </c>
      <c r="AO5617" t="s">
        <v>24194</v>
      </c>
    </row>
    <row r="5618" spans="39:41" ht="12" customHeight="1" x14ac:dyDescent="0.2">
      <c r="AM5618" t="str">
        <f t="shared" si="87"/>
        <v>Hamochi [JPHMC]</v>
      </c>
      <c r="AN5618" t="s">
        <v>18944</v>
      </c>
      <c r="AO5618" t="s">
        <v>18945</v>
      </c>
    </row>
    <row r="5619" spans="39:41" ht="12" customHeight="1" x14ac:dyDescent="0.2">
      <c r="AM5619" t="str">
        <f t="shared" si="87"/>
        <v>Hampden [CAHMP]</v>
      </c>
      <c r="AN5619" t="s">
        <v>3912</v>
      </c>
      <c r="AO5619" t="s">
        <v>3913</v>
      </c>
    </row>
    <row r="5620" spans="39:41" ht="12" customHeight="1" x14ac:dyDescent="0.2">
      <c r="AM5620" t="str">
        <f t="shared" si="87"/>
        <v>Hampton [AUHAM]</v>
      </c>
      <c r="AN5620" t="s">
        <v>1723</v>
      </c>
      <c r="AO5620" t="s">
        <v>1724</v>
      </c>
    </row>
    <row r="5621" spans="39:41" ht="12" customHeight="1" x14ac:dyDescent="0.2">
      <c r="AM5621" t="str">
        <f t="shared" si="87"/>
        <v>Hampton Roads Pt [USHR3]</v>
      </c>
      <c r="AN5621" t="s">
        <v>30050</v>
      </c>
      <c r="AO5621" t="s">
        <v>30051</v>
      </c>
    </row>
    <row r="5622" spans="39:41" ht="12" customHeight="1" x14ac:dyDescent="0.2">
      <c r="AM5622" t="str">
        <f t="shared" si="87"/>
        <v>Hamrawein [EGHAM]</v>
      </c>
      <c r="AN5622" t="s">
        <v>9484</v>
      </c>
      <c r="AO5622" t="s">
        <v>9485</v>
      </c>
    </row>
    <row r="5623" spans="39:41" ht="12" customHeight="1" x14ac:dyDescent="0.2">
      <c r="AM5623" t="str">
        <f t="shared" si="87"/>
        <v>Hamriya Free Zone Port [AEHZP]</v>
      </c>
      <c r="AN5623" t="s">
        <v>731</v>
      </c>
      <c r="AO5623" t="s">
        <v>732</v>
      </c>
    </row>
    <row r="5624" spans="39:41" ht="12" customHeight="1" x14ac:dyDescent="0.2">
      <c r="AM5624" t="str">
        <f t="shared" si="87"/>
        <v>Hamsehoeven [BEHAM]</v>
      </c>
      <c r="AN5624" t="s">
        <v>2501</v>
      </c>
      <c r="AO5624" t="s">
        <v>2502</v>
      </c>
    </row>
    <row r="5625" spans="39:41" ht="12" customHeight="1" x14ac:dyDescent="0.2">
      <c r="AM5625" t="str">
        <f t="shared" ref="AM5625:AM5688" si="88">AO5625 &amp; " [" &amp; AN5625 &amp; "]"</f>
        <v>Ham-sur-Sambre [BEHMB]</v>
      </c>
      <c r="AN5625" t="s">
        <v>2503</v>
      </c>
      <c r="AO5625" t="s">
        <v>2504</v>
      </c>
    </row>
    <row r="5626" spans="39:41" ht="12" customHeight="1" x14ac:dyDescent="0.2">
      <c r="AM5626" t="str">
        <f t="shared" si="88"/>
        <v>Hamtic [PHAQE]</v>
      </c>
      <c r="AN5626" t="s">
        <v>25769</v>
      </c>
      <c r="AO5626" t="s">
        <v>25770</v>
      </c>
    </row>
    <row r="5627" spans="39:41" ht="12" customHeight="1" x14ac:dyDescent="0.2">
      <c r="AM5627" t="str">
        <f t="shared" si="88"/>
        <v>Hanasaki [JPHNK]</v>
      </c>
      <c r="AN5627" t="s">
        <v>18946</v>
      </c>
      <c r="AO5627" t="s">
        <v>18947</v>
      </c>
    </row>
    <row r="5628" spans="39:41" ht="12" customHeight="1" x14ac:dyDescent="0.2">
      <c r="AM5628" t="str">
        <f t="shared" si="88"/>
        <v>Hanau [DEHAU]</v>
      </c>
      <c r="AN5628" t="s">
        <v>7523</v>
      </c>
      <c r="AO5628" t="s">
        <v>7524</v>
      </c>
    </row>
    <row r="5629" spans="39:41" ht="12" customHeight="1" x14ac:dyDescent="0.2">
      <c r="AM5629" t="str">
        <f t="shared" si="88"/>
        <v>Hancock [USH2N]</v>
      </c>
      <c r="AN5629" t="s">
        <v>30052</v>
      </c>
      <c r="AO5629" t="s">
        <v>30053</v>
      </c>
    </row>
    <row r="5630" spans="39:41" ht="12" customHeight="1" x14ac:dyDescent="0.2">
      <c r="AM5630" t="str">
        <f t="shared" si="88"/>
        <v>Handa [JPHDA]</v>
      </c>
      <c r="AN5630" t="s">
        <v>18948</v>
      </c>
      <c r="AO5630" t="s">
        <v>18949</v>
      </c>
    </row>
    <row r="5631" spans="39:41" ht="12" customHeight="1" x14ac:dyDescent="0.2">
      <c r="AM5631" t="str">
        <f t="shared" si="88"/>
        <v>Handeloh [DEXZS]</v>
      </c>
      <c r="AN5631" t="s">
        <v>7525</v>
      </c>
      <c r="AO5631" t="s">
        <v>7526</v>
      </c>
    </row>
    <row r="5632" spans="39:41" ht="12" customHeight="1" x14ac:dyDescent="0.2">
      <c r="AM5632" t="str">
        <f t="shared" si="88"/>
        <v>Handzame [BEHNA]</v>
      </c>
      <c r="AN5632" t="s">
        <v>2505</v>
      </c>
      <c r="AO5632" t="s">
        <v>2506</v>
      </c>
    </row>
    <row r="5633" spans="39:41" ht="12" customHeight="1" x14ac:dyDescent="0.2">
      <c r="AM5633" t="str">
        <f t="shared" si="88"/>
        <v>Hane [JPHNE]</v>
      </c>
      <c r="AN5633" t="s">
        <v>18950</v>
      </c>
      <c r="AO5633" t="s">
        <v>18951</v>
      </c>
    </row>
    <row r="5634" spans="39:41" ht="12" customHeight="1" x14ac:dyDescent="0.2">
      <c r="AM5634" t="str">
        <f t="shared" si="88"/>
        <v>Hangarkatta [INHGT]</v>
      </c>
      <c r="AN5634" t="s">
        <v>17162</v>
      </c>
      <c r="AO5634" t="s">
        <v>17163</v>
      </c>
    </row>
    <row r="5635" spans="39:41" ht="12" customHeight="1" x14ac:dyDescent="0.2">
      <c r="AM5635" t="str">
        <f t="shared" si="88"/>
        <v>Hango (Hanko) [FIHKO]</v>
      </c>
      <c r="AN5635" t="s">
        <v>10355</v>
      </c>
      <c r="AO5635" t="s">
        <v>35722</v>
      </c>
    </row>
    <row r="5636" spans="39:41" ht="12" customHeight="1" x14ac:dyDescent="0.2">
      <c r="AM5636" t="str">
        <f t="shared" si="88"/>
        <v>Hanna [QAHNA]</v>
      </c>
      <c r="AN5636" t="s">
        <v>26697</v>
      </c>
      <c r="AO5636" t="s">
        <v>26698</v>
      </c>
    </row>
    <row r="5637" spans="39:41" ht="12" customHeight="1" x14ac:dyDescent="0.2">
      <c r="AM5637" t="str">
        <f t="shared" si="88"/>
        <v>Hannan [JPHAN]</v>
      </c>
      <c r="AN5637" t="s">
        <v>18952</v>
      </c>
      <c r="AO5637" t="s">
        <v>18953</v>
      </c>
    </row>
    <row r="5638" spans="39:41" ht="12" customHeight="1" x14ac:dyDescent="0.2">
      <c r="AM5638" t="str">
        <f t="shared" si="88"/>
        <v>Hannoura [JPHUR]</v>
      </c>
      <c r="AN5638" t="s">
        <v>18954</v>
      </c>
      <c r="AO5638" t="s">
        <v>18955</v>
      </c>
    </row>
    <row r="5639" spans="39:41" ht="12" customHeight="1" x14ac:dyDescent="0.2">
      <c r="AM5639" t="str">
        <f t="shared" si="88"/>
        <v>Hannover [DEHAJ]</v>
      </c>
      <c r="AN5639" t="s">
        <v>7527</v>
      </c>
      <c r="AO5639" t="s">
        <v>7528</v>
      </c>
    </row>
    <row r="5640" spans="39:41" ht="12" customHeight="1" x14ac:dyDescent="0.2">
      <c r="AM5640" t="str">
        <f t="shared" si="88"/>
        <v>Hanoi [VNHAN]</v>
      </c>
      <c r="AN5640" t="s">
        <v>32378</v>
      </c>
      <c r="AO5640" t="s">
        <v>32379</v>
      </c>
    </row>
    <row r="5641" spans="39:41" ht="12" customHeight="1" x14ac:dyDescent="0.2">
      <c r="AM5641" t="str">
        <f t="shared" si="88"/>
        <v>Hanover [CAHVR]</v>
      </c>
      <c r="AN5641" t="s">
        <v>3914</v>
      </c>
      <c r="AO5641" t="s">
        <v>3915</v>
      </c>
    </row>
    <row r="5642" spans="39:41" ht="12" customHeight="1" x14ac:dyDescent="0.2">
      <c r="AM5642" t="str">
        <f t="shared" si="88"/>
        <v>Hanoytangen [NOHOT]</v>
      </c>
      <c r="AN5642" t="s">
        <v>24195</v>
      </c>
      <c r="AO5642" t="s">
        <v>36187</v>
      </c>
    </row>
    <row r="5643" spans="39:41" ht="12" customHeight="1" x14ac:dyDescent="0.2">
      <c r="AM5643" t="str">
        <f t="shared" si="88"/>
        <v>Hansbeke [BEHBE]</v>
      </c>
      <c r="AN5643" t="s">
        <v>2507</v>
      </c>
      <c r="AO5643" t="s">
        <v>2508</v>
      </c>
    </row>
    <row r="5644" spans="39:41" ht="12" customHeight="1" x14ac:dyDescent="0.2">
      <c r="AM5644" t="str">
        <f t="shared" si="88"/>
        <v>Hansnes [NOHAE]</v>
      </c>
      <c r="AN5644" t="s">
        <v>24196</v>
      </c>
      <c r="AO5644" t="s">
        <v>24197</v>
      </c>
    </row>
    <row r="5645" spans="39:41" ht="12" customHeight="1" x14ac:dyDescent="0.2">
      <c r="AM5645" t="str">
        <f t="shared" si="88"/>
        <v>Hanstholm [DKHAN]</v>
      </c>
      <c r="AN5645" t="s">
        <v>8719</v>
      </c>
      <c r="AO5645" t="s">
        <v>8720</v>
      </c>
    </row>
    <row r="5646" spans="39:41" ht="12" customHeight="1" x14ac:dyDescent="0.2">
      <c r="AM5646" t="str">
        <f t="shared" si="88"/>
        <v>Hansweert/Schore [NLHAN]</v>
      </c>
      <c r="AN5646" t="s">
        <v>23229</v>
      </c>
      <c r="AO5646" t="s">
        <v>23230</v>
      </c>
    </row>
    <row r="5647" spans="39:41" ht="12" customHeight="1" x14ac:dyDescent="0.2">
      <c r="AM5647" t="str">
        <f t="shared" si="88"/>
        <v>Hants Harbour [CAHHB]</v>
      </c>
      <c r="AN5647" t="s">
        <v>3916</v>
      </c>
      <c r="AO5647" t="s">
        <v>3917</v>
      </c>
    </row>
    <row r="5648" spans="39:41" ht="12" customHeight="1" x14ac:dyDescent="0.2">
      <c r="AM5648" t="str">
        <f t="shared" si="88"/>
        <v>Hantsport [CAHPT]</v>
      </c>
      <c r="AN5648" t="s">
        <v>3918</v>
      </c>
      <c r="AO5648" t="s">
        <v>3919</v>
      </c>
    </row>
    <row r="5649" spans="39:41" ht="12" customHeight="1" x14ac:dyDescent="0.2">
      <c r="AM5649" t="str">
        <f t="shared" si="88"/>
        <v>Hanwell [GBAEW]</v>
      </c>
      <c r="AN5649" t="s">
        <v>13344</v>
      </c>
      <c r="AO5649" t="s">
        <v>13345</v>
      </c>
    </row>
    <row r="5650" spans="39:41" ht="12" customHeight="1" x14ac:dyDescent="0.2">
      <c r="AM5650" t="str">
        <f t="shared" si="88"/>
        <v>Hanwood [AUHWD]</v>
      </c>
      <c r="AN5650" t="s">
        <v>1725</v>
      </c>
      <c r="AO5650" t="s">
        <v>1726</v>
      </c>
    </row>
    <row r="5651" spans="39:41" ht="12" customHeight="1" x14ac:dyDescent="0.2">
      <c r="AM5651" t="str">
        <f t="shared" si="88"/>
        <v>Hanyu [JPHNY]</v>
      </c>
      <c r="AN5651" t="s">
        <v>18956</v>
      </c>
      <c r="AO5651" t="s">
        <v>18957</v>
      </c>
    </row>
    <row r="5652" spans="39:41" ht="12" customHeight="1" x14ac:dyDescent="0.2">
      <c r="AM5652" t="str">
        <f t="shared" si="88"/>
        <v>Haoxue [CNHXE]</v>
      </c>
      <c r="AN5652" t="s">
        <v>5402</v>
      </c>
      <c r="AO5652" t="s">
        <v>5403</v>
      </c>
    </row>
    <row r="5653" spans="39:41" ht="12" customHeight="1" x14ac:dyDescent="0.2">
      <c r="AM5653" t="str">
        <f t="shared" si="88"/>
        <v>Haparanda [SEHAA]</v>
      </c>
      <c r="AN5653" t="s">
        <v>27620</v>
      </c>
      <c r="AO5653" t="s">
        <v>27621</v>
      </c>
    </row>
    <row r="5654" spans="39:41" ht="12" customHeight="1" x14ac:dyDescent="0.2">
      <c r="AM5654" t="str">
        <f t="shared" si="88"/>
        <v>Happy Valley [AUHPP]</v>
      </c>
      <c r="AN5654" t="s">
        <v>1727</v>
      </c>
      <c r="AO5654" t="s">
        <v>1728</v>
      </c>
    </row>
    <row r="5655" spans="39:41" ht="12" customHeight="1" x14ac:dyDescent="0.2">
      <c r="AM5655" t="str">
        <f t="shared" si="88"/>
        <v>Hara [JPHAR]</v>
      </c>
      <c r="AN5655" t="s">
        <v>18958</v>
      </c>
      <c r="AO5655" t="s">
        <v>18959</v>
      </c>
    </row>
    <row r="5656" spans="39:41" ht="12" customHeight="1" x14ac:dyDescent="0.2">
      <c r="AM5656" t="str">
        <f t="shared" si="88"/>
        <v>Hara Sadam [EEHRS]</v>
      </c>
      <c r="AN5656" t="s">
        <v>33835</v>
      </c>
      <c r="AO5656" t="s">
        <v>33958</v>
      </c>
    </row>
    <row r="5657" spans="39:41" ht="12" customHeight="1" x14ac:dyDescent="0.2">
      <c r="AM5657" t="str">
        <f t="shared" si="88"/>
        <v>Hara Sadam [EEHRA]</v>
      </c>
      <c r="AN5657" t="s">
        <v>34072</v>
      </c>
      <c r="AO5657" t="s">
        <v>33958</v>
      </c>
    </row>
    <row r="5658" spans="39:41" ht="12" customHeight="1" x14ac:dyDescent="0.2">
      <c r="AM5658" t="str">
        <f t="shared" si="88"/>
        <v>Harad [YEHAR]</v>
      </c>
      <c r="AN5658" t="s">
        <v>32634</v>
      </c>
      <c r="AO5658" t="s">
        <v>32635</v>
      </c>
    </row>
    <row r="5659" spans="39:41" ht="12" customHeight="1" x14ac:dyDescent="0.2">
      <c r="AM5659" t="str">
        <f t="shared" si="88"/>
        <v>Haraholmen [SEHAH]</v>
      </c>
      <c r="AN5659" t="s">
        <v>27622</v>
      </c>
      <c r="AO5659" t="s">
        <v>27623</v>
      </c>
    </row>
    <row r="5660" spans="39:41" ht="12" customHeight="1" x14ac:dyDescent="0.2">
      <c r="AM5660" t="str">
        <f t="shared" si="88"/>
        <v>Haram [NOHAR]</v>
      </c>
      <c r="AN5660" t="s">
        <v>24198</v>
      </c>
      <c r="AO5660" t="s">
        <v>24199</v>
      </c>
    </row>
    <row r="5661" spans="39:41" ht="12" customHeight="1" x14ac:dyDescent="0.2">
      <c r="AM5661" t="str">
        <f t="shared" si="88"/>
        <v>Haramachi [JPHRM]</v>
      </c>
      <c r="AN5661" t="s">
        <v>18960</v>
      </c>
      <c r="AO5661" t="s">
        <v>18961</v>
      </c>
    </row>
    <row r="5662" spans="39:41" ht="12" customHeight="1" x14ac:dyDescent="0.2">
      <c r="AM5662" t="str">
        <f t="shared" si="88"/>
        <v>Haramidere [TRHAR]</v>
      </c>
      <c r="AN5662" t="s">
        <v>28487</v>
      </c>
      <c r="AO5662" t="s">
        <v>28488</v>
      </c>
    </row>
    <row r="5663" spans="39:41" ht="12" customHeight="1" x14ac:dyDescent="0.2">
      <c r="AM5663" t="str">
        <f t="shared" si="88"/>
        <v>Harbin [CNHRN]</v>
      </c>
      <c r="AN5663" t="s">
        <v>5404</v>
      </c>
      <c r="AO5663" t="s">
        <v>5405</v>
      </c>
    </row>
    <row r="5664" spans="39:41" ht="12" customHeight="1" x14ac:dyDescent="0.2">
      <c r="AM5664" t="str">
        <f t="shared" si="88"/>
        <v>Harbin Pt [CNHBG]</v>
      </c>
      <c r="AN5664" t="s">
        <v>5406</v>
      </c>
      <c r="AO5664" t="s">
        <v>5407</v>
      </c>
    </row>
    <row r="5665" spans="39:41" ht="12" customHeight="1" x14ac:dyDescent="0.2">
      <c r="AM5665" t="str">
        <f t="shared" si="88"/>
        <v>Harbor Beach [USHB4]</v>
      </c>
      <c r="AN5665" t="s">
        <v>30054</v>
      </c>
      <c r="AO5665" t="s">
        <v>30055</v>
      </c>
    </row>
    <row r="5666" spans="39:41" ht="12" customHeight="1" x14ac:dyDescent="0.2">
      <c r="AM5666" t="str">
        <f t="shared" si="88"/>
        <v>Harbor Island [USHJS]</v>
      </c>
      <c r="AN5666" t="s">
        <v>30056</v>
      </c>
      <c r="AO5666" t="s">
        <v>30057</v>
      </c>
    </row>
    <row r="5667" spans="39:41" ht="12" customHeight="1" x14ac:dyDescent="0.2">
      <c r="AM5667" t="str">
        <f t="shared" si="88"/>
        <v>Harbor Springs [USHS3]</v>
      </c>
      <c r="AN5667" t="s">
        <v>30058</v>
      </c>
      <c r="AO5667" t="s">
        <v>30059</v>
      </c>
    </row>
    <row r="5668" spans="39:41" ht="12" customHeight="1" x14ac:dyDescent="0.2">
      <c r="AM5668" t="str">
        <f t="shared" si="88"/>
        <v>Harbour Breton [CAHBR]</v>
      </c>
      <c r="AN5668" t="s">
        <v>3920</v>
      </c>
      <c r="AO5668" t="s">
        <v>3921</v>
      </c>
    </row>
    <row r="5669" spans="39:41" ht="12" customHeight="1" x14ac:dyDescent="0.2">
      <c r="AM5669" t="str">
        <f t="shared" si="88"/>
        <v>Harbour Grace [CAHRE]</v>
      </c>
      <c r="AN5669" t="s">
        <v>3922</v>
      </c>
      <c r="AO5669" t="s">
        <v>3923</v>
      </c>
    </row>
    <row r="5670" spans="39:41" ht="12" customHeight="1" x14ac:dyDescent="0.2">
      <c r="AM5670" t="str">
        <f t="shared" si="88"/>
        <v>Harbour Island [BMHBI]</v>
      </c>
      <c r="AN5670" t="s">
        <v>3202</v>
      </c>
      <c r="AO5670" t="s">
        <v>3203</v>
      </c>
    </row>
    <row r="5671" spans="39:41" ht="12" customHeight="1" x14ac:dyDescent="0.2">
      <c r="AM5671" t="str">
        <f t="shared" si="88"/>
        <v>Harbour Island [BSHBI]</v>
      </c>
      <c r="AN5671" t="s">
        <v>3449</v>
      </c>
      <c r="AO5671" t="s">
        <v>3203</v>
      </c>
    </row>
    <row r="5672" spans="39:41" ht="12" customHeight="1" x14ac:dyDescent="0.2">
      <c r="AM5672" t="str">
        <f t="shared" si="88"/>
        <v>Harburg [DEHBU]</v>
      </c>
      <c r="AN5672" t="s">
        <v>7529</v>
      </c>
      <c r="AO5672" t="s">
        <v>7530</v>
      </c>
    </row>
    <row r="5673" spans="39:41" ht="12" customHeight="1" x14ac:dyDescent="0.2">
      <c r="AM5673" t="str">
        <f t="shared" si="88"/>
        <v>Harchies [BEHCS]</v>
      </c>
      <c r="AN5673" t="s">
        <v>2509</v>
      </c>
      <c r="AO5673" t="s">
        <v>2510</v>
      </c>
    </row>
    <row r="5674" spans="39:41" ht="12" customHeight="1" x14ac:dyDescent="0.2">
      <c r="AM5674" t="str">
        <f t="shared" si="88"/>
        <v>Hardenberg [NLHBG]</v>
      </c>
      <c r="AN5674" t="s">
        <v>33888</v>
      </c>
      <c r="AO5674" t="s">
        <v>34010</v>
      </c>
    </row>
    <row r="5675" spans="39:41" ht="12" customHeight="1" x14ac:dyDescent="0.2">
      <c r="AM5675" t="str">
        <f t="shared" si="88"/>
        <v>Harderwijk [NLHRD]</v>
      </c>
      <c r="AN5675" t="s">
        <v>33889</v>
      </c>
      <c r="AO5675" t="s">
        <v>34011</v>
      </c>
    </row>
    <row r="5676" spans="39:41" ht="12" customHeight="1" x14ac:dyDescent="0.2">
      <c r="AM5676" t="str">
        <f t="shared" si="88"/>
        <v>Hardeshoj [DKHDH]</v>
      </c>
      <c r="AN5676" t="s">
        <v>8721</v>
      </c>
      <c r="AO5676" t="s">
        <v>35539</v>
      </c>
    </row>
    <row r="5677" spans="39:41" ht="12" customHeight="1" x14ac:dyDescent="0.2">
      <c r="AM5677" t="str">
        <f t="shared" si="88"/>
        <v>Hardinsburg [USHXG]</v>
      </c>
      <c r="AN5677" t="s">
        <v>30060</v>
      </c>
      <c r="AO5677" t="s">
        <v>30061</v>
      </c>
    </row>
    <row r="5678" spans="39:41" ht="12" customHeight="1" x14ac:dyDescent="0.2">
      <c r="AM5678" t="str">
        <f t="shared" si="88"/>
        <v>Hardinxveld [NLHGS]</v>
      </c>
      <c r="AN5678" t="s">
        <v>23231</v>
      </c>
      <c r="AO5678" t="s">
        <v>23232</v>
      </c>
    </row>
    <row r="5679" spans="39:41" ht="12" customHeight="1" x14ac:dyDescent="0.2">
      <c r="AM5679" t="str">
        <f t="shared" si="88"/>
        <v>Hardricourt [FRY78]</v>
      </c>
      <c r="AN5679" t="s">
        <v>11370</v>
      </c>
      <c r="AO5679" t="s">
        <v>11371</v>
      </c>
    </row>
    <row r="5680" spans="39:41" ht="12" customHeight="1" x14ac:dyDescent="0.2">
      <c r="AM5680" t="str">
        <f t="shared" si="88"/>
        <v>Hardwick [US5MN]</v>
      </c>
      <c r="AN5680" t="s">
        <v>30062</v>
      </c>
      <c r="AO5680" t="s">
        <v>30063</v>
      </c>
    </row>
    <row r="5681" spans="39:41" ht="12" customHeight="1" x14ac:dyDescent="0.2">
      <c r="AM5681" t="str">
        <f t="shared" si="88"/>
        <v>Hardy Island [AUHYI]</v>
      </c>
      <c r="AN5681" t="s">
        <v>1729</v>
      </c>
      <c r="AO5681" t="s">
        <v>1730</v>
      </c>
    </row>
    <row r="5682" spans="39:41" ht="12" customHeight="1" x14ac:dyDescent="0.2">
      <c r="AM5682" t="str">
        <f t="shared" si="88"/>
        <v>Harefield [GBHRF]</v>
      </c>
      <c r="AN5682" t="s">
        <v>13346</v>
      </c>
      <c r="AO5682" t="s">
        <v>13347</v>
      </c>
    </row>
    <row r="5683" spans="39:41" ht="12" customHeight="1" x14ac:dyDescent="0.2">
      <c r="AM5683" t="str">
        <f t="shared" si="88"/>
        <v>Hareid [NOHRI]</v>
      </c>
      <c r="AN5683" t="s">
        <v>24200</v>
      </c>
      <c r="AO5683" t="s">
        <v>24201</v>
      </c>
    </row>
    <row r="5684" spans="39:41" ht="12" customHeight="1" x14ac:dyDescent="0.2">
      <c r="AM5684" t="str">
        <f t="shared" si="88"/>
        <v>Harelbeke [BEHEJ]</v>
      </c>
      <c r="AN5684" t="s">
        <v>2511</v>
      </c>
      <c r="AO5684" t="s">
        <v>2512</v>
      </c>
    </row>
    <row r="5685" spans="39:41" ht="12" customHeight="1" x14ac:dyDescent="0.2">
      <c r="AM5685" t="str">
        <f t="shared" si="88"/>
        <v>Haren [BEHAR]</v>
      </c>
      <c r="AN5685" t="s">
        <v>2513</v>
      </c>
      <c r="AO5685" t="s">
        <v>2514</v>
      </c>
    </row>
    <row r="5686" spans="39:41" ht="12" customHeight="1" x14ac:dyDescent="0.2">
      <c r="AM5686" t="str">
        <f t="shared" si="88"/>
        <v>Haren [NLHRE]</v>
      </c>
      <c r="AN5686" t="s">
        <v>23233</v>
      </c>
      <c r="AO5686" t="s">
        <v>2514</v>
      </c>
    </row>
    <row r="5687" spans="39:41" ht="12" customHeight="1" x14ac:dyDescent="0.2">
      <c r="AM5687" t="str">
        <f t="shared" si="88"/>
        <v>Haren/Ems [DEHRN]</v>
      </c>
      <c r="AN5687" t="s">
        <v>7531</v>
      </c>
      <c r="AO5687" t="s">
        <v>7532</v>
      </c>
    </row>
    <row r="5688" spans="39:41" ht="12" customHeight="1" x14ac:dyDescent="0.2">
      <c r="AM5688" t="str">
        <f t="shared" si="88"/>
        <v>Harfleur [FRHRF]</v>
      </c>
      <c r="AN5688" t="s">
        <v>11372</v>
      </c>
      <c r="AO5688" t="s">
        <v>11373</v>
      </c>
    </row>
    <row r="5689" spans="39:41" ht="12" customHeight="1" x14ac:dyDescent="0.2">
      <c r="AM5689" t="str">
        <f t="shared" ref="AM5689:AM5752" si="89">AO5689 &amp; " [" &amp; AN5689 &amp; "]"</f>
        <v>Hargshamn [SEHAN]</v>
      </c>
      <c r="AN5689" t="s">
        <v>27624</v>
      </c>
      <c r="AO5689" t="s">
        <v>27625</v>
      </c>
    </row>
    <row r="5690" spans="39:41" ht="12" customHeight="1" x14ac:dyDescent="0.2">
      <c r="AM5690" t="str">
        <f t="shared" si="89"/>
        <v>Harlesiel [DEHSX]</v>
      </c>
      <c r="AN5690" t="s">
        <v>7533</v>
      </c>
      <c r="AO5690" t="s">
        <v>7534</v>
      </c>
    </row>
    <row r="5691" spans="39:41" ht="12" customHeight="1" x14ac:dyDescent="0.2">
      <c r="AM5691" t="str">
        <f t="shared" si="89"/>
        <v>Harlingen [NLHAR]</v>
      </c>
      <c r="AN5691" t="s">
        <v>23234</v>
      </c>
      <c r="AO5691" t="s">
        <v>23235</v>
      </c>
    </row>
    <row r="5692" spans="39:41" ht="12" customHeight="1" x14ac:dyDescent="0.2">
      <c r="AM5692" t="str">
        <f t="shared" si="89"/>
        <v>Harlow [GBHRL]</v>
      </c>
      <c r="AN5692" t="s">
        <v>13348</v>
      </c>
      <c r="AO5692" t="s">
        <v>13349</v>
      </c>
    </row>
    <row r="5693" spans="39:41" ht="12" customHeight="1" x14ac:dyDescent="0.2">
      <c r="AM5693" t="str">
        <f t="shared" si="89"/>
        <v>Harnai [INHRN]</v>
      </c>
      <c r="AN5693" t="s">
        <v>17164</v>
      </c>
      <c r="AO5693" t="s">
        <v>17165</v>
      </c>
    </row>
    <row r="5694" spans="39:41" ht="12" customHeight="1" x14ac:dyDescent="0.2">
      <c r="AM5694" t="str">
        <f t="shared" si="89"/>
        <v>Harnes [FRHRN]</v>
      </c>
      <c r="AN5694" t="s">
        <v>11374</v>
      </c>
      <c r="AO5694" t="s">
        <v>11375</v>
      </c>
    </row>
    <row r="5695" spans="39:41" ht="12" customHeight="1" x14ac:dyDescent="0.2">
      <c r="AM5695" t="str">
        <f t="shared" si="89"/>
        <v>Harnosand [SEHND]</v>
      </c>
      <c r="AN5695" t="s">
        <v>27626</v>
      </c>
      <c r="AO5695" t="s">
        <v>36450</v>
      </c>
    </row>
    <row r="5696" spans="39:41" ht="12" customHeight="1" x14ac:dyDescent="0.2">
      <c r="AM5696" t="str">
        <f t="shared" si="89"/>
        <v>Haroysundet [NOHRS]</v>
      </c>
      <c r="AN5696" t="s">
        <v>24202</v>
      </c>
      <c r="AO5696" t="s">
        <v>36188</v>
      </c>
    </row>
    <row r="5697" spans="39:41" ht="12" customHeight="1" x14ac:dyDescent="0.2">
      <c r="AM5697" t="str">
        <f t="shared" si="89"/>
        <v>Harper [LRHAR]</v>
      </c>
      <c r="AN5697" t="s">
        <v>21871</v>
      </c>
      <c r="AO5697" t="s">
        <v>21872</v>
      </c>
    </row>
    <row r="5698" spans="39:41" ht="12" customHeight="1" x14ac:dyDescent="0.2">
      <c r="AM5698" t="str">
        <f t="shared" si="89"/>
        <v>Harraby [GBHAA]</v>
      </c>
      <c r="AN5698" t="s">
        <v>13350</v>
      </c>
      <c r="AO5698" t="s">
        <v>13351</v>
      </c>
    </row>
    <row r="5699" spans="39:41" ht="12" customHeight="1" x14ac:dyDescent="0.2">
      <c r="AM5699" t="str">
        <f t="shared" si="89"/>
        <v>Harriet Harbour [CAHAR]</v>
      </c>
      <c r="AN5699" t="s">
        <v>3924</v>
      </c>
      <c r="AO5699" t="s">
        <v>3925</v>
      </c>
    </row>
    <row r="5700" spans="39:41" ht="12" customHeight="1" x14ac:dyDescent="0.2">
      <c r="AM5700" t="str">
        <f t="shared" si="89"/>
        <v>Harris [USH9R]</v>
      </c>
      <c r="AN5700" t="s">
        <v>30064</v>
      </c>
      <c r="AO5700" t="s">
        <v>30065</v>
      </c>
    </row>
    <row r="5701" spans="39:41" ht="12" customHeight="1" x14ac:dyDescent="0.2">
      <c r="AM5701" t="str">
        <f t="shared" si="89"/>
        <v>Harrisburg [USHB3]</v>
      </c>
      <c r="AN5701" t="s">
        <v>30066</v>
      </c>
      <c r="AO5701" t="s">
        <v>30067</v>
      </c>
    </row>
    <row r="5702" spans="39:41" ht="12" customHeight="1" x14ac:dyDescent="0.2">
      <c r="AM5702" t="str">
        <f t="shared" si="89"/>
        <v>Harskamp [NLHSK]</v>
      </c>
      <c r="AN5702" t="s">
        <v>23236</v>
      </c>
      <c r="AO5702" t="s">
        <v>23237</v>
      </c>
    </row>
    <row r="5703" spans="39:41" ht="12" customHeight="1" x14ac:dyDescent="0.2">
      <c r="AM5703" t="str">
        <f t="shared" si="89"/>
        <v>Harsova [RORVA]</v>
      </c>
      <c r="AN5703" t="s">
        <v>26764</v>
      </c>
      <c r="AO5703" t="s">
        <v>36405</v>
      </c>
    </row>
    <row r="5704" spans="39:41" ht="12" customHeight="1" x14ac:dyDescent="0.2">
      <c r="AM5704" t="str">
        <f t="shared" si="89"/>
        <v>Harstad [NOHRD]</v>
      </c>
      <c r="AN5704" t="s">
        <v>24203</v>
      </c>
      <c r="AO5704" t="s">
        <v>24204</v>
      </c>
    </row>
    <row r="5705" spans="39:41" ht="12" customHeight="1" x14ac:dyDescent="0.2">
      <c r="AM5705" t="str">
        <f t="shared" si="89"/>
        <v>Harta [HUHRT]</v>
      </c>
      <c r="AN5705" t="s">
        <v>16090</v>
      </c>
      <c r="AO5705" t="s">
        <v>16091</v>
      </c>
    </row>
    <row r="5706" spans="39:41" ht="12" customHeight="1" x14ac:dyDescent="0.2">
      <c r="AM5706" t="str">
        <f t="shared" si="89"/>
        <v>Hartlepool [GBHTP]</v>
      </c>
      <c r="AN5706" t="s">
        <v>13352</v>
      </c>
      <c r="AO5706" t="s">
        <v>13353</v>
      </c>
    </row>
    <row r="5707" spans="39:41" ht="12" customHeight="1" x14ac:dyDescent="0.2">
      <c r="AM5707" t="str">
        <f t="shared" si="89"/>
        <v>Hartley [GBYLY]</v>
      </c>
      <c r="AN5707" t="s">
        <v>13354</v>
      </c>
      <c r="AO5707" t="s">
        <v>13355</v>
      </c>
    </row>
    <row r="5708" spans="39:41" ht="12" customHeight="1" x14ac:dyDescent="0.2">
      <c r="AM5708" t="str">
        <f t="shared" si="89"/>
        <v>Hartzviller [FRH57]</v>
      </c>
      <c r="AN5708" t="s">
        <v>11376</v>
      </c>
      <c r="AO5708" t="s">
        <v>11377</v>
      </c>
    </row>
    <row r="5709" spans="39:41" ht="12" customHeight="1" x14ac:dyDescent="0.2">
      <c r="AM5709" t="str">
        <f t="shared" si="89"/>
        <v>Harvaluoto [FIHAR]</v>
      </c>
      <c r="AN5709" t="s">
        <v>10356</v>
      </c>
      <c r="AO5709" t="s">
        <v>10357</v>
      </c>
    </row>
    <row r="5710" spans="39:41" ht="12" customHeight="1" x14ac:dyDescent="0.2">
      <c r="AM5710" t="str">
        <f t="shared" si="89"/>
        <v>Harwich [GBHRW]</v>
      </c>
      <c r="AN5710" t="s">
        <v>13356</v>
      </c>
      <c r="AO5710" t="s">
        <v>13357</v>
      </c>
    </row>
    <row r="5711" spans="39:41" ht="12" customHeight="1" x14ac:dyDescent="0.2">
      <c r="AM5711" t="str">
        <f t="shared" si="89"/>
        <v>Harwood [CAHON]</v>
      </c>
      <c r="AN5711" t="s">
        <v>3926</v>
      </c>
      <c r="AO5711" t="s">
        <v>3927</v>
      </c>
    </row>
    <row r="5712" spans="39:41" ht="12" customHeight="1" x14ac:dyDescent="0.2">
      <c r="AM5712" t="str">
        <f t="shared" si="89"/>
        <v>Harwood [USZHW]</v>
      </c>
      <c r="AN5712" t="s">
        <v>30068</v>
      </c>
      <c r="AO5712" t="s">
        <v>3927</v>
      </c>
    </row>
    <row r="5713" spans="39:41" ht="12" customHeight="1" x14ac:dyDescent="0.2">
      <c r="AM5713" t="str">
        <f t="shared" si="89"/>
        <v>Harwood Heights [USHHT]</v>
      </c>
      <c r="AN5713" t="s">
        <v>30069</v>
      </c>
      <c r="AO5713" t="s">
        <v>30070</v>
      </c>
    </row>
    <row r="5714" spans="39:41" ht="12" customHeight="1" x14ac:dyDescent="0.2">
      <c r="AM5714" t="str">
        <f t="shared" si="89"/>
        <v>Haryana [KRHAR]</v>
      </c>
      <c r="AN5714" t="s">
        <v>21658</v>
      </c>
      <c r="AO5714" t="s">
        <v>21659</v>
      </c>
    </row>
    <row r="5715" spans="39:41" ht="12" customHeight="1" x14ac:dyDescent="0.2">
      <c r="AM5715" t="str">
        <f t="shared" si="89"/>
        <v>Hasbergen [DENIH]</v>
      </c>
      <c r="AN5715" t="s">
        <v>7535</v>
      </c>
      <c r="AO5715" t="s">
        <v>7536</v>
      </c>
    </row>
    <row r="5716" spans="39:41" ht="12" customHeight="1" x14ac:dyDescent="0.2">
      <c r="AM5716" t="str">
        <f t="shared" si="89"/>
        <v>Hasbrouck Heights [USZHU]</v>
      </c>
      <c r="AN5716" t="s">
        <v>30071</v>
      </c>
      <c r="AO5716" t="s">
        <v>30072</v>
      </c>
    </row>
    <row r="5717" spans="39:41" ht="12" customHeight="1" x14ac:dyDescent="0.2">
      <c r="AM5717" t="str">
        <f t="shared" si="89"/>
        <v>Hase [JPHSS]</v>
      </c>
      <c r="AN5717" t="s">
        <v>18962</v>
      </c>
      <c r="AO5717" t="s">
        <v>18963</v>
      </c>
    </row>
    <row r="5718" spans="39:41" ht="12" customHeight="1" x14ac:dyDescent="0.2">
      <c r="AM5718" t="str">
        <f t="shared" si="89"/>
        <v>Haseldorf [DEHLO]</v>
      </c>
      <c r="AN5718" t="s">
        <v>7537</v>
      </c>
      <c r="AO5718" t="s">
        <v>7538</v>
      </c>
    </row>
    <row r="5719" spans="39:41" ht="12" customHeight="1" x14ac:dyDescent="0.2">
      <c r="AM5719" t="str">
        <f t="shared" si="89"/>
        <v>Hashi [JPHSH]</v>
      </c>
      <c r="AN5719" t="s">
        <v>18964</v>
      </c>
      <c r="AO5719" t="s">
        <v>18965</v>
      </c>
    </row>
    <row r="5720" spans="39:41" ht="12" customHeight="1" x14ac:dyDescent="0.2">
      <c r="AM5720" t="str">
        <f t="shared" si="89"/>
        <v>Hashihama [JPHAS]</v>
      </c>
      <c r="AN5720" t="s">
        <v>18966</v>
      </c>
      <c r="AO5720" t="s">
        <v>18967</v>
      </c>
    </row>
    <row r="5721" spans="39:41" ht="12" customHeight="1" x14ac:dyDescent="0.2">
      <c r="AM5721" t="str">
        <f t="shared" si="89"/>
        <v>Hashima [JPHAH]</v>
      </c>
      <c r="AN5721" t="s">
        <v>18968</v>
      </c>
      <c r="AO5721" t="s">
        <v>18969</v>
      </c>
    </row>
    <row r="5722" spans="39:41" ht="12" customHeight="1" x14ac:dyDescent="0.2">
      <c r="AM5722" t="str">
        <f t="shared" si="89"/>
        <v>Hashirajima [JPHSR]</v>
      </c>
      <c r="AN5722" t="s">
        <v>18970</v>
      </c>
      <c r="AO5722" t="s">
        <v>18971</v>
      </c>
    </row>
    <row r="5723" spans="39:41" ht="12" customHeight="1" x14ac:dyDescent="0.2">
      <c r="AM5723" t="str">
        <f t="shared" si="89"/>
        <v>Haskoy [TRHAS]</v>
      </c>
      <c r="AN5723" t="s">
        <v>28489</v>
      </c>
      <c r="AO5723" t="s">
        <v>36575</v>
      </c>
    </row>
    <row r="5724" spans="39:41" ht="12" customHeight="1" x14ac:dyDescent="0.2">
      <c r="AM5724" t="str">
        <f t="shared" si="89"/>
        <v>Hasle [DKHSL]</v>
      </c>
      <c r="AN5724" t="s">
        <v>8722</v>
      </c>
      <c r="AO5724" t="s">
        <v>8723</v>
      </c>
    </row>
    <row r="5725" spans="39:41" ht="12" customHeight="1" x14ac:dyDescent="0.2">
      <c r="AM5725" t="str">
        <f t="shared" si="89"/>
        <v>Haslingden [GBHDN]</v>
      </c>
      <c r="AN5725" t="s">
        <v>13358</v>
      </c>
      <c r="AO5725" t="s">
        <v>13359</v>
      </c>
    </row>
    <row r="5726" spans="39:41" ht="12" customHeight="1" x14ac:dyDescent="0.2">
      <c r="AM5726" t="str">
        <f t="shared" si="89"/>
        <v>Hasloch [DEHAO]</v>
      </c>
      <c r="AN5726" t="s">
        <v>7539</v>
      </c>
      <c r="AO5726" t="s">
        <v>7540</v>
      </c>
    </row>
    <row r="5727" spans="39:41" ht="12" customHeight="1" x14ac:dyDescent="0.2">
      <c r="AM5727" t="str">
        <f t="shared" si="89"/>
        <v>Hasselbyverket/Stockholm [SEHBV]</v>
      </c>
      <c r="AN5727" t="s">
        <v>27627</v>
      </c>
      <c r="AO5727" t="s">
        <v>36451</v>
      </c>
    </row>
    <row r="5728" spans="39:41" ht="12" customHeight="1" x14ac:dyDescent="0.2">
      <c r="AM5728" t="str">
        <f t="shared" si="89"/>
        <v>Hasselt [BEHSS]</v>
      </c>
      <c r="AN5728" t="s">
        <v>2515</v>
      </c>
      <c r="AO5728" t="s">
        <v>2516</v>
      </c>
    </row>
    <row r="5729" spans="39:41" ht="12" customHeight="1" x14ac:dyDescent="0.2">
      <c r="AM5729" t="str">
        <f t="shared" si="89"/>
        <v>Hassfurt [DEHAS]</v>
      </c>
      <c r="AN5729" t="s">
        <v>7541</v>
      </c>
      <c r="AO5729" t="s">
        <v>7542</v>
      </c>
    </row>
    <row r="5730" spans="39:41" ht="12" customHeight="1" x14ac:dyDescent="0.2">
      <c r="AM5730" t="str">
        <f t="shared" si="89"/>
        <v>Hastiere-par-dela [BEHPD]</v>
      </c>
      <c r="AN5730" t="s">
        <v>2517</v>
      </c>
      <c r="AO5730" t="s">
        <v>35268</v>
      </c>
    </row>
    <row r="5731" spans="39:41" ht="12" customHeight="1" x14ac:dyDescent="0.2">
      <c r="AM5731" t="str">
        <f t="shared" si="89"/>
        <v>Hastings [AUHAS]</v>
      </c>
      <c r="AN5731" t="s">
        <v>1731</v>
      </c>
      <c r="AO5731" t="s">
        <v>1732</v>
      </c>
    </row>
    <row r="5732" spans="39:41" ht="12" customHeight="1" x14ac:dyDescent="0.2">
      <c r="AM5732" t="str">
        <f t="shared" si="89"/>
        <v>Hastings [GBHTG]</v>
      </c>
      <c r="AN5732" t="s">
        <v>13360</v>
      </c>
      <c r="AO5732" t="s">
        <v>1732</v>
      </c>
    </row>
    <row r="5733" spans="39:41" ht="12" customHeight="1" x14ac:dyDescent="0.2">
      <c r="AM5733" t="str">
        <f t="shared" si="89"/>
        <v>Hastings [USHG2]</v>
      </c>
      <c r="AN5733" t="s">
        <v>30073</v>
      </c>
      <c r="AO5733" t="s">
        <v>1732</v>
      </c>
    </row>
    <row r="5734" spans="39:41" ht="12" customHeight="1" x14ac:dyDescent="0.2">
      <c r="AM5734" t="str">
        <f t="shared" si="89"/>
        <v>Hasvik [NOHVK]</v>
      </c>
      <c r="AN5734" t="s">
        <v>24205</v>
      </c>
      <c r="AO5734" t="s">
        <v>24206</v>
      </c>
    </row>
    <row r="5735" spans="39:41" ht="12" customHeight="1" x14ac:dyDescent="0.2">
      <c r="AM5735" t="str">
        <f t="shared" si="89"/>
        <v>Hata [JPHTT]</v>
      </c>
      <c r="AN5735" t="s">
        <v>18972</v>
      </c>
      <c r="AO5735" t="s">
        <v>18973</v>
      </c>
    </row>
    <row r="5736" spans="39:41" ht="12" customHeight="1" x14ac:dyDescent="0.2">
      <c r="AM5736" t="str">
        <f t="shared" si="89"/>
        <v>Hatami [JPHMI]</v>
      </c>
      <c r="AN5736" t="s">
        <v>18974</v>
      </c>
      <c r="AO5736" t="s">
        <v>18975</v>
      </c>
    </row>
    <row r="5737" spans="39:41" ht="12" customHeight="1" x14ac:dyDescent="0.2">
      <c r="AM5737" t="str">
        <f t="shared" si="89"/>
        <v>Hatiheu [PFHEU]</v>
      </c>
      <c r="AN5737" t="s">
        <v>25324</v>
      </c>
      <c r="AO5737" t="s">
        <v>25325</v>
      </c>
    </row>
    <row r="5738" spans="39:41" ht="12" customHeight="1" x14ac:dyDescent="0.2">
      <c r="AM5738" t="str">
        <f t="shared" si="89"/>
        <v>Hatoma [JPHTO]</v>
      </c>
      <c r="AN5738" t="s">
        <v>18976</v>
      </c>
      <c r="AO5738" t="s">
        <v>18977</v>
      </c>
    </row>
    <row r="5739" spans="39:41" ht="12" customHeight="1" x14ac:dyDescent="0.2">
      <c r="AM5739" t="str">
        <f t="shared" si="89"/>
        <v>Hatston [GBKWH]</v>
      </c>
      <c r="AN5739" t="s">
        <v>34954</v>
      </c>
      <c r="AO5739" t="s">
        <v>34955</v>
      </c>
    </row>
    <row r="5740" spans="39:41" ht="12" customHeight="1" x14ac:dyDescent="0.2">
      <c r="AM5740" t="str">
        <f t="shared" si="89"/>
        <v>Hattem [NLHTM]</v>
      </c>
      <c r="AN5740" t="s">
        <v>23238</v>
      </c>
      <c r="AO5740" t="s">
        <v>23239</v>
      </c>
    </row>
    <row r="5741" spans="39:41" ht="12" customHeight="1" x14ac:dyDescent="0.2">
      <c r="AM5741" t="str">
        <f t="shared" si="89"/>
        <v>Hattenheim [DEHME]</v>
      </c>
      <c r="AN5741" t="s">
        <v>7543</v>
      </c>
      <c r="AO5741" t="s">
        <v>7544</v>
      </c>
    </row>
    <row r="5742" spans="39:41" ht="12" customHeight="1" x14ac:dyDescent="0.2">
      <c r="AM5742" t="str">
        <f t="shared" si="89"/>
        <v>Hatton [USQHA]</v>
      </c>
      <c r="AN5742" t="s">
        <v>30074</v>
      </c>
      <c r="AO5742" t="s">
        <v>30075</v>
      </c>
    </row>
    <row r="5743" spans="39:41" ht="12" customHeight="1" x14ac:dyDescent="0.2">
      <c r="AM5743" t="str">
        <f t="shared" si="89"/>
        <v>Haugesund [NOHAU]</v>
      </c>
      <c r="AN5743" t="s">
        <v>24207</v>
      </c>
      <c r="AO5743" t="s">
        <v>24208</v>
      </c>
    </row>
    <row r="5744" spans="39:41" ht="12" customHeight="1" x14ac:dyDescent="0.2">
      <c r="AM5744" t="str">
        <f t="shared" si="89"/>
        <v>Haugsdorf [ATGHH]</v>
      </c>
      <c r="AN5744" t="s">
        <v>1230</v>
      </c>
      <c r="AO5744" t="s">
        <v>1231</v>
      </c>
    </row>
    <row r="5745" spans="39:41" ht="12" customHeight="1" x14ac:dyDescent="0.2">
      <c r="AM5745" t="str">
        <f t="shared" si="89"/>
        <v>Haukipudas [FIHAU]</v>
      </c>
      <c r="AN5745" t="s">
        <v>10358</v>
      </c>
      <c r="AO5745" t="s">
        <v>10359</v>
      </c>
    </row>
    <row r="5746" spans="39:41" ht="12" customHeight="1" x14ac:dyDescent="0.2">
      <c r="AM5746" t="str">
        <f t="shared" si="89"/>
        <v>Haulbowline [IEHAU]</v>
      </c>
      <c r="AN5746" t="s">
        <v>16839</v>
      </c>
      <c r="AO5746" t="s">
        <v>16840</v>
      </c>
    </row>
    <row r="5747" spans="39:41" ht="12" customHeight="1" x14ac:dyDescent="0.2">
      <c r="AM5747" t="str">
        <f t="shared" si="89"/>
        <v>Hauneck [DEHH7]</v>
      </c>
      <c r="AN5747" t="s">
        <v>7545</v>
      </c>
      <c r="AO5747" t="s">
        <v>7546</v>
      </c>
    </row>
    <row r="5748" spans="39:41" ht="12" customHeight="1" x14ac:dyDescent="0.2">
      <c r="AM5748" t="str">
        <f t="shared" si="89"/>
        <v>Haura [YEHAU]</v>
      </c>
      <c r="AN5748" t="s">
        <v>32636</v>
      </c>
      <c r="AO5748" t="s">
        <v>32637</v>
      </c>
    </row>
    <row r="5749" spans="39:41" ht="12" customHeight="1" x14ac:dyDescent="0.2">
      <c r="AM5749" t="str">
        <f t="shared" si="89"/>
        <v>Hausleiten [ATITN]</v>
      </c>
      <c r="AN5749" t="s">
        <v>1232</v>
      </c>
      <c r="AO5749" t="s">
        <v>1233</v>
      </c>
    </row>
    <row r="5750" spans="39:41" ht="12" customHeight="1" x14ac:dyDescent="0.2">
      <c r="AM5750" t="str">
        <f t="shared" si="89"/>
        <v>Hausmannstatten [ATTEN]</v>
      </c>
      <c r="AN5750" t="s">
        <v>1234</v>
      </c>
      <c r="AO5750" t="s">
        <v>1235</v>
      </c>
    </row>
    <row r="5751" spans="39:41" ht="12" customHeight="1" x14ac:dyDescent="0.2">
      <c r="AM5751" t="str">
        <f t="shared" si="89"/>
        <v>Hausvikstrand [NOHSV]</v>
      </c>
      <c r="AN5751" t="s">
        <v>24209</v>
      </c>
      <c r="AO5751" t="s">
        <v>24210</v>
      </c>
    </row>
    <row r="5752" spans="39:41" ht="12" customHeight="1" x14ac:dyDescent="0.2">
      <c r="AM5752" t="str">
        <f t="shared" si="89"/>
        <v>Hauterive [CHHTE]</v>
      </c>
      <c r="AN5752" t="s">
        <v>4695</v>
      </c>
      <c r="AO5752" t="s">
        <v>4696</v>
      </c>
    </row>
    <row r="5753" spans="39:41" ht="12" customHeight="1" x14ac:dyDescent="0.2">
      <c r="AM5753" t="str">
        <f t="shared" ref="AM5753:AM5816" si="90">AO5753 &amp; " [" &amp; AN5753 &amp; "]"</f>
        <v>Hautrage [BEHTJ]</v>
      </c>
      <c r="AN5753" t="s">
        <v>2518</v>
      </c>
      <c r="AO5753" t="s">
        <v>2519</v>
      </c>
    </row>
    <row r="5754" spans="39:41" ht="12" customHeight="1" x14ac:dyDescent="0.2">
      <c r="AM5754" t="str">
        <f t="shared" si="90"/>
        <v>Hautvillers [FRHV2]</v>
      </c>
      <c r="AN5754" t="s">
        <v>11378</v>
      </c>
      <c r="AO5754" t="s">
        <v>11379</v>
      </c>
    </row>
    <row r="5755" spans="39:41" ht="12" customHeight="1" x14ac:dyDescent="0.2">
      <c r="AM5755" t="str">
        <f t="shared" si="90"/>
        <v>Havelock [USHL5]</v>
      </c>
      <c r="AN5755" t="s">
        <v>30076</v>
      </c>
      <c r="AO5755" t="s">
        <v>30077</v>
      </c>
    </row>
    <row r="5756" spans="39:41" ht="12" customHeight="1" x14ac:dyDescent="0.2">
      <c r="AM5756" t="str">
        <f t="shared" si="90"/>
        <v>Havelte [NLHVE]</v>
      </c>
      <c r="AN5756" t="s">
        <v>23240</v>
      </c>
      <c r="AO5756" t="s">
        <v>23241</v>
      </c>
    </row>
    <row r="5757" spans="39:41" ht="12" customHeight="1" x14ac:dyDescent="0.2">
      <c r="AM5757" t="str">
        <f t="shared" si="90"/>
        <v>Havik [NOHVI]</v>
      </c>
      <c r="AN5757" t="s">
        <v>24211</v>
      </c>
      <c r="AO5757" t="s">
        <v>36189</v>
      </c>
    </row>
    <row r="5758" spans="39:41" ht="12" customHeight="1" x14ac:dyDescent="0.2">
      <c r="AM5758" t="str">
        <f t="shared" si="90"/>
        <v>Havneby [DKHNB]</v>
      </c>
      <c r="AN5758" t="s">
        <v>8724</v>
      </c>
      <c r="AO5758" t="s">
        <v>8725</v>
      </c>
    </row>
    <row r="5759" spans="39:41" ht="12" customHeight="1" x14ac:dyDescent="0.2">
      <c r="AM5759" t="str">
        <f t="shared" si="90"/>
        <v>Havnso [DKHVN]</v>
      </c>
      <c r="AN5759" t="s">
        <v>8726</v>
      </c>
      <c r="AO5759" t="s">
        <v>35540</v>
      </c>
    </row>
    <row r="5760" spans="39:41" ht="12" customHeight="1" x14ac:dyDescent="0.2">
      <c r="AM5760" t="str">
        <f t="shared" si="90"/>
        <v>Havoysund [NOHAV]</v>
      </c>
      <c r="AN5760" t="s">
        <v>24212</v>
      </c>
      <c r="AO5760" t="s">
        <v>36190</v>
      </c>
    </row>
    <row r="5761" spans="39:41" ht="12" customHeight="1" x14ac:dyDescent="0.2">
      <c r="AM5761" t="str">
        <f t="shared" si="90"/>
        <v>Havre [BEHRE]</v>
      </c>
      <c r="AN5761" t="s">
        <v>2520</v>
      </c>
      <c r="AO5761" t="s">
        <v>35269</v>
      </c>
    </row>
    <row r="5762" spans="39:41" ht="12" customHeight="1" x14ac:dyDescent="0.2">
      <c r="AM5762" t="str">
        <f t="shared" si="90"/>
        <v>Havre-Saint-Pierre [CAHSP]</v>
      </c>
      <c r="AN5762" t="s">
        <v>3928</v>
      </c>
      <c r="AO5762" t="s">
        <v>3929</v>
      </c>
    </row>
    <row r="5763" spans="39:41" ht="12" customHeight="1" x14ac:dyDescent="0.2">
      <c r="AM5763" t="str">
        <f t="shared" si="90"/>
        <v>Hawesville [USHZZ]</v>
      </c>
      <c r="AN5763" t="s">
        <v>30078</v>
      </c>
      <c r="AO5763" t="s">
        <v>30079</v>
      </c>
    </row>
    <row r="5764" spans="39:41" ht="12" customHeight="1" x14ac:dyDescent="0.2">
      <c r="AM5764" t="str">
        <f t="shared" si="90"/>
        <v>Hawthorne [USXVB]</v>
      </c>
      <c r="AN5764" t="s">
        <v>30080</v>
      </c>
      <c r="AO5764" t="s">
        <v>30081</v>
      </c>
    </row>
    <row r="5765" spans="39:41" ht="12" customHeight="1" x14ac:dyDescent="0.2">
      <c r="AM5765" t="str">
        <f t="shared" si="90"/>
        <v>Hay Point [AUHPT]</v>
      </c>
      <c r="AN5765" t="s">
        <v>1733</v>
      </c>
      <c r="AO5765" t="s">
        <v>1734</v>
      </c>
    </row>
    <row r="5766" spans="39:41" ht="12" customHeight="1" x14ac:dyDescent="0.2">
      <c r="AM5766" t="str">
        <f t="shared" si="90"/>
        <v>Hayakawa [JPHYK]</v>
      </c>
      <c r="AN5766" t="s">
        <v>18978</v>
      </c>
      <c r="AO5766" t="s">
        <v>18979</v>
      </c>
    </row>
    <row r="5767" spans="39:41" ht="12" customHeight="1" x14ac:dyDescent="0.2">
      <c r="AM5767" t="str">
        <f t="shared" si="90"/>
        <v>Hayama [JPHYM]</v>
      </c>
      <c r="AN5767" t="s">
        <v>18980</v>
      </c>
      <c r="AO5767" t="s">
        <v>18981</v>
      </c>
    </row>
    <row r="5768" spans="39:41" ht="12" customHeight="1" x14ac:dyDescent="0.2">
      <c r="AM5768" t="str">
        <f t="shared" si="90"/>
        <v>Hayato [JPHYT]</v>
      </c>
      <c r="AN5768" t="s">
        <v>18982</v>
      </c>
      <c r="AO5768" t="s">
        <v>18983</v>
      </c>
    </row>
    <row r="5769" spans="39:41" ht="12" customHeight="1" x14ac:dyDescent="0.2">
      <c r="AM5769" t="str">
        <f t="shared" si="90"/>
        <v>Haydarpasa [TRHAY]</v>
      </c>
      <c r="AN5769" t="s">
        <v>28490</v>
      </c>
      <c r="AO5769" t="s">
        <v>28491</v>
      </c>
    </row>
    <row r="5770" spans="39:41" ht="12" customHeight="1" x14ac:dyDescent="0.2">
      <c r="AM5770" t="str">
        <f t="shared" si="90"/>
        <v>Hayle [GBHAY]</v>
      </c>
      <c r="AN5770" t="s">
        <v>13361</v>
      </c>
      <c r="AO5770" t="s">
        <v>13362</v>
      </c>
    </row>
    <row r="5771" spans="39:41" ht="12" customHeight="1" x14ac:dyDescent="0.2">
      <c r="AM5771" t="str">
        <f t="shared" si="90"/>
        <v>Hayling Island [GBHYG]</v>
      </c>
      <c r="AN5771" t="s">
        <v>13363</v>
      </c>
      <c r="AO5771" t="s">
        <v>13364</v>
      </c>
    </row>
    <row r="5772" spans="39:41" ht="12" customHeight="1" x14ac:dyDescent="0.2">
      <c r="AM5772" t="str">
        <f t="shared" si="90"/>
        <v>Hazeldonk [NLHZK]</v>
      </c>
      <c r="AN5772" t="s">
        <v>23242</v>
      </c>
      <c r="AO5772" t="s">
        <v>23243</v>
      </c>
    </row>
    <row r="5773" spans="39:41" ht="12" customHeight="1" x14ac:dyDescent="0.2">
      <c r="AM5773" t="str">
        <f t="shared" si="90"/>
        <v>Hazira Port/Surat [INHZA]</v>
      </c>
      <c r="AN5773" t="s">
        <v>17166</v>
      </c>
      <c r="AO5773" t="s">
        <v>17167</v>
      </c>
    </row>
    <row r="5774" spans="39:41" ht="12" customHeight="1" x14ac:dyDescent="0.2">
      <c r="AM5774" t="str">
        <f t="shared" si="90"/>
        <v>Heard Island [HMHEA]</v>
      </c>
      <c r="AN5774" t="s">
        <v>15665</v>
      </c>
      <c r="AO5774" t="s">
        <v>15666</v>
      </c>
    </row>
    <row r="5775" spans="39:41" ht="12" customHeight="1" x14ac:dyDescent="0.2">
      <c r="AM5775" t="str">
        <f t="shared" si="90"/>
        <v>Heathcote [AUHTH]</v>
      </c>
      <c r="AN5775" t="s">
        <v>1735</v>
      </c>
      <c r="AO5775" t="s">
        <v>1736</v>
      </c>
    </row>
    <row r="5776" spans="39:41" ht="12" customHeight="1" x14ac:dyDescent="0.2">
      <c r="AM5776" t="str">
        <f t="shared" si="90"/>
        <v>Heatherbrae [AUHBE]</v>
      </c>
      <c r="AN5776" t="s">
        <v>1737</v>
      </c>
      <c r="AO5776" t="s">
        <v>1738</v>
      </c>
    </row>
    <row r="5777" spans="39:41" ht="12" customHeight="1" x14ac:dyDescent="0.2">
      <c r="AM5777" t="str">
        <f t="shared" si="90"/>
        <v>Heaton [GBHEQ]</v>
      </c>
      <c r="AN5777" t="s">
        <v>13365</v>
      </c>
      <c r="AO5777" t="s">
        <v>13366</v>
      </c>
    </row>
    <row r="5778" spans="39:41" ht="12" customHeight="1" x14ac:dyDescent="0.2">
      <c r="AM5778" t="str">
        <f t="shared" si="90"/>
        <v>Hebburn [GBHEB]</v>
      </c>
      <c r="AN5778" t="s">
        <v>13367</v>
      </c>
      <c r="AO5778" t="s">
        <v>13368</v>
      </c>
    </row>
    <row r="5779" spans="39:41" ht="12" customHeight="1" x14ac:dyDescent="0.2">
      <c r="AM5779" t="str">
        <f t="shared" si="90"/>
        <v>Hebei [CNHEB]</v>
      </c>
      <c r="AN5779" t="s">
        <v>5408</v>
      </c>
      <c r="AO5779" t="s">
        <v>5409</v>
      </c>
    </row>
    <row r="5780" spans="39:41" ht="12" customHeight="1" x14ac:dyDescent="0.2">
      <c r="AM5780" t="str">
        <f t="shared" si="90"/>
        <v>Hebertville [CAHEB]</v>
      </c>
      <c r="AN5780" t="s">
        <v>3930</v>
      </c>
      <c r="AO5780" t="s">
        <v>35326</v>
      </c>
    </row>
    <row r="5781" spans="39:41" ht="12" customHeight="1" x14ac:dyDescent="0.2">
      <c r="AM5781" t="str">
        <f t="shared" si="90"/>
        <v>Hebron [USYHR]</v>
      </c>
      <c r="AN5781" t="s">
        <v>30082</v>
      </c>
      <c r="AO5781" t="s">
        <v>30083</v>
      </c>
    </row>
    <row r="5782" spans="39:41" ht="12" customHeight="1" x14ac:dyDescent="0.2">
      <c r="AM5782" t="str">
        <f t="shared" si="90"/>
        <v>Hebron [CAHBN]</v>
      </c>
      <c r="AN5782" t="s">
        <v>34956</v>
      </c>
      <c r="AO5782" t="s">
        <v>30083</v>
      </c>
    </row>
    <row r="5783" spans="39:41" ht="12" customHeight="1" x14ac:dyDescent="0.2">
      <c r="AM5783" t="str">
        <f t="shared" si="90"/>
        <v>Hector [USHR4]</v>
      </c>
      <c r="AN5783" t="s">
        <v>30084</v>
      </c>
      <c r="AO5783" t="s">
        <v>30085</v>
      </c>
    </row>
    <row r="5784" spans="39:41" ht="12" customHeight="1" x14ac:dyDescent="0.2">
      <c r="AM5784" t="str">
        <f t="shared" si="90"/>
        <v>Heda [JPHAD]</v>
      </c>
      <c r="AN5784" t="s">
        <v>18984</v>
      </c>
      <c r="AO5784" t="s">
        <v>18985</v>
      </c>
    </row>
    <row r="5785" spans="39:41" ht="12" customHeight="1" x14ac:dyDescent="0.2">
      <c r="AM5785" t="str">
        <f t="shared" si="90"/>
        <v>Hedel [NLHDL]</v>
      </c>
      <c r="AN5785" t="s">
        <v>33890</v>
      </c>
      <c r="AO5785" t="s">
        <v>34012</v>
      </c>
    </row>
    <row r="5786" spans="39:41" ht="12" customHeight="1" x14ac:dyDescent="0.2">
      <c r="AM5786" t="str">
        <f t="shared" si="90"/>
        <v>Hedon [GBHXX]</v>
      </c>
      <c r="AN5786" t="s">
        <v>13369</v>
      </c>
      <c r="AO5786" t="s">
        <v>13370</v>
      </c>
    </row>
    <row r="5787" spans="39:41" ht="12" customHeight="1" x14ac:dyDescent="0.2">
      <c r="AM5787" t="str">
        <f t="shared" si="90"/>
        <v>Heel [NLHEE]</v>
      </c>
      <c r="AN5787" t="s">
        <v>33891</v>
      </c>
      <c r="AO5787" t="s">
        <v>34013</v>
      </c>
    </row>
    <row r="5788" spans="39:41" ht="12" customHeight="1" x14ac:dyDescent="0.2">
      <c r="AM5788" t="str">
        <f t="shared" si="90"/>
        <v>Heemstede [NLHMS]</v>
      </c>
      <c r="AN5788" t="s">
        <v>33892</v>
      </c>
      <c r="AO5788" t="s">
        <v>34014</v>
      </c>
    </row>
    <row r="5789" spans="39:41" ht="12" customHeight="1" x14ac:dyDescent="0.2">
      <c r="AM5789" t="str">
        <f t="shared" si="90"/>
        <v>Heer [BEHEE]</v>
      </c>
      <c r="AN5789" t="s">
        <v>2521</v>
      </c>
      <c r="AO5789" t="s">
        <v>2522</v>
      </c>
    </row>
    <row r="5790" spans="39:41" ht="12" customHeight="1" x14ac:dyDescent="0.2">
      <c r="AM5790" t="str">
        <f t="shared" si="90"/>
        <v>Heerenveen [NLHRV]</v>
      </c>
      <c r="AN5790" t="s">
        <v>33893</v>
      </c>
      <c r="AO5790" t="s">
        <v>34015</v>
      </c>
    </row>
    <row r="5791" spans="39:41" ht="12" customHeight="1" x14ac:dyDescent="0.2">
      <c r="AM5791" t="str">
        <f t="shared" si="90"/>
        <v>Heerewaarden [NLHRW]</v>
      </c>
      <c r="AN5791" t="s">
        <v>33894</v>
      </c>
      <c r="AO5791" t="s">
        <v>34016</v>
      </c>
    </row>
    <row r="5792" spans="39:41" ht="12" customHeight="1" x14ac:dyDescent="0.2">
      <c r="AM5792" t="str">
        <f t="shared" si="90"/>
        <v>Heestrand [SEHST]</v>
      </c>
      <c r="AN5792" t="s">
        <v>27628</v>
      </c>
      <c r="AO5792" t="s">
        <v>27629</v>
      </c>
    </row>
    <row r="5793" spans="39:41" ht="12" customHeight="1" x14ac:dyDescent="0.2">
      <c r="AM5793" t="str">
        <f t="shared" si="90"/>
        <v>Heeswijk [NLHSW]</v>
      </c>
      <c r="AN5793" t="s">
        <v>23244</v>
      </c>
      <c r="AO5793" t="s">
        <v>23245</v>
      </c>
    </row>
    <row r="5794" spans="39:41" ht="12" customHeight="1" x14ac:dyDescent="0.2">
      <c r="AM5794" t="str">
        <f t="shared" si="90"/>
        <v>Hegreneset [NOHGR]</v>
      </c>
      <c r="AN5794" t="s">
        <v>24213</v>
      </c>
      <c r="AO5794" t="s">
        <v>24214</v>
      </c>
    </row>
    <row r="5795" spans="39:41" ht="12" customHeight="1" x14ac:dyDescent="0.2">
      <c r="AM5795" t="str">
        <f t="shared" si="90"/>
        <v>Hegyfalu [HUHYF]</v>
      </c>
      <c r="AN5795" t="s">
        <v>16092</v>
      </c>
      <c r="AO5795" t="s">
        <v>16093</v>
      </c>
    </row>
    <row r="5796" spans="39:41" ht="12" customHeight="1" x14ac:dyDescent="0.2">
      <c r="AM5796" t="str">
        <f t="shared" si="90"/>
        <v>Hehlen [DEHHL]</v>
      </c>
      <c r="AN5796" t="s">
        <v>7547</v>
      </c>
      <c r="AO5796" t="s">
        <v>7548</v>
      </c>
    </row>
    <row r="5797" spans="39:41" ht="12" customHeight="1" x14ac:dyDescent="0.2">
      <c r="AM5797" t="str">
        <f t="shared" si="90"/>
        <v>Heidelberg [DEHEI]</v>
      </c>
      <c r="AN5797" t="s">
        <v>7549</v>
      </c>
      <c r="AO5797" t="s">
        <v>7550</v>
      </c>
    </row>
    <row r="5798" spans="39:41" ht="12" customHeight="1" x14ac:dyDescent="0.2">
      <c r="AM5798" t="str">
        <f t="shared" si="90"/>
        <v>Heidesheim [DEHSI]</v>
      </c>
      <c r="AN5798" t="s">
        <v>7551</v>
      </c>
      <c r="AO5798" t="s">
        <v>7552</v>
      </c>
    </row>
    <row r="5799" spans="39:41" ht="12" customHeight="1" x14ac:dyDescent="0.2">
      <c r="AM5799" t="str">
        <f t="shared" si="90"/>
        <v>Heidrun [XZHEI]</v>
      </c>
      <c r="AN5799" t="s">
        <v>32573</v>
      </c>
      <c r="AO5799" t="s">
        <v>32574</v>
      </c>
    </row>
    <row r="5800" spans="39:41" ht="12" customHeight="1" x14ac:dyDescent="0.2">
      <c r="AM5800" t="str">
        <f t="shared" si="90"/>
        <v>Heihe [CNHEK]</v>
      </c>
      <c r="AN5800" t="s">
        <v>5410</v>
      </c>
      <c r="AO5800" t="s">
        <v>5411</v>
      </c>
    </row>
    <row r="5801" spans="39:41" ht="12" customHeight="1" x14ac:dyDescent="0.2">
      <c r="AM5801" t="str">
        <f t="shared" si="90"/>
        <v>Heijen [NLHEJ]</v>
      </c>
      <c r="AN5801" t="s">
        <v>33895</v>
      </c>
      <c r="AO5801" t="s">
        <v>34017</v>
      </c>
    </row>
    <row r="5802" spans="39:41" ht="12" customHeight="1" x14ac:dyDescent="0.2">
      <c r="AM5802" t="str">
        <f t="shared" si="90"/>
        <v>Heikendorf [DEHED]</v>
      </c>
      <c r="AN5802" t="s">
        <v>7553</v>
      </c>
      <c r="AO5802" t="s">
        <v>7554</v>
      </c>
    </row>
    <row r="5803" spans="39:41" ht="12" customHeight="1" x14ac:dyDescent="0.2">
      <c r="AM5803" t="str">
        <f t="shared" si="90"/>
        <v>Heilbronn [DEHEN]</v>
      </c>
      <c r="AN5803" t="s">
        <v>7555</v>
      </c>
      <c r="AO5803" t="s">
        <v>7556</v>
      </c>
    </row>
    <row r="5804" spans="39:41" ht="12" customHeight="1" x14ac:dyDescent="0.2">
      <c r="AM5804" t="str">
        <f t="shared" si="90"/>
        <v>Heiligenhafen [DEHHF]</v>
      </c>
      <c r="AN5804" t="s">
        <v>7557</v>
      </c>
      <c r="AO5804" t="s">
        <v>7558</v>
      </c>
    </row>
    <row r="5805" spans="39:41" ht="12" customHeight="1" x14ac:dyDescent="0.2">
      <c r="AM5805" t="str">
        <f t="shared" si="90"/>
        <v>Heiloo [NLHLO]</v>
      </c>
      <c r="AN5805" t="s">
        <v>33896</v>
      </c>
      <c r="AO5805" t="s">
        <v>34018</v>
      </c>
    </row>
    <row r="5806" spans="39:41" ht="12" customHeight="1" x14ac:dyDescent="0.2">
      <c r="AM5806" t="str">
        <f t="shared" si="90"/>
        <v>Heimersheim [DEHE5]</v>
      </c>
      <c r="AN5806" t="s">
        <v>7559</v>
      </c>
      <c r="AO5806" t="s">
        <v>7560</v>
      </c>
    </row>
    <row r="5807" spans="39:41" ht="12" customHeight="1" x14ac:dyDescent="0.2">
      <c r="AM5807" t="str">
        <f t="shared" si="90"/>
        <v>Heindonk [BEHDK]</v>
      </c>
      <c r="AN5807" t="s">
        <v>2523</v>
      </c>
      <c r="AO5807" t="s">
        <v>2524</v>
      </c>
    </row>
    <row r="5808" spans="39:41" ht="12" customHeight="1" x14ac:dyDescent="0.2">
      <c r="AM5808" t="str">
        <f t="shared" si="90"/>
        <v>Heinrichsberg [DEHRC]</v>
      </c>
      <c r="AN5808" t="s">
        <v>7561</v>
      </c>
      <c r="AO5808" t="s">
        <v>7562</v>
      </c>
    </row>
    <row r="5809" spans="39:41" ht="12" customHeight="1" x14ac:dyDescent="0.2">
      <c r="AM5809" t="str">
        <f t="shared" si="90"/>
        <v>Heishantou [CNHST]</v>
      </c>
      <c r="AN5809" t="s">
        <v>5412</v>
      </c>
      <c r="AO5809" t="s">
        <v>5413</v>
      </c>
    </row>
    <row r="5810" spans="39:41" ht="12" customHeight="1" x14ac:dyDescent="0.2">
      <c r="AM5810" t="str">
        <f t="shared" si="90"/>
        <v>Hejls [DKHEJ]</v>
      </c>
      <c r="AN5810" t="s">
        <v>8727</v>
      </c>
      <c r="AO5810" t="s">
        <v>8728</v>
      </c>
    </row>
    <row r="5811" spans="39:41" ht="12" customHeight="1" x14ac:dyDescent="0.2">
      <c r="AM5811" t="str">
        <f t="shared" si="90"/>
        <v>Hekendorp [NLHKO]</v>
      </c>
      <c r="AN5811" t="s">
        <v>23246</v>
      </c>
      <c r="AO5811" t="s">
        <v>23247</v>
      </c>
    </row>
    <row r="5812" spans="39:41" ht="12" customHeight="1" x14ac:dyDescent="0.2">
      <c r="AM5812" t="str">
        <f t="shared" si="90"/>
        <v>Hekinan [JPHKN]</v>
      </c>
      <c r="AN5812" t="s">
        <v>18986</v>
      </c>
      <c r="AO5812" t="s">
        <v>18987</v>
      </c>
    </row>
    <row r="5813" spans="39:41" ht="12" customHeight="1" x14ac:dyDescent="0.2">
      <c r="AM5813" t="str">
        <f t="shared" si="90"/>
        <v>Hekkelstrand [NOHEK]</v>
      </c>
      <c r="AN5813" t="s">
        <v>24215</v>
      </c>
      <c r="AO5813" t="s">
        <v>24216</v>
      </c>
    </row>
    <row r="5814" spans="39:41" ht="12" customHeight="1" x14ac:dyDescent="0.2">
      <c r="AM5814" t="str">
        <f t="shared" si="90"/>
        <v>Hekou [CNXHH]</v>
      </c>
      <c r="AN5814" t="s">
        <v>5414</v>
      </c>
      <c r="AO5814" t="s">
        <v>5415</v>
      </c>
    </row>
    <row r="5815" spans="39:41" ht="12" customHeight="1" x14ac:dyDescent="0.2">
      <c r="AM5815" t="str">
        <f t="shared" si="90"/>
        <v>Hel [PLHEL]</v>
      </c>
      <c r="AN5815" t="s">
        <v>26307</v>
      </c>
      <c r="AO5815" t="s">
        <v>26308</v>
      </c>
    </row>
    <row r="5816" spans="39:41" ht="12" customHeight="1" x14ac:dyDescent="0.2">
      <c r="AM5816" t="str">
        <f t="shared" si="90"/>
        <v>Helen [USZEH]</v>
      </c>
      <c r="AN5816" t="s">
        <v>30086</v>
      </c>
      <c r="AO5816" t="s">
        <v>30087</v>
      </c>
    </row>
    <row r="5817" spans="39:41" ht="12" customHeight="1" x14ac:dyDescent="0.2">
      <c r="AM5817" t="str">
        <f t="shared" ref="AM5817:AM5880" si="91">AO5817 &amp; " [" &amp; AN5817 &amp; "]"</f>
        <v>Helensburgh [GBHLN]</v>
      </c>
      <c r="AN5817" t="s">
        <v>13371</v>
      </c>
      <c r="AO5817" t="s">
        <v>13372</v>
      </c>
    </row>
    <row r="5818" spans="39:41" ht="12" customHeight="1" x14ac:dyDescent="0.2">
      <c r="AM5818" t="str">
        <f t="shared" si="91"/>
        <v>Helford River [GBHDR]</v>
      </c>
      <c r="AN5818" t="s">
        <v>13373</v>
      </c>
      <c r="AO5818" t="s">
        <v>13374</v>
      </c>
    </row>
    <row r="5819" spans="39:41" ht="12" customHeight="1" x14ac:dyDescent="0.2">
      <c r="AM5819" t="str">
        <f t="shared" si="91"/>
        <v>Helgoland [DEHGL]</v>
      </c>
      <c r="AN5819" t="s">
        <v>7563</v>
      </c>
      <c r="AO5819" t="s">
        <v>7564</v>
      </c>
    </row>
    <row r="5820" spans="39:41" ht="12" customHeight="1" x14ac:dyDescent="0.2">
      <c r="AM5820" t="str">
        <f t="shared" si="91"/>
        <v>Helguvik [ISHEL]</v>
      </c>
      <c r="AN5820" t="s">
        <v>17714</v>
      </c>
      <c r="AO5820" t="s">
        <v>17715</v>
      </c>
    </row>
    <row r="5821" spans="39:41" ht="12" customHeight="1" x14ac:dyDescent="0.2">
      <c r="AM5821" t="str">
        <f t="shared" si="91"/>
        <v>Heliopolis [EGHEL]</v>
      </c>
      <c r="AN5821" t="s">
        <v>9486</v>
      </c>
      <c r="AO5821" t="s">
        <v>9487</v>
      </c>
    </row>
    <row r="5822" spans="39:41" ht="12" customHeight="1" x14ac:dyDescent="0.2">
      <c r="AM5822" t="str">
        <f t="shared" si="91"/>
        <v>Heliwei [CNHLW]</v>
      </c>
      <c r="AN5822" t="s">
        <v>5416</v>
      </c>
      <c r="AO5822" t="s">
        <v>5417</v>
      </c>
    </row>
    <row r="5823" spans="39:41" ht="12" customHeight="1" x14ac:dyDescent="0.2">
      <c r="AM5823" t="str">
        <f t="shared" si="91"/>
        <v>Helkijn [BEHKN]</v>
      </c>
      <c r="AN5823" t="s">
        <v>2525</v>
      </c>
      <c r="AO5823" t="s">
        <v>2526</v>
      </c>
    </row>
    <row r="5824" spans="39:41" ht="12" customHeight="1" x14ac:dyDescent="0.2">
      <c r="AM5824" t="str">
        <f t="shared" si="91"/>
        <v>Helle - Forsand [NOHLE]</v>
      </c>
      <c r="AN5824" t="s">
        <v>24217</v>
      </c>
      <c r="AO5824" t="s">
        <v>24218</v>
      </c>
    </row>
    <row r="5825" spans="39:41" ht="12" customHeight="1" x14ac:dyDescent="0.2">
      <c r="AM5825" t="str">
        <f t="shared" si="91"/>
        <v>Helle - Kragero [NOHKR]</v>
      </c>
      <c r="AN5825" t="s">
        <v>24219</v>
      </c>
      <c r="AO5825" t="s">
        <v>36191</v>
      </c>
    </row>
    <row r="5826" spans="39:41" ht="12" customHeight="1" x14ac:dyDescent="0.2">
      <c r="AM5826" t="str">
        <f t="shared" si="91"/>
        <v>Hellebak [DKHVT]</v>
      </c>
      <c r="AN5826" t="s">
        <v>8729</v>
      </c>
      <c r="AO5826" t="s">
        <v>35541</v>
      </c>
    </row>
    <row r="5827" spans="39:41" ht="12" customHeight="1" x14ac:dyDescent="0.2">
      <c r="AM5827" t="str">
        <f t="shared" si="91"/>
        <v>Hellerup [DKHRP]</v>
      </c>
      <c r="AN5827" t="s">
        <v>36864</v>
      </c>
      <c r="AO5827" t="s">
        <v>36865</v>
      </c>
    </row>
    <row r="5828" spans="39:41" ht="12" customHeight="1" x14ac:dyDescent="0.2">
      <c r="AM5828" t="str">
        <f t="shared" si="91"/>
        <v>Hellesylt [NOHSY]</v>
      </c>
      <c r="AN5828" t="s">
        <v>24220</v>
      </c>
      <c r="AO5828" t="s">
        <v>24221</v>
      </c>
    </row>
    <row r="5829" spans="39:41" ht="12" customHeight="1" x14ac:dyDescent="0.2">
      <c r="AM5829" t="str">
        <f t="shared" si="91"/>
        <v>Hellevoetsluis [NLHSL]</v>
      </c>
      <c r="AN5829" t="s">
        <v>23248</v>
      </c>
      <c r="AO5829" t="s">
        <v>23249</v>
      </c>
    </row>
    <row r="5830" spans="39:41" ht="12" customHeight="1" x14ac:dyDescent="0.2">
      <c r="AM5830" t="str">
        <f t="shared" si="91"/>
        <v>Helligvar [NOHEV]</v>
      </c>
      <c r="AN5830" t="s">
        <v>24222</v>
      </c>
      <c r="AO5830" t="s">
        <v>36192</v>
      </c>
    </row>
    <row r="5831" spans="39:41" ht="12" customHeight="1" x14ac:dyDescent="0.2">
      <c r="AM5831" t="str">
        <f t="shared" si="91"/>
        <v>Hellvik [NOHEL]</v>
      </c>
      <c r="AN5831" t="s">
        <v>24223</v>
      </c>
      <c r="AO5831" t="s">
        <v>24224</v>
      </c>
    </row>
    <row r="5832" spans="39:41" ht="12" customHeight="1" x14ac:dyDescent="0.2">
      <c r="AM5832" t="str">
        <f t="shared" si="91"/>
        <v>Hell-Ville [MGHLV]</v>
      </c>
      <c r="AN5832" t="s">
        <v>22122</v>
      </c>
      <c r="AO5832" t="s">
        <v>22123</v>
      </c>
    </row>
    <row r="5833" spans="39:41" ht="12" customHeight="1" x14ac:dyDescent="0.2">
      <c r="AM5833" t="str">
        <f t="shared" si="91"/>
        <v>Helmlingen [DEHML]</v>
      </c>
      <c r="AN5833" t="s">
        <v>7565</v>
      </c>
      <c r="AO5833" t="s">
        <v>7566</v>
      </c>
    </row>
    <row r="5834" spans="39:41" ht="12" customHeight="1" x14ac:dyDescent="0.2">
      <c r="AM5834" t="str">
        <f t="shared" si="91"/>
        <v>Helmond [NLHLM]</v>
      </c>
      <c r="AN5834" t="s">
        <v>23250</v>
      </c>
      <c r="AO5834" t="s">
        <v>23251</v>
      </c>
    </row>
    <row r="5835" spans="39:41" ht="12" customHeight="1" x14ac:dyDescent="0.2">
      <c r="AM5835" t="str">
        <f t="shared" si="91"/>
        <v>Helmsdale [GBHMA]</v>
      </c>
      <c r="AN5835" t="s">
        <v>13375</v>
      </c>
      <c r="AO5835" t="s">
        <v>13376</v>
      </c>
    </row>
    <row r="5836" spans="39:41" ht="12" customHeight="1" x14ac:dyDescent="0.2">
      <c r="AM5836" t="str">
        <f t="shared" si="91"/>
        <v>Helsingborg [SEHEL]</v>
      </c>
      <c r="AN5836" t="s">
        <v>27630</v>
      </c>
      <c r="AO5836" t="s">
        <v>27631</v>
      </c>
    </row>
    <row r="5837" spans="39:41" ht="12" customHeight="1" x14ac:dyDescent="0.2">
      <c r="AM5837" t="str">
        <f t="shared" si="91"/>
        <v>Helsingfors (Helsinki) [FIHEL]</v>
      </c>
      <c r="AN5837" t="s">
        <v>10360</v>
      </c>
      <c r="AO5837" t="s">
        <v>10361</v>
      </c>
    </row>
    <row r="5838" spans="39:41" ht="12" customHeight="1" x14ac:dyDescent="0.2">
      <c r="AM5838" t="str">
        <f t="shared" si="91"/>
        <v>Helsingor [DKHLS]</v>
      </c>
      <c r="AN5838" t="s">
        <v>8730</v>
      </c>
      <c r="AO5838" t="s">
        <v>35542</v>
      </c>
    </row>
    <row r="5839" spans="39:41" ht="12" customHeight="1" x14ac:dyDescent="0.2">
      <c r="AM5839" t="str">
        <f t="shared" si="91"/>
        <v>Heltermaa [EEHLT]</v>
      </c>
      <c r="AN5839" t="s">
        <v>9156</v>
      </c>
      <c r="AO5839" t="s">
        <v>9157</v>
      </c>
    </row>
    <row r="5840" spans="39:41" ht="12" customHeight="1" x14ac:dyDescent="0.2">
      <c r="AM5840" t="str">
        <f t="shared" si="91"/>
        <v>Hemiksem [BEHEX]</v>
      </c>
      <c r="AN5840" t="s">
        <v>2527</v>
      </c>
      <c r="AO5840" t="s">
        <v>2528</v>
      </c>
    </row>
    <row r="5841" spans="39:41" ht="12" customHeight="1" x14ac:dyDescent="0.2">
      <c r="AM5841" t="str">
        <f t="shared" si="91"/>
        <v>Hemmingford [CAHMM]</v>
      </c>
      <c r="AN5841" t="s">
        <v>3931</v>
      </c>
      <c r="AO5841" t="s">
        <v>3932</v>
      </c>
    </row>
    <row r="5842" spans="39:41" ht="12" customHeight="1" x14ac:dyDescent="0.2">
      <c r="AM5842" t="str">
        <f t="shared" si="91"/>
        <v>Hemmoor [DEHMO]</v>
      </c>
      <c r="AN5842" t="s">
        <v>7567</v>
      </c>
      <c r="AO5842" t="s">
        <v>7568</v>
      </c>
    </row>
    <row r="5843" spans="39:41" ht="12" customHeight="1" x14ac:dyDescent="0.2">
      <c r="AM5843" t="str">
        <f t="shared" si="91"/>
        <v>Hemne [NOHME]</v>
      </c>
      <c r="AN5843" t="s">
        <v>24225</v>
      </c>
      <c r="AO5843" t="s">
        <v>24226</v>
      </c>
    </row>
    <row r="5844" spans="39:41" ht="12" customHeight="1" x14ac:dyDescent="0.2">
      <c r="AM5844" t="str">
        <f t="shared" si="91"/>
        <v>Hemnes [NOHMS]</v>
      </c>
      <c r="AN5844" t="s">
        <v>24227</v>
      </c>
      <c r="AO5844" t="s">
        <v>24228</v>
      </c>
    </row>
    <row r="5845" spans="39:41" ht="12" customHeight="1" x14ac:dyDescent="0.2">
      <c r="AM5845" t="str">
        <f t="shared" si="91"/>
        <v>Hemnesberget [NOHNE]</v>
      </c>
      <c r="AN5845" t="s">
        <v>24229</v>
      </c>
      <c r="AO5845" t="s">
        <v>24230</v>
      </c>
    </row>
    <row r="5846" spans="39:41" ht="12" customHeight="1" x14ac:dyDescent="0.2">
      <c r="AM5846" t="str">
        <f t="shared" si="91"/>
        <v>Hempens [NLHPE]</v>
      </c>
      <c r="AN5846" t="s">
        <v>23252</v>
      </c>
      <c r="AO5846" t="s">
        <v>23253</v>
      </c>
    </row>
    <row r="5847" spans="39:41" ht="12" customHeight="1" x14ac:dyDescent="0.2">
      <c r="AM5847" t="str">
        <f t="shared" si="91"/>
        <v>Hempton [GBEMN]</v>
      </c>
      <c r="AN5847" t="s">
        <v>13377</v>
      </c>
      <c r="AO5847" t="s">
        <v>13378</v>
      </c>
    </row>
    <row r="5848" spans="39:41" ht="12" customHeight="1" x14ac:dyDescent="0.2">
      <c r="AM5848" t="str">
        <f t="shared" si="91"/>
        <v>Hemsby [GBHMY]</v>
      </c>
      <c r="AN5848" t="s">
        <v>13379</v>
      </c>
      <c r="AO5848" t="s">
        <v>13380</v>
      </c>
    </row>
    <row r="5849" spans="39:41" ht="12" customHeight="1" x14ac:dyDescent="0.2">
      <c r="AM5849" t="str">
        <f t="shared" si="91"/>
        <v>Henderson [AUHFR]</v>
      </c>
      <c r="AN5849" t="s">
        <v>1739</v>
      </c>
      <c r="AO5849" t="s">
        <v>1740</v>
      </c>
    </row>
    <row r="5850" spans="39:41" ht="12" customHeight="1" x14ac:dyDescent="0.2">
      <c r="AM5850" t="str">
        <f t="shared" si="91"/>
        <v>Henderson [USH99]</v>
      </c>
      <c r="AN5850" t="s">
        <v>30088</v>
      </c>
      <c r="AO5850" t="s">
        <v>1740</v>
      </c>
    </row>
    <row r="5851" spans="39:41" ht="12" customHeight="1" x14ac:dyDescent="0.2">
      <c r="AM5851" t="str">
        <f t="shared" si="91"/>
        <v>Henecan [HNHNN]</v>
      </c>
      <c r="AN5851" t="s">
        <v>15673</v>
      </c>
      <c r="AO5851" t="s">
        <v>15674</v>
      </c>
    </row>
    <row r="5852" spans="39:41" ht="12" customHeight="1" x14ac:dyDescent="0.2">
      <c r="AM5852" t="str">
        <f t="shared" si="91"/>
        <v>Hengban [CNENP]</v>
      </c>
      <c r="AN5852" t="s">
        <v>5418</v>
      </c>
      <c r="AO5852" t="s">
        <v>5419</v>
      </c>
    </row>
    <row r="5853" spans="39:41" ht="12" customHeight="1" x14ac:dyDescent="0.2">
      <c r="AM5853" t="str">
        <f t="shared" si="91"/>
        <v>Hengelo [NLHGL]</v>
      </c>
      <c r="AN5853" t="s">
        <v>23254</v>
      </c>
      <c r="AO5853" t="s">
        <v>23255</v>
      </c>
    </row>
    <row r="5854" spans="39:41" ht="12" customHeight="1" x14ac:dyDescent="0.2">
      <c r="AM5854" t="str">
        <f t="shared" si="91"/>
        <v>Hengli [CNHNI]</v>
      </c>
      <c r="AN5854" t="s">
        <v>5420</v>
      </c>
      <c r="AO5854" t="s">
        <v>5421</v>
      </c>
    </row>
    <row r="5855" spans="39:41" ht="12" customHeight="1" x14ac:dyDescent="0.2">
      <c r="AM5855" t="str">
        <f t="shared" si="91"/>
        <v>Hengstdijk [NLHNZ]</v>
      </c>
      <c r="AN5855" t="s">
        <v>23256</v>
      </c>
      <c r="AO5855" t="s">
        <v>23257</v>
      </c>
    </row>
    <row r="5856" spans="39:41" ht="12" customHeight="1" x14ac:dyDescent="0.2">
      <c r="AM5856" t="str">
        <f t="shared" si="91"/>
        <v>Hengxian [CNHXA]</v>
      </c>
      <c r="AN5856" t="s">
        <v>5422</v>
      </c>
      <c r="AO5856" t="s">
        <v>5423</v>
      </c>
    </row>
    <row r="5857" spans="39:41" ht="12" customHeight="1" x14ac:dyDescent="0.2">
      <c r="AM5857" t="str">
        <f t="shared" si="91"/>
        <v>Hennebont [FRHET]</v>
      </c>
      <c r="AN5857" t="s">
        <v>11380</v>
      </c>
      <c r="AO5857" t="s">
        <v>11381</v>
      </c>
    </row>
    <row r="5858" spans="39:41" ht="12" customHeight="1" x14ac:dyDescent="0.2">
      <c r="AM5858" t="str">
        <f t="shared" si="91"/>
        <v>Hennigsdorf [DEHNF]</v>
      </c>
      <c r="AN5858" t="s">
        <v>7569</v>
      </c>
      <c r="AO5858" t="s">
        <v>7570</v>
      </c>
    </row>
    <row r="5859" spans="39:41" ht="12" customHeight="1" x14ac:dyDescent="0.2">
      <c r="AM5859" t="str">
        <f t="shared" si="91"/>
        <v>Henningsvar [NOHEN]</v>
      </c>
      <c r="AN5859" t="s">
        <v>24231</v>
      </c>
      <c r="AO5859" t="s">
        <v>36193</v>
      </c>
    </row>
    <row r="5860" spans="39:41" ht="12" customHeight="1" x14ac:dyDescent="0.2">
      <c r="AM5860" t="str">
        <f t="shared" si="91"/>
        <v>Hensies [BEHNS]</v>
      </c>
      <c r="AN5860" t="s">
        <v>2529</v>
      </c>
      <c r="AO5860" t="s">
        <v>2530</v>
      </c>
    </row>
    <row r="5861" spans="39:41" ht="12" customHeight="1" x14ac:dyDescent="0.2">
      <c r="AM5861" t="str">
        <f t="shared" si="91"/>
        <v>Henza [JPHEI]</v>
      </c>
      <c r="AN5861" t="s">
        <v>18988</v>
      </c>
      <c r="AO5861" t="s">
        <v>18989</v>
      </c>
    </row>
    <row r="5862" spans="39:41" ht="12" customHeight="1" x14ac:dyDescent="0.2">
      <c r="AM5862" t="str">
        <f t="shared" si="91"/>
        <v>Henzada [MMHEB]</v>
      </c>
      <c r="AN5862" t="s">
        <v>22184</v>
      </c>
      <c r="AO5862" t="s">
        <v>22185</v>
      </c>
    </row>
    <row r="5863" spans="39:41" ht="12" customHeight="1" x14ac:dyDescent="0.2">
      <c r="AM5863" t="str">
        <f t="shared" si="91"/>
        <v>Herakleia Kykladon [GRHRK]</v>
      </c>
      <c r="AN5863" t="s">
        <v>15233</v>
      </c>
      <c r="AO5863" t="s">
        <v>15234</v>
      </c>
    </row>
    <row r="5864" spans="39:41" ht="12" customHeight="1" x14ac:dyDescent="0.2">
      <c r="AM5864" t="str">
        <f t="shared" si="91"/>
        <v>Heraklion (Iraklion) [GRHER]</v>
      </c>
      <c r="AN5864" t="s">
        <v>15235</v>
      </c>
      <c r="AO5864" t="s">
        <v>15236</v>
      </c>
    </row>
    <row r="5865" spans="39:41" ht="12" customHeight="1" x14ac:dyDescent="0.2">
      <c r="AM5865" t="str">
        <f t="shared" si="91"/>
        <v>Herault [FRH99]</v>
      </c>
      <c r="AN5865" t="s">
        <v>11382</v>
      </c>
      <c r="AO5865" t="s">
        <v>35802</v>
      </c>
    </row>
    <row r="5866" spans="39:41" ht="12" customHeight="1" x14ac:dyDescent="0.2">
      <c r="AM5866" t="str">
        <f t="shared" si="91"/>
        <v>Herbertingen [DEXRT]</v>
      </c>
      <c r="AN5866" t="s">
        <v>7571</v>
      </c>
      <c r="AO5866" t="s">
        <v>7572</v>
      </c>
    </row>
    <row r="5867" spans="39:41" ht="12" customHeight="1" x14ac:dyDescent="0.2">
      <c r="AM5867" t="str">
        <f t="shared" si="91"/>
        <v>Herbornseelbach [DEH54]</v>
      </c>
      <c r="AN5867" t="s">
        <v>7573</v>
      </c>
      <c r="AO5867" t="s">
        <v>7574</v>
      </c>
    </row>
    <row r="5868" spans="39:41" ht="12" customHeight="1" x14ac:dyDescent="0.2">
      <c r="AM5868" t="str">
        <f t="shared" si="91"/>
        <v>Herbrum [DEHBR]</v>
      </c>
      <c r="AN5868" t="s">
        <v>7575</v>
      </c>
      <c r="AO5868" t="s">
        <v>7576</v>
      </c>
    </row>
    <row r="5869" spans="39:41" ht="12" customHeight="1" x14ac:dyDescent="0.2">
      <c r="AM5869" t="str">
        <f t="shared" si="91"/>
        <v>Hercegnovi [MEHNO]</v>
      </c>
      <c r="AN5869" t="s">
        <v>22082</v>
      </c>
      <c r="AO5869" t="s">
        <v>22083</v>
      </c>
    </row>
    <row r="5870" spans="39:41" ht="12" customHeight="1" x14ac:dyDescent="0.2">
      <c r="AM5870" t="str">
        <f t="shared" si="91"/>
        <v>Herculaneum [USHM4]</v>
      </c>
      <c r="AN5870" t="s">
        <v>30089</v>
      </c>
      <c r="AO5870" t="s">
        <v>30090</v>
      </c>
    </row>
    <row r="5871" spans="39:41" ht="12" customHeight="1" x14ac:dyDescent="0.2">
      <c r="AM5871" t="str">
        <f t="shared" si="91"/>
        <v>Hercules [USHXU]</v>
      </c>
      <c r="AN5871" t="s">
        <v>30091</v>
      </c>
      <c r="AO5871" t="s">
        <v>30092</v>
      </c>
    </row>
    <row r="5872" spans="39:41" ht="12" customHeight="1" x14ac:dyDescent="0.2">
      <c r="AM5872" t="str">
        <f t="shared" si="91"/>
        <v>Herdersem [BEHYB]</v>
      </c>
      <c r="AN5872" t="s">
        <v>2531</v>
      </c>
      <c r="AO5872" t="s">
        <v>2532</v>
      </c>
    </row>
    <row r="5873" spans="39:41" ht="12" customHeight="1" x14ac:dyDescent="0.2">
      <c r="AM5873" t="str">
        <f t="shared" si="91"/>
        <v>Herdla [NOHED]</v>
      </c>
      <c r="AN5873" t="s">
        <v>37081</v>
      </c>
      <c r="AO5873" t="s">
        <v>37082</v>
      </c>
    </row>
    <row r="5874" spans="39:41" ht="12" customHeight="1" x14ac:dyDescent="0.2">
      <c r="AM5874" t="str">
        <f t="shared" si="91"/>
        <v>Hereke [TRHER]</v>
      </c>
      <c r="AN5874" t="s">
        <v>28492</v>
      </c>
      <c r="AO5874" t="s">
        <v>28493</v>
      </c>
    </row>
    <row r="5875" spans="39:41" ht="12" customHeight="1" x14ac:dyDescent="0.2">
      <c r="AM5875" t="str">
        <f t="shared" si="91"/>
        <v>Herent [BEHET]</v>
      </c>
      <c r="AN5875" t="s">
        <v>2533</v>
      </c>
      <c r="AO5875" t="s">
        <v>2534</v>
      </c>
    </row>
    <row r="5876" spans="39:41" ht="12" customHeight="1" x14ac:dyDescent="0.2">
      <c r="AM5876" t="str">
        <f t="shared" si="91"/>
        <v>Herentals [BEHER]</v>
      </c>
      <c r="AN5876" t="s">
        <v>2535</v>
      </c>
      <c r="AO5876" t="s">
        <v>2536</v>
      </c>
    </row>
    <row r="5877" spans="39:41" ht="12" customHeight="1" x14ac:dyDescent="0.2">
      <c r="AM5877" t="str">
        <f t="shared" si="91"/>
        <v>Herfjord [NOHEF]</v>
      </c>
      <c r="AN5877" t="s">
        <v>24232</v>
      </c>
      <c r="AO5877" t="s">
        <v>24233</v>
      </c>
    </row>
    <row r="5878" spans="39:41" ht="12" customHeight="1" x14ac:dyDescent="0.2">
      <c r="AM5878" t="str">
        <f t="shared" si="91"/>
        <v>Hergatz [DEHGZ]</v>
      </c>
      <c r="AN5878" t="s">
        <v>7577</v>
      </c>
      <c r="AO5878" t="s">
        <v>7578</v>
      </c>
    </row>
    <row r="5879" spans="39:41" ht="12" customHeight="1" x14ac:dyDescent="0.2">
      <c r="AM5879" t="str">
        <f t="shared" si="91"/>
        <v>Hermalle-sous-Huy [BEHMH]</v>
      </c>
      <c r="AN5879" t="s">
        <v>2537</v>
      </c>
      <c r="AO5879" t="s">
        <v>2538</v>
      </c>
    </row>
    <row r="5880" spans="39:41" ht="12" customHeight="1" x14ac:dyDescent="0.2">
      <c r="AM5880" t="str">
        <f t="shared" si="91"/>
        <v>Hermann [USRMA]</v>
      </c>
      <c r="AN5880" t="s">
        <v>30093</v>
      </c>
      <c r="AO5880" t="s">
        <v>30094</v>
      </c>
    </row>
    <row r="5881" spans="39:41" ht="12" customHeight="1" x14ac:dyDescent="0.2">
      <c r="AM5881" t="str">
        <f t="shared" ref="AM5881:AM5944" si="92">AO5881 &amp; " [" &amp; AN5881 &amp; "]"</f>
        <v>Hermansverk [NOHER]</v>
      </c>
      <c r="AN5881" t="s">
        <v>24234</v>
      </c>
      <c r="AO5881" t="s">
        <v>24235</v>
      </c>
    </row>
    <row r="5882" spans="39:41" ht="12" customHeight="1" x14ac:dyDescent="0.2">
      <c r="AM5882" t="str">
        <f t="shared" si="92"/>
        <v>Hermeton-sur-Meuse [BEHTM]</v>
      </c>
      <c r="AN5882" t="s">
        <v>2539</v>
      </c>
      <c r="AO5882" t="s">
        <v>2540</v>
      </c>
    </row>
    <row r="5883" spans="39:41" ht="12" customHeight="1" x14ac:dyDescent="0.2">
      <c r="AM5883" t="str">
        <f t="shared" si="92"/>
        <v>Hermisende [ESHSN]</v>
      </c>
      <c r="AN5883" t="s">
        <v>9825</v>
      </c>
      <c r="AO5883" t="s">
        <v>9826</v>
      </c>
    </row>
    <row r="5884" spans="39:41" ht="12" customHeight="1" x14ac:dyDescent="0.2">
      <c r="AM5884" t="str">
        <f t="shared" si="92"/>
        <v>Herne [DEHEE]</v>
      </c>
      <c r="AN5884" t="s">
        <v>7579</v>
      </c>
      <c r="AO5884" t="s">
        <v>7580</v>
      </c>
    </row>
    <row r="5885" spans="39:41" ht="12" customHeight="1" x14ac:dyDescent="0.2">
      <c r="AM5885" t="str">
        <f t="shared" si="92"/>
        <v>Herne Bay [GBHRN]</v>
      </c>
      <c r="AN5885" t="s">
        <v>13381</v>
      </c>
      <c r="AO5885" t="s">
        <v>13382</v>
      </c>
    </row>
    <row r="5886" spans="39:41" ht="12" customHeight="1" x14ac:dyDescent="0.2">
      <c r="AM5886" t="str">
        <f t="shared" si="92"/>
        <v>Herning [DKHER]</v>
      </c>
      <c r="AN5886" t="s">
        <v>8731</v>
      </c>
      <c r="AO5886" t="s">
        <v>8732</v>
      </c>
    </row>
    <row r="5887" spans="39:41" ht="12" customHeight="1" x14ac:dyDescent="0.2">
      <c r="AM5887" t="str">
        <f t="shared" si="92"/>
        <v>Heroy [NOHEY]</v>
      </c>
      <c r="AN5887" t="s">
        <v>24236</v>
      </c>
      <c r="AO5887" t="s">
        <v>36194</v>
      </c>
    </row>
    <row r="5888" spans="39:41" ht="12" customHeight="1" x14ac:dyDescent="0.2">
      <c r="AM5888" t="str">
        <f t="shared" si="92"/>
        <v>Heroy [NOHRO]</v>
      </c>
      <c r="AN5888" t="s">
        <v>24237</v>
      </c>
      <c r="AO5888" t="s">
        <v>36194</v>
      </c>
    </row>
    <row r="5889" spans="39:41" ht="12" customHeight="1" x14ac:dyDescent="0.2">
      <c r="AM5889" t="str">
        <f t="shared" si="92"/>
        <v>Heroya [NOHRY]</v>
      </c>
      <c r="AN5889" t="s">
        <v>24238</v>
      </c>
      <c r="AO5889" t="s">
        <v>36195</v>
      </c>
    </row>
    <row r="5890" spans="39:41" ht="12" customHeight="1" x14ac:dyDescent="0.2">
      <c r="AM5890" t="str">
        <f t="shared" si="92"/>
        <v>Heroysundet [NOHET]</v>
      </c>
      <c r="AN5890" t="s">
        <v>24239</v>
      </c>
      <c r="AO5890" t="s">
        <v>36196</v>
      </c>
    </row>
    <row r="5891" spans="39:41" ht="12" customHeight="1" x14ac:dyDescent="0.2">
      <c r="AM5891" t="str">
        <f t="shared" si="92"/>
        <v>Herrang [SEHER]</v>
      </c>
      <c r="AN5891" t="s">
        <v>27632</v>
      </c>
      <c r="AO5891" t="s">
        <v>36452</v>
      </c>
    </row>
    <row r="5892" spans="39:41" ht="12" customHeight="1" x14ac:dyDescent="0.2">
      <c r="AM5892" t="str">
        <f t="shared" si="92"/>
        <v>Herre [NOHRR]</v>
      </c>
      <c r="AN5892" t="s">
        <v>24240</v>
      </c>
      <c r="AO5892" t="s">
        <v>24241</v>
      </c>
    </row>
    <row r="5893" spans="39:41" ht="12" customHeight="1" x14ac:dyDescent="0.2">
      <c r="AM5893" t="str">
        <f t="shared" si="92"/>
        <v>Herrera [PAHER]</v>
      </c>
      <c r="AN5893" t="s">
        <v>25198</v>
      </c>
      <c r="AO5893" t="s">
        <v>25199</v>
      </c>
    </row>
    <row r="5894" spans="39:41" ht="12" customHeight="1" x14ac:dyDescent="0.2">
      <c r="AM5894" t="str">
        <f t="shared" si="92"/>
        <v>Herrliberg [CHHBG]</v>
      </c>
      <c r="AN5894" t="s">
        <v>4697</v>
      </c>
      <c r="AO5894" t="s">
        <v>4698</v>
      </c>
    </row>
    <row r="5895" spans="39:41" ht="12" customHeight="1" x14ac:dyDescent="0.2">
      <c r="AM5895" t="str">
        <f t="shared" si="92"/>
        <v>Herschel Island [CAHLI]</v>
      </c>
      <c r="AN5895" t="s">
        <v>3933</v>
      </c>
      <c r="AO5895" t="s">
        <v>3934</v>
      </c>
    </row>
    <row r="5896" spans="39:41" ht="12" customHeight="1" x14ac:dyDescent="0.2">
      <c r="AM5896" t="str">
        <f t="shared" si="92"/>
        <v>Herstal [BEHRS]</v>
      </c>
      <c r="AN5896" t="s">
        <v>2541</v>
      </c>
      <c r="AO5896" t="s">
        <v>2542</v>
      </c>
    </row>
    <row r="5897" spans="39:41" ht="12" customHeight="1" x14ac:dyDescent="0.2">
      <c r="AM5897" t="str">
        <f t="shared" si="92"/>
        <v>Herten [DEHRT]</v>
      </c>
      <c r="AN5897" t="s">
        <v>7581</v>
      </c>
      <c r="AO5897" t="s">
        <v>7582</v>
      </c>
    </row>
    <row r="5898" spans="39:41" ht="12" customHeight="1" x14ac:dyDescent="0.2">
      <c r="AM5898" t="str">
        <f t="shared" si="92"/>
        <v>Hesaki [JPHES]</v>
      </c>
      <c r="AN5898" t="s">
        <v>18990</v>
      </c>
      <c r="AO5898" t="s">
        <v>18991</v>
      </c>
    </row>
    <row r="5899" spans="39:41" ht="12" customHeight="1" x14ac:dyDescent="0.2">
      <c r="AM5899" t="str">
        <f t="shared" si="92"/>
        <v>Heshan [CNHAS]</v>
      </c>
      <c r="AN5899" t="s">
        <v>5424</v>
      </c>
      <c r="AO5899" t="s">
        <v>5425</v>
      </c>
    </row>
    <row r="5900" spans="39:41" ht="12" customHeight="1" x14ac:dyDescent="0.2">
      <c r="AM5900" t="str">
        <f t="shared" si="92"/>
        <v>Heshan Pt [CNHSN]</v>
      </c>
      <c r="AN5900" t="s">
        <v>5426</v>
      </c>
      <c r="AO5900" t="s">
        <v>5427</v>
      </c>
    </row>
    <row r="5901" spans="39:41" ht="12" customHeight="1" x14ac:dyDescent="0.2">
      <c r="AM5901" t="str">
        <f t="shared" si="92"/>
        <v>Hesselte [DESSL]</v>
      </c>
      <c r="AN5901" t="s">
        <v>7583</v>
      </c>
      <c r="AO5901" t="s">
        <v>7584</v>
      </c>
    </row>
    <row r="5902" spans="39:41" ht="12" customHeight="1" x14ac:dyDescent="0.2">
      <c r="AM5902" t="str">
        <f t="shared" si="92"/>
        <v>Hessle/Hull [GBHSE]</v>
      </c>
      <c r="AN5902" t="s">
        <v>13383</v>
      </c>
      <c r="AO5902" t="s">
        <v>13384</v>
      </c>
    </row>
    <row r="5903" spans="39:41" ht="12" customHeight="1" x14ac:dyDescent="0.2">
      <c r="AM5903" t="str">
        <f t="shared" si="92"/>
        <v>Hest Bank [GBHBK]</v>
      </c>
      <c r="AN5903" t="s">
        <v>13385</v>
      </c>
      <c r="AO5903" t="s">
        <v>13386</v>
      </c>
    </row>
    <row r="5904" spans="39:41" ht="12" customHeight="1" x14ac:dyDescent="0.2">
      <c r="AM5904" t="str">
        <f t="shared" si="92"/>
        <v>Hestvika [NOHES]</v>
      </c>
      <c r="AN5904" t="s">
        <v>24242</v>
      </c>
      <c r="AO5904" t="s">
        <v>24243</v>
      </c>
    </row>
    <row r="5905" spans="39:41" ht="12" customHeight="1" x14ac:dyDescent="0.2">
      <c r="AM5905" t="str">
        <f t="shared" si="92"/>
        <v>Heta [JPHET]</v>
      </c>
      <c r="AN5905" t="s">
        <v>18992</v>
      </c>
      <c r="AO5905" t="s">
        <v>18993</v>
      </c>
    </row>
    <row r="5906" spans="39:41" ht="12" customHeight="1" x14ac:dyDescent="0.2">
      <c r="AM5906" t="str">
        <f t="shared" si="92"/>
        <v>Hetang [CNHTG]</v>
      </c>
      <c r="AN5906" t="s">
        <v>5428</v>
      </c>
      <c r="AO5906" t="s">
        <v>5429</v>
      </c>
    </row>
    <row r="5907" spans="39:41" ht="12" customHeight="1" x14ac:dyDescent="0.2">
      <c r="AM5907" t="str">
        <f t="shared" si="92"/>
        <v>Heteren [NLHTR]</v>
      </c>
      <c r="AN5907" t="s">
        <v>33897</v>
      </c>
      <c r="AO5907" t="s">
        <v>34019</v>
      </c>
    </row>
    <row r="5908" spans="39:41" ht="12" customHeight="1" x14ac:dyDescent="0.2">
      <c r="AM5908" t="str">
        <f t="shared" si="92"/>
        <v>Hetono [JPHED]</v>
      </c>
      <c r="AN5908" t="s">
        <v>18994</v>
      </c>
      <c r="AO5908" t="s">
        <v>18995</v>
      </c>
    </row>
    <row r="5909" spans="39:41" ht="12" customHeight="1" x14ac:dyDescent="0.2">
      <c r="AM5909" t="str">
        <f t="shared" si="92"/>
        <v>Hetton [GBHTT]</v>
      </c>
      <c r="AN5909" t="s">
        <v>13387</v>
      </c>
      <c r="AO5909" t="s">
        <v>13388</v>
      </c>
    </row>
    <row r="5910" spans="39:41" ht="12" customHeight="1" x14ac:dyDescent="0.2">
      <c r="AM5910" t="str">
        <f t="shared" si="92"/>
        <v>Heudebouville [FRHBV]</v>
      </c>
      <c r="AN5910" t="s">
        <v>11383</v>
      </c>
      <c r="AO5910" t="s">
        <v>11384</v>
      </c>
    </row>
    <row r="5911" spans="39:41" ht="12" customHeight="1" x14ac:dyDescent="0.2">
      <c r="AM5911" t="str">
        <f t="shared" si="92"/>
        <v>Heukelum [NLHUK]</v>
      </c>
      <c r="AN5911" t="s">
        <v>23258</v>
      </c>
      <c r="AO5911" t="s">
        <v>23259</v>
      </c>
    </row>
    <row r="5912" spans="39:41" ht="12" customHeight="1" x14ac:dyDescent="0.2">
      <c r="AM5912" t="str">
        <f t="shared" si="92"/>
        <v>Heultje [BETTJ]</v>
      </c>
      <c r="AN5912" t="s">
        <v>2543</v>
      </c>
      <c r="AO5912" t="s">
        <v>2544</v>
      </c>
    </row>
    <row r="5913" spans="39:41" ht="12" customHeight="1" x14ac:dyDescent="0.2">
      <c r="AM5913" t="str">
        <f t="shared" si="92"/>
        <v>Heumen [NLHUM]</v>
      </c>
      <c r="AN5913" t="s">
        <v>23260</v>
      </c>
      <c r="AO5913" t="s">
        <v>23261</v>
      </c>
    </row>
    <row r="5914" spans="39:41" ht="12" customHeight="1" x14ac:dyDescent="0.2">
      <c r="AM5914" t="str">
        <f t="shared" si="92"/>
        <v>Heusden-Zolder [BEHZO]</v>
      </c>
      <c r="AN5914" t="s">
        <v>36771</v>
      </c>
      <c r="AO5914" t="s">
        <v>36772</v>
      </c>
    </row>
    <row r="5915" spans="39:41" ht="12" customHeight="1" x14ac:dyDescent="0.2">
      <c r="AM5915" t="str">
        <f t="shared" si="92"/>
        <v>Hever [BEHVE]</v>
      </c>
      <c r="AN5915" t="s">
        <v>2545</v>
      </c>
      <c r="AO5915" t="s">
        <v>2546</v>
      </c>
    </row>
    <row r="5916" spans="39:41" ht="12" customHeight="1" x14ac:dyDescent="0.2">
      <c r="AM5916" t="str">
        <f t="shared" si="92"/>
        <v>Hewlett [USHWX]</v>
      </c>
      <c r="AN5916" t="s">
        <v>30095</v>
      </c>
      <c r="AO5916" t="s">
        <v>30096</v>
      </c>
    </row>
    <row r="5917" spans="39:41" ht="12" customHeight="1" x14ac:dyDescent="0.2">
      <c r="AM5917" t="str">
        <f t="shared" si="92"/>
        <v>Heybridge [GBHYR]</v>
      </c>
      <c r="AN5917" t="s">
        <v>13389</v>
      </c>
      <c r="AO5917" t="s">
        <v>13390</v>
      </c>
    </row>
    <row r="5918" spans="39:41" ht="12" customHeight="1" x14ac:dyDescent="0.2">
      <c r="AM5918" t="str">
        <f t="shared" si="92"/>
        <v>Heyburn [USYHB]</v>
      </c>
      <c r="AN5918" t="s">
        <v>30097</v>
      </c>
      <c r="AO5918" t="s">
        <v>30098</v>
      </c>
    </row>
    <row r="5919" spans="39:41" ht="12" customHeight="1" x14ac:dyDescent="0.2">
      <c r="AM5919" t="str">
        <f t="shared" si="92"/>
        <v>Heysham [GBHYM]</v>
      </c>
      <c r="AN5919" t="s">
        <v>13391</v>
      </c>
      <c r="AO5919" t="s">
        <v>13392</v>
      </c>
    </row>
    <row r="5920" spans="39:41" ht="12" customHeight="1" x14ac:dyDescent="0.2">
      <c r="AM5920" t="str">
        <f t="shared" si="92"/>
        <v>Hiagari/Kitakiushu [JPHIA]</v>
      </c>
      <c r="AN5920" t="s">
        <v>18996</v>
      </c>
      <c r="AO5920" t="s">
        <v>18997</v>
      </c>
    </row>
    <row r="5921" spans="39:41" ht="12" customHeight="1" x14ac:dyDescent="0.2">
      <c r="AM5921" t="str">
        <f t="shared" si="92"/>
        <v>Hibernia [CAHIB]</v>
      </c>
      <c r="AN5921" t="s">
        <v>3935</v>
      </c>
      <c r="AO5921" t="s">
        <v>3936</v>
      </c>
    </row>
    <row r="5922" spans="39:41" ht="12" customHeight="1" x14ac:dyDescent="0.2">
      <c r="AM5922" t="str">
        <f t="shared" si="92"/>
        <v>Hibi [JPHIB]</v>
      </c>
      <c r="AN5922" t="s">
        <v>18998</v>
      </c>
      <c r="AO5922" t="s">
        <v>18999</v>
      </c>
    </row>
    <row r="5923" spans="39:41" ht="12" customHeight="1" x14ac:dyDescent="0.2">
      <c r="AM5923" t="str">
        <f t="shared" si="92"/>
        <v>Hibikishinko [JPHBK]</v>
      </c>
      <c r="AN5923" t="s">
        <v>19000</v>
      </c>
      <c r="AO5923" t="s">
        <v>19001</v>
      </c>
    </row>
    <row r="5924" spans="39:41" ht="12" customHeight="1" x14ac:dyDescent="0.2">
      <c r="AM5924" t="str">
        <f t="shared" si="92"/>
        <v>Hiburi [JPHBR]</v>
      </c>
      <c r="AN5924" t="s">
        <v>19002</v>
      </c>
      <c r="AO5924" t="s">
        <v>19003</v>
      </c>
    </row>
    <row r="5925" spans="39:41" ht="12" customHeight="1" x14ac:dyDescent="0.2">
      <c r="AM5925" t="str">
        <f t="shared" si="92"/>
        <v>Hickman [USHM3]</v>
      </c>
      <c r="AN5925" t="s">
        <v>30099</v>
      </c>
      <c r="AO5925" t="s">
        <v>30100</v>
      </c>
    </row>
    <row r="5926" spans="39:41" ht="12" customHeight="1" x14ac:dyDescent="0.2">
      <c r="AM5926" t="str">
        <f t="shared" si="92"/>
        <v>Hickory Creek [USHCO]</v>
      </c>
      <c r="AN5926" t="s">
        <v>30101</v>
      </c>
      <c r="AO5926" t="s">
        <v>30102</v>
      </c>
    </row>
    <row r="5927" spans="39:41" ht="12" customHeight="1" x14ac:dyDescent="0.2">
      <c r="AM5927" t="str">
        <f t="shared" si="92"/>
        <v>Hickory Grove, York [USHKG]</v>
      </c>
      <c r="AN5927" t="s">
        <v>30103</v>
      </c>
      <c r="AO5927" t="s">
        <v>30104</v>
      </c>
    </row>
    <row r="5928" spans="39:41" ht="12" customHeight="1" x14ac:dyDescent="0.2">
      <c r="AM5928" t="str">
        <f t="shared" si="92"/>
        <v>Hidaka [JPHDK]</v>
      </c>
      <c r="AN5928" t="s">
        <v>19004</v>
      </c>
      <c r="AO5928" t="s">
        <v>19005</v>
      </c>
    </row>
    <row r="5929" spans="39:41" ht="12" customHeight="1" x14ac:dyDescent="0.2">
      <c r="AM5929" t="str">
        <f t="shared" si="92"/>
        <v>Hidalgo [USHID]</v>
      </c>
      <c r="AN5929" t="s">
        <v>30105</v>
      </c>
      <c r="AO5929" t="s">
        <v>30106</v>
      </c>
    </row>
    <row r="5930" spans="39:41" ht="12" customHeight="1" x14ac:dyDescent="0.2">
      <c r="AM5930" t="str">
        <f t="shared" si="92"/>
        <v>Hiddingsel [DEHDI]</v>
      </c>
      <c r="AN5930" t="s">
        <v>7585</v>
      </c>
      <c r="AO5930" t="s">
        <v>7586</v>
      </c>
    </row>
    <row r="5931" spans="39:41" ht="12" customHeight="1" x14ac:dyDescent="0.2">
      <c r="AM5931" t="str">
        <f t="shared" si="92"/>
        <v>Hiep Phuoc Port [VNSPC]</v>
      </c>
      <c r="AN5931" t="s">
        <v>32380</v>
      </c>
      <c r="AO5931" t="s">
        <v>32381</v>
      </c>
    </row>
    <row r="5932" spans="39:41" ht="12" customHeight="1" x14ac:dyDescent="0.2">
      <c r="AM5932" t="str">
        <f t="shared" si="92"/>
        <v>Higashiharima [JPHHR]</v>
      </c>
      <c r="AN5932" t="s">
        <v>19006</v>
      </c>
      <c r="AO5932" t="s">
        <v>19007</v>
      </c>
    </row>
    <row r="5933" spans="39:41" ht="12" customHeight="1" x14ac:dyDescent="0.2">
      <c r="AM5933" t="str">
        <f t="shared" si="92"/>
        <v>Higashihazu [JPHGH]</v>
      </c>
      <c r="AN5933" t="s">
        <v>19008</v>
      </c>
      <c r="AO5933" t="s">
        <v>19009</v>
      </c>
    </row>
    <row r="5934" spans="39:41" ht="12" customHeight="1" x14ac:dyDescent="0.2">
      <c r="AM5934" t="str">
        <f t="shared" si="92"/>
        <v>Higashinohama [JPHHH]</v>
      </c>
      <c r="AN5934" t="s">
        <v>19010</v>
      </c>
      <c r="AO5934" t="s">
        <v>19011</v>
      </c>
    </row>
    <row r="5935" spans="39:41" ht="12" customHeight="1" x14ac:dyDescent="0.2">
      <c r="AM5935" t="str">
        <f t="shared" si="92"/>
        <v>Higashi-Ogishima [JPHIO]</v>
      </c>
      <c r="AN5935" t="s">
        <v>19012</v>
      </c>
      <c r="AO5935" t="s">
        <v>19013</v>
      </c>
    </row>
    <row r="5936" spans="39:41" ht="12" customHeight="1" x14ac:dyDescent="0.2">
      <c r="AM5936" t="str">
        <f t="shared" si="92"/>
        <v>Higashishioya [JPHIG]</v>
      </c>
      <c r="AN5936" t="s">
        <v>19014</v>
      </c>
      <c r="AO5936" t="s">
        <v>19015</v>
      </c>
    </row>
    <row r="5937" spans="39:41" ht="12" customHeight="1" x14ac:dyDescent="0.2">
      <c r="AM5937" t="str">
        <f t="shared" si="92"/>
        <v>High Ridge [USHRQ]</v>
      </c>
      <c r="AN5937" t="s">
        <v>30107</v>
      </c>
      <c r="AO5937" t="s">
        <v>30108</v>
      </c>
    </row>
    <row r="5938" spans="39:41" ht="12" customHeight="1" x14ac:dyDescent="0.2">
      <c r="AM5938" t="str">
        <f t="shared" si="92"/>
        <v>Highland Village [USHVG]</v>
      </c>
      <c r="AN5938" t="s">
        <v>30109</v>
      </c>
      <c r="AO5938" t="s">
        <v>30110</v>
      </c>
    </row>
    <row r="5939" spans="39:41" ht="12" customHeight="1" x14ac:dyDescent="0.2">
      <c r="AM5939" t="str">
        <f t="shared" si="92"/>
        <v>Hightown [GBHGW]</v>
      </c>
      <c r="AN5939" t="s">
        <v>13393</v>
      </c>
      <c r="AO5939" t="s">
        <v>13394</v>
      </c>
    </row>
    <row r="5940" spans="39:41" ht="12" customHeight="1" x14ac:dyDescent="0.2">
      <c r="AM5940" t="str">
        <f t="shared" si="92"/>
        <v>Higuera la Real [ESHIG]</v>
      </c>
      <c r="AN5940" t="s">
        <v>9827</v>
      </c>
      <c r="AO5940" t="s">
        <v>9828</v>
      </c>
    </row>
    <row r="5941" spans="39:41" ht="12" customHeight="1" x14ac:dyDescent="0.2">
      <c r="AM5941" t="str">
        <f t="shared" si="92"/>
        <v>Higuey [DOHIG]</v>
      </c>
      <c r="AN5941" t="s">
        <v>9004</v>
      </c>
      <c r="AO5941" t="s">
        <v>35604</v>
      </c>
    </row>
    <row r="5942" spans="39:41" ht="12" customHeight="1" x14ac:dyDescent="0.2">
      <c r="AM5942" t="str">
        <f t="shared" si="92"/>
        <v>Hiiessaare [EEHII]</v>
      </c>
      <c r="AN5942" t="s">
        <v>9158</v>
      </c>
      <c r="AO5942" t="s">
        <v>9159</v>
      </c>
    </row>
    <row r="5943" spans="39:41" ht="12" customHeight="1" x14ac:dyDescent="0.2">
      <c r="AM5943" t="str">
        <f t="shared" si="92"/>
        <v>Hiitinen [FIHIT]</v>
      </c>
      <c r="AN5943" t="s">
        <v>10362</v>
      </c>
      <c r="AO5943" t="s">
        <v>10363</v>
      </c>
    </row>
    <row r="5944" spans="39:41" ht="12" customHeight="1" x14ac:dyDescent="0.2">
      <c r="AM5944" t="str">
        <f t="shared" si="92"/>
        <v>Hiji [JPHJI]</v>
      </c>
      <c r="AN5944" t="s">
        <v>19016</v>
      </c>
      <c r="AO5944" t="s">
        <v>19017</v>
      </c>
    </row>
    <row r="5945" spans="39:41" ht="12" customHeight="1" x14ac:dyDescent="0.2">
      <c r="AM5945" t="str">
        <f t="shared" ref="AM5945:AM6008" si="93">AO5945 &amp; " [" &amp; AN5945 &amp; "]"</f>
        <v>Hijkersmilde [NLHKM]</v>
      </c>
      <c r="AN5945" t="s">
        <v>23262</v>
      </c>
      <c r="AO5945" t="s">
        <v>23263</v>
      </c>
    </row>
    <row r="5946" spans="39:41" ht="12" customHeight="1" x14ac:dyDescent="0.2">
      <c r="AM5946" t="str">
        <f t="shared" si="93"/>
        <v>Hijo Wharf/Davao [PHHIJ]</v>
      </c>
      <c r="AN5946" t="s">
        <v>25771</v>
      </c>
      <c r="AO5946" t="s">
        <v>25772</v>
      </c>
    </row>
    <row r="5947" spans="39:41" ht="12" customHeight="1" x14ac:dyDescent="0.2">
      <c r="AM5947" t="str">
        <f t="shared" si="93"/>
        <v>Hikari [JPHKR]</v>
      </c>
      <c r="AN5947" t="s">
        <v>19018</v>
      </c>
      <c r="AO5947" t="s">
        <v>19019</v>
      </c>
    </row>
    <row r="5948" spans="39:41" ht="12" customHeight="1" x14ac:dyDescent="0.2">
      <c r="AM5948" t="str">
        <f t="shared" si="93"/>
        <v>Hiketa [JPHEA]</v>
      </c>
      <c r="AN5948" t="s">
        <v>19020</v>
      </c>
      <c r="AO5948" t="s">
        <v>19021</v>
      </c>
    </row>
    <row r="5949" spans="39:41" ht="12" customHeight="1" x14ac:dyDescent="0.2">
      <c r="AM5949" t="str">
        <f t="shared" si="93"/>
        <v>Hiki [JPHIK]</v>
      </c>
      <c r="AN5949" t="s">
        <v>19022</v>
      </c>
      <c r="AO5949" t="s">
        <v>19023</v>
      </c>
    </row>
    <row r="5950" spans="39:41" ht="12" customHeight="1" x14ac:dyDescent="0.2">
      <c r="AM5950" t="str">
        <f t="shared" si="93"/>
        <v>Hikimoto [JPHMT]</v>
      </c>
      <c r="AN5950" t="s">
        <v>19024</v>
      </c>
      <c r="AO5950" t="s">
        <v>19025</v>
      </c>
    </row>
    <row r="5951" spans="39:41" ht="12" customHeight="1" x14ac:dyDescent="0.2">
      <c r="AM5951" t="str">
        <f t="shared" si="93"/>
        <v>Hikone [JPHIE]</v>
      </c>
      <c r="AN5951" t="s">
        <v>19026</v>
      </c>
      <c r="AO5951" t="s">
        <v>19027</v>
      </c>
    </row>
    <row r="5952" spans="39:41" ht="12" customHeight="1" x14ac:dyDescent="0.2">
      <c r="AM5952" t="str">
        <f t="shared" si="93"/>
        <v>Hikoshima [JPHIS]</v>
      </c>
      <c r="AN5952" t="s">
        <v>19028</v>
      </c>
      <c r="AO5952" t="s">
        <v>19029</v>
      </c>
    </row>
    <row r="5953" spans="39:41" ht="12" customHeight="1" x14ac:dyDescent="0.2">
      <c r="AM5953" t="str">
        <f t="shared" si="93"/>
        <v>Hikozaki [JPHKZ]</v>
      </c>
      <c r="AN5953" t="s">
        <v>19030</v>
      </c>
      <c r="AO5953" t="s">
        <v>19031</v>
      </c>
    </row>
    <row r="5954" spans="39:41" ht="12" customHeight="1" x14ac:dyDescent="0.2">
      <c r="AM5954" t="str">
        <f t="shared" si="93"/>
        <v>Hilda [CAHID]</v>
      </c>
      <c r="AN5954" t="s">
        <v>3937</v>
      </c>
      <c r="AO5954" t="s">
        <v>3938</v>
      </c>
    </row>
    <row r="5955" spans="39:41" ht="12" customHeight="1" x14ac:dyDescent="0.2">
      <c r="AM5955" t="str">
        <f t="shared" si="93"/>
        <v>Hilger [USHR5]</v>
      </c>
      <c r="AN5955" t="s">
        <v>30111</v>
      </c>
      <c r="AO5955" t="s">
        <v>30112</v>
      </c>
    </row>
    <row r="5956" spans="39:41" ht="12" customHeight="1" x14ac:dyDescent="0.2">
      <c r="AM5956" t="str">
        <f t="shared" si="93"/>
        <v>Hill Air Force Base [USHIF]</v>
      </c>
      <c r="AN5956" t="s">
        <v>30113</v>
      </c>
      <c r="AO5956" t="s">
        <v>30114</v>
      </c>
    </row>
    <row r="5957" spans="39:41" ht="12" customHeight="1" x14ac:dyDescent="0.2">
      <c r="AM5957" t="str">
        <f t="shared" si="93"/>
        <v>Hille [DEHIE]</v>
      </c>
      <c r="AN5957" t="s">
        <v>7587</v>
      </c>
      <c r="AO5957" t="s">
        <v>7588</v>
      </c>
    </row>
    <row r="5958" spans="39:41" ht="12" customHeight="1" x14ac:dyDescent="0.2">
      <c r="AM5958" t="str">
        <f t="shared" si="93"/>
        <v>Hillegom [NLHIL]</v>
      </c>
      <c r="AN5958" t="s">
        <v>33898</v>
      </c>
      <c r="AO5958" t="s">
        <v>34020</v>
      </c>
    </row>
    <row r="5959" spans="39:41" ht="12" customHeight="1" x14ac:dyDescent="0.2">
      <c r="AM5959" t="str">
        <f t="shared" si="93"/>
        <v>Hillsborough, Carriacou Is [GDHIL]</v>
      </c>
      <c r="AN5959" t="s">
        <v>14924</v>
      </c>
      <c r="AO5959" t="s">
        <v>14925</v>
      </c>
    </row>
    <row r="5960" spans="39:41" ht="12" customHeight="1" x14ac:dyDescent="0.2">
      <c r="AM5960" t="str">
        <f t="shared" si="93"/>
        <v>Hilmar [USZHM]</v>
      </c>
      <c r="AN5960" t="s">
        <v>30115</v>
      </c>
      <c r="AO5960" t="s">
        <v>30116</v>
      </c>
    </row>
    <row r="5961" spans="39:41" ht="12" customHeight="1" x14ac:dyDescent="0.2">
      <c r="AM5961" t="str">
        <f t="shared" si="93"/>
        <v>Hilo [USITO]</v>
      </c>
      <c r="AN5961" t="s">
        <v>30117</v>
      </c>
      <c r="AO5961" t="s">
        <v>30118</v>
      </c>
    </row>
    <row r="5962" spans="39:41" ht="12" customHeight="1" x14ac:dyDescent="0.2">
      <c r="AM5962" t="str">
        <f t="shared" si="93"/>
        <v>Hilongos [PHHIL]</v>
      </c>
      <c r="AN5962" t="s">
        <v>25773</v>
      </c>
      <c r="AO5962" t="s">
        <v>25774</v>
      </c>
    </row>
    <row r="5963" spans="39:41" ht="12" customHeight="1" x14ac:dyDescent="0.2">
      <c r="AM5963" t="str">
        <f t="shared" si="93"/>
        <v>Hilton [GBTNN]</v>
      </c>
      <c r="AN5963" t="s">
        <v>13395</v>
      </c>
      <c r="AO5963" t="s">
        <v>13396</v>
      </c>
    </row>
    <row r="5964" spans="39:41" ht="12" customHeight="1" x14ac:dyDescent="0.2">
      <c r="AM5964" t="str">
        <f t="shared" si="93"/>
        <v>Hilton [USTLQ]</v>
      </c>
      <c r="AN5964" t="s">
        <v>30119</v>
      </c>
      <c r="AO5964" t="s">
        <v>13396</v>
      </c>
    </row>
    <row r="5965" spans="39:41" ht="12" customHeight="1" x14ac:dyDescent="0.2">
      <c r="AM5965" t="str">
        <f t="shared" si="93"/>
        <v>Hilton/Derby [GBHDB]</v>
      </c>
      <c r="AN5965" t="s">
        <v>13397</v>
      </c>
      <c r="AO5965" t="s">
        <v>13398</v>
      </c>
    </row>
    <row r="5966" spans="39:41" ht="12" customHeight="1" x14ac:dyDescent="0.2">
      <c r="AM5966" t="str">
        <f t="shared" si="93"/>
        <v>Hiltrup [DEHLP]</v>
      </c>
      <c r="AN5966" t="s">
        <v>7589</v>
      </c>
      <c r="AO5966" t="s">
        <v>7590</v>
      </c>
    </row>
    <row r="5967" spans="39:41" ht="12" customHeight="1" x14ac:dyDescent="0.2">
      <c r="AM5967" t="str">
        <f t="shared" si="93"/>
        <v>Hilvarenbeek [NLHVK]</v>
      </c>
      <c r="AN5967" t="s">
        <v>23264</v>
      </c>
      <c r="AO5967" t="s">
        <v>23265</v>
      </c>
    </row>
    <row r="5968" spans="39:41" ht="12" customHeight="1" x14ac:dyDescent="0.2">
      <c r="AM5968" t="str">
        <f t="shared" si="93"/>
        <v>Hilversum [NLHVS]</v>
      </c>
      <c r="AN5968" t="s">
        <v>33899</v>
      </c>
      <c r="AO5968" t="s">
        <v>34021</v>
      </c>
    </row>
    <row r="5969" spans="39:41" ht="12" customHeight="1" x14ac:dyDescent="0.2">
      <c r="AM5969" t="str">
        <f t="shared" si="93"/>
        <v>Himachal Pradesh [INHIP]</v>
      </c>
      <c r="AN5969" t="s">
        <v>17168</v>
      </c>
      <c r="AO5969" t="s">
        <v>17169</v>
      </c>
    </row>
    <row r="5970" spans="39:41" ht="12" customHeight="1" x14ac:dyDescent="0.2">
      <c r="AM5970" t="str">
        <f t="shared" si="93"/>
        <v>Himamaylan, Negros [PHHIM]</v>
      </c>
      <c r="AN5970" t="s">
        <v>25775</v>
      </c>
      <c r="AO5970" t="s">
        <v>25776</v>
      </c>
    </row>
    <row r="5971" spans="39:41" ht="12" customHeight="1" x14ac:dyDescent="0.2">
      <c r="AM5971" t="str">
        <f t="shared" si="93"/>
        <v>Himanka [FIHIM]</v>
      </c>
      <c r="AN5971" t="s">
        <v>10364</v>
      </c>
      <c r="AO5971" t="s">
        <v>10365</v>
      </c>
    </row>
    <row r="5972" spans="39:41" ht="12" customHeight="1" x14ac:dyDescent="0.2">
      <c r="AM5972" t="str">
        <f t="shared" si="93"/>
        <v>Himankakyla [FIHMA]</v>
      </c>
      <c r="AN5972" t="s">
        <v>10366</v>
      </c>
      <c r="AO5972" t="s">
        <v>35723</v>
      </c>
    </row>
    <row r="5973" spans="39:41" ht="12" customHeight="1" x14ac:dyDescent="0.2">
      <c r="AM5973" t="str">
        <f t="shared" si="93"/>
        <v>Himare [ALHMR]</v>
      </c>
      <c r="AN5973" t="s">
        <v>819</v>
      </c>
      <c r="AO5973" t="s">
        <v>820</v>
      </c>
    </row>
    <row r="5974" spans="39:41" ht="12" customHeight="1" x14ac:dyDescent="0.2">
      <c r="AM5974" t="str">
        <f t="shared" si="93"/>
        <v>Himedo [JPHDO]</v>
      </c>
      <c r="AN5974" t="s">
        <v>19032</v>
      </c>
      <c r="AO5974" t="s">
        <v>19033</v>
      </c>
    </row>
    <row r="5975" spans="39:41" ht="12" customHeight="1" x14ac:dyDescent="0.2">
      <c r="AM5975" t="str">
        <f t="shared" si="93"/>
        <v>Himeji [JPHIM]</v>
      </c>
      <c r="AN5975" t="s">
        <v>19034</v>
      </c>
      <c r="AO5975" t="s">
        <v>19035</v>
      </c>
    </row>
    <row r="5976" spans="39:41" ht="12" customHeight="1" x14ac:dyDescent="0.2">
      <c r="AM5976" t="str">
        <f t="shared" si="93"/>
        <v>Himekawa [JPHMK]</v>
      </c>
      <c r="AN5976" t="s">
        <v>19036</v>
      </c>
      <c r="AO5976" t="s">
        <v>19037</v>
      </c>
    </row>
    <row r="5977" spans="39:41" ht="12" customHeight="1" x14ac:dyDescent="0.2">
      <c r="AM5977" t="str">
        <f t="shared" si="93"/>
        <v>Himenoura [JPHNR]</v>
      </c>
      <c r="AN5977" t="s">
        <v>19038</v>
      </c>
      <c r="AO5977" t="s">
        <v>19039</v>
      </c>
    </row>
    <row r="5978" spans="39:41" ht="12" customHeight="1" x14ac:dyDescent="0.2">
      <c r="AM5978" t="str">
        <f t="shared" si="93"/>
        <v>Himeshima [JPHMH]</v>
      </c>
      <c r="AN5978" t="s">
        <v>19040</v>
      </c>
      <c r="AO5978" t="s">
        <v>19041</v>
      </c>
    </row>
    <row r="5979" spans="39:41" ht="12" customHeight="1" x14ac:dyDescent="0.2">
      <c r="AM5979" t="str">
        <f t="shared" si="93"/>
        <v>Himi [JPHMJ]</v>
      </c>
      <c r="AN5979" t="s">
        <v>19042</v>
      </c>
      <c r="AO5979" t="s">
        <v>19043</v>
      </c>
    </row>
    <row r="5980" spans="39:41" ht="12" customHeight="1" x14ac:dyDescent="0.2">
      <c r="AM5980" t="str">
        <f t="shared" si="93"/>
        <v>Himosashi [JPHMS]</v>
      </c>
      <c r="AN5980" t="s">
        <v>19044</v>
      </c>
      <c r="AO5980" t="s">
        <v>19045</v>
      </c>
    </row>
    <row r="5981" spans="39:41" ht="12" customHeight="1" x14ac:dyDescent="0.2">
      <c r="AM5981" t="str">
        <f t="shared" si="93"/>
        <v>Hinagu [JPHNG]</v>
      </c>
      <c r="AN5981" t="s">
        <v>19046</v>
      </c>
      <c r="AO5981" t="s">
        <v>19047</v>
      </c>
    </row>
    <row r="5982" spans="39:41" ht="12" customHeight="1" x14ac:dyDescent="0.2">
      <c r="AM5982" t="str">
        <f t="shared" si="93"/>
        <v>Hinase [JPHIN]</v>
      </c>
      <c r="AN5982" t="s">
        <v>19048</v>
      </c>
      <c r="AO5982" t="s">
        <v>19049</v>
      </c>
    </row>
    <row r="5983" spans="39:41" ht="12" customHeight="1" x14ac:dyDescent="0.2">
      <c r="AM5983" t="str">
        <f t="shared" si="93"/>
        <v>Hinatuan/Bislig [PHHNT]</v>
      </c>
      <c r="AN5983" t="s">
        <v>25777</v>
      </c>
      <c r="AO5983" t="s">
        <v>25778</v>
      </c>
    </row>
    <row r="5984" spans="39:41" ht="12" customHeight="1" x14ac:dyDescent="0.2">
      <c r="AM5984" t="str">
        <f t="shared" si="93"/>
        <v>Hinchinbrook Island [AUHNK]</v>
      </c>
      <c r="AN5984" t="s">
        <v>1741</v>
      </c>
      <c r="AO5984" t="s">
        <v>1742</v>
      </c>
    </row>
    <row r="5985" spans="39:41" ht="12" customHeight="1" x14ac:dyDescent="0.2">
      <c r="AM5985" t="str">
        <f t="shared" si="93"/>
        <v>Hinigaran/Iloilo [PHHNG]</v>
      </c>
      <c r="AN5985" t="s">
        <v>25779</v>
      </c>
      <c r="AO5985" t="s">
        <v>25780</v>
      </c>
    </row>
    <row r="5986" spans="39:41" ht="12" customHeight="1" x14ac:dyDescent="0.2">
      <c r="AM5986" t="str">
        <f t="shared" si="93"/>
        <v>Hinobaan/Iloilo [PHHNB]</v>
      </c>
      <c r="AN5986" t="s">
        <v>25781</v>
      </c>
      <c r="AO5986" t="s">
        <v>25782</v>
      </c>
    </row>
    <row r="5987" spans="39:41" ht="12" customHeight="1" x14ac:dyDescent="0.2">
      <c r="AM5987" t="str">
        <f t="shared" si="93"/>
        <v>Hinojosa del Duque [ESHDD]</v>
      </c>
      <c r="AN5987" t="s">
        <v>9829</v>
      </c>
      <c r="AO5987" t="s">
        <v>9830</v>
      </c>
    </row>
    <row r="5988" spans="39:41" ht="12" customHeight="1" x14ac:dyDescent="0.2">
      <c r="AM5988" t="str">
        <f t="shared" si="93"/>
        <v>Hinoshima [JPHNS]</v>
      </c>
      <c r="AN5988" t="s">
        <v>19050</v>
      </c>
      <c r="AO5988" t="s">
        <v>19051</v>
      </c>
    </row>
    <row r="5989" spans="39:41" ht="12" customHeight="1" x14ac:dyDescent="0.2">
      <c r="AM5989" t="str">
        <f t="shared" si="93"/>
        <v>Hinozu [JPHNZ]</v>
      </c>
      <c r="AN5989" t="s">
        <v>19052</v>
      </c>
      <c r="AO5989" t="s">
        <v>19053</v>
      </c>
    </row>
    <row r="5990" spans="39:41" ht="12" customHeight="1" x14ac:dyDescent="0.2">
      <c r="AM5990" t="str">
        <f t="shared" si="93"/>
        <v>Hirado [JPHRD]</v>
      </c>
      <c r="AN5990" t="s">
        <v>19054</v>
      </c>
      <c r="AO5990" t="s">
        <v>19055</v>
      </c>
    </row>
    <row r="5991" spans="39:41" ht="12" customHeight="1" x14ac:dyDescent="0.2">
      <c r="AM5991" t="str">
        <f t="shared" si="93"/>
        <v>Hirai [JPHRJ]</v>
      </c>
      <c r="AN5991" t="s">
        <v>19056</v>
      </c>
      <c r="AO5991" t="s">
        <v>19057</v>
      </c>
    </row>
    <row r="5992" spans="39:41" ht="12" customHeight="1" x14ac:dyDescent="0.2">
      <c r="AM5992" t="str">
        <f t="shared" si="93"/>
        <v>Hiraiwa [JPHRW]</v>
      </c>
      <c r="AN5992" t="s">
        <v>19058</v>
      </c>
      <c r="AO5992" t="s">
        <v>19059</v>
      </c>
    </row>
    <row r="5993" spans="39:41" ht="12" customHeight="1" x14ac:dyDescent="0.2">
      <c r="AM5993" t="str">
        <f t="shared" si="93"/>
        <v>Hirakata [JPHRK]</v>
      </c>
      <c r="AN5993" t="s">
        <v>19060</v>
      </c>
      <c r="AO5993" t="s">
        <v>19061</v>
      </c>
    </row>
    <row r="5994" spans="39:41" ht="12" customHeight="1" x14ac:dyDescent="0.2">
      <c r="AM5994" t="str">
        <f t="shared" si="93"/>
        <v>Hirao [JPHRA]</v>
      </c>
      <c r="AN5994" t="s">
        <v>19062</v>
      </c>
      <c r="AO5994" t="s">
        <v>19063</v>
      </c>
    </row>
    <row r="5995" spans="39:41" ht="12" customHeight="1" x14ac:dyDescent="0.2">
      <c r="AM5995" t="str">
        <f t="shared" si="93"/>
        <v>Hirara [JPHRR]</v>
      </c>
      <c r="AN5995" t="s">
        <v>19064</v>
      </c>
      <c r="AO5995" t="s">
        <v>19065</v>
      </c>
    </row>
    <row r="5996" spans="39:41" ht="12" customHeight="1" x14ac:dyDescent="0.2">
      <c r="AM5996" t="str">
        <f t="shared" si="93"/>
        <v>Hirasaki [JPHII]</v>
      </c>
      <c r="AN5996" t="s">
        <v>19066</v>
      </c>
      <c r="AO5996" t="s">
        <v>19067</v>
      </c>
    </row>
    <row r="5997" spans="39:41" ht="12" customHeight="1" x14ac:dyDescent="0.2">
      <c r="AM5997" t="str">
        <f t="shared" si="93"/>
        <v>Hirasawa [JPHSW]</v>
      </c>
      <c r="AN5997" t="s">
        <v>19068</v>
      </c>
      <c r="AO5997" t="s">
        <v>19069</v>
      </c>
    </row>
    <row r="5998" spans="39:41" ht="12" customHeight="1" x14ac:dyDescent="0.2">
      <c r="AM5998" t="str">
        <f t="shared" si="93"/>
        <v>Hirase [JPHRS]</v>
      </c>
      <c r="AN5998" t="s">
        <v>19070</v>
      </c>
      <c r="AO5998" t="s">
        <v>19071</v>
      </c>
    </row>
    <row r="5999" spans="39:41" ht="12" customHeight="1" x14ac:dyDescent="0.2">
      <c r="AM5999" t="str">
        <f t="shared" si="93"/>
        <v>Hiratsuka [JPHIU]</v>
      </c>
      <c r="AN5999" t="s">
        <v>19072</v>
      </c>
      <c r="AO5999" t="s">
        <v>19073</v>
      </c>
    </row>
    <row r="6000" spans="39:41" ht="12" customHeight="1" x14ac:dyDescent="0.2">
      <c r="AM6000" t="str">
        <f t="shared" si="93"/>
        <v>Hiro [JPHRO]</v>
      </c>
      <c r="AN6000" t="s">
        <v>19074</v>
      </c>
      <c r="AO6000" t="s">
        <v>19075</v>
      </c>
    </row>
    <row r="6001" spans="39:41" ht="12" customHeight="1" x14ac:dyDescent="0.2">
      <c r="AM6001" t="str">
        <f t="shared" si="93"/>
        <v>Hirohata [JPHRH]</v>
      </c>
      <c r="AN6001" t="s">
        <v>19076</v>
      </c>
      <c r="AO6001" t="s">
        <v>19077</v>
      </c>
    </row>
    <row r="6002" spans="39:41" ht="12" customHeight="1" x14ac:dyDescent="0.2">
      <c r="AM6002" t="str">
        <f t="shared" si="93"/>
        <v>Hiroo [JPHIR]</v>
      </c>
      <c r="AN6002" t="s">
        <v>19078</v>
      </c>
      <c r="AO6002" t="s">
        <v>19079</v>
      </c>
    </row>
    <row r="6003" spans="39:41" ht="12" customHeight="1" x14ac:dyDescent="0.2">
      <c r="AM6003" t="str">
        <f t="shared" si="93"/>
        <v>Hiroshima [JPHIJ]</v>
      </c>
      <c r="AN6003" t="s">
        <v>19080</v>
      </c>
      <c r="AO6003" t="s">
        <v>19081</v>
      </c>
    </row>
    <row r="6004" spans="39:41" ht="12" customHeight="1" x14ac:dyDescent="0.2">
      <c r="AM6004" t="str">
        <f t="shared" si="93"/>
        <v>Hirota, Iwate [JPHTA]</v>
      </c>
      <c r="AN6004" t="s">
        <v>19082</v>
      </c>
      <c r="AO6004" t="s">
        <v>19083</v>
      </c>
    </row>
    <row r="6005" spans="39:41" ht="12" customHeight="1" x14ac:dyDescent="0.2">
      <c r="AM6005" t="str">
        <f t="shared" si="93"/>
        <v>Hirota, Kagoshima [JPHJT]</v>
      </c>
      <c r="AN6005" t="s">
        <v>19084</v>
      </c>
      <c r="AO6005" t="s">
        <v>19085</v>
      </c>
    </row>
    <row r="6006" spans="39:41" ht="12" customHeight="1" x14ac:dyDescent="0.2">
      <c r="AM6006" t="str">
        <f t="shared" si="93"/>
        <v>Hiroura [JPHRU]</v>
      </c>
      <c r="AN6006" t="s">
        <v>19086</v>
      </c>
      <c r="AO6006" t="s">
        <v>19087</v>
      </c>
    </row>
    <row r="6007" spans="39:41" ht="12" customHeight="1" x14ac:dyDescent="0.2">
      <c r="AM6007" t="str">
        <f t="shared" si="93"/>
        <v>Hirtshals [DKHIR]</v>
      </c>
      <c r="AN6007" t="s">
        <v>8733</v>
      </c>
      <c r="AO6007" t="s">
        <v>8734</v>
      </c>
    </row>
    <row r="6008" spans="39:41" ht="12" customHeight="1" x14ac:dyDescent="0.2">
      <c r="AM6008" t="str">
        <f t="shared" si="93"/>
        <v>Hirugaura [JPHGU]</v>
      </c>
      <c r="AN6008" t="s">
        <v>19088</v>
      </c>
      <c r="AO6008" t="s">
        <v>19089</v>
      </c>
    </row>
    <row r="6009" spans="39:41" ht="12" customHeight="1" x14ac:dyDescent="0.2">
      <c r="AM6009" t="str">
        <f t="shared" ref="AM6009:AM6072" si="94">AO6009 &amp; " [" &amp; AN6009 &amp; "]"</f>
        <v>Hirvensalmi [FIHVM]</v>
      </c>
      <c r="AN6009" t="s">
        <v>10367</v>
      </c>
      <c r="AO6009" t="s">
        <v>10368</v>
      </c>
    </row>
    <row r="6010" spans="39:41" ht="12" customHeight="1" x14ac:dyDescent="0.2">
      <c r="AM6010" t="str">
        <f t="shared" si="94"/>
        <v>Hirzenhain [DEHRE]</v>
      </c>
      <c r="AN6010" t="s">
        <v>7591</v>
      </c>
      <c r="AO6010" t="s">
        <v>7592</v>
      </c>
    </row>
    <row r="6011" spans="39:41" ht="12" customHeight="1" x14ac:dyDescent="0.2">
      <c r="AM6011" t="str">
        <f t="shared" si="94"/>
        <v>Hisanohama [JPHSN]</v>
      </c>
      <c r="AN6011" t="s">
        <v>19090</v>
      </c>
      <c r="AO6011" t="s">
        <v>19091</v>
      </c>
    </row>
    <row r="6012" spans="39:41" ht="12" customHeight="1" x14ac:dyDescent="0.2">
      <c r="AM6012" t="str">
        <f t="shared" si="94"/>
        <v>Hisaronu [TRHIS]</v>
      </c>
      <c r="AN6012" t="s">
        <v>28494</v>
      </c>
      <c r="AO6012" t="s">
        <v>36576</v>
      </c>
    </row>
    <row r="6013" spans="39:41" ht="12" customHeight="1" x14ac:dyDescent="0.2">
      <c r="AM6013" t="str">
        <f t="shared" si="94"/>
        <v>Hisayoshi [JPHYS]</v>
      </c>
      <c r="AN6013" t="s">
        <v>19092</v>
      </c>
      <c r="AO6013" t="s">
        <v>19093</v>
      </c>
    </row>
    <row r="6014" spans="39:41" ht="12" customHeight="1" x14ac:dyDescent="0.2">
      <c r="AM6014" t="str">
        <f t="shared" si="94"/>
        <v>Hishima [JPHMA]</v>
      </c>
      <c r="AN6014" t="s">
        <v>19094</v>
      </c>
      <c r="AO6014" t="s">
        <v>19095</v>
      </c>
    </row>
    <row r="6015" spans="39:41" ht="12" customHeight="1" x14ac:dyDescent="0.2">
      <c r="AM6015" t="str">
        <f t="shared" si="94"/>
        <v>Hitachi [JPHTC]</v>
      </c>
      <c r="AN6015" t="s">
        <v>19096</v>
      </c>
      <c r="AO6015" t="s">
        <v>19097</v>
      </c>
    </row>
    <row r="6016" spans="39:41" ht="12" customHeight="1" x14ac:dyDescent="0.2">
      <c r="AM6016" t="str">
        <f t="shared" si="94"/>
        <v>Hitachinaka [JPHIC]</v>
      </c>
      <c r="AN6016" t="s">
        <v>19098</v>
      </c>
      <c r="AO6016" t="s">
        <v>19099</v>
      </c>
    </row>
    <row r="6017" spans="39:41" ht="12" customHeight="1" x14ac:dyDescent="0.2">
      <c r="AM6017" t="str">
        <f t="shared" si="94"/>
        <v>Hitakatsu [JPHTK]</v>
      </c>
      <c r="AN6017" t="s">
        <v>19100</v>
      </c>
      <c r="AO6017" t="s">
        <v>19101</v>
      </c>
    </row>
    <row r="6018" spans="39:41" ht="12" customHeight="1" x14ac:dyDescent="0.2">
      <c r="AM6018" t="str">
        <f t="shared" si="94"/>
        <v>Hitdorf [DEHD8]</v>
      </c>
      <c r="AN6018" t="s">
        <v>7593</v>
      </c>
      <c r="AO6018" t="s">
        <v>7594</v>
      </c>
    </row>
    <row r="6019" spans="39:41" ht="12" customHeight="1" x14ac:dyDescent="0.2">
      <c r="AM6019" t="str">
        <f t="shared" si="94"/>
        <v>Hitra [NOHIT]</v>
      </c>
      <c r="AN6019" t="s">
        <v>24244</v>
      </c>
      <c r="AO6019" t="s">
        <v>24245</v>
      </c>
    </row>
    <row r="6020" spans="39:41" ht="12" customHeight="1" x14ac:dyDescent="0.2">
      <c r="AM6020" t="str">
        <f t="shared" si="94"/>
        <v>Hitsushima [JPHTS]</v>
      </c>
      <c r="AN6020" t="s">
        <v>19102</v>
      </c>
      <c r="AO6020" t="s">
        <v>19103</v>
      </c>
    </row>
    <row r="6021" spans="39:41" ht="12" customHeight="1" x14ac:dyDescent="0.2">
      <c r="AM6021" t="str">
        <f t="shared" si="94"/>
        <v>Hiwasa [JPHWS]</v>
      </c>
      <c r="AN6021" t="s">
        <v>19104</v>
      </c>
      <c r="AO6021" t="s">
        <v>19105</v>
      </c>
    </row>
    <row r="6022" spans="39:41" ht="12" customHeight="1" x14ac:dyDescent="0.2">
      <c r="AM6022" t="str">
        <f t="shared" si="94"/>
        <v>Hizenohshima [JPHIZ]</v>
      </c>
      <c r="AN6022" t="s">
        <v>19106</v>
      </c>
      <c r="AO6022" t="s">
        <v>19107</v>
      </c>
    </row>
    <row r="6023" spans="39:41" ht="12" customHeight="1" x14ac:dyDescent="0.2">
      <c r="AM6023" t="str">
        <f t="shared" si="94"/>
        <v>Hjalteyri [ISHJA]</v>
      </c>
      <c r="AN6023" t="s">
        <v>17716</v>
      </c>
      <c r="AO6023" t="s">
        <v>17717</v>
      </c>
    </row>
    <row r="6024" spans="39:41" ht="12" customHeight="1" x14ac:dyDescent="0.2">
      <c r="AM6024" t="str">
        <f t="shared" si="94"/>
        <v>Hjelmeland [NOHJL]</v>
      </c>
      <c r="AN6024" t="s">
        <v>24246</v>
      </c>
      <c r="AO6024" t="s">
        <v>24247</v>
      </c>
    </row>
    <row r="6025" spans="39:41" ht="12" customHeight="1" x14ac:dyDescent="0.2">
      <c r="AM6025" t="str">
        <f t="shared" si="94"/>
        <v>Hjelset [NOHJJ]</v>
      </c>
      <c r="AN6025" t="s">
        <v>24248</v>
      </c>
      <c r="AO6025" t="s">
        <v>24249</v>
      </c>
    </row>
    <row r="6026" spans="39:41" ht="12" customHeight="1" x14ac:dyDescent="0.2">
      <c r="AM6026" t="str">
        <f t="shared" si="94"/>
        <v>Hjerting [DKHJT]</v>
      </c>
      <c r="AN6026" t="s">
        <v>8735</v>
      </c>
      <c r="AO6026" t="s">
        <v>8736</v>
      </c>
    </row>
    <row r="6027" spans="39:41" ht="12" customHeight="1" x14ac:dyDescent="0.2">
      <c r="AM6027" t="str">
        <f t="shared" si="94"/>
        <v>Hjorungavag [NOHJO]</v>
      </c>
      <c r="AN6027" t="s">
        <v>24250</v>
      </c>
      <c r="AO6027" t="s">
        <v>36197</v>
      </c>
    </row>
    <row r="6028" spans="39:41" ht="12" customHeight="1" x14ac:dyDescent="0.2">
      <c r="AM6028" t="str">
        <f t="shared" si="94"/>
        <v>Hlubocepy [CZHLP]</v>
      </c>
      <c r="AN6028" t="s">
        <v>6833</v>
      </c>
      <c r="AO6028" t="s">
        <v>6834</v>
      </c>
    </row>
    <row r="6029" spans="39:41" ht="12" customHeight="1" x14ac:dyDescent="0.2">
      <c r="AM6029" t="str">
        <f t="shared" si="94"/>
        <v>Hluk [CZHLU]</v>
      </c>
      <c r="AN6029" t="s">
        <v>6835</v>
      </c>
      <c r="AO6029" t="s">
        <v>6836</v>
      </c>
    </row>
    <row r="6030" spans="39:41" ht="12" customHeight="1" x14ac:dyDescent="0.2">
      <c r="AM6030" t="str">
        <f t="shared" si="94"/>
        <v>Ho Chi Minh City [VNSGN]</v>
      </c>
      <c r="AN6030" t="s">
        <v>32382</v>
      </c>
      <c r="AO6030" t="s">
        <v>32383</v>
      </c>
    </row>
    <row r="6031" spans="39:41" ht="12" customHeight="1" x14ac:dyDescent="0.2">
      <c r="AM6031" t="str">
        <f t="shared" si="94"/>
        <v>Ho Chi Minh, VICT [VNVIC]</v>
      </c>
      <c r="AN6031" t="s">
        <v>32384</v>
      </c>
      <c r="AO6031" t="s">
        <v>32385</v>
      </c>
    </row>
    <row r="6032" spans="39:41" ht="12" customHeight="1" x14ac:dyDescent="0.2">
      <c r="AM6032" t="str">
        <f t="shared" si="94"/>
        <v>Hoai An [VNHAA]</v>
      </c>
      <c r="AN6032" t="s">
        <v>32386</v>
      </c>
      <c r="AO6032" t="s">
        <v>32387</v>
      </c>
    </row>
    <row r="6033" spans="39:41" ht="12" customHeight="1" x14ac:dyDescent="0.2">
      <c r="AM6033" t="str">
        <f t="shared" si="94"/>
        <v>Hobart [AUHBA]</v>
      </c>
      <c r="AN6033" t="s">
        <v>1743</v>
      </c>
      <c r="AO6033" t="s">
        <v>1744</v>
      </c>
    </row>
    <row r="6034" spans="39:41" ht="12" customHeight="1" x14ac:dyDescent="0.2">
      <c r="AM6034" t="str">
        <f t="shared" si="94"/>
        <v>Hobersbrunn [ATBNN]</v>
      </c>
      <c r="AN6034" t="s">
        <v>1236</v>
      </c>
      <c r="AO6034" t="s">
        <v>1237</v>
      </c>
    </row>
    <row r="6035" spans="39:41" ht="12" customHeight="1" x14ac:dyDescent="0.2">
      <c r="AM6035" t="str">
        <f t="shared" si="94"/>
        <v>Hoboken [BEHBN]</v>
      </c>
      <c r="AN6035" t="s">
        <v>2547</v>
      </c>
      <c r="AO6035" t="s">
        <v>2548</v>
      </c>
    </row>
    <row r="6036" spans="39:41" ht="12" customHeight="1" x14ac:dyDescent="0.2">
      <c r="AM6036" t="str">
        <f t="shared" si="94"/>
        <v>Hoboken [USHBK]</v>
      </c>
      <c r="AN6036" t="s">
        <v>30120</v>
      </c>
      <c r="AO6036" t="s">
        <v>2548</v>
      </c>
    </row>
    <row r="6037" spans="39:41" ht="12" customHeight="1" x14ac:dyDescent="0.2">
      <c r="AM6037" t="str">
        <f t="shared" si="94"/>
        <v>Hobro [DKHBO]</v>
      </c>
      <c r="AN6037" t="s">
        <v>8737</v>
      </c>
      <c r="AO6037" t="s">
        <v>8738</v>
      </c>
    </row>
    <row r="6038" spans="39:41" ht="12" customHeight="1" x14ac:dyDescent="0.2">
      <c r="AM6038" t="str">
        <f t="shared" si="94"/>
        <v>Hochdonn [DEHOD]</v>
      </c>
      <c r="AN6038" t="s">
        <v>7595</v>
      </c>
      <c r="AO6038" t="s">
        <v>7596</v>
      </c>
    </row>
    <row r="6039" spans="39:41" ht="12" customHeight="1" x14ac:dyDescent="0.2">
      <c r="AM6039" t="str">
        <f t="shared" si="94"/>
        <v>Hochst [DEHCS]</v>
      </c>
      <c r="AN6039" t="s">
        <v>7597</v>
      </c>
      <c r="AO6039" t="s">
        <v>35445</v>
      </c>
    </row>
    <row r="6040" spans="39:41" ht="12" customHeight="1" x14ac:dyDescent="0.2">
      <c r="AM6040" t="str">
        <f t="shared" si="94"/>
        <v>Hochstadt [DEHO4]</v>
      </c>
      <c r="AN6040" t="s">
        <v>7598</v>
      </c>
      <c r="AO6040" t="s">
        <v>7599</v>
      </c>
    </row>
    <row r="6041" spans="39:41" ht="12" customHeight="1" x14ac:dyDescent="0.2">
      <c r="AM6041" t="str">
        <f t="shared" si="94"/>
        <v>Hoda [JPHUD]</v>
      </c>
      <c r="AN6041" t="s">
        <v>19108</v>
      </c>
      <c r="AO6041" t="s">
        <v>19109</v>
      </c>
    </row>
    <row r="6042" spans="39:41" ht="12" customHeight="1" x14ac:dyDescent="0.2">
      <c r="AM6042" t="str">
        <f t="shared" si="94"/>
        <v>Hodac [ROHDC]</v>
      </c>
      <c r="AN6042" t="s">
        <v>26765</v>
      </c>
      <c r="AO6042" t="s">
        <v>26766</v>
      </c>
    </row>
    <row r="6043" spans="39:41" ht="12" customHeight="1" x14ac:dyDescent="0.2">
      <c r="AM6043" t="str">
        <f t="shared" si="94"/>
        <v>Hoddles Creek [AUHDD]</v>
      </c>
      <c r="AN6043" t="s">
        <v>1745</v>
      </c>
      <c r="AO6043" t="s">
        <v>1746</v>
      </c>
    </row>
    <row r="6044" spans="39:41" ht="12" customHeight="1" x14ac:dyDescent="0.2">
      <c r="AM6044" t="str">
        <f t="shared" si="94"/>
        <v>Hodeidah [YEHOD]</v>
      </c>
      <c r="AN6044" t="s">
        <v>32638</v>
      </c>
      <c r="AO6044" t="s">
        <v>32639</v>
      </c>
    </row>
    <row r="6045" spans="39:41" ht="12" customHeight="1" x14ac:dyDescent="0.2">
      <c r="AM6045" t="str">
        <f t="shared" si="94"/>
        <v>Hoek van Holland [NLHVH]</v>
      </c>
      <c r="AN6045" t="s">
        <v>23266</v>
      </c>
      <c r="AO6045" t="s">
        <v>23267</v>
      </c>
    </row>
    <row r="6046" spans="39:41" ht="12" customHeight="1" x14ac:dyDescent="0.2">
      <c r="AM6046" t="str">
        <f t="shared" si="94"/>
        <v>Hof [NOHOF]</v>
      </c>
      <c r="AN6046" t="s">
        <v>24251</v>
      </c>
      <c r="AO6046" t="s">
        <v>24252</v>
      </c>
    </row>
    <row r="6047" spans="39:41" ht="12" customHeight="1" x14ac:dyDescent="0.2">
      <c r="AM6047" t="str">
        <f t="shared" si="94"/>
        <v>Hoflein [ATEIN]</v>
      </c>
      <c r="AN6047" t="s">
        <v>1238</v>
      </c>
      <c r="AO6047" t="s">
        <v>1239</v>
      </c>
    </row>
    <row r="6048" spans="39:41" ht="12" customHeight="1" x14ac:dyDescent="0.2">
      <c r="AM6048" t="str">
        <f t="shared" si="94"/>
        <v>Hofn, Hornafjordur [ISHFN]</v>
      </c>
      <c r="AN6048" t="s">
        <v>17718</v>
      </c>
      <c r="AO6048" t="s">
        <v>36048</v>
      </c>
    </row>
    <row r="6049" spans="39:41" ht="12" customHeight="1" x14ac:dyDescent="0.2">
      <c r="AM6049" t="str">
        <f t="shared" si="94"/>
        <v>Hofsos [ISHOF]</v>
      </c>
      <c r="AN6049" t="s">
        <v>17719</v>
      </c>
      <c r="AO6049" t="s">
        <v>36049</v>
      </c>
    </row>
    <row r="6050" spans="39:41" ht="12" customHeight="1" x14ac:dyDescent="0.2">
      <c r="AM6050" t="str">
        <f t="shared" si="94"/>
        <v>Hofstade [BEHSD]</v>
      </c>
      <c r="AN6050" t="s">
        <v>2549</v>
      </c>
      <c r="AO6050" t="s">
        <v>2550</v>
      </c>
    </row>
    <row r="6051" spans="39:41" ht="12" customHeight="1" x14ac:dyDescent="0.2">
      <c r="AM6051" t="str">
        <f t="shared" si="94"/>
        <v>Hofu [JPHOF]</v>
      </c>
      <c r="AN6051" t="s">
        <v>19110</v>
      </c>
      <c r="AO6051" t="s">
        <v>19111</v>
      </c>
    </row>
    <row r="6052" spans="39:41" ht="12" customHeight="1" x14ac:dyDescent="0.2">
      <c r="AM6052" t="str">
        <f t="shared" si="94"/>
        <v>Hoganas [SEHOG]</v>
      </c>
      <c r="AN6052" t="s">
        <v>27633</v>
      </c>
      <c r="AO6052" t="s">
        <v>36453</v>
      </c>
    </row>
    <row r="6053" spans="39:41" ht="12" customHeight="1" x14ac:dyDescent="0.2">
      <c r="AM6053" t="str">
        <f t="shared" si="94"/>
        <v>Hogsara [FIHOG]</v>
      </c>
      <c r="AN6053" t="s">
        <v>10369</v>
      </c>
      <c r="AO6053" t="s">
        <v>35724</v>
      </c>
    </row>
    <row r="6054" spans="39:41" ht="12" customHeight="1" x14ac:dyDescent="0.2">
      <c r="AM6054" t="str">
        <f t="shared" si="94"/>
        <v>Hogset [NOHOG]</v>
      </c>
      <c r="AN6054" t="s">
        <v>24253</v>
      </c>
      <c r="AO6054" t="s">
        <v>36198</v>
      </c>
    </row>
    <row r="6055" spans="39:41" ht="12" customHeight="1" x14ac:dyDescent="0.2">
      <c r="AM6055" t="str">
        <f t="shared" si="94"/>
        <v>Hogsjo [SEHGS]</v>
      </c>
      <c r="AN6055" t="s">
        <v>27634</v>
      </c>
      <c r="AO6055" t="s">
        <v>36454</v>
      </c>
    </row>
    <row r="6056" spans="39:41" ht="12" customHeight="1" x14ac:dyDescent="0.2">
      <c r="AM6056" t="str">
        <f t="shared" si="94"/>
        <v>Hohenau [DEJUY]</v>
      </c>
      <c r="AN6056" t="s">
        <v>7600</v>
      </c>
      <c r="AO6056" t="s">
        <v>7601</v>
      </c>
    </row>
    <row r="6057" spans="39:41" ht="12" customHeight="1" x14ac:dyDescent="0.2">
      <c r="AM6057" t="str">
        <f t="shared" si="94"/>
        <v>Hohenhameln [DEHOJ]</v>
      </c>
      <c r="AN6057" t="s">
        <v>7602</v>
      </c>
      <c r="AO6057" t="s">
        <v>7603</v>
      </c>
    </row>
    <row r="6058" spans="39:41" ht="12" customHeight="1" x14ac:dyDescent="0.2">
      <c r="AM6058" t="str">
        <f t="shared" si="94"/>
        <v>Hohenhorn [DEHHS]</v>
      </c>
      <c r="AN6058" t="s">
        <v>7604</v>
      </c>
      <c r="AO6058" t="s">
        <v>7605</v>
      </c>
    </row>
    <row r="6059" spans="39:41" ht="12" customHeight="1" x14ac:dyDescent="0.2">
      <c r="AM6059" t="str">
        <f t="shared" si="94"/>
        <v>Hohensaaten [DEHSA]</v>
      </c>
      <c r="AN6059" t="s">
        <v>7606</v>
      </c>
      <c r="AO6059" t="s">
        <v>7607</v>
      </c>
    </row>
    <row r="6060" spans="39:41" ht="12" customHeight="1" x14ac:dyDescent="0.2">
      <c r="AM6060" t="str">
        <f t="shared" si="94"/>
        <v>Hohenwarthe [DEOWH]</v>
      </c>
      <c r="AN6060" t="s">
        <v>7608</v>
      </c>
      <c r="AO6060" t="s">
        <v>7609</v>
      </c>
    </row>
    <row r="6061" spans="39:41" ht="12" customHeight="1" x14ac:dyDescent="0.2">
      <c r="AM6061" t="str">
        <f t="shared" si="94"/>
        <v>Hohn [DEVVH]</v>
      </c>
      <c r="AN6061" t="s">
        <v>7610</v>
      </c>
      <c r="AO6061" t="s">
        <v>7611</v>
      </c>
    </row>
    <row r="6062" spans="39:41" ht="12" customHeight="1" x14ac:dyDescent="0.2">
      <c r="AM6062" t="str">
        <f t="shared" si="94"/>
        <v>Ho-Ho-Kus [USHHK]</v>
      </c>
      <c r="AN6062" t="s">
        <v>30121</v>
      </c>
      <c r="AO6062" t="s">
        <v>30122</v>
      </c>
    </row>
    <row r="6063" spans="39:41" ht="12" customHeight="1" x14ac:dyDescent="0.2">
      <c r="AM6063" t="str">
        <f t="shared" si="94"/>
        <v>Hohomi [JPHHM]</v>
      </c>
      <c r="AN6063" t="s">
        <v>19112</v>
      </c>
      <c r="AO6063" t="s">
        <v>19113</v>
      </c>
    </row>
    <row r="6064" spans="39:41" ht="12" customHeight="1" x14ac:dyDescent="0.2">
      <c r="AM6064" t="str">
        <f t="shared" si="94"/>
        <v>Hohwarth [FRH67]</v>
      </c>
      <c r="AN6064" t="s">
        <v>11385</v>
      </c>
      <c r="AO6064" t="s">
        <v>11386</v>
      </c>
    </row>
    <row r="6065" spans="39:41" ht="12" customHeight="1" x14ac:dyDescent="0.2">
      <c r="AM6065" t="str">
        <f t="shared" si="94"/>
        <v>Hoi An [VNHIA]</v>
      </c>
      <c r="AN6065" t="s">
        <v>32388</v>
      </c>
      <c r="AO6065" t="s">
        <v>32389</v>
      </c>
    </row>
    <row r="6066" spans="39:41" ht="12" customHeight="1" x14ac:dyDescent="0.2">
      <c r="AM6066" t="str">
        <f t="shared" si="94"/>
        <v>Hoisington [USZHT]</v>
      </c>
      <c r="AN6066" t="s">
        <v>30123</v>
      </c>
      <c r="AO6066" t="s">
        <v>30124</v>
      </c>
    </row>
    <row r="6067" spans="39:41" ht="12" customHeight="1" x14ac:dyDescent="0.2">
      <c r="AM6067" t="str">
        <f t="shared" si="94"/>
        <v>Hojby [DKHJ3]</v>
      </c>
      <c r="AN6067" t="s">
        <v>8739</v>
      </c>
      <c r="AO6067" t="s">
        <v>35543</v>
      </c>
    </row>
    <row r="6068" spans="39:41" ht="12" customHeight="1" x14ac:dyDescent="0.2">
      <c r="AM6068" t="str">
        <f t="shared" si="94"/>
        <v>Hojo [JPHJO]</v>
      </c>
      <c r="AN6068" t="s">
        <v>19114</v>
      </c>
      <c r="AO6068" t="s">
        <v>19115</v>
      </c>
    </row>
    <row r="6069" spans="39:41" ht="12" customHeight="1" x14ac:dyDescent="0.2">
      <c r="AM6069" t="str">
        <f t="shared" si="94"/>
        <v>Holbak [DKHBK]</v>
      </c>
      <c r="AN6069" t="s">
        <v>8740</v>
      </c>
      <c r="AO6069" t="s">
        <v>35544</v>
      </c>
    </row>
    <row r="6070" spans="39:41" ht="12" customHeight="1" x14ac:dyDescent="0.2">
      <c r="AM6070" t="str">
        <f t="shared" si="94"/>
        <v>Holehaven [GBHHN]</v>
      </c>
      <c r="AN6070" t="s">
        <v>13399</v>
      </c>
      <c r="AO6070" t="s">
        <v>13400</v>
      </c>
    </row>
    <row r="6071" spans="39:41" ht="12" customHeight="1" x14ac:dyDescent="0.2">
      <c r="AM6071" t="str">
        <f t="shared" si="94"/>
        <v>Holla [NOHOA]</v>
      </c>
      <c r="AN6071" t="s">
        <v>24254</v>
      </c>
      <c r="AO6071" t="s">
        <v>24255</v>
      </c>
    </row>
    <row r="6072" spans="39:41" ht="12" customHeight="1" x14ac:dyDescent="0.2">
      <c r="AM6072" t="str">
        <f t="shared" si="94"/>
        <v>Holla [NOHLA]</v>
      </c>
      <c r="AN6072" t="s">
        <v>37083</v>
      </c>
      <c r="AO6072" t="s">
        <v>24255</v>
      </c>
    </row>
    <row r="6073" spans="39:41" ht="12" customHeight="1" x14ac:dyDescent="0.2">
      <c r="AM6073" t="str">
        <f t="shared" ref="AM6073:AM6136" si="95">AO6073 &amp; " [" &amp; AN6073 &amp; "]"</f>
        <v>Hollain [BEHOL]</v>
      </c>
      <c r="AN6073" t="s">
        <v>2551</v>
      </c>
      <c r="AO6073" t="s">
        <v>2552</v>
      </c>
    </row>
    <row r="6074" spans="39:41" ht="12" customHeight="1" x14ac:dyDescent="0.2">
      <c r="AM6074" t="str">
        <f t="shared" si="95"/>
        <v>Holland [USHLM]</v>
      </c>
      <c r="AN6074" t="s">
        <v>30125</v>
      </c>
      <c r="AO6074" t="s">
        <v>30126</v>
      </c>
    </row>
    <row r="6075" spans="39:41" ht="12" customHeight="1" x14ac:dyDescent="0.2">
      <c r="AM6075" t="str">
        <f t="shared" si="95"/>
        <v>Holland on Sea [GBHDS]</v>
      </c>
      <c r="AN6075" t="s">
        <v>13401</v>
      </c>
      <c r="AO6075" t="s">
        <v>13402</v>
      </c>
    </row>
    <row r="6076" spans="39:41" ht="12" customHeight="1" x14ac:dyDescent="0.2">
      <c r="AM6076" t="str">
        <f t="shared" si="95"/>
        <v>Hollen [NOHLL]</v>
      </c>
      <c r="AN6076" t="s">
        <v>24256</v>
      </c>
      <c r="AO6076" t="s">
        <v>36199</v>
      </c>
    </row>
    <row r="6077" spans="39:41" ht="12" customHeight="1" x14ac:dyDescent="0.2">
      <c r="AM6077" t="str">
        <f t="shared" si="95"/>
        <v>Hollenstedt [DEHLN]</v>
      </c>
      <c r="AN6077" t="s">
        <v>7612</v>
      </c>
      <c r="AO6077" t="s">
        <v>7613</v>
      </c>
    </row>
    <row r="6078" spans="39:41" ht="12" customHeight="1" x14ac:dyDescent="0.2">
      <c r="AM6078" t="str">
        <f t="shared" si="95"/>
        <v>Hollister [USHRM]</v>
      </c>
      <c r="AN6078" t="s">
        <v>30127</v>
      </c>
      <c r="AO6078" t="s">
        <v>30128</v>
      </c>
    </row>
    <row r="6079" spans="39:41" ht="12" customHeight="1" x14ac:dyDescent="0.2">
      <c r="AM6079" t="str">
        <f t="shared" si="95"/>
        <v>Hollsopple [USZPP]</v>
      </c>
      <c r="AN6079" t="s">
        <v>30129</v>
      </c>
      <c r="AO6079" t="s">
        <v>30130</v>
      </c>
    </row>
    <row r="6080" spans="39:41" ht="12" customHeight="1" x14ac:dyDescent="0.2">
      <c r="AM6080" t="str">
        <f t="shared" si="95"/>
        <v>Holm [GBHOM]</v>
      </c>
      <c r="AN6080" t="s">
        <v>13403</v>
      </c>
      <c r="AO6080" t="s">
        <v>13404</v>
      </c>
    </row>
    <row r="6081" spans="39:41" ht="12" customHeight="1" x14ac:dyDescent="0.2">
      <c r="AM6081" t="str">
        <f t="shared" si="95"/>
        <v>Holmavik [ISHVK]</v>
      </c>
      <c r="AN6081" t="s">
        <v>37005</v>
      </c>
      <c r="AO6081" t="s">
        <v>37006</v>
      </c>
    </row>
    <row r="6082" spans="39:41" ht="12" customHeight="1" x14ac:dyDescent="0.2">
      <c r="AM6082" t="str">
        <f t="shared" si="95"/>
        <v>Holmes [USYHM]</v>
      </c>
      <c r="AN6082" t="s">
        <v>30131</v>
      </c>
      <c r="AO6082" t="s">
        <v>30132</v>
      </c>
    </row>
    <row r="6083" spans="39:41" ht="12" customHeight="1" x14ac:dyDescent="0.2">
      <c r="AM6083" t="str">
        <f t="shared" si="95"/>
        <v>Holmestrand [NOHOL]</v>
      </c>
      <c r="AN6083" t="s">
        <v>24257</v>
      </c>
      <c r="AO6083" t="s">
        <v>24258</v>
      </c>
    </row>
    <row r="6084" spans="39:41" ht="12" customHeight="1" x14ac:dyDescent="0.2">
      <c r="AM6084" t="str">
        <f t="shared" si="95"/>
        <v>Holmsund [SEHLD]</v>
      </c>
      <c r="AN6084" t="s">
        <v>27635</v>
      </c>
      <c r="AO6084" t="s">
        <v>27636</v>
      </c>
    </row>
    <row r="6085" spans="39:41" ht="12" customHeight="1" x14ac:dyDescent="0.2">
      <c r="AM6085" t="str">
        <f t="shared" si="95"/>
        <v>Holsloot [NLHSO]</v>
      </c>
      <c r="AN6085" t="s">
        <v>23268</v>
      </c>
      <c r="AO6085" t="s">
        <v>23269</v>
      </c>
    </row>
    <row r="6086" spans="39:41" ht="12" customHeight="1" x14ac:dyDescent="0.2">
      <c r="AM6086" t="str">
        <f t="shared" si="95"/>
        <v>Holstebro [DKHSB]</v>
      </c>
      <c r="AN6086" t="s">
        <v>8741</v>
      </c>
      <c r="AO6086" t="s">
        <v>8742</v>
      </c>
    </row>
    <row r="6087" spans="39:41" ht="12" customHeight="1" x14ac:dyDescent="0.2">
      <c r="AM6087" t="str">
        <f t="shared" si="95"/>
        <v>Holt [NLHOT]</v>
      </c>
      <c r="AN6087" t="s">
        <v>23270</v>
      </c>
      <c r="AO6087" t="s">
        <v>23271</v>
      </c>
    </row>
    <row r="6088" spans="39:41" ht="12" customHeight="1" x14ac:dyDescent="0.2">
      <c r="AM6088" t="str">
        <f t="shared" si="95"/>
        <v>Holtenau [DEHTU]</v>
      </c>
      <c r="AN6088" t="s">
        <v>34320</v>
      </c>
      <c r="AO6088" t="s">
        <v>34310</v>
      </c>
    </row>
    <row r="6089" spans="39:41" ht="12" customHeight="1" x14ac:dyDescent="0.2">
      <c r="AM6089" t="str">
        <f t="shared" si="95"/>
        <v>Holtheme [NLHME]</v>
      </c>
      <c r="AN6089" t="s">
        <v>23272</v>
      </c>
      <c r="AO6089" t="s">
        <v>23273</v>
      </c>
    </row>
    <row r="6090" spans="39:41" ht="12" customHeight="1" x14ac:dyDescent="0.2">
      <c r="AM6090" t="str">
        <f t="shared" si="95"/>
        <v>Holwerd [NLHLW]</v>
      </c>
      <c r="AN6090" t="s">
        <v>23274</v>
      </c>
      <c r="AO6090" t="s">
        <v>23275</v>
      </c>
    </row>
    <row r="6091" spans="39:41" ht="12" customHeight="1" x14ac:dyDescent="0.2">
      <c r="AM6091" t="str">
        <f t="shared" si="95"/>
        <v>Holy Island [GBHYI]</v>
      </c>
      <c r="AN6091" t="s">
        <v>13405</v>
      </c>
      <c r="AO6091" t="s">
        <v>13406</v>
      </c>
    </row>
    <row r="6092" spans="39:41" ht="12" customHeight="1" x14ac:dyDescent="0.2">
      <c r="AM6092" t="str">
        <f t="shared" si="95"/>
        <v>Holy Loch [GBHLO]</v>
      </c>
      <c r="AN6092" t="s">
        <v>13407</v>
      </c>
      <c r="AO6092" t="s">
        <v>13408</v>
      </c>
    </row>
    <row r="6093" spans="39:41" ht="12" customHeight="1" x14ac:dyDescent="0.2">
      <c r="AM6093" t="str">
        <f t="shared" si="95"/>
        <v>Holyhead [GBHLY]</v>
      </c>
      <c r="AN6093" t="s">
        <v>13409</v>
      </c>
      <c r="AO6093" t="s">
        <v>13410</v>
      </c>
    </row>
    <row r="6094" spans="39:41" ht="12" customHeight="1" x14ac:dyDescent="0.2">
      <c r="AM6094" t="str">
        <f t="shared" si="95"/>
        <v>Holyrood [CAHOD]</v>
      </c>
      <c r="AN6094" t="s">
        <v>3939</v>
      </c>
      <c r="AO6094" t="s">
        <v>3940</v>
      </c>
    </row>
    <row r="6095" spans="39:41" ht="12" customHeight="1" x14ac:dyDescent="0.2">
      <c r="AM6095" t="str">
        <f t="shared" si="95"/>
        <v>Holywood [GBYLW]</v>
      </c>
      <c r="AN6095" t="s">
        <v>13411</v>
      </c>
      <c r="AO6095" t="s">
        <v>13412</v>
      </c>
    </row>
    <row r="6096" spans="39:41" ht="12" customHeight="1" x14ac:dyDescent="0.2">
      <c r="AM6096" t="str">
        <f t="shared" si="95"/>
        <v>Holzminden [DEHZN]</v>
      </c>
      <c r="AN6096" t="s">
        <v>7614</v>
      </c>
      <c r="AO6096" t="s">
        <v>7615</v>
      </c>
    </row>
    <row r="6097" spans="39:41" ht="12" customHeight="1" x14ac:dyDescent="0.2">
      <c r="AM6097" t="str">
        <f t="shared" si="95"/>
        <v>Homberg [DEHBO]</v>
      </c>
      <c r="AN6097" t="s">
        <v>7616</v>
      </c>
      <c r="AO6097" t="s">
        <v>7617</v>
      </c>
    </row>
    <row r="6098" spans="39:41" ht="12" customHeight="1" x14ac:dyDescent="0.2">
      <c r="AM6098" t="str">
        <f t="shared" si="95"/>
        <v>Hombourg [FRHOG]</v>
      </c>
      <c r="AN6098" t="s">
        <v>11387</v>
      </c>
      <c r="AO6098" t="s">
        <v>11388</v>
      </c>
    </row>
    <row r="6099" spans="39:41" ht="12" customHeight="1" x14ac:dyDescent="0.2">
      <c r="AM6099" t="str">
        <f t="shared" si="95"/>
        <v>Homer [USHOM]</v>
      </c>
      <c r="AN6099" t="s">
        <v>30133</v>
      </c>
      <c r="AO6099" t="s">
        <v>30134</v>
      </c>
    </row>
    <row r="6100" spans="39:41" ht="12" customHeight="1" x14ac:dyDescent="0.2">
      <c r="AM6100" t="str">
        <f t="shared" si="95"/>
        <v>Homer [USHOR]</v>
      </c>
      <c r="AN6100" t="s">
        <v>30135</v>
      </c>
      <c r="AO6100" t="s">
        <v>30134</v>
      </c>
    </row>
    <row r="6101" spans="39:41" ht="12" customHeight="1" x14ac:dyDescent="0.2">
      <c r="AM6101" t="str">
        <f t="shared" si="95"/>
        <v>Hommelvik [NOHOK]</v>
      </c>
      <c r="AN6101" t="s">
        <v>24259</v>
      </c>
      <c r="AO6101" t="s">
        <v>24260</v>
      </c>
    </row>
    <row r="6102" spans="39:41" ht="12" customHeight="1" x14ac:dyDescent="0.2">
      <c r="AM6102" t="str">
        <f t="shared" si="95"/>
        <v>Homps [FRRFA]</v>
      </c>
      <c r="AN6102" t="s">
        <v>11389</v>
      </c>
      <c r="AO6102" t="s">
        <v>11390</v>
      </c>
    </row>
    <row r="6103" spans="39:41" ht="12" customHeight="1" x14ac:dyDescent="0.2">
      <c r="AM6103" t="str">
        <f t="shared" si="95"/>
        <v>Hon Chong [VNHCH]</v>
      </c>
      <c r="AN6103" t="s">
        <v>32390</v>
      </c>
      <c r="AO6103" t="s">
        <v>32391</v>
      </c>
    </row>
    <row r="6104" spans="39:41" ht="12" customHeight="1" x14ac:dyDescent="0.2">
      <c r="AM6104" t="str">
        <f t="shared" si="95"/>
        <v>Hon La Port [VNHLP]</v>
      </c>
      <c r="AN6104" t="s">
        <v>34957</v>
      </c>
      <c r="AO6104" t="s">
        <v>34958</v>
      </c>
    </row>
    <row r="6105" spans="39:41" ht="12" customHeight="1" x14ac:dyDescent="0.2">
      <c r="AM6105" t="str">
        <f t="shared" si="95"/>
        <v>Honavar [INHON]</v>
      </c>
      <c r="AN6105" t="s">
        <v>17170</v>
      </c>
      <c r="AO6105" t="s">
        <v>17171</v>
      </c>
    </row>
    <row r="6106" spans="39:41" ht="12" customHeight="1" x14ac:dyDescent="0.2">
      <c r="AM6106" t="str">
        <f t="shared" si="95"/>
        <v>Honawar [INHWR]</v>
      </c>
      <c r="AN6106" t="s">
        <v>17172</v>
      </c>
      <c r="AO6106" t="s">
        <v>17173</v>
      </c>
    </row>
    <row r="6107" spans="39:41" ht="12" customHeight="1" x14ac:dyDescent="0.2">
      <c r="AM6107" t="str">
        <f t="shared" si="95"/>
        <v>Hondagua/Siain [PHHON]</v>
      </c>
      <c r="AN6107" t="s">
        <v>25783</v>
      </c>
      <c r="AO6107" t="s">
        <v>25784</v>
      </c>
    </row>
    <row r="6108" spans="39:41" ht="12" customHeight="1" x14ac:dyDescent="0.2">
      <c r="AM6108" t="str">
        <f t="shared" si="95"/>
        <v>Hondo [JPHOD]</v>
      </c>
      <c r="AN6108" t="s">
        <v>19116</v>
      </c>
      <c r="AO6108" t="s">
        <v>19117</v>
      </c>
    </row>
    <row r="6109" spans="39:41" ht="12" customHeight="1" x14ac:dyDescent="0.2">
      <c r="AM6109" t="str">
        <f t="shared" si="95"/>
        <v>Honfleur [FRHON]</v>
      </c>
      <c r="AN6109" t="s">
        <v>11391</v>
      </c>
      <c r="AO6109" t="s">
        <v>11392</v>
      </c>
    </row>
    <row r="6110" spans="39:41" ht="12" customHeight="1" x14ac:dyDescent="0.2">
      <c r="AM6110" t="str">
        <f t="shared" si="95"/>
        <v>Hong Kong [HKHKG]</v>
      </c>
      <c r="AN6110" t="s">
        <v>15650</v>
      </c>
      <c r="AO6110" t="s">
        <v>15651</v>
      </c>
    </row>
    <row r="6111" spans="39:41" ht="12" customHeight="1" x14ac:dyDescent="0.2">
      <c r="AM6111" t="str">
        <f t="shared" si="95"/>
        <v>Hongai [VNHON]</v>
      </c>
      <c r="AN6111" t="s">
        <v>32392</v>
      </c>
      <c r="AO6111" t="s">
        <v>32393</v>
      </c>
    </row>
    <row r="6112" spans="39:41" ht="12" customHeight="1" x14ac:dyDescent="0.2">
      <c r="AM6112" t="str">
        <f t="shared" si="95"/>
        <v>Hongdo [KRHDO]</v>
      </c>
      <c r="AN6112" t="s">
        <v>21660</v>
      </c>
      <c r="AO6112" t="s">
        <v>21661</v>
      </c>
    </row>
    <row r="6113" spans="39:41" ht="12" customHeight="1" x14ac:dyDescent="0.2">
      <c r="AM6113" t="str">
        <f t="shared" si="95"/>
        <v>Hongdu [CNHOD]</v>
      </c>
      <c r="AN6113" t="s">
        <v>5430</v>
      </c>
      <c r="AO6113" t="s">
        <v>5431</v>
      </c>
    </row>
    <row r="6114" spans="39:41" ht="12" customHeight="1" x14ac:dyDescent="0.2">
      <c r="AM6114" t="str">
        <f t="shared" si="95"/>
        <v>Hongguang Pt [CNHGG]</v>
      </c>
      <c r="AN6114" t="s">
        <v>5432</v>
      </c>
      <c r="AO6114" t="s">
        <v>5433</v>
      </c>
    </row>
    <row r="6115" spans="39:41" ht="12" customHeight="1" x14ac:dyDescent="0.2">
      <c r="AM6115" t="str">
        <f t="shared" si="95"/>
        <v>Honghai Pt [CNBLX]</v>
      </c>
      <c r="AN6115" t="s">
        <v>5434</v>
      </c>
      <c r="AO6115" t="s">
        <v>5435</v>
      </c>
    </row>
    <row r="6116" spans="39:41" ht="12" customHeight="1" x14ac:dyDescent="0.2">
      <c r="AM6116" t="str">
        <f t="shared" si="95"/>
        <v>Honghu [CNHOH]</v>
      </c>
      <c r="AN6116" t="s">
        <v>5436</v>
      </c>
      <c r="AO6116" t="s">
        <v>5437</v>
      </c>
    </row>
    <row r="6117" spans="39:41" ht="12" customHeight="1" x14ac:dyDescent="0.2">
      <c r="AM6117" t="str">
        <f t="shared" si="95"/>
        <v>Honghua [CNHGA]</v>
      </c>
      <c r="AN6117" t="s">
        <v>5438</v>
      </c>
      <c r="AO6117" t="s">
        <v>5439</v>
      </c>
    </row>
    <row r="6118" spans="39:41" ht="12" customHeight="1" x14ac:dyDescent="0.2">
      <c r="AM6118" t="str">
        <f t="shared" si="95"/>
        <v>Hongqi [CNHOQ]</v>
      </c>
      <c r="AN6118" t="s">
        <v>5440</v>
      </c>
      <c r="AO6118" t="s">
        <v>5441</v>
      </c>
    </row>
    <row r="6119" spans="39:41" ht="12" customHeight="1" x14ac:dyDescent="0.2">
      <c r="AM6119" t="str">
        <f t="shared" si="95"/>
        <v>Honiara, Guadalcanal Is [SBHIR]</v>
      </c>
      <c r="AN6119" t="s">
        <v>27441</v>
      </c>
      <c r="AO6119" t="s">
        <v>27442</v>
      </c>
    </row>
    <row r="6120" spans="39:41" ht="12" customHeight="1" x14ac:dyDescent="0.2">
      <c r="AM6120" t="str">
        <f t="shared" si="95"/>
        <v>Honjima [JPHJA]</v>
      </c>
      <c r="AN6120" t="s">
        <v>19118</v>
      </c>
      <c r="AO6120" t="s">
        <v>19119</v>
      </c>
    </row>
    <row r="6121" spans="39:41" ht="12" customHeight="1" x14ac:dyDescent="0.2">
      <c r="AM6121" t="str">
        <f t="shared" si="95"/>
        <v>Honjo, Akita [JPHON]</v>
      </c>
      <c r="AN6121" t="s">
        <v>19120</v>
      </c>
      <c r="AO6121" t="s">
        <v>19121</v>
      </c>
    </row>
    <row r="6122" spans="39:41" ht="12" customHeight="1" x14ac:dyDescent="0.2">
      <c r="AM6122" t="str">
        <f t="shared" si="95"/>
        <v>Honjo, Kyoto [JPHNJ]</v>
      </c>
      <c r="AN6122" t="s">
        <v>19122</v>
      </c>
      <c r="AO6122" t="s">
        <v>19123</v>
      </c>
    </row>
    <row r="6123" spans="39:41" ht="12" customHeight="1" x14ac:dyDescent="0.2">
      <c r="AM6123" t="str">
        <f t="shared" si="95"/>
        <v>Honkushima [JPHKM]</v>
      </c>
      <c r="AN6123" t="s">
        <v>19124</v>
      </c>
      <c r="AO6123" t="s">
        <v>19125</v>
      </c>
    </row>
    <row r="6124" spans="39:41" ht="12" customHeight="1" x14ac:dyDescent="0.2">
      <c r="AM6124" t="str">
        <f t="shared" si="95"/>
        <v>Honmoku [JPHNN]</v>
      </c>
      <c r="AN6124" t="s">
        <v>19126</v>
      </c>
      <c r="AO6124" t="s">
        <v>19127</v>
      </c>
    </row>
    <row r="6125" spans="39:41" ht="12" customHeight="1" x14ac:dyDescent="0.2">
      <c r="AM6125" t="str">
        <f t="shared" si="95"/>
        <v>Honningsvag [NOHVG]</v>
      </c>
      <c r="AN6125" t="s">
        <v>24261</v>
      </c>
      <c r="AO6125" t="s">
        <v>36200</v>
      </c>
    </row>
    <row r="6126" spans="39:41" ht="12" customHeight="1" x14ac:dyDescent="0.2">
      <c r="AM6126" t="str">
        <f t="shared" si="95"/>
        <v>Honolulu [USHNL]</v>
      </c>
      <c r="AN6126" t="s">
        <v>30136</v>
      </c>
      <c r="AO6126" t="s">
        <v>30137</v>
      </c>
    </row>
    <row r="6127" spans="39:41" ht="12" customHeight="1" x14ac:dyDescent="0.2">
      <c r="AM6127" t="str">
        <f t="shared" si="95"/>
        <v>Honsater [SEHON]</v>
      </c>
      <c r="AN6127" t="s">
        <v>27637</v>
      </c>
      <c r="AO6127" t="s">
        <v>36455</v>
      </c>
    </row>
    <row r="6128" spans="39:41" ht="12" customHeight="1" x14ac:dyDescent="0.2">
      <c r="AM6128" t="str">
        <f t="shared" si="95"/>
        <v>Hontanaya [ESHTY]</v>
      </c>
      <c r="AN6128" t="s">
        <v>9831</v>
      </c>
      <c r="AO6128" t="s">
        <v>9832</v>
      </c>
    </row>
    <row r="6129" spans="39:41" ht="12" customHeight="1" x14ac:dyDescent="0.2">
      <c r="AM6129" t="str">
        <f t="shared" si="95"/>
        <v>Hontenisse [NLHTN]</v>
      </c>
      <c r="AN6129" t="s">
        <v>23276</v>
      </c>
      <c r="AO6129" t="s">
        <v>23277</v>
      </c>
    </row>
    <row r="6130" spans="39:41" ht="12" customHeight="1" x14ac:dyDescent="0.2">
      <c r="AM6130" t="str">
        <f t="shared" si="95"/>
        <v>Hoodsport [US9WA]</v>
      </c>
      <c r="AN6130" t="s">
        <v>30138</v>
      </c>
      <c r="AO6130" t="s">
        <v>30139</v>
      </c>
    </row>
    <row r="6131" spans="39:41" ht="12" customHeight="1" x14ac:dyDescent="0.2">
      <c r="AM6131" t="str">
        <f t="shared" si="95"/>
        <v>Hoofdplaat [NLHPL]</v>
      </c>
      <c r="AN6131" t="s">
        <v>23278</v>
      </c>
      <c r="AO6131" t="s">
        <v>23279</v>
      </c>
    </row>
    <row r="6132" spans="39:41" ht="12" customHeight="1" x14ac:dyDescent="0.2">
      <c r="AM6132" t="str">
        <f t="shared" si="95"/>
        <v>Hooge [DEHGE]</v>
      </c>
      <c r="AN6132" t="s">
        <v>7618</v>
      </c>
      <c r="AO6132" t="s">
        <v>7619</v>
      </c>
    </row>
    <row r="6133" spans="39:41" ht="12" customHeight="1" x14ac:dyDescent="0.2">
      <c r="AM6133" t="str">
        <f t="shared" si="95"/>
        <v>Hoogersmilde [NLHMI]</v>
      </c>
      <c r="AN6133" t="s">
        <v>23280</v>
      </c>
      <c r="AO6133" t="s">
        <v>23281</v>
      </c>
    </row>
    <row r="6134" spans="39:41" ht="12" customHeight="1" x14ac:dyDescent="0.2">
      <c r="AM6134" t="str">
        <f t="shared" si="95"/>
        <v>Hoogeveen [NLHOV]</v>
      </c>
      <c r="AN6134" t="s">
        <v>33900</v>
      </c>
      <c r="AO6134" t="s">
        <v>34022</v>
      </c>
    </row>
    <row r="6135" spans="39:41" ht="12" customHeight="1" x14ac:dyDescent="0.2">
      <c r="AM6135" t="str">
        <f t="shared" si="95"/>
        <v>Hoogkerk [NLHKK]</v>
      </c>
      <c r="AN6135" t="s">
        <v>23282</v>
      </c>
      <c r="AO6135" t="s">
        <v>23283</v>
      </c>
    </row>
    <row r="6136" spans="39:41" ht="12" customHeight="1" x14ac:dyDescent="0.2">
      <c r="AM6136" t="str">
        <f t="shared" si="95"/>
        <v>Hoogmade [NLHGM]</v>
      </c>
      <c r="AN6136" t="s">
        <v>23284</v>
      </c>
      <c r="AO6136" t="s">
        <v>23285</v>
      </c>
    </row>
    <row r="6137" spans="39:41" ht="12" customHeight="1" x14ac:dyDescent="0.2">
      <c r="AM6137" t="str">
        <f t="shared" ref="AM6137:AM6200" si="96">AO6137 &amp; " [" &amp; AN6137 &amp; "]"</f>
        <v>Hook Bay/Siain [PHHOO]</v>
      </c>
      <c r="AN6137" t="s">
        <v>25785</v>
      </c>
      <c r="AO6137" t="s">
        <v>25786</v>
      </c>
    </row>
    <row r="6138" spans="39:41" ht="12" customHeight="1" x14ac:dyDescent="0.2">
      <c r="AM6138" t="str">
        <f t="shared" si="96"/>
        <v>Hooker [USQHE]</v>
      </c>
      <c r="AN6138" t="s">
        <v>30140</v>
      </c>
      <c r="AO6138" t="s">
        <v>30141</v>
      </c>
    </row>
    <row r="6139" spans="39:41" ht="12" customHeight="1" x14ac:dyDescent="0.2">
      <c r="AM6139" t="str">
        <f t="shared" si="96"/>
        <v>Hooksett [USKSH]</v>
      </c>
      <c r="AN6139" t="s">
        <v>30142</v>
      </c>
      <c r="AO6139" t="s">
        <v>30143</v>
      </c>
    </row>
    <row r="6140" spans="39:41" ht="12" customHeight="1" x14ac:dyDescent="0.2">
      <c r="AM6140" t="str">
        <f t="shared" si="96"/>
        <v>Hooksiel [DEHOO]</v>
      </c>
      <c r="AN6140" t="s">
        <v>7620</v>
      </c>
      <c r="AO6140" t="s">
        <v>7621</v>
      </c>
    </row>
    <row r="6141" spans="39:41" ht="12" customHeight="1" x14ac:dyDescent="0.2">
      <c r="AM6141" t="str">
        <f t="shared" si="96"/>
        <v>Hooper [USHO7]</v>
      </c>
      <c r="AN6141" t="s">
        <v>30144</v>
      </c>
      <c r="AO6141" t="s">
        <v>30145</v>
      </c>
    </row>
    <row r="6142" spans="39:41" ht="12" customHeight="1" x14ac:dyDescent="0.2">
      <c r="AM6142" t="str">
        <f t="shared" si="96"/>
        <v>Hoopte [DEHPE]</v>
      </c>
      <c r="AN6142" t="s">
        <v>7622</v>
      </c>
      <c r="AO6142" t="s">
        <v>7623</v>
      </c>
    </row>
    <row r="6143" spans="39:41" ht="12" customHeight="1" x14ac:dyDescent="0.2">
      <c r="AM6143" t="str">
        <f t="shared" si="96"/>
        <v>Hoorn [NLHRN]</v>
      </c>
      <c r="AN6143" t="s">
        <v>34104</v>
      </c>
      <c r="AO6143" t="s">
        <v>34150</v>
      </c>
    </row>
    <row r="6144" spans="39:41" ht="12" customHeight="1" x14ac:dyDescent="0.2">
      <c r="AM6144" t="str">
        <f t="shared" si="96"/>
        <v>Hooton [GBOOT]</v>
      </c>
      <c r="AN6144" t="s">
        <v>13413</v>
      </c>
      <c r="AO6144" t="s">
        <v>13414</v>
      </c>
    </row>
    <row r="6145" spans="39:41" ht="12" customHeight="1" x14ac:dyDescent="0.2">
      <c r="AM6145" t="str">
        <f t="shared" si="96"/>
        <v>Hopa [TRHOP]</v>
      </c>
      <c r="AN6145" t="s">
        <v>28495</v>
      </c>
      <c r="AO6145" t="s">
        <v>28496</v>
      </c>
    </row>
    <row r="6146" spans="39:41" ht="12" customHeight="1" x14ac:dyDescent="0.2">
      <c r="AM6146" t="str">
        <f t="shared" si="96"/>
        <v>Hope Cove [GBHPC]</v>
      </c>
      <c r="AN6146" t="s">
        <v>13415</v>
      </c>
      <c r="AO6146" t="s">
        <v>13416</v>
      </c>
    </row>
    <row r="6147" spans="39:41" ht="12" customHeight="1" x14ac:dyDescent="0.2">
      <c r="AM6147" t="str">
        <f t="shared" si="96"/>
        <v>Hope Tun [AUHOT]</v>
      </c>
      <c r="AN6147" t="s">
        <v>1747</v>
      </c>
      <c r="AO6147" t="s">
        <v>1748</v>
      </c>
    </row>
    <row r="6148" spans="39:41" ht="12" customHeight="1" x14ac:dyDescent="0.2">
      <c r="AM6148" t="str">
        <f t="shared" si="96"/>
        <v>Hopedale [CAHOP]</v>
      </c>
      <c r="AN6148" t="s">
        <v>3941</v>
      </c>
      <c r="AO6148" t="s">
        <v>3942</v>
      </c>
    </row>
    <row r="6149" spans="39:41" ht="12" customHeight="1" x14ac:dyDescent="0.2">
      <c r="AM6149" t="str">
        <f t="shared" si="96"/>
        <v>Hopeman [GBHOP]</v>
      </c>
      <c r="AN6149" t="s">
        <v>13417</v>
      </c>
      <c r="AO6149" t="s">
        <v>13418</v>
      </c>
    </row>
    <row r="6150" spans="39:41" ht="12" customHeight="1" x14ac:dyDescent="0.2">
      <c r="AM6150" t="str">
        <f t="shared" si="96"/>
        <v>Hopen [SJHOP]</v>
      </c>
      <c r="AN6150" t="s">
        <v>37162</v>
      </c>
      <c r="AO6150" t="s">
        <v>24262</v>
      </c>
    </row>
    <row r="6151" spans="39:41" ht="12" customHeight="1" x14ac:dyDescent="0.2">
      <c r="AM6151" t="str">
        <f t="shared" si="96"/>
        <v>Hoping [THHOP]</v>
      </c>
      <c r="AN6151" t="s">
        <v>28230</v>
      </c>
      <c r="AO6151" t="s">
        <v>28231</v>
      </c>
    </row>
    <row r="6152" spans="39:41" ht="12" customHeight="1" x14ac:dyDescent="0.2">
      <c r="AM6152" t="str">
        <f t="shared" si="96"/>
        <v>Hoping [TWHOP]</v>
      </c>
      <c r="AN6152" t="s">
        <v>28665</v>
      </c>
      <c r="AO6152" t="s">
        <v>28231</v>
      </c>
    </row>
    <row r="6153" spans="39:41" ht="12" customHeight="1" x14ac:dyDescent="0.2">
      <c r="AM6153" t="str">
        <f t="shared" si="96"/>
        <v>Hopkinton [USQHK]</v>
      </c>
      <c r="AN6153" t="s">
        <v>30146</v>
      </c>
      <c r="AO6153" t="s">
        <v>30147</v>
      </c>
    </row>
    <row r="6154" spans="39:41" ht="12" customHeight="1" x14ac:dyDescent="0.2">
      <c r="AM6154" t="str">
        <f t="shared" si="96"/>
        <v>Hoppegarten [DE3L4]</v>
      </c>
      <c r="AN6154" t="s">
        <v>7624</v>
      </c>
      <c r="AO6154" t="s">
        <v>7625</v>
      </c>
    </row>
    <row r="6155" spans="39:41" ht="12" customHeight="1" x14ac:dyDescent="0.2">
      <c r="AM6155" t="str">
        <f t="shared" si="96"/>
        <v>Hoppozaki [JPHPP]</v>
      </c>
      <c r="AN6155" t="s">
        <v>19128</v>
      </c>
      <c r="AO6155" t="s">
        <v>19129</v>
      </c>
    </row>
    <row r="6156" spans="39:41" ht="12" customHeight="1" x14ac:dyDescent="0.2">
      <c r="AM6156" t="str">
        <f t="shared" si="96"/>
        <v>Hoptille [NLHPT]</v>
      </c>
      <c r="AN6156" t="s">
        <v>23286</v>
      </c>
      <c r="AO6156" t="s">
        <v>23287</v>
      </c>
    </row>
    <row r="6157" spans="39:41" ht="12" customHeight="1" x14ac:dyDescent="0.2">
      <c r="AM6157" t="str">
        <f t="shared" si="96"/>
        <v>Horb [DEHOB]</v>
      </c>
      <c r="AN6157" t="s">
        <v>7626</v>
      </c>
      <c r="AO6157" t="s">
        <v>7627</v>
      </c>
    </row>
    <row r="6158" spans="39:41" ht="12" customHeight="1" x14ac:dyDescent="0.2">
      <c r="AM6158" t="str">
        <f t="shared" si="96"/>
        <v>Hordain [FRJKI]</v>
      </c>
      <c r="AN6158" t="s">
        <v>11393</v>
      </c>
      <c r="AO6158" t="s">
        <v>11394</v>
      </c>
    </row>
    <row r="6159" spans="39:41" ht="12" customHeight="1" x14ac:dyDescent="0.2">
      <c r="AM6159" t="str">
        <f t="shared" si="96"/>
        <v>Hordvik [NOHRV]</v>
      </c>
      <c r="AN6159" t="s">
        <v>24263</v>
      </c>
      <c r="AO6159" t="s">
        <v>24264</v>
      </c>
    </row>
    <row r="6160" spans="39:41" ht="12" customHeight="1" x14ac:dyDescent="0.2">
      <c r="AM6160" t="str">
        <f t="shared" si="96"/>
        <v>Horie [JPHRE]</v>
      </c>
      <c r="AN6160" t="s">
        <v>19130</v>
      </c>
      <c r="AO6160" t="s">
        <v>19131</v>
      </c>
    </row>
    <row r="6161" spans="39:41" ht="12" customHeight="1" x14ac:dyDescent="0.2">
      <c r="AM6161" t="str">
        <f t="shared" si="96"/>
        <v>Horikappu [JPHRI]</v>
      </c>
      <c r="AN6161" t="s">
        <v>19132</v>
      </c>
      <c r="AO6161" t="s">
        <v>19133</v>
      </c>
    </row>
    <row r="6162" spans="39:41" ht="12" customHeight="1" x14ac:dyDescent="0.2">
      <c r="AM6162" t="str">
        <f t="shared" si="96"/>
        <v>Horluetas/Sarapiqui [CRHSA]</v>
      </c>
      <c r="AN6162" t="s">
        <v>6585</v>
      </c>
      <c r="AO6162" t="s">
        <v>6586</v>
      </c>
    </row>
    <row r="6163" spans="39:41" ht="12" customHeight="1" x14ac:dyDescent="0.2">
      <c r="AM6163" t="str">
        <f t="shared" si="96"/>
        <v>Hormilla [ESHLL]</v>
      </c>
      <c r="AN6163" t="s">
        <v>9833</v>
      </c>
      <c r="AO6163" t="s">
        <v>9834</v>
      </c>
    </row>
    <row r="6164" spans="39:41" ht="12" customHeight="1" x14ac:dyDescent="0.2">
      <c r="AM6164" t="str">
        <f t="shared" si="96"/>
        <v>Horneborg [SEHNB]</v>
      </c>
      <c r="AN6164" t="s">
        <v>27638</v>
      </c>
      <c r="AO6164" t="s">
        <v>36456</v>
      </c>
    </row>
    <row r="6165" spans="39:41" ht="12" customHeight="1" x14ac:dyDescent="0.2">
      <c r="AM6165" t="str">
        <f t="shared" si="96"/>
        <v>Horneburg [DEHRB]</v>
      </c>
      <c r="AN6165" t="s">
        <v>7628</v>
      </c>
      <c r="AO6165" t="s">
        <v>7629</v>
      </c>
    </row>
    <row r="6166" spans="39:41" ht="12" customHeight="1" x14ac:dyDescent="0.2">
      <c r="AM6166" t="str">
        <f t="shared" si="96"/>
        <v>Hornefors [SEHNF]</v>
      </c>
      <c r="AN6166" t="s">
        <v>27639</v>
      </c>
      <c r="AO6166" t="s">
        <v>36457</v>
      </c>
    </row>
    <row r="6167" spans="39:41" ht="12" customHeight="1" x14ac:dyDescent="0.2">
      <c r="AM6167" t="str">
        <f t="shared" si="96"/>
        <v>Horni Tresnovec [CZHTV]</v>
      </c>
      <c r="AN6167" t="s">
        <v>6837</v>
      </c>
      <c r="AO6167" t="s">
        <v>6838</v>
      </c>
    </row>
    <row r="6168" spans="39:41" ht="12" customHeight="1" x14ac:dyDescent="0.2">
      <c r="AM6168" t="str">
        <f t="shared" si="96"/>
        <v>Hornum/Sylt [DEHRM]</v>
      </c>
      <c r="AN6168" t="s">
        <v>7630</v>
      </c>
      <c r="AO6168" t="s">
        <v>35446</v>
      </c>
    </row>
    <row r="6169" spans="39:41" ht="12" customHeight="1" x14ac:dyDescent="0.2">
      <c r="AM6169" t="str">
        <f t="shared" si="96"/>
        <v>Horsefly [CAHRF]</v>
      </c>
      <c r="AN6169" t="s">
        <v>3943</v>
      </c>
      <c r="AO6169" t="s">
        <v>3944</v>
      </c>
    </row>
    <row r="6170" spans="39:41" ht="12" customHeight="1" x14ac:dyDescent="0.2">
      <c r="AM6170" t="str">
        <f t="shared" si="96"/>
        <v>Horselberg [DEHSB]</v>
      </c>
      <c r="AN6170" t="s">
        <v>7631</v>
      </c>
      <c r="AO6170" t="s">
        <v>35447</v>
      </c>
    </row>
    <row r="6171" spans="39:41" ht="12" customHeight="1" x14ac:dyDescent="0.2">
      <c r="AM6171" t="str">
        <f t="shared" si="96"/>
        <v>Horsens [DKHOR]</v>
      </c>
      <c r="AN6171" t="s">
        <v>8743</v>
      </c>
      <c r="AO6171" t="s">
        <v>8744</v>
      </c>
    </row>
    <row r="6172" spans="39:41" ht="12" customHeight="1" x14ac:dyDescent="0.2">
      <c r="AM6172" t="str">
        <f t="shared" si="96"/>
        <v>Horsoy [NOHOO]</v>
      </c>
      <c r="AN6172" t="s">
        <v>24265</v>
      </c>
      <c r="AO6172" t="s">
        <v>36201</v>
      </c>
    </row>
    <row r="6173" spans="39:41" ht="12" customHeight="1" x14ac:dyDescent="0.2">
      <c r="AM6173" t="str">
        <f t="shared" si="96"/>
        <v>Horta [PTHOR]</v>
      </c>
      <c r="AN6173" t="s">
        <v>26516</v>
      </c>
      <c r="AO6173" t="s">
        <v>26517</v>
      </c>
    </row>
    <row r="6174" spans="39:41" ht="12" customHeight="1" x14ac:dyDescent="0.2">
      <c r="AM6174" t="str">
        <f t="shared" si="96"/>
        <v>Horta de Avinyo [ESHDA]</v>
      </c>
      <c r="AN6174" t="s">
        <v>9835</v>
      </c>
      <c r="AO6174" t="s">
        <v>9836</v>
      </c>
    </row>
    <row r="6175" spans="39:41" ht="12" customHeight="1" x14ac:dyDescent="0.2">
      <c r="AM6175" t="str">
        <f t="shared" si="96"/>
        <v>Horten [NOHOR]</v>
      </c>
      <c r="AN6175" t="s">
        <v>24266</v>
      </c>
      <c r="AO6175" t="s">
        <v>24267</v>
      </c>
    </row>
    <row r="6176" spans="39:41" ht="12" customHeight="1" x14ac:dyDescent="0.2">
      <c r="AM6176" t="str">
        <f t="shared" si="96"/>
        <v>Horumersiel [DEHOS]</v>
      </c>
      <c r="AN6176" t="s">
        <v>7632</v>
      </c>
      <c r="AO6176" t="s">
        <v>7633</v>
      </c>
    </row>
    <row r="6177" spans="39:41" ht="12" customHeight="1" x14ac:dyDescent="0.2">
      <c r="AM6177" t="str">
        <f t="shared" si="96"/>
        <v>Hosan [KRHAS]</v>
      </c>
      <c r="AN6177" t="s">
        <v>21662</v>
      </c>
      <c r="AO6177" t="s">
        <v>21663</v>
      </c>
    </row>
    <row r="6178" spans="39:41" ht="12" customHeight="1" x14ac:dyDescent="0.2">
      <c r="AM6178" t="str">
        <f t="shared" si="96"/>
        <v>Hoshika, Nagasaki [JPHSI]</v>
      </c>
      <c r="AN6178" t="s">
        <v>19134</v>
      </c>
      <c r="AO6178" t="s">
        <v>19135</v>
      </c>
    </row>
    <row r="6179" spans="39:41" ht="12" customHeight="1" x14ac:dyDescent="0.2">
      <c r="AM6179" t="str">
        <f t="shared" si="96"/>
        <v>Hoshika, Saga [JPHOS]</v>
      </c>
      <c r="AN6179" t="s">
        <v>19136</v>
      </c>
      <c r="AO6179" t="s">
        <v>19137</v>
      </c>
    </row>
    <row r="6180" spans="39:41" ht="12" customHeight="1" x14ac:dyDescent="0.2">
      <c r="AM6180" t="str">
        <f t="shared" si="96"/>
        <v>Hoskins [PGHKN]</v>
      </c>
      <c r="AN6180" t="s">
        <v>25388</v>
      </c>
      <c r="AO6180" t="s">
        <v>25389</v>
      </c>
    </row>
    <row r="6181" spans="39:41" ht="12" customHeight="1" x14ac:dyDescent="0.2">
      <c r="AM6181" t="str">
        <f t="shared" si="96"/>
        <v>Hososhima [JPHSM]</v>
      </c>
      <c r="AN6181" t="s">
        <v>19138</v>
      </c>
      <c r="AO6181" t="s">
        <v>19139</v>
      </c>
    </row>
    <row r="6182" spans="39:41" ht="12" customHeight="1" x14ac:dyDescent="0.2">
      <c r="AM6182" t="str">
        <f t="shared" si="96"/>
        <v>Hossegor [FRHSG]</v>
      </c>
      <c r="AN6182" t="s">
        <v>11395</v>
      </c>
      <c r="AO6182" t="s">
        <v>11396</v>
      </c>
    </row>
    <row r="6183" spans="39:41" ht="12" customHeight="1" x14ac:dyDescent="0.2">
      <c r="AM6183" t="str">
        <f t="shared" si="96"/>
        <v>Hostinne [CZHST]</v>
      </c>
      <c r="AN6183" t="s">
        <v>6839</v>
      </c>
      <c r="AO6183" t="s">
        <v>6840</v>
      </c>
    </row>
    <row r="6184" spans="39:41" ht="12" customHeight="1" x14ac:dyDescent="0.2">
      <c r="AM6184" t="str">
        <f t="shared" si="96"/>
        <v>Hostomice [CZHOT]</v>
      </c>
      <c r="AN6184" t="s">
        <v>6841</v>
      </c>
      <c r="AO6184" t="s">
        <v>6842</v>
      </c>
    </row>
    <row r="6185" spans="39:41" ht="12" customHeight="1" x14ac:dyDescent="0.2">
      <c r="AM6185" t="str">
        <f t="shared" si="96"/>
        <v>Hoswick [GBHOS]</v>
      </c>
      <c r="AN6185" t="s">
        <v>13419</v>
      </c>
      <c r="AO6185" t="s">
        <v>13420</v>
      </c>
    </row>
    <row r="6186" spans="39:41" ht="12" customHeight="1" x14ac:dyDescent="0.2">
      <c r="AM6186" t="str">
        <f t="shared" si="96"/>
        <v>Hotokegaura [JPHOT]</v>
      </c>
      <c r="AN6186" t="s">
        <v>19140</v>
      </c>
      <c r="AO6186" t="s">
        <v>19141</v>
      </c>
    </row>
    <row r="6187" spans="39:41" ht="12" customHeight="1" x14ac:dyDescent="0.2">
      <c r="AM6187" t="str">
        <f t="shared" si="96"/>
        <v>Hou Havn [DKHOH]</v>
      </c>
      <c r="AN6187" t="s">
        <v>8745</v>
      </c>
      <c r="AO6187" t="s">
        <v>8746</v>
      </c>
    </row>
    <row r="6188" spans="39:41" ht="12" customHeight="1" x14ac:dyDescent="0.2">
      <c r="AM6188" t="str">
        <f t="shared" si="96"/>
        <v>Houdeng-Aimeries [BEHGA]</v>
      </c>
      <c r="AN6188" t="s">
        <v>2553</v>
      </c>
      <c r="AO6188" t="s">
        <v>2554</v>
      </c>
    </row>
    <row r="6189" spans="39:41" ht="12" customHeight="1" x14ac:dyDescent="0.2">
      <c r="AM6189" t="str">
        <f t="shared" si="96"/>
        <v>Houdeng-Goegnies [BEHGG]</v>
      </c>
      <c r="AN6189" t="s">
        <v>2555</v>
      </c>
      <c r="AO6189" t="s">
        <v>2556</v>
      </c>
    </row>
    <row r="6190" spans="39:41" ht="12" customHeight="1" x14ac:dyDescent="0.2">
      <c r="AM6190" t="str">
        <f t="shared" si="96"/>
        <v>Hougharry and Loch Eport [GBHGY]</v>
      </c>
      <c r="AN6190" t="s">
        <v>13421</v>
      </c>
      <c r="AO6190" t="s">
        <v>13422</v>
      </c>
    </row>
    <row r="6191" spans="39:41" ht="12" customHeight="1" x14ac:dyDescent="0.2">
      <c r="AM6191" t="str">
        <f t="shared" si="96"/>
        <v>Houjie [CNHOU]</v>
      </c>
      <c r="AN6191" t="s">
        <v>5442</v>
      </c>
      <c r="AO6191" t="s">
        <v>5443</v>
      </c>
    </row>
    <row r="6192" spans="39:41" ht="12" customHeight="1" x14ac:dyDescent="0.2">
      <c r="AM6192" t="str">
        <f t="shared" si="96"/>
        <v>Hound Point [GBHPT]</v>
      </c>
      <c r="AN6192" t="s">
        <v>13423</v>
      </c>
      <c r="AO6192" t="s">
        <v>13424</v>
      </c>
    </row>
    <row r="6193" spans="39:41" ht="12" customHeight="1" x14ac:dyDescent="0.2">
      <c r="AM6193" t="str">
        <f t="shared" si="96"/>
        <v>Hourpes [BEHRP]</v>
      </c>
      <c r="AN6193" t="s">
        <v>2557</v>
      </c>
      <c r="AO6193" t="s">
        <v>2558</v>
      </c>
    </row>
    <row r="6194" spans="39:41" ht="12" customHeight="1" x14ac:dyDescent="0.2">
      <c r="AM6194" t="str">
        <f t="shared" si="96"/>
        <v>Housa Voe, Papa Stour [GBHOV]</v>
      </c>
      <c r="AN6194" t="s">
        <v>13425</v>
      </c>
      <c r="AO6194" t="s">
        <v>13426</v>
      </c>
    </row>
    <row r="6195" spans="39:41" ht="12" customHeight="1" x14ac:dyDescent="0.2">
      <c r="AM6195" t="str">
        <f t="shared" si="96"/>
        <v>House Springs [USHU8]</v>
      </c>
      <c r="AN6195" t="s">
        <v>30148</v>
      </c>
      <c r="AO6195" t="s">
        <v>30149</v>
      </c>
    </row>
    <row r="6196" spans="39:41" ht="12" customHeight="1" x14ac:dyDescent="0.2">
      <c r="AM6196" t="str">
        <f t="shared" si="96"/>
        <v>Houston [USHOU]</v>
      </c>
      <c r="AN6196" t="s">
        <v>30150</v>
      </c>
      <c r="AO6196" t="s">
        <v>30151</v>
      </c>
    </row>
    <row r="6197" spans="39:41" ht="12" customHeight="1" x14ac:dyDescent="0.2">
      <c r="AM6197" t="str">
        <f t="shared" si="96"/>
        <v>Houten [NLHOU]</v>
      </c>
      <c r="AN6197" t="s">
        <v>33901</v>
      </c>
      <c r="AO6197" t="s">
        <v>34023</v>
      </c>
    </row>
    <row r="6198" spans="39:41" ht="12" customHeight="1" x14ac:dyDescent="0.2">
      <c r="AM6198" t="str">
        <f t="shared" si="96"/>
        <v>Houton [GBHUT]</v>
      </c>
      <c r="AN6198" t="s">
        <v>13427</v>
      </c>
      <c r="AO6198" t="s">
        <v>13428</v>
      </c>
    </row>
    <row r="6199" spans="39:41" ht="12" customHeight="1" x14ac:dyDescent="0.2">
      <c r="AM6199" t="str">
        <f t="shared" si="96"/>
        <v>Houtskar (Houtskari) [FIHOU]</v>
      </c>
      <c r="AN6199" t="s">
        <v>10370</v>
      </c>
      <c r="AO6199" t="s">
        <v>35725</v>
      </c>
    </row>
    <row r="6200" spans="39:41" ht="12" customHeight="1" x14ac:dyDescent="0.2">
      <c r="AM6200" t="str">
        <f t="shared" si="96"/>
        <v>Houx [BEHUX]</v>
      </c>
      <c r="AN6200" t="s">
        <v>2559</v>
      </c>
      <c r="AO6200" t="s">
        <v>2560</v>
      </c>
    </row>
    <row r="6201" spans="39:41" ht="12" customHeight="1" x14ac:dyDescent="0.2">
      <c r="AM6201" t="str">
        <f t="shared" ref="AM6201:AM6264" si="97">AO6201 &amp; " [" &amp; AN6201 &amp; "]"</f>
        <v>Houzhu [CNHZU]</v>
      </c>
      <c r="AN6201" t="s">
        <v>5444</v>
      </c>
      <c r="AO6201" t="s">
        <v>5445</v>
      </c>
    </row>
    <row r="6202" spans="39:41" ht="12" customHeight="1" x14ac:dyDescent="0.2">
      <c r="AM6202" t="str">
        <f t="shared" si="97"/>
        <v>Hov [DKHWO]</v>
      </c>
      <c r="AN6202" t="s">
        <v>8747</v>
      </c>
      <c r="AO6202" t="s">
        <v>8748</v>
      </c>
    </row>
    <row r="6203" spans="39:41" ht="12" customHeight="1" x14ac:dyDescent="0.2">
      <c r="AM6203" t="str">
        <f t="shared" si="97"/>
        <v>Hoverton [GBNFK]</v>
      </c>
      <c r="AN6203" t="s">
        <v>13429</v>
      </c>
      <c r="AO6203" t="s">
        <v>13430</v>
      </c>
    </row>
    <row r="6204" spans="39:41" ht="12" customHeight="1" x14ac:dyDescent="0.2">
      <c r="AM6204" t="str">
        <f t="shared" si="97"/>
        <v>Hoves [BEWAH]</v>
      </c>
      <c r="AN6204" t="s">
        <v>2561</v>
      </c>
      <c r="AO6204" t="s">
        <v>2562</v>
      </c>
    </row>
    <row r="6205" spans="39:41" ht="12" customHeight="1" x14ac:dyDescent="0.2">
      <c r="AM6205" t="str">
        <f t="shared" si="97"/>
        <v>Hovic [VIHOC]</v>
      </c>
      <c r="AN6205" t="s">
        <v>32288</v>
      </c>
      <c r="AO6205" t="s">
        <v>32289</v>
      </c>
    </row>
    <row r="6206" spans="39:41" ht="12" customHeight="1" x14ac:dyDescent="0.2">
      <c r="AM6206" t="str">
        <f t="shared" si="97"/>
        <v>Hovland [NOHSL]</v>
      </c>
      <c r="AN6206" t="s">
        <v>24268</v>
      </c>
      <c r="AO6206" t="s">
        <v>24269</v>
      </c>
    </row>
    <row r="6207" spans="39:41" ht="12" customHeight="1" x14ac:dyDescent="0.2">
      <c r="AM6207" t="str">
        <f t="shared" si="97"/>
        <v>Howdendyke [GBHDD]</v>
      </c>
      <c r="AN6207" t="s">
        <v>13431</v>
      </c>
      <c r="AO6207" t="s">
        <v>13432</v>
      </c>
    </row>
    <row r="6208" spans="39:41" ht="12" customHeight="1" x14ac:dyDescent="0.2">
      <c r="AM6208" t="str">
        <f t="shared" si="97"/>
        <v>Howdon [GBHOJ]</v>
      </c>
      <c r="AN6208" t="s">
        <v>13433</v>
      </c>
      <c r="AO6208" t="s">
        <v>13434</v>
      </c>
    </row>
    <row r="6209" spans="39:41" ht="12" customHeight="1" x14ac:dyDescent="0.2">
      <c r="AM6209" t="str">
        <f t="shared" si="97"/>
        <v>Howe Sound [CAHWS]</v>
      </c>
      <c r="AN6209" t="s">
        <v>3945</v>
      </c>
      <c r="AO6209" t="s">
        <v>3946</v>
      </c>
    </row>
    <row r="6210" spans="39:41" ht="12" customHeight="1" x14ac:dyDescent="0.2">
      <c r="AM6210" t="str">
        <f t="shared" si="97"/>
        <v>Howland Hook [USH4H]</v>
      </c>
      <c r="AN6210" t="s">
        <v>34959</v>
      </c>
      <c r="AO6210" t="s">
        <v>34960</v>
      </c>
    </row>
    <row r="6211" spans="39:41" ht="12" customHeight="1" x14ac:dyDescent="0.2">
      <c r="AM6211" t="str">
        <f t="shared" si="97"/>
        <v>Howth [IEHOW]</v>
      </c>
      <c r="AN6211" t="s">
        <v>16841</v>
      </c>
      <c r="AO6211" t="s">
        <v>16842</v>
      </c>
    </row>
    <row r="6212" spans="39:41" ht="12" customHeight="1" x14ac:dyDescent="0.2">
      <c r="AM6212" t="str">
        <f t="shared" si="97"/>
        <v>Howwood [GBHWV]</v>
      </c>
      <c r="AN6212" t="s">
        <v>13435</v>
      </c>
      <c r="AO6212" t="s">
        <v>13436</v>
      </c>
    </row>
    <row r="6213" spans="39:41" ht="12" customHeight="1" x14ac:dyDescent="0.2">
      <c r="AM6213" t="str">
        <f t="shared" si="97"/>
        <v>Hoxter [DEHOX]</v>
      </c>
      <c r="AN6213" t="s">
        <v>7634</v>
      </c>
      <c r="AO6213" t="s">
        <v>35448</v>
      </c>
    </row>
    <row r="6214" spans="39:41" ht="12" customHeight="1" x14ac:dyDescent="0.2">
      <c r="AM6214" t="str">
        <f t="shared" si="97"/>
        <v>Hoyanger [NOHYR]</v>
      </c>
      <c r="AN6214" t="s">
        <v>24270</v>
      </c>
      <c r="AO6214" t="s">
        <v>36202</v>
      </c>
    </row>
    <row r="6215" spans="39:41" ht="12" customHeight="1" x14ac:dyDescent="0.2">
      <c r="AM6215" t="str">
        <f t="shared" si="97"/>
        <v>Hoylandsbygda [NOHLB]</v>
      </c>
      <c r="AN6215" t="s">
        <v>24271</v>
      </c>
      <c r="AO6215" t="s">
        <v>36203</v>
      </c>
    </row>
    <row r="6216" spans="39:41" ht="12" customHeight="1" x14ac:dyDescent="0.2">
      <c r="AM6216" t="str">
        <f t="shared" si="97"/>
        <v>Hoyt Lakes [USYKL]</v>
      </c>
      <c r="AN6216" t="s">
        <v>30152</v>
      </c>
      <c r="AO6216" t="s">
        <v>30153</v>
      </c>
    </row>
    <row r="6217" spans="39:41" ht="12" customHeight="1" x14ac:dyDescent="0.2">
      <c r="AM6217" t="str">
        <f t="shared" si="97"/>
        <v>Hoyvik [FOHYV]</v>
      </c>
      <c r="AN6217" t="s">
        <v>10674</v>
      </c>
      <c r="AO6217" t="s">
        <v>10675</v>
      </c>
    </row>
    <row r="6218" spans="39:41" ht="12" customHeight="1" x14ac:dyDescent="0.2">
      <c r="AM6218" t="str">
        <f t="shared" si="97"/>
        <v>Hradek [CZDEK]</v>
      </c>
      <c r="AN6218" t="s">
        <v>6843</v>
      </c>
      <c r="AO6218" t="s">
        <v>6844</v>
      </c>
    </row>
    <row r="6219" spans="39:41" ht="12" customHeight="1" x14ac:dyDescent="0.2">
      <c r="AM6219" t="str">
        <f t="shared" si="97"/>
        <v>Hradesin [CZHRN]</v>
      </c>
      <c r="AN6219" t="s">
        <v>6845</v>
      </c>
      <c r="AO6219" t="s">
        <v>6846</v>
      </c>
    </row>
    <row r="6220" spans="39:41" ht="12" customHeight="1" x14ac:dyDescent="0.2">
      <c r="AM6220" t="str">
        <f t="shared" si="97"/>
        <v>Hrensko [CZHSA]</v>
      </c>
      <c r="AN6220" t="s">
        <v>6847</v>
      </c>
      <c r="AO6220" t="s">
        <v>6848</v>
      </c>
    </row>
    <row r="6221" spans="39:41" ht="12" customHeight="1" x14ac:dyDescent="0.2">
      <c r="AM6221" t="str">
        <f t="shared" si="97"/>
        <v>Hrisey [ISHRI]</v>
      </c>
      <c r="AN6221" t="s">
        <v>17720</v>
      </c>
      <c r="AO6221" t="s">
        <v>17721</v>
      </c>
    </row>
    <row r="6222" spans="39:41" ht="12" customHeight="1" x14ac:dyDescent="0.2">
      <c r="AM6222" t="str">
        <f t="shared" si="97"/>
        <v>Hrusky/Breclav [CZHRU]</v>
      </c>
      <c r="AN6222" t="s">
        <v>6849</v>
      </c>
      <c r="AO6222" t="s">
        <v>6850</v>
      </c>
    </row>
    <row r="6223" spans="39:41" ht="12" customHeight="1" x14ac:dyDescent="0.2">
      <c r="AM6223" t="str">
        <f t="shared" si="97"/>
        <v>Hsin-t'ien [TWHTC]</v>
      </c>
      <c r="AN6223" t="s">
        <v>28666</v>
      </c>
      <c r="AO6223" t="s">
        <v>28667</v>
      </c>
    </row>
    <row r="6224" spans="39:41" ht="12" customHeight="1" x14ac:dyDescent="0.2">
      <c r="AM6224" t="str">
        <f t="shared" si="97"/>
        <v>Huacho [PEHCO]</v>
      </c>
      <c r="AN6224" t="s">
        <v>25249</v>
      </c>
      <c r="AO6224" t="s">
        <v>25250</v>
      </c>
    </row>
    <row r="6225" spans="39:41" ht="12" customHeight="1" x14ac:dyDescent="0.2">
      <c r="AM6225" t="str">
        <f t="shared" si="97"/>
        <v>Huachuan [CNHCN]</v>
      </c>
      <c r="AN6225" t="s">
        <v>5446</v>
      </c>
      <c r="AO6225" t="s">
        <v>5447</v>
      </c>
    </row>
    <row r="6226" spans="39:41" ht="12" customHeight="1" x14ac:dyDescent="0.2">
      <c r="AM6226" t="str">
        <f t="shared" si="97"/>
        <v>Huadu Pt [CNHDG]</v>
      </c>
      <c r="AN6226" t="s">
        <v>5448</v>
      </c>
      <c r="AO6226" t="s">
        <v>5449</v>
      </c>
    </row>
    <row r="6227" spans="39:41" ht="12" customHeight="1" x14ac:dyDescent="0.2">
      <c r="AM6227" t="str">
        <f t="shared" si="97"/>
        <v>Huaiji [CNHIJ]</v>
      </c>
      <c r="AN6227" t="s">
        <v>5450</v>
      </c>
      <c r="AO6227" t="s">
        <v>5451</v>
      </c>
    </row>
    <row r="6228" spans="39:41" ht="12" customHeight="1" x14ac:dyDescent="0.2">
      <c r="AM6228" t="str">
        <f t="shared" si="97"/>
        <v>Huailai [CNHLI]</v>
      </c>
      <c r="AN6228" t="s">
        <v>5452</v>
      </c>
      <c r="AO6228" t="s">
        <v>5453</v>
      </c>
    </row>
    <row r="6229" spans="39:41" ht="12" customHeight="1" x14ac:dyDescent="0.2">
      <c r="AM6229" t="str">
        <f t="shared" si="97"/>
        <v>Huaiyin [CNAIN]</v>
      </c>
      <c r="AN6229" t="s">
        <v>5454</v>
      </c>
      <c r="AO6229" t="s">
        <v>5455</v>
      </c>
    </row>
    <row r="6230" spans="39:41" ht="12" customHeight="1" x14ac:dyDescent="0.2">
      <c r="AM6230" t="str">
        <f t="shared" si="97"/>
        <v>Hualaihue [CLHUH]</v>
      </c>
      <c r="AN6230" t="s">
        <v>4871</v>
      </c>
      <c r="AO6230" t="s">
        <v>35356</v>
      </c>
    </row>
    <row r="6231" spans="39:41" ht="12" customHeight="1" x14ac:dyDescent="0.2">
      <c r="AM6231" t="str">
        <f t="shared" si="97"/>
        <v>Hualien [TWHUN]</v>
      </c>
      <c r="AN6231" t="s">
        <v>28668</v>
      </c>
      <c r="AO6231" t="s">
        <v>28669</v>
      </c>
    </row>
    <row r="6232" spans="39:41" ht="12" customHeight="1" x14ac:dyDescent="0.2">
      <c r="AM6232" t="str">
        <f t="shared" si="97"/>
        <v>Huanghua [CNHNH]</v>
      </c>
      <c r="AN6232" t="s">
        <v>5456</v>
      </c>
      <c r="AO6232" t="s">
        <v>5457</v>
      </c>
    </row>
    <row r="6233" spans="39:41" ht="12" customHeight="1" x14ac:dyDescent="0.2">
      <c r="AM6233" t="str">
        <f t="shared" si="97"/>
        <v>Huanghua Pt [CNHUH]</v>
      </c>
      <c r="AN6233" t="s">
        <v>5458</v>
      </c>
      <c r="AO6233" t="s">
        <v>5459</v>
      </c>
    </row>
    <row r="6234" spans="39:41" ht="12" customHeight="1" x14ac:dyDescent="0.2">
      <c r="AM6234" t="str">
        <f t="shared" si="97"/>
        <v>Huangjiang [CNHJI]</v>
      </c>
      <c r="AN6234" t="s">
        <v>5460</v>
      </c>
      <c r="AO6234" t="s">
        <v>5461</v>
      </c>
    </row>
    <row r="6235" spans="39:41" ht="12" customHeight="1" x14ac:dyDescent="0.2">
      <c r="AM6235" t="str">
        <f t="shared" si="97"/>
        <v>Huangjiang [CNHGJ]</v>
      </c>
      <c r="AN6235" t="s">
        <v>5462</v>
      </c>
      <c r="AO6235" t="s">
        <v>5461</v>
      </c>
    </row>
    <row r="6236" spans="39:41" ht="12" customHeight="1" x14ac:dyDescent="0.2">
      <c r="AM6236" t="str">
        <f t="shared" si="97"/>
        <v>Huangpo [CNWCH]</v>
      </c>
      <c r="AN6236" t="s">
        <v>5463</v>
      </c>
      <c r="AO6236" t="s">
        <v>5464</v>
      </c>
    </row>
    <row r="6237" spans="39:41" ht="12" customHeight="1" x14ac:dyDescent="0.2">
      <c r="AM6237" t="str">
        <f t="shared" si="97"/>
        <v>Huangpu Pt [CNHUA]</v>
      </c>
      <c r="AN6237" t="s">
        <v>5465</v>
      </c>
      <c r="AO6237" t="s">
        <v>5466</v>
      </c>
    </row>
    <row r="6238" spans="39:41" ht="12" customHeight="1" x14ac:dyDescent="0.2">
      <c r="AM6238" t="str">
        <f t="shared" si="97"/>
        <v>Huangqi/Nanhai [CNHAQ]</v>
      </c>
      <c r="AN6238" t="s">
        <v>5467</v>
      </c>
      <c r="AO6238" t="s">
        <v>5468</v>
      </c>
    </row>
    <row r="6239" spans="39:41" ht="12" customHeight="1" x14ac:dyDescent="0.2">
      <c r="AM6239" t="str">
        <f t="shared" si="97"/>
        <v>Huangsangkou [CNHSK]</v>
      </c>
      <c r="AN6239" t="s">
        <v>5469</v>
      </c>
      <c r="AO6239" t="s">
        <v>5470</v>
      </c>
    </row>
    <row r="6240" spans="39:41" ht="12" customHeight="1" x14ac:dyDescent="0.2">
      <c r="AM6240" t="str">
        <f t="shared" si="97"/>
        <v>Huangshi Pt [CNHSI]</v>
      </c>
      <c r="AN6240" t="s">
        <v>5471</v>
      </c>
      <c r="AO6240" t="s">
        <v>5472</v>
      </c>
    </row>
    <row r="6241" spans="39:41" ht="12" customHeight="1" x14ac:dyDescent="0.2">
      <c r="AM6241" t="str">
        <f t="shared" si="97"/>
        <v>Huangxian [CNANG]</v>
      </c>
      <c r="AN6241" t="s">
        <v>5473</v>
      </c>
      <c r="AO6241" t="s">
        <v>5474</v>
      </c>
    </row>
    <row r="6242" spans="39:41" ht="12" customHeight="1" x14ac:dyDescent="0.2">
      <c r="AM6242" t="str">
        <f t="shared" si="97"/>
        <v>Huangyan [CNHYN]</v>
      </c>
      <c r="AN6242" t="s">
        <v>5475</v>
      </c>
      <c r="AO6242" t="s">
        <v>5476</v>
      </c>
    </row>
    <row r="6243" spans="39:41" ht="12" customHeight="1" x14ac:dyDescent="0.2">
      <c r="AM6243" t="str">
        <f t="shared" si="97"/>
        <v>Huangzhou [CNHZO]</v>
      </c>
      <c r="AN6243" t="s">
        <v>5477</v>
      </c>
      <c r="AO6243" t="s">
        <v>5478</v>
      </c>
    </row>
    <row r="6244" spans="39:41" ht="12" customHeight="1" x14ac:dyDescent="0.2">
      <c r="AM6244" t="str">
        <f t="shared" si="97"/>
        <v>Huanshi [CNHNS]</v>
      </c>
      <c r="AN6244" t="s">
        <v>5479</v>
      </c>
      <c r="AO6244" t="s">
        <v>5480</v>
      </c>
    </row>
    <row r="6245" spans="39:41" ht="12" customHeight="1" x14ac:dyDescent="0.2">
      <c r="AM6245" t="str">
        <f t="shared" si="97"/>
        <v>Huarmey [PEHUY]</v>
      </c>
      <c r="AN6245" t="s">
        <v>25251</v>
      </c>
      <c r="AO6245" t="s">
        <v>25252</v>
      </c>
    </row>
    <row r="6246" spans="39:41" ht="12" customHeight="1" x14ac:dyDescent="0.2">
      <c r="AM6246" t="str">
        <f t="shared" si="97"/>
        <v>Huasco [CLHSO]</v>
      </c>
      <c r="AN6246" t="s">
        <v>4872</v>
      </c>
      <c r="AO6246" t="s">
        <v>4873</v>
      </c>
    </row>
    <row r="6247" spans="39:41" ht="12" customHeight="1" x14ac:dyDescent="0.2">
      <c r="AM6247" t="str">
        <f t="shared" si="97"/>
        <v>Huashi [CNHUS]</v>
      </c>
      <c r="AN6247" t="s">
        <v>5481</v>
      </c>
      <c r="AO6247" t="s">
        <v>5482</v>
      </c>
    </row>
    <row r="6248" spans="39:41" ht="12" customHeight="1" x14ac:dyDescent="0.2">
      <c r="AM6248" t="str">
        <f t="shared" si="97"/>
        <v>Huatulco (Santa Maria Huatulco) [MXHTO]</v>
      </c>
      <c r="AN6248" t="s">
        <v>22369</v>
      </c>
      <c r="AO6248" t="s">
        <v>36091</v>
      </c>
    </row>
    <row r="6249" spans="39:41" ht="12" customHeight="1" x14ac:dyDescent="0.2">
      <c r="AM6249" t="str">
        <f t="shared" si="97"/>
        <v>Huayang [CNHUY]</v>
      </c>
      <c r="AN6249" t="s">
        <v>5483</v>
      </c>
      <c r="AO6249" t="s">
        <v>5484</v>
      </c>
    </row>
    <row r="6250" spans="39:41" ht="12" customHeight="1" x14ac:dyDescent="0.2">
      <c r="AM6250" t="str">
        <f t="shared" si="97"/>
        <v>Huber Heights [USQHT]</v>
      </c>
      <c r="AN6250" t="s">
        <v>30154</v>
      </c>
      <c r="AO6250" t="s">
        <v>30155</v>
      </c>
    </row>
    <row r="6251" spans="39:41" ht="12" customHeight="1" x14ac:dyDescent="0.2">
      <c r="AM6251" t="str">
        <f t="shared" si="97"/>
        <v>Hubertushohe [DEHRO]</v>
      </c>
      <c r="AN6251" t="s">
        <v>7635</v>
      </c>
      <c r="AO6251" t="s">
        <v>35449</v>
      </c>
    </row>
    <row r="6252" spans="39:41" ht="12" customHeight="1" x14ac:dyDescent="0.2">
      <c r="AM6252" t="str">
        <f t="shared" si="97"/>
        <v>Huchen [CNHUE]</v>
      </c>
      <c r="AN6252" t="s">
        <v>5485</v>
      </c>
      <c r="AO6252" t="s">
        <v>5486</v>
      </c>
    </row>
    <row r="6253" spans="39:41" ht="12" customHeight="1" x14ac:dyDescent="0.2">
      <c r="AM6253" t="str">
        <f t="shared" si="97"/>
        <v>Huddersfield [GBHDF]</v>
      </c>
      <c r="AN6253" t="s">
        <v>13437</v>
      </c>
      <c r="AO6253" t="s">
        <v>13438</v>
      </c>
    </row>
    <row r="6254" spans="39:41" ht="12" customHeight="1" x14ac:dyDescent="0.2">
      <c r="AM6254" t="str">
        <f t="shared" si="97"/>
        <v>Hudiksvall [SEHUV]</v>
      </c>
      <c r="AN6254" t="s">
        <v>27640</v>
      </c>
      <c r="AO6254" t="s">
        <v>27641</v>
      </c>
    </row>
    <row r="6255" spans="39:41" ht="12" customHeight="1" x14ac:dyDescent="0.2">
      <c r="AM6255" t="str">
        <f t="shared" si="97"/>
        <v>Hudson [USHSF]</v>
      </c>
      <c r="AN6255" t="s">
        <v>30156</v>
      </c>
      <c r="AO6255" t="s">
        <v>30157</v>
      </c>
    </row>
    <row r="6256" spans="39:41" ht="12" customHeight="1" x14ac:dyDescent="0.2">
      <c r="AM6256" t="str">
        <f t="shared" si="97"/>
        <v>Hudson [USH8N]</v>
      </c>
      <c r="AN6256" t="s">
        <v>30158</v>
      </c>
      <c r="AO6256" t="s">
        <v>30157</v>
      </c>
    </row>
    <row r="6257" spans="39:41" ht="12" customHeight="1" x14ac:dyDescent="0.2">
      <c r="AM6257" t="str">
        <f t="shared" si="97"/>
        <v>Hue [VNHUI]</v>
      </c>
      <c r="AN6257" t="s">
        <v>32394</v>
      </c>
      <c r="AO6257" t="s">
        <v>32395</v>
      </c>
    </row>
    <row r="6258" spans="39:41" ht="12" customHeight="1" x14ac:dyDescent="0.2">
      <c r="AM6258" t="str">
        <f t="shared" si="97"/>
        <v>Huelva [ESHUV]</v>
      </c>
      <c r="AN6258" t="s">
        <v>9837</v>
      </c>
      <c r="AO6258" t="s">
        <v>9838</v>
      </c>
    </row>
    <row r="6259" spans="39:41" ht="12" customHeight="1" x14ac:dyDescent="0.2">
      <c r="AM6259" t="str">
        <f t="shared" si="97"/>
        <v>Huete [ESETH]</v>
      </c>
      <c r="AN6259" t="s">
        <v>9839</v>
      </c>
      <c r="AO6259" t="s">
        <v>9840</v>
      </c>
    </row>
    <row r="6260" spans="39:41" ht="12" customHeight="1" x14ac:dyDescent="0.2">
      <c r="AM6260" t="str">
        <f t="shared" si="97"/>
        <v>Hufthammar [NOHHA]</v>
      </c>
      <c r="AN6260" t="s">
        <v>24272</v>
      </c>
      <c r="AO6260" t="s">
        <v>24273</v>
      </c>
    </row>
    <row r="6261" spans="39:41" ht="12" customHeight="1" x14ac:dyDescent="0.2">
      <c r="AM6261" t="str">
        <f t="shared" si="97"/>
        <v>Huger [USQHG]</v>
      </c>
      <c r="AN6261" t="s">
        <v>30159</v>
      </c>
      <c r="AO6261" t="s">
        <v>30160</v>
      </c>
    </row>
    <row r="6262" spans="39:41" ht="12" customHeight="1" x14ac:dyDescent="0.2">
      <c r="AM6262" t="str">
        <f t="shared" si="97"/>
        <v>Hugh Town [GBHWZ]</v>
      </c>
      <c r="AN6262" t="s">
        <v>13439</v>
      </c>
      <c r="AO6262" t="s">
        <v>13440</v>
      </c>
    </row>
    <row r="6263" spans="39:41" ht="12" customHeight="1" x14ac:dyDescent="0.2">
      <c r="AM6263" t="str">
        <f t="shared" si="97"/>
        <v>Hughesville [USHV2]</v>
      </c>
      <c r="AN6263" t="s">
        <v>30161</v>
      </c>
      <c r="AO6263" t="s">
        <v>30162</v>
      </c>
    </row>
    <row r="6264" spans="39:41" ht="12" customHeight="1" x14ac:dyDescent="0.2">
      <c r="AM6264" t="str">
        <f t="shared" si="97"/>
        <v>Huguenot [USHGU]</v>
      </c>
      <c r="AN6264" t="s">
        <v>30163</v>
      </c>
      <c r="AO6264" t="s">
        <v>30164</v>
      </c>
    </row>
    <row r="6265" spans="39:41" ht="12" customHeight="1" x14ac:dyDescent="0.2">
      <c r="AM6265" t="str">
        <f t="shared" ref="AM6265:AM6328" si="98">AO6265 &amp; " [" &amp; AN6265 &amp; "]"</f>
        <v>Huidong Pt [CNHID]</v>
      </c>
      <c r="AN6265" t="s">
        <v>5487</v>
      </c>
      <c r="AO6265" t="s">
        <v>5488</v>
      </c>
    </row>
    <row r="6266" spans="39:41" ht="12" customHeight="1" x14ac:dyDescent="0.2">
      <c r="AM6266" t="str">
        <f t="shared" si="98"/>
        <v>Huikou [CNHIK]</v>
      </c>
      <c r="AN6266" t="s">
        <v>5489</v>
      </c>
      <c r="AO6266" t="s">
        <v>5490</v>
      </c>
    </row>
    <row r="6267" spans="39:41" ht="12" customHeight="1" x14ac:dyDescent="0.2">
      <c r="AM6267" t="str">
        <f t="shared" si="98"/>
        <v>Huizhou Pt [CNHUI]</v>
      </c>
      <c r="AN6267" t="s">
        <v>5491</v>
      </c>
      <c r="AO6267" t="s">
        <v>5492</v>
      </c>
    </row>
    <row r="6268" spans="39:41" ht="12" customHeight="1" x14ac:dyDescent="0.2">
      <c r="AM6268" t="str">
        <f t="shared" si="98"/>
        <v>Hukou [CNHKU]</v>
      </c>
      <c r="AN6268" t="s">
        <v>5493</v>
      </c>
      <c r="AO6268" t="s">
        <v>5494</v>
      </c>
    </row>
    <row r="6269" spans="39:41" ht="12" customHeight="1" x14ac:dyDescent="0.2">
      <c r="AM6269" t="str">
        <f t="shared" si="98"/>
        <v>Hukou [TWHUK]</v>
      </c>
      <c r="AN6269" t="s">
        <v>28670</v>
      </c>
      <c r="AO6269" t="s">
        <v>5494</v>
      </c>
    </row>
    <row r="6270" spans="39:41" ht="12" customHeight="1" x14ac:dyDescent="0.2">
      <c r="AM6270" t="str">
        <f t="shared" si="98"/>
        <v>Hulan Ergi [CNHLE]</v>
      </c>
      <c r="AN6270" t="s">
        <v>5495</v>
      </c>
      <c r="AO6270" t="s">
        <v>5496</v>
      </c>
    </row>
    <row r="6271" spans="39:41" ht="12" customHeight="1" x14ac:dyDescent="0.2">
      <c r="AM6271" t="str">
        <f t="shared" si="98"/>
        <v>Hulaylah Terminal [AEHTL]</v>
      </c>
      <c r="AN6271" t="s">
        <v>733</v>
      </c>
      <c r="AO6271" t="s">
        <v>734</v>
      </c>
    </row>
    <row r="6272" spans="39:41" ht="12" customHeight="1" x14ac:dyDescent="0.2">
      <c r="AM6272" t="str">
        <f t="shared" si="98"/>
        <v>Huldange [LUHDK]</v>
      </c>
      <c r="AN6272" t="s">
        <v>21906</v>
      </c>
      <c r="AO6272" t="s">
        <v>21907</v>
      </c>
    </row>
    <row r="6273" spans="39:41" ht="12" customHeight="1" x14ac:dyDescent="0.2">
      <c r="AM6273" t="str">
        <f t="shared" si="98"/>
        <v>Huldra [XZHUL]</v>
      </c>
      <c r="AN6273" t="s">
        <v>32575</v>
      </c>
      <c r="AO6273" t="s">
        <v>32576</v>
      </c>
    </row>
    <row r="6274" spans="39:41" ht="12" customHeight="1" x14ac:dyDescent="0.2">
      <c r="AM6274" t="str">
        <f t="shared" si="98"/>
        <v>Hulhule Island [MVHHE]</v>
      </c>
      <c r="AN6274" t="s">
        <v>34184</v>
      </c>
      <c r="AO6274" t="s">
        <v>34258</v>
      </c>
    </row>
    <row r="6275" spans="39:41" ht="12" customHeight="1" x14ac:dyDescent="0.2">
      <c r="AM6275" t="str">
        <f t="shared" si="98"/>
        <v>Hulin [CNHUL]</v>
      </c>
      <c r="AN6275" t="s">
        <v>5497</v>
      </c>
      <c r="AO6275" t="s">
        <v>5498</v>
      </c>
    </row>
    <row r="6276" spans="39:41" ht="12" customHeight="1" x14ac:dyDescent="0.2">
      <c r="AM6276" t="str">
        <f t="shared" si="98"/>
        <v>Hull [GBHUL]</v>
      </c>
      <c r="AN6276" t="s">
        <v>13441</v>
      </c>
      <c r="AO6276" t="s">
        <v>13442</v>
      </c>
    </row>
    <row r="6277" spans="39:41" ht="12" customHeight="1" x14ac:dyDescent="0.2">
      <c r="AM6277" t="str">
        <f t="shared" si="98"/>
        <v>Hull Island [KIHUL]</v>
      </c>
      <c r="AN6277" t="s">
        <v>21551</v>
      </c>
      <c r="AO6277" t="s">
        <v>21552</v>
      </c>
    </row>
    <row r="6278" spans="39:41" ht="12" customHeight="1" x14ac:dyDescent="0.2">
      <c r="AM6278" t="str">
        <f t="shared" si="98"/>
        <v>Huludao Pt [CNHUD]</v>
      </c>
      <c r="AN6278" t="s">
        <v>5499</v>
      </c>
      <c r="AO6278" t="s">
        <v>5500</v>
      </c>
    </row>
    <row r="6279" spans="39:41" ht="12" customHeight="1" x14ac:dyDescent="0.2">
      <c r="AM6279" t="str">
        <f t="shared" si="98"/>
        <v>Huma [CNHUM]</v>
      </c>
      <c r="AN6279" t="s">
        <v>5501</v>
      </c>
      <c r="AO6279" t="s">
        <v>5502</v>
      </c>
    </row>
    <row r="6280" spans="39:41" ht="12" customHeight="1" x14ac:dyDescent="0.2">
      <c r="AM6280" t="str">
        <f t="shared" si="98"/>
        <v>Humbeek [BEHUM]</v>
      </c>
      <c r="AN6280" t="s">
        <v>2563</v>
      </c>
      <c r="AO6280" t="s">
        <v>2564</v>
      </c>
    </row>
    <row r="6281" spans="39:41" ht="12" customHeight="1" x14ac:dyDescent="0.2">
      <c r="AM6281" t="str">
        <f t="shared" si="98"/>
        <v>Humen Pt [CNHMN]</v>
      </c>
      <c r="AN6281" t="s">
        <v>5503</v>
      </c>
      <c r="AO6281" t="s">
        <v>5504</v>
      </c>
    </row>
    <row r="6282" spans="39:41" ht="12" customHeight="1" x14ac:dyDescent="0.2">
      <c r="AM6282" t="str">
        <f t="shared" si="98"/>
        <v>Humilladero [ESHUR]</v>
      </c>
      <c r="AN6282" t="s">
        <v>9841</v>
      </c>
      <c r="AO6282" t="s">
        <v>9842</v>
      </c>
    </row>
    <row r="6283" spans="39:41" ht="12" customHeight="1" x14ac:dyDescent="0.2">
      <c r="AM6283" t="str">
        <f t="shared" si="98"/>
        <v>Humlebak [DKHBA]</v>
      </c>
      <c r="AN6283" t="s">
        <v>8749</v>
      </c>
      <c r="AO6283" t="s">
        <v>35545</v>
      </c>
    </row>
    <row r="6284" spans="39:41" ht="12" customHeight="1" x14ac:dyDescent="0.2">
      <c r="AM6284" t="str">
        <f t="shared" si="98"/>
        <v>Hummelvik [NOHMV]</v>
      </c>
      <c r="AN6284" t="s">
        <v>24274</v>
      </c>
      <c r="AO6284" t="s">
        <v>24275</v>
      </c>
    </row>
    <row r="6285" spans="39:41" ht="12" customHeight="1" x14ac:dyDescent="0.2">
      <c r="AM6285" t="str">
        <f t="shared" si="98"/>
        <v>Hundeidvika [NOHUD]</v>
      </c>
      <c r="AN6285" t="s">
        <v>24276</v>
      </c>
      <c r="AO6285" t="s">
        <v>24277</v>
      </c>
    </row>
    <row r="6286" spans="39:41" ht="12" customHeight="1" x14ac:dyDescent="0.2">
      <c r="AM6286" t="str">
        <f t="shared" si="98"/>
        <v>Hundested [DKHUN]</v>
      </c>
      <c r="AN6286" t="s">
        <v>8750</v>
      </c>
      <c r="AO6286" t="s">
        <v>8751</v>
      </c>
    </row>
    <row r="6287" spans="39:41" ht="12" customHeight="1" x14ac:dyDescent="0.2">
      <c r="AM6287" t="str">
        <f t="shared" si="98"/>
        <v>Hundipea [EEHUN]</v>
      </c>
      <c r="AN6287" t="s">
        <v>9160</v>
      </c>
      <c r="AO6287" t="s">
        <v>9161</v>
      </c>
    </row>
    <row r="6288" spans="39:41" ht="12" customHeight="1" x14ac:dyDescent="0.2">
      <c r="AM6288" t="str">
        <f t="shared" si="98"/>
        <v>Hundsmuhlen [DEHSU]</v>
      </c>
      <c r="AN6288" t="s">
        <v>7636</v>
      </c>
      <c r="AO6288" t="s">
        <v>35450</v>
      </c>
    </row>
    <row r="6289" spans="39:41" ht="12" customHeight="1" x14ac:dyDescent="0.2">
      <c r="AM6289" t="str">
        <f t="shared" si="98"/>
        <v>Hung Yen [VNHYN]</v>
      </c>
      <c r="AN6289" t="s">
        <v>32396</v>
      </c>
      <c r="AO6289" t="s">
        <v>32397</v>
      </c>
    </row>
    <row r="6290" spans="39:41" ht="12" customHeight="1" x14ac:dyDescent="0.2">
      <c r="AM6290" t="str">
        <f t="shared" si="98"/>
        <v>Hungerford [USHXF]</v>
      </c>
      <c r="AN6290" t="s">
        <v>30165</v>
      </c>
      <c r="AO6290" t="s">
        <v>30166</v>
      </c>
    </row>
    <row r="6291" spans="39:41" ht="12" customHeight="1" x14ac:dyDescent="0.2">
      <c r="AM6291" t="str">
        <f t="shared" si="98"/>
        <v>Hungnam [KPHGM]</v>
      </c>
      <c r="AN6291" t="s">
        <v>21584</v>
      </c>
      <c r="AO6291" t="s">
        <v>21585</v>
      </c>
    </row>
    <row r="6292" spans="39:41" ht="12" customHeight="1" x14ac:dyDescent="0.2">
      <c r="AM6292" t="str">
        <f t="shared" si="98"/>
        <v>Huningue [FRHUN]</v>
      </c>
      <c r="AN6292" t="s">
        <v>11397</v>
      </c>
      <c r="AO6292" t="s">
        <v>11398</v>
      </c>
    </row>
    <row r="6293" spans="39:41" ht="12" customHeight="1" x14ac:dyDescent="0.2">
      <c r="AM6293" t="str">
        <f t="shared" si="98"/>
        <v>Hunnebostrand [SEHUN]</v>
      </c>
      <c r="AN6293" t="s">
        <v>27642</v>
      </c>
      <c r="AO6293" t="s">
        <v>27643</v>
      </c>
    </row>
    <row r="6294" spans="39:41" ht="12" customHeight="1" x14ac:dyDescent="0.2">
      <c r="AM6294" t="str">
        <f t="shared" si="98"/>
        <v>Hunsborn [DEHUX]</v>
      </c>
      <c r="AN6294" t="s">
        <v>7637</v>
      </c>
      <c r="AO6294" t="s">
        <v>35451</v>
      </c>
    </row>
    <row r="6295" spans="39:41" ht="12" customHeight="1" x14ac:dyDescent="0.2">
      <c r="AM6295" t="str">
        <f t="shared" si="98"/>
        <v>Hunsel [NLHUN]</v>
      </c>
      <c r="AN6295" t="s">
        <v>23288</v>
      </c>
      <c r="AO6295" t="s">
        <v>23289</v>
      </c>
    </row>
    <row r="6296" spans="39:41" ht="12" customHeight="1" x14ac:dyDescent="0.2">
      <c r="AM6296" t="str">
        <f t="shared" si="98"/>
        <v>Hunslet/Leeds [GBHLU]</v>
      </c>
      <c r="AN6296" t="s">
        <v>13443</v>
      </c>
      <c r="AO6296" t="s">
        <v>13444</v>
      </c>
    </row>
    <row r="6297" spans="39:41" ht="12" customHeight="1" x14ac:dyDescent="0.2">
      <c r="AM6297" t="str">
        <f t="shared" si="98"/>
        <v>Hunstanton [GBHNT]</v>
      </c>
      <c r="AN6297" t="s">
        <v>13445</v>
      </c>
      <c r="AO6297" t="s">
        <v>13446</v>
      </c>
    </row>
    <row r="6298" spans="39:41" ht="12" customHeight="1" x14ac:dyDescent="0.2">
      <c r="AM6298" t="str">
        <f t="shared" si="98"/>
        <v>Hunterston [GBHST]</v>
      </c>
      <c r="AN6298" t="s">
        <v>13447</v>
      </c>
      <c r="AO6298" t="s">
        <v>13448</v>
      </c>
    </row>
    <row r="6299" spans="39:41" ht="12" customHeight="1" x14ac:dyDescent="0.2">
      <c r="AM6299" t="str">
        <f t="shared" si="98"/>
        <v>Huntington Woods [USHGW]</v>
      </c>
      <c r="AN6299" t="s">
        <v>30167</v>
      </c>
      <c r="AO6299" t="s">
        <v>30168</v>
      </c>
    </row>
    <row r="6300" spans="39:41" ht="12" customHeight="1" x14ac:dyDescent="0.2">
      <c r="AM6300" t="str">
        <f t="shared" si="98"/>
        <v>Hunucma [MXHUN]</v>
      </c>
      <c r="AN6300" t="s">
        <v>22370</v>
      </c>
      <c r="AO6300" t="s">
        <v>36092</v>
      </c>
    </row>
    <row r="6301" spans="39:41" ht="12" customHeight="1" x14ac:dyDescent="0.2">
      <c r="AM6301" t="str">
        <f t="shared" si="98"/>
        <v>Huo Pt [CNHUP]</v>
      </c>
      <c r="AN6301" t="s">
        <v>5505</v>
      </c>
      <c r="AO6301" t="s">
        <v>5506</v>
      </c>
    </row>
    <row r="6302" spans="39:41" ht="12" customHeight="1" x14ac:dyDescent="0.2">
      <c r="AM6302" t="str">
        <f t="shared" si="98"/>
        <v>Hupo [KRHPO]</v>
      </c>
      <c r="AN6302" t="s">
        <v>21664</v>
      </c>
      <c r="AO6302" t="s">
        <v>21665</v>
      </c>
    </row>
    <row r="6303" spans="39:41" ht="12" customHeight="1" x14ac:dyDescent="0.2">
      <c r="AM6303" t="str">
        <f t="shared" si="98"/>
        <v>Hurghada [EGHRG]</v>
      </c>
      <c r="AN6303" t="s">
        <v>9488</v>
      </c>
      <c r="AO6303" t="s">
        <v>9489</v>
      </c>
    </row>
    <row r="6304" spans="39:41" ht="12" customHeight="1" x14ac:dyDescent="0.2">
      <c r="AM6304" t="str">
        <f t="shared" si="98"/>
        <v>Huron [USHN9]</v>
      </c>
      <c r="AN6304" t="s">
        <v>30169</v>
      </c>
      <c r="AO6304" t="s">
        <v>30170</v>
      </c>
    </row>
    <row r="6305" spans="39:41" ht="12" customHeight="1" x14ac:dyDescent="0.2">
      <c r="AM6305" t="str">
        <f t="shared" si="98"/>
        <v>Hurum [NOHUR]</v>
      </c>
      <c r="AN6305" t="s">
        <v>24278</v>
      </c>
      <c r="AO6305" t="s">
        <v>24279</v>
      </c>
    </row>
    <row r="6306" spans="39:41" ht="12" customHeight="1" x14ac:dyDescent="0.2">
      <c r="AM6306" t="str">
        <f t="shared" si="98"/>
        <v>Husavik - hofn [ISHUS]</v>
      </c>
      <c r="AN6306" t="s">
        <v>17722</v>
      </c>
      <c r="AO6306" t="s">
        <v>36050</v>
      </c>
    </row>
    <row r="6307" spans="39:41" ht="12" customHeight="1" x14ac:dyDescent="0.2">
      <c r="AM6307" t="str">
        <f t="shared" si="98"/>
        <v>Husevig [FOHUS]</v>
      </c>
      <c r="AN6307" t="s">
        <v>10676</v>
      </c>
      <c r="AO6307" t="s">
        <v>10677</v>
      </c>
    </row>
    <row r="6308" spans="39:41" ht="12" customHeight="1" x14ac:dyDescent="0.2">
      <c r="AM6308" t="str">
        <f t="shared" si="98"/>
        <v>Husnes [NOHUS]</v>
      </c>
      <c r="AN6308" t="s">
        <v>24280</v>
      </c>
      <c r="AO6308" t="s">
        <v>24281</v>
      </c>
    </row>
    <row r="6309" spans="39:41" ht="12" customHeight="1" x14ac:dyDescent="0.2">
      <c r="AM6309" t="str">
        <f t="shared" si="98"/>
        <v>Husoy - Karmoy [NOHSO]</v>
      </c>
      <c r="AN6309" t="s">
        <v>24282</v>
      </c>
      <c r="AO6309" t="s">
        <v>36204</v>
      </c>
    </row>
    <row r="6310" spans="39:41" ht="12" customHeight="1" x14ac:dyDescent="0.2">
      <c r="AM6310" t="str">
        <f t="shared" si="98"/>
        <v>Husoy - Lenvik [NOHSS]</v>
      </c>
      <c r="AN6310" t="s">
        <v>24283</v>
      </c>
      <c r="AO6310" t="s">
        <v>36205</v>
      </c>
    </row>
    <row r="6311" spans="39:41" ht="12" customHeight="1" x14ac:dyDescent="0.2">
      <c r="AM6311" t="str">
        <f t="shared" si="98"/>
        <v>Husoy - Tonsberg [NOHOY]</v>
      </c>
      <c r="AN6311" t="s">
        <v>24284</v>
      </c>
      <c r="AO6311" t="s">
        <v>36206</v>
      </c>
    </row>
    <row r="6312" spans="39:41" ht="12" customHeight="1" x14ac:dyDescent="0.2">
      <c r="AM6312" t="str">
        <f t="shared" si="98"/>
        <v>Husum [DEHUS]</v>
      </c>
      <c r="AN6312" t="s">
        <v>7638</v>
      </c>
      <c r="AO6312" t="s">
        <v>7639</v>
      </c>
    </row>
    <row r="6313" spans="39:41" ht="12" customHeight="1" x14ac:dyDescent="0.2">
      <c r="AM6313" t="str">
        <f t="shared" si="98"/>
        <v>Husum [SEHUS]</v>
      </c>
      <c r="AN6313" t="s">
        <v>27644</v>
      </c>
      <c r="AO6313" t="s">
        <v>7639</v>
      </c>
    </row>
    <row r="6314" spans="39:41" ht="12" customHeight="1" x14ac:dyDescent="0.2">
      <c r="AM6314" t="str">
        <f t="shared" si="98"/>
        <v>Hutan Melintang [MYHUM]</v>
      </c>
      <c r="AN6314" t="s">
        <v>22552</v>
      </c>
      <c r="AO6314" t="s">
        <v>22553</v>
      </c>
    </row>
    <row r="6315" spans="39:41" ht="12" customHeight="1" x14ac:dyDescent="0.2">
      <c r="AM6315" t="str">
        <f t="shared" si="98"/>
        <v>Huttingen [DEHZZ]</v>
      </c>
      <c r="AN6315" t="s">
        <v>7640</v>
      </c>
      <c r="AO6315" t="s">
        <v>7641</v>
      </c>
    </row>
    <row r="6316" spans="39:41" ht="12" customHeight="1" x14ac:dyDescent="0.2">
      <c r="AM6316" t="str">
        <f t="shared" si="98"/>
        <v>Hutton [GBHUX]</v>
      </c>
      <c r="AN6316" t="s">
        <v>13449</v>
      </c>
      <c r="AO6316" t="s">
        <v>13450</v>
      </c>
    </row>
    <row r="6317" spans="39:41" ht="12" customHeight="1" x14ac:dyDescent="0.2">
      <c r="AM6317" t="str">
        <f t="shared" si="98"/>
        <v>Hutton Cranswick [GBWWW]</v>
      </c>
      <c r="AN6317" t="s">
        <v>13451</v>
      </c>
      <c r="AO6317" t="s">
        <v>13452</v>
      </c>
    </row>
    <row r="6318" spans="39:41" ht="12" customHeight="1" x14ac:dyDescent="0.2">
      <c r="AM6318" t="str">
        <f t="shared" si="98"/>
        <v>Huy [BEHUY]</v>
      </c>
      <c r="AN6318" t="s">
        <v>2565</v>
      </c>
      <c r="AO6318" t="s">
        <v>2566</v>
      </c>
    </row>
    <row r="6319" spans="39:41" ht="12" customHeight="1" x14ac:dyDescent="0.2">
      <c r="AM6319" t="str">
        <f t="shared" si="98"/>
        <v>Huzhou Pt [CNHZH]</v>
      </c>
      <c r="AN6319" t="s">
        <v>5507</v>
      </c>
      <c r="AO6319" t="s">
        <v>5508</v>
      </c>
    </row>
    <row r="6320" spans="39:41" ht="12" customHeight="1" x14ac:dyDescent="0.2">
      <c r="AM6320" t="str">
        <f t="shared" si="98"/>
        <v>Hvaler [NOHVA]</v>
      </c>
      <c r="AN6320" t="s">
        <v>24285</v>
      </c>
      <c r="AO6320" t="s">
        <v>24286</v>
      </c>
    </row>
    <row r="6321" spans="39:41" ht="12" customHeight="1" x14ac:dyDescent="0.2">
      <c r="AM6321" t="str">
        <f t="shared" si="98"/>
        <v>Hvalfjordur [ISHVR]</v>
      </c>
      <c r="AN6321" t="s">
        <v>17723</v>
      </c>
      <c r="AO6321" t="s">
        <v>36051</v>
      </c>
    </row>
    <row r="6322" spans="39:41" ht="12" customHeight="1" x14ac:dyDescent="0.2">
      <c r="AM6322" t="str">
        <f t="shared" si="98"/>
        <v>Hvalpsund [DKHVA]</v>
      </c>
      <c r="AN6322" t="s">
        <v>8752</v>
      </c>
      <c r="AO6322" t="s">
        <v>8753</v>
      </c>
    </row>
    <row r="6323" spans="39:41" ht="12" customHeight="1" x14ac:dyDescent="0.2">
      <c r="AM6323" t="str">
        <f t="shared" si="98"/>
        <v>Hvammstangi [ISHVM]</v>
      </c>
      <c r="AN6323" t="s">
        <v>17724</v>
      </c>
      <c r="AO6323" t="s">
        <v>17725</v>
      </c>
    </row>
    <row r="6324" spans="39:41" ht="12" customHeight="1" x14ac:dyDescent="0.2">
      <c r="AM6324" t="str">
        <f t="shared" si="98"/>
        <v>Hvar [HRHVA]</v>
      </c>
      <c r="AN6324" t="s">
        <v>15748</v>
      </c>
      <c r="AO6324" t="s">
        <v>15749</v>
      </c>
    </row>
    <row r="6325" spans="39:41" ht="12" customHeight="1" x14ac:dyDescent="0.2">
      <c r="AM6325" t="str">
        <f t="shared" si="98"/>
        <v>Hvasser [NOHVS]</v>
      </c>
      <c r="AN6325" t="s">
        <v>24287</v>
      </c>
      <c r="AO6325" t="s">
        <v>24288</v>
      </c>
    </row>
    <row r="6326" spans="39:41" ht="12" customHeight="1" x14ac:dyDescent="0.2">
      <c r="AM6326" t="str">
        <f t="shared" si="98"/>
        <v>Hvide Sande [DKHVS]</v>
      </c>
      <c r="AN6326" t="s">
        <v>8754</v>
      </c>
      <c r="AO6326" t="s">
        <v>8755</v>
      </c>
    </row>
    <row r="6327" spans="39:41" ht="12" customHeight="1" x14ac:dyDescent="0.2">
      <c r="AM6327" t="str">
        <f t="shared" si="98"/>
        <v>Hwahungpo [KRHHP]</v>
      </c>
      <c r="AN6327" t="s">
        <v>21666</v>
      </c>
      <c r="AO6327" t="s">
        <v>21667</v>
      </c>
    </row>
    <row r="6328" spans="39:41" ht="12" customHeight="1" x14ac:dyDescent="0.2">
      <c r="AM6328" t="str">
        <f t="shared" si="98"/>
        <v>Hwasun [KRHSN]</v>
      </c>
      <c r="AN6328" t="s">
        <v>21668</v>
      </c>
      <c r="AO6328" t="s">
        <v>21669</v>
      </c>
    </row>
    <row r="6329" spans="39:41" ht="12" customHeight="1" x14ac:dyDescent="0.2">
      <c r="AM6329" t="str">
        <f t="shared" ref="AM6329:AM6392" si="99">AO6329 &amp; " [" &amp; AN6329 &amp; "]"</f>
        <v>Hyakkan [JPHKK]</v>
      </c>
      <c r="AN6329" t="s">
        <v>19142</v>
      </c>
      <c r="AO6329" t="s">
        <v>19143</v>
      </c>
    </row>
    <row r="6330" spans="39:41" ht="12" customHeight="1" x14ac:dyDescent="0.2">
      <c r="AM6330" t="str">
        <f t="shared" si="99"/>
        <v>Hyakunoura [JPHYR]</v>
      </c>
      <c r="AN6330" t="s">
        <v>19144</v>
      </c>
      <c r="AO6330" t="s">
        <v>19145</v>
      </c>
    </row>
    <row r="6331" spans="39:41" ht="12" customHeight="1" x14ac:dyDescent="0.2">
      <c r="AM6331" t="str">
        <f t="shared" si="99"/>
        <v>Hydra (Idhra) [GRHYD]</v>
      </c>
      <c r="AN6331" t="s">
        <v>15237</v>
      </c>
      <c r="AO6331" t="s">
        <v>15238</v>
      </c>
    </row>
    <row r="6332" spans="39:41" ht="12" customHeight="1" x14ac:dyDescent="0.2">
      <c r="AM6332" t="str">
        <f t="shared" si="99"/>
        <v>Hyen [NOHYE]</v>
      </c>
      <c r="AN6332" t="s">
        <v>37084</v>
      </c>
      <c r="AO6332" t="s">
        <v>37085</v>
      </c>
    </row>
    <row r="6333" spans="39:41" ht="12" customHeight="1" x14ac:dyDescent="0.2">
      <c r="AM6333" t="str">
        <f t="shared" si="99"/>
        <v>Hyeres [FRHYR]</v>
      </c>
      <c r="AN6333" t="s">
        <v>11399</v>
      </c>
      <c r="AO6333" t="s">
        <v>35803</v>
      </c>
    </row>
    <row r="6334" spans="39:41" ht="12" customHeight="1" x14ac:dyDescent="0.2">
      <c r="AM6334" t="str">
        <f t="shared" si="99"/>
        <v>Hyllestad [NOHYL]</v>
      </c>
      <c r="AN6334" t="s">
        <v>24289</v>
      </c>
      <c r="AO6334" t="s">
        <v>24290</v>
      </c>
    </row>
    <row r="6335" spans="39:41" ht="12" customHeight="1" x14ac:dyDescent="0.2">
      <c r="AM6335" t="str">
        <f t="shared" si="99"/>
        <v>Hyppeln [SEHYP]</v>
      </c>
      <c r="AN6335" t="s">
        <v>27645</v>
      </c>
      <c r="AO6335" t="s">
        <v>27646</v>
      </c>
    </row>
    <row r="6336" spans="39:41" ht="12" customHeight="1" x14ac:dyDescent="0.2">
      <c r="AM6336" t="str">
        <f t="shared" si="99"/>
        <v>Hythe [GBHTH]</v>
      </c>
      <c r="AN6336" t="s">
        <v>13453</v>
      </c>
      <c r="AO6336" t="s">
        <v>13454</v>
      </c>
    </row>
    <row r="6337" spans="39:41" ht="12" customHeight="1" x14ac:dyDescent="0.2">
      <c r="AM6337" t="str">
        <f t="shared" si="99"/>
        <v>Hyugadomari [JPHYG]</v>
      </c>
      <c r="AN6337" t="s">
        <v>19146</v>
      </c>
      <c r="AO6337" t="s">
        <v>19147</v>
      </c>
    </row>
    <row r="6338" spans="39:41" ht="12" customHeight="1" x14ac:dyDescent="0.2">
      <c r="AM6338" t="str">
        <f t="shared" si="99"/>
        <v>Ibach [CHXZX]</v>
      </c>
      <c r="AN6338" t="s">
        <v>4699</v>
      </c>
      <c r="AO6338" t="s">
        <v>4700</v>
      </c>
    </row>
    <row r="6339" spans="39:41" ht="12" customHeight="1" x14ac:dyDescent="0.2">
      <c r="AM6339" t="str">
        <f t="shared" si="99"/>
        <v>Ibestad [NOIBE]</v>
      </c>
      <c r="AN6339" t="s">
        <v>24291</v>
      </c>
      <c r="AO6339" t="s">
        <v>24292</v>
      </c>
    </row>
    <row r="6340" spans="39:41" ht="12" customHeight="1" x14ac:dyDescent="0.2">
      <c r="AM6340" t="str">
        <f t="shared" si="99"/>
        <v>Ibicuy [ARIBY]</v>
      </c>
      <c r="AN6340" t="s">
        <v>1026</v>
      </c>
      <c r="AO6340" t="s">
        <v>1027</v>
      </c>
    </row>
    <row r="6341" spans="39:41" ht="12" customHeight="1" x14ac:dyDescent="0.2">
      <c r="AM6341" t="str">
        <f t="shared" si="99"/>
        <v>Ibiza [ESIBZ]</v>
      </c>
      <c r="AN6341" t="s">
        <v>9843</v>
      </c>
      <c r="AO6341" t="s">
        <v>9844</v>
      </c>
    </row>
    <row r="6342" spans="39:41" ht="12" customHeight="1" x14ac:dyDescent="0.2">
      <c r="AM6342" t="str">
        <f t="shared" si="99"/>
        <v>Ibo [MZIBO]</v>
      </c>
      <c r="AN6342" t="s">
        <v>22839</v>
      </c>
      <c r="AO6342" t="s">
        <v>22840</v>
      </c>
    </row>
    <row r="6343" spans="39:41" ht="12" customHeight="1" x14ac:dyDescent="0.2">
      <c r="AM6343" t="str">
        <f t="shared" si="99"/>
        <v>Iburi [JPIBR]</v>
      </c>
      <c r="AN6343" t="s">
        <v>19148</v>
      </c>
      <c r="AO6343" t="s">
        <v>19149</v>
      </c>
    </row>
    <row r="6344" spans="39:41" ht="12" customHeight="1" x14ac:dyDescent="0.2">
      <c r="AM6344" t="str">
        <f t="shared" si="99"/>
        <v>Ibusuki [JPIBS]</v>
      </c>
      <c r="AN6344" t="s">
        <v>19150</v>
      </c>
      <c r="AO6344" t="s">
        <v>19151</v>
      </c>
    </row>
    <row r="6345" spans="39:41" ht="12" customHeight="1" x14ac:dyDescent="0.2">
      <c r="AM6345" t="str">
        <f t="shared" si="99"/>
        <v>Icchoda [JPICD]</v>
      </c>
      <c r="AN6345" t="s">
        <v>19152</v>
      </c>
      <c r="AO6345" t="s">
        <v>19153</v>
      </c>
    </row>
    <row r="6346" spans="39:41" ht="12" customHeight="1" x14ac:dyDescent="0.2">
      <c r="AM6346" t="str">
        <f t="shared" si="99"/>
        <v>ICD Sotrans [VNSTR]</v>
      </c>
      <c r="AN6346" t="s">
        <v>32398</v>
      </c>
      <c r="AO6346" t="s">
        <v>32399</v>
      </c>
    </row>
    <row r="6347" spans="39:41" ht="12" customHeight="1" x14ac:dyDescent="0.2">
      <c r="AM6347" t="str">
        <f t="shared" si="99"/>
        <v>ICD TRANSIMEX THU DUC [VNITX]</v>
      </c>
      <c r="AN6347" t="s">
        <v>32400</v>
      </c>
      <c r="AO6347" t="s">
        <v>32401</v>
      </c>
    </row>
    <row r="6348" spans="39:41" ht="12" customHeight="1" x14ac:dyDescent="0.2">
      <c r="AM6348" t="str">
        <f t="shared" si="99"/>
        <v>Icdas Jetty [TRIDS]</v>
      </c>
      <c r="AN6348" t="s">
        <v>28497</v>
      </c>
      <c r="AO6348" t="s">
        <v>28498</v>
      </c>
    </row>
    <row r="6349" spans="39:41" ht="12" customHeight="1" x14ac:dyDescent="0.2">
      <c r="AM6349" t="str">
        <f t="shared" si="99"/>
        <v>Ichihara [JPICH]</v>
      </c>
      <c r="AN6349" t="s">
        <v>19154</v>
      </c>
      <c r="AO6349" t="s">
        <v>19155</v>
      </c>
    </row>
    <row r="6350" spans="39:41" ht="12" customHeight="1" x14ac:dyDescent="0.2">
      <c r="AM6350" t="str">
        <f t="shared" si="99"/>
        <v>Ichikawa [JPICK]</v>
      </c>
      <c r="AN6350" t="s">
        <v>19156</v>
      </c>
      <c r="AO6350" t="s">
        <v>19157</v>
      </c>
    </row>
    <row r="6351" spans="39:41" ht="12" customHeight="1" x14ac:dyDescent="0.2">
      <c r="AM6351" t="str">
        <f t="shared" si="99"/>
        <v>Ichikikushikino [JPICO]</v>
      </c>
      <c r="AN6351" t="s">
        <v>19158</v>
      </c>
      <c r="AO6351" t="s">
        <v>19159</v>
      </c>
    </row>
    <row r="6352" spans="39:41" ht="12" customHeight="1" x14ac:dyDescent="0.2">
      <c r="AM6352" t="str">
        <f t="shared" si="99"/>
        <v>Ichthys [AUITH]</v>
      </c>
      <c r="AN6352" t="s">
        <v>34961</v>
      </c>
      <c r="AO6352" t="s">
        <v>34962</v>
      </c>
    </row>
    <row r="6353" spans="39:41" ht="12" customHeight="1" x14ac:dyDescent="0.2">
      <c r="AM6353" t="str">
        <f t="shared" si="99"/>
        <v>IDA A [HRIDA]</v>
      </c>
      <c r="AN6353" t="s">
        <v>36723</v>
      </c>
      <c r="AO6353" t="s">
        <v>36724</v>
      </c>
    </row>
    <row r="6354" spans="39:41" ht="12" customHeight="1" x14ac:dyDescent="0.2">
      <c r="AM6354" t="str">
        <f t="shared" si="99"/>
        <v>IDA B [HRIDB]</v>
      </c>
      <c r="AN6354" t="s">
        <v>36721</v>
      </c>
      <c r="AO6354" t="s">
        <v>36722</v>
      </c>
    </row>
    <row r="6355" spans="39:41" ht="12" customHeight="1" x14ac:dyDescent="0.2">
      <c r="AM6355" t="str">
        <f t="shared" si="99"/>
        <v>IDA C [HRIDC]</v>
      </c>
      <c r="AN6355" t="s">
        <v>36719</v>
      </c>
      <c r="AO6355" t="s">
        <v>36720</v>
      </c>
    </row>
    <row r="6356" spans="39:41" ht="12" customHeight="1" x14ac:dyDescent="0.2">
      <c r="AM6356" t="str">
        <f t="shared" si="99"/>
        <v>Idabel [USQIL]</v>
      </c>
      <c r="AN6356" t="s">
        <v>30171</v>
      </c>
      <c r="AO6356" t="s">
        <v>30172</v>
      </c>
    </row>
    <row r="6357" spans="39:41" ht="12" customHeight="1" x14ac:dyDescent="0.2">
      <c r="AM6357" t="str">
        <f t="shared" si="99"/>
        <v>Idegem [BEIDG]</v>
      </c>
      <c r="AN6357" t="s">
        <v>36773</v>
      </c>
      <c r="AO6357" t="s">
        <v>36774</v>
      </c>
    </row>
    <row r="6358" spans="39:41" ht="12" customHeight="1" x14ac:dyDescent="0.2">
      <c r="AM6358" t="str">
        <f t="shared" si="99"/>
        <v>Idensalmi (Iisalmi) [FIIIS]</v>
      </c>
      <c r="AN6358" t="s">
        <v>10371</v>
      </c>
      <c r="AO6358" t="s">
        <v>10372</v>
      </c>
    </row>
    <row r="6359" spans="39:41" ht="12" customHeight="1" x14ac:dyDescent="0.2">
      <c r="AM6359" t="str">
        <f t="shared" si="99"/>
        <v>Idku [EGIKU]</v>
      </c>
      <c r="AN6359" t="s">
        <v>36888</v>
      </c>
      <c r="AO6359" t="s">
        <v>36889</v>
      </c>
    </row>
    <row r="6360" spans="39:41" ht="12" customHeight="1" x14ac:dyDescent="0.2">
      <c r="AM6360" t="str">
        <f t="shared" si="99"/>
        <v>Iejima/Okinawa [JPIEJ]</v>
      </c>
      <c r="AN6360" t="s">
        <v>19160</v>
      </c>
      <c r="AO6360" t="s">
        <v>19161</v>
      </c>
    </row>
    <row r="6361" spans="39:41" ht="12" customHeight="1" x14ac:dyDescent="0.2">
      <c r="AM6361" t="str">
        <f t="shared" si="99"/>
        <v>Ieper [BEIPR]</v>
      </c>
      <c r="AN6361" t="s">
        <v>36775</v>
      </c>
      <c r="AO6361" t="s">
        <v>36776</v>
      </c>
    </row>
    <row r="6362" spans="39:41" ht="12" customHeight="1" x14ac:dyDescent="0.2">
      <c r="AM6362" t="str">
        <f t="shared" si="99"/>
        <v>Ierapetra [GRIER]</v>
      </c>
      <c r="AN6362" t="s">
        <v>15239</v>
      </c>
      <c r="AO6362" t="s">
        <v>35904</v>
      </c>
    </row>
    <row r="6363" spans="39:41" ht="12" customHeight="1" x14ac:dyDescent="0.2">
      <c r="AM6363" t="str">
        <f t="shared" si="99"/>
        <v>Ierissos [GRIES]</v>
      </c>
      <c r="AN6363" t="s">
        <v>15240</v>
      </c>
      <c r="AO6363" t="s">
        <v>15241</v>
      </c>
    </row>
    <row r="6364" spans="39:41" ht="12" customHeight="1" x14ac:dyDescent="0.2">
      <c r="AM6364" t="str">
        <f t="shared" si="99"/>
        <v>Ieshima, Hyogo [JPIES]</v>
      </c>
      <c r="AN6364" t="s">
        <v>19162</v>
      </c>
      <c r="AO6364" t="s">
        <v>19163</v>
      </c>
    </row>
    <row r="6365" spans="39:41" ht="12" customHeight="1" x14ac:dyDescent="0.2">
      <c r="AM6365" t="str">
        <f t="shared" si="99"/>
        <v>Iesolo [ITJLO]</v>
      </c>
      <c r="AN6365" t="s">
        <v>17977</v>
      </c>
      <c r="AO6365" t="s">
        <v>17978</v>
      </c>
    </row>
    <row r="6366" spans="39:41" ht="12" customHeight="1" x14ac:dyDescent="0.2">
      <c r="AM6366" t="str">
        <f t="shared" si="99"/>
        <v>Ieura [JPIER]</v>
      </c>
      <c r="AN6366" t="s">
        <v>19164</v>
      </c>
      <c r="AO6366" t="s">
        <v>19165</v>
      </c>
    </row>
    <row r="6367" spans="39:41" ht="12" customHeight="1" x14ac:dyDescent="0.2">
      <c r="AM6367" t="str">
        <f t="shared" si="99"/>
        <v>Ifalik Atoll [FMIFA]</v>
      </c>
      <c r="AN6367" t="s">
        <v>10649</v>
      </c>
      <c r="AO6367" t="s">
        <v>10650</v>
      </c>
    </row>
    <row r="6368" spans="39:41" ht="12" customHeight="1" x14ac:dyDescent="0.2">
      <c r="AM6368" t="str">
        <f t="shared" si="99"/>
        <v>Igalo [MEIGL]</v>
      </c>
      <c r="AN6368" t="s">
        <v>22084</v>
      </c>
      <c r="AO6368" t="s">
        <v>22085</v>
      </c>
    </row>
    <row r="6369" spans="39:41" ht="12" customHeight="1" x14ac:dyDescent="0.2">
      <c r="AM6369" t="str">
        <f t="shared" si="99"/>
        <v>Igarka [RUIAA]</v>
      </c>
      <c r="AN6369" t="s">
        <v>26945</v>
      </c>
      <c r="AO6369" t="s">
        <v>26946</v>
      </c>
    </row>
    <row r="6370" spans="39:41" ht="12" customHeight="1" x14ac:dyDescent="0.2">
      <c r="AM6370" t="str">
        <f t="shared" si="99"/>
        <v>Igeroy [NOIGE]</v>
      </c>
      <c r="AN6370" t="s">
        <v>24293</v>
      </c>
      <c r="AO6370" t="s">
        <v>36207</v>
      </c>
    </row>
    <row r="6371" spans="39:41" ht="12" customHeight="1" x14ac:dyDescent="0.2">
      <c r="AM6371" t="str">
        <f t="shared" si="99"/>
        <v>Igersheim [DEIGH]</v>
      </c>
      <c r="AN6371" t="s">
        <v>7642</v>
      </c>
      <c r="AO6371" t="s">
        <v>7643</v>
      </c>
    </row>
    <row r="6372" spans="39:41" ht="12" customHeight="1" x14ac:dyDescent="0.2">
      <c r="AM6372" t="str">
        <f t="shared" si="99"/>
        <v>Iggesund [SEIGG]</v>
      </c>
      <c r="AN6372" t="s">
        <v>27647</v>
      </c>
      <c r="AO6372" t="s">
        <v>27648</v>
      </c>
    </row>
    <row r="6373" spans="39:41" ht="12" customHeight="1" x14ac:dyDescent="0.2">
      <c r="AM6373" t="str">
        <f t="shared" si="99"/>
        <v>Iglandsvik [NOIGL]</v>
      </c>
      <c r="AN6373" t="s">
        <v>24294</v>
      </c>
      <c r="AO6373" t="s">
        <v>24295</v>
      </c>
    </row>
    <row r="6374" spans="39:41" ht="12" customHeight="1" x14ac:dyDescent="0.2">
      <c r="AM6374" t="str">
        <f t="shared" si="99"/>
        <v>Igloolik [CAIGL]</v>
      </c>
      <c r="AN6374" t="s">
        <v>3947</v>
      </c>
      <c r="AO6374" t="s">
        <v>3948</v>
      </c>
    </row>
    <row r="6375" spans="39:41" ht="12" customHeight="1" x14ac:dyDescent="0.2">
      <c r="AM6375" t="str">
        <f t="shared" si="99"/>
        <v>Ignatievo [BG4IG]</v>
      </c>
      <c r="AN6375" t="s">
        <v>3144</v>
      </c>
      <c r="AO6375" t="s">
        <v>3145</v>
      </c>
    </row>
    <row r="6376" spans="39:41" ht="12" customHeight="1" x14ac:dyDescent="0.2">
      <c r="AM6376" t="str">
        <f t="shared" si="99"/>
        <v>Igneada [TRIGN]</v>
      </c>
      <c r="AN6376" t="s">
        <v>28499</v>
      </c>
      <c r="AO6376" t="s">
        <v>28500</v>
      </c>
    </row>
    <row r="6377" spans="39:41" ht="12" customHeight="1" x14ac:dyDescent="0.2">
      <c r="AM6377" t="str">
        <f t="shared" si="99"/>
        <v>Igney [FRIXY]</v>
      </c>
      <c r="AN6377" t="s">
        <v>11400</v>
      </c>
      <c r="AO6377" t="s">
        <v>11401</v>
      </c>
    </row>
    <row r="6378" spans="39:41" ht="12" customHeight="1" x14ac:dyDescent="0.2">
      <c r="AM6378" t="str">
        <f t="shared" si="99"/>
        <v>Igo [JPIGO]</v>
      </c>
      <c r="AN6378" t="s">
        <v>19166</v>
      </c>
      <c r="AO6378" t="s">
        <v>19167</v>
      </c>
    </row>
    <row r="6379" spans="39:41" ht="12" customHeight="1" x14ac:dyDescent="0.2">
      <c r="AM6379" t="str">
        <f t="shared" si="99"/>
        <v>Igoumenitsa [GRIGO]</v>
      </c>
      <c r="AN6379" t="s">
        <v>15242</v>
      </c>
      <c r="AO6379" t="s">
        <v>35905</v>
      </c>
    </row>
    <row r="6380" spans="39:41" ht="12" customHeight="1" x14ac:dyDescent="0.2">
      <c r="AM6380" t="str">
        <f t="shared" si="99"/>
        <v>Ihlow [DEIHL]</v>
      </c>
      <c r="AN6380" t="s">
        <v>7644</v>
      </c>
      <c r="AO6380" t="s">
        <v>7645</v>
      </c>
    </row>
    <row r="6381" spans="39:41" ht="12" customHeight="1" x14ac:dyDescent="0.2">
      <c r="AM6381" t="str">
        <f t="shared" si="99"/>
        <v>Ihota [JPIHO]</v>
      </c>
      <c r="AN6381" t="s">
        <v>19168</v>
      </c>
      <c r="AO6381" t="s">
        <v>19169</v>
      </c>
    </row>
    <row r="6382" spans="39:41" ht="12" customHeight="1" x14ac:dyDescent="0.2">
      <c r="AM6382" t="str">
        <f t="shared" si="99"/>
        <v>Ihrlerstein [DEZVE]</v>
      </c>
      <c r="AN6382" t="s">
        <v>7646</v>
      </c>
      <c r="AO6382" t="s">
        <v>7647</v>
      </c>
    </row>
    <row r="6383" spans="39:41" ht="12" customHeight="1" x14ac:dyDescent="0.2">
      <c r="AM6383" t="str">
        <f t="shared" si="99"/>
        <v>Ii [JPIII]</v>
      </c>
      <c r="AN6383" t="s">
        <v>19170</v>
      </c>
      <c r="AO6383" t="s">
        <v>19171</v>
      </c>
    </row>
    <row r="6384" spans="39:41" ht="12" customHeight="1" x14ac:dyDescent="0.2">
      <c r="AM6384" t="str">
        <f t="shared" si="99"/>
        <v>Iibi [JPIIB]</v>
      </c>
      <c r="AN6384" t="s">
        <v>19172</v>
      </c>
      <c r="AO6384" t="s">
        <v>19173</v>
      </c>
    </row>
    <row r="6385" spans="39:41" ht="12" customHeight="1" x14ac:dyDescent="0.2">
      <c r="AM6385" t="str">
        <f t="shared" si="99"/>
        <v>Iida [JPIDA]</v>
      </c>
      <c r="AN6385" t="s">
        <v>19174</v>
      </c>
      <c r="AO6385" t="s">
        <v>19175</v>
      </c>
    </row>
    <row r="6386" spans="39:41" ht="12" customHeight="1" x14ac:dyDescent="0.2">
      <c r="AM6386" t="str">
        <f t="shared" si="99"/>
        <v>Iinoseto [JPINT]</v>
      </c>
      <c r="AN6386" t="s">
        <v>19176</v>
      </c>
      <c r="AO6386" t="s">
        <v>19177</v>
      </c>
    </row>
    <row r="6387" spans="39:41" ht="12" customHeight="1" x14ac:dyDescent="0.2">
      <c r="AM6387" t="str">
        <f t="shared" si="99"/>
        <v>IJmuiden/Velsen [NLIJM]</v>
      </c>
      <c r="AN6387" t="s">
        <v>23290</v>
      </c>
      <c r="AO6387" t="s">
        <v>23291</v>
      </c>
    </row>
    <row r="6388" spans="39:41" ht="12" customHeight="1" x14ac:dyDescent="0.2">
      <c r="AM6388" t="str">
        <f t="shared" si="99"/>
        <v>IJsselmuiden [NLISM]</v>
      </c>
      <c r="AN6388" t="s">
        <v>23292</v>
      </c>
      <c r="AO6388" t="s">
        <v>23293</v>
      </c>
    </row>
    <row r="6389" spans="39:41" ht="12" customHeight="1" x14ac:dyDescent="0.2">
      <c r="AM6389" t="str">
        <f t="shared" si="99"/>
        <v>Ijsselsteyn [NLSL7]</v>
      </c>
      <c r="AN6389" t="s">
        <v>23294</v>
      </c>
      <c r="AO6389" t="s">
        <v>23295</v>
      </c>
    </row>
    <row r="6390" spans="39:41" ht="12" customHeight="1" x14ac:dyDescent="0.2">
      <c r="AM6390" t="str">
        <f t="shared" si="99"/>
        <v>IKA A [HRIKA]</v>
      </c>
      <c r="AN6390" t="s">
        <v>36717</v>
      </c>
      <c r="AO6390" t="s">
        <v>36718</v>
      </c>
    </row>
    <row r="6391" spans="39:41" ht="12" customHeight="1" x14ac:dyDescent="0.2">
      <c r="AM6391" t="str">
        <f t="shared" si="99"/>
        <v>IKA B [HRIKB]</v>
      </c>
      <c r="AN6391" t="s">
        <v>36715</v>
      </c>
      <c r="AO6391" t="s">
        <v>36716</v>
      </c>
    </row>
    <row r="6392" spans="39:41" ht="12" customHeight="1" x14ac:dyDescent="0.2">
      <c r="AM6392" t="str">
        <f t="shared" si="99"/>
        <v>IKA JZ [HRIKJ]</v>
      </c>
      <c r="AN6392" t="s">
        <v>36713</v>
      </c>
      <c r="AO6392" t="s">
        <v>36714</v>
      </c>
    </row>
    <row r="6393" spans="39:41" ht="12" customHeight="1" x14ac:dyDescent="0.2">
      <c r="AM6393" t="str">
        <f t="shared" ref="AM6393:AM6456" si="100">AO6393 &amp; " [" &amp; AN6393 &amp; "]"</f>
        <v>Ikara [JPIKR]</v>
      </c>
      <c r="AN6393" t="s">
        <v>19178</v>
      </c>
      <c r="AO6393" t="s">
        <v>19179</v>
      </c>
    </row>
    <row r="6394" spans="39:41" ht="12" customHeight="1" x14ac:dyDescent="0.2">
      <c r="AM6394" t="str">
        <f t="shared" si="100"/>
        <v>Ikata [JPIKT]</v>
      </c>
      <c r="AN6394" t="s">
        <v>19180</v>
      </c>
      <c r="AO6394" t="s">
        <v>19181</v>
      </c>
    </row>
    <row r="6395" spans="39:41" ht="12" customHeight="1" x14ac:dyDescent="0.2">
      <c r="AM6395" t="str">
        <f t="shared" si="100"/>
        <v>Ikeda, Kagawa [JPIKA]</v>
      </c>
      <c r="AN6395" t="s">
        <v>19182</v>
      </c>
      <c r="AO6395" t="s">
        <v>19183</v>
      </c>
    </row>
    <row r="6396" spans="39:41" ht="12" customHeight="1" x14ac:dyDescent="0.2">
      <c r="AM6396" t="str">
        <f t="shared" si="100"/>
        <v>Ikeda, Wakayama [JPIKD]</v>
      </c>
      <c r="AN6396" t="s">
        <v>19184</v>
      </c>
      <c r="AO6396" t="s">
        <v>19185</v>
      </c>
    </row>
    <row r="6397" spans="39:41" ht="12" customHeight="1" x14ac:dyDescent="0.2">
      <c r="AM6397" t="str">
        <f t="shared" si="100"/>
        <v>Ikeshima [JPIKE]</v>
      </c>
      <c r="AN6397" t="s">
        <v>19186</v>
      </c>
      <c r="AO6397" t="s">
        <v>19187</v>
      </c>
    </row>
    <row r="6398" spans="39:41" ht="12" customHeight="1" x14ac:dyDescent="0.2">
      <c r="AM6398" t="str">
        <f t="shared" si="100"/>
        <v>Ikina [JPIKN]</v>
      </c>
      <c r="AN6398" t="s">
        <v>19188</v>
      </c>
      <c r="AO6398" t="s">
        <v>19189</v>
      </c>
    </row>
    <row r="6399" spans="39:41" ht="12" customHeight="1" x14ac:dyDescent="0.2">
      <c r="AM6399" t="str">
        <f t="shared" si="100"/>
        <v>Ikitake [PFIKI]</v>
      </c>
      <c r="AN6399" t="s">
        <v>25326</v>
      </c>
      <c r="AO6399" t="s">
        <v>25327</v>
      </c>
    </row>
    <row r="6400" spans="39:41" ht="12" customHeight="1" x14ac:dyDescent="0.2">
      <c r="AM6400" t="str">
        <f t="shared" si="100"/>
        <v>Ikitsuki [JPIKK]</v>
      </c>
      <c r="AN6400" t="s">
        <v>19190</v>
      </c>
      <c r="AO6400" t="s">
        <v>19191</v>
      </c>
    </row>
    <row r="6401" spans="39:41" ht="12" customHeight="1" x14ac:dyDescent="0.2">
      <c r="AM6401" t="str">
        <f t="shared" si="100"/>
        <v>Ikornnes [NOIKR]</v>
      </c>
      <c r="AN6401" t="s">
        <v>24296</v>
      </c>
      <c r="AO6401" t="s">
        <v>24297</v>
      </c>
    </row>
    <row r="6402" spans="39:41" ht="12" customHeight="1" x14ac:dyDescent="0.2">
      <c r="AM6402" t="str">
        <f t="shared" si="100"/>
        <v>Ikryanoye [RUIOY]</v>
      </c>
      <c r="AN6402" t="s">
        <v>26947</v>
      </c>
      <c r="AO6402" t="s">
        <v>26948</v>
      </c>
    </row>
    <row r="6403" spans="39:41" ht="12" customHeight="1" x14ac:dyDescent="0.2">
      <c r="AM6403" t="str">
        <f t="shared" si="100"/>
        <v>Ikuchi [JPIKC]</v>
      </c>
      <c r="AN6403" t="s">
        <v>19192</v>
      </c>
      <c r="AO6403" t="s">
        <v>19193</v>
      </c>
    </row>
    <row r="6404" spans="39:41" ht="12" customHeight="1" x14ac:dyDescent="0.2">
      <c r="AM6404" t="str">
        <f t="shared" si="100"/>
        <v>Ikunohama [JPIKU]</v>
      </c>
      <c r="AN6404" t="s">
        <v>19194</v>
      </c>
      <c r="AO6404" t="s">
        <v>19195</v>
      </c>
    </row>
    <row r="6405" spans="39:41" ht="12" customHeight="1" x14ac:dyDescent="0.2">
      <c r="AM6405" t="str">
        <f t="shared" si="100"/>
        <v>Ikwiriri [TZIKW]</v>
      </c>
      <c r="AN6405" t="s">
        <v>28705</v>
      </c>
      <c r="AO6405" t="s">
        <v>28706</v>
      </c>
    </row>
    <row r="6406" spans="39:41" ht="12" customHeight="1" x14ac:dyDescent="0.2">
      <c r="AM6406" t="str">
        <f t="shared" si="100"/>
        <v>Ile-d'Yeu [FRIDY]</v>
      </c>
      <c r="AN6406" t="s">
        <v>11402</v>
      </c>
      <c r="AO6406" t="s">
        <v>35804</v>
      </c>
    </row>
    <row r="6407" spans="39:41" ht="12" customHeight="1" x14ac:dyDescent="0.2">
      <c r="AM6407" t="str">
        <f t="shared" si="100"/>
        <v>Ilfracombe [GBILF]</v>
      </c>
      <c r="AN6407" t="s">
        <v>13455</v>
      </c>
      <c r="AO6407" t="s">
        <v>13456</v>
      </c>
    </row>
    <row r="6408" spans="39:41" ht="12" customHeight="1" x14ac:dyDescent="0.2">
      <c r="AM6408" t="str">
        <f t="shared" si="100"/>
        <v>Ilheus [BRIOS]</v>
      </c>
      <c r="AN6408" t="s">
        <v>3314</v>
      </c>
      <c r="AO6408" t="s">
        <v>3315</v>
      </c>
    </row>
    <row r="6409" spans="39:41" ht="12" customHeight="1" x14ac:dyDescent="0.2">
      <c r="AM6409" t="str">
        <f t="shared" si="100"/>
        <v>Iligan, Mindanao [PHIGN]</v>
      </c>
      <c r="AN6409" t="s">
        <v>25787</v>
      </c>
      <c r="AO6409" t="s">
        <v>25788</v>
      </c>
    </row>
    <row r="6410" spans="39:41" ht="12" customHeight="1" x14ac:dyDescent="0.2">
      <c r="AM6410" t="str">
        <f t="shared" si="100"/>
        <v>Illange [FRLJG]</v>
      </c>
      <c r="AN6410" t="s">
        <v>11403</v>
      </c>
      <c r="AO6410" t="s">
        <v>11404</v>
      </c>
    </row>
    <row r="6411" spans="39:41" ht="12" customHeight="1" x14ac:dyDescent="0.2">
      <c r="AM6411" t="str">
        <f t="shared" si="100"/>
        <v>Illichivs'k [UAILK]</v>
      </c>
      <c r="AN6411" t="s">
        <v>28745</v>
      </c>
      <c r="AO6411" t="s">
        <v>28746</v>
      </c>
    </row>
    <row r="6412" spans="39:41" ht="12" customHeight="1" x14ac:dyDescent="0.2">
      <c r="AM6412" t="str">
        <f t="shared" si="100"/>
        <v>Illikhoven [NLILO]</v>
      </c>
      <c r="AN6412" t="s">
        <v>23296</v>
      </c>
      <c r="AO6412" t="s">
        <v>23297</v>
      </c>
    </row>
    <row r="6413" spans="39:41" ht="12" customHeight="1" x14ac:dyDescent="0.2">
      <c r="AM6413" t="str">
        <f t="shared" si="100"/>
        <v>Illorqortoormiut (Scoresbysund) [GLOBY]</v>
      </c>
      <c r="AN6413" t="s">
        <v>14980</v>
      </c>
      <c r="AO6413" t="s">
        <v>14981</v>
      </c>
    </row>
    <row r="6414" spans="39:41" ht="12" customHeight="1" x14ac:dyDescent="0.2">
      <c r="AM6414" t="str">
        <f t="shared" si="100"/>
        <v>Ilo [PEILQ]</v>
      </c>
      <c r="AN6414" t="s">
        <v>25253</v>
      </c>
      <c r="AO6414" t="s">
        <v>25254</v>
      </c>
    </row>
    <row r="6415" spans="39:41" ht="12" customHeight="1" x14ac:dyDescent="0.2">
      <c r="AM6415" t="str">
        <f t="shared" si="100"/>
        <v>Iloilo, Panay [PHILO]</v>
      </c>
      <c r="AN6415" t="s">
        <v>25789</v>
      </c>
      <c r="AO6415" t="s">
        <v>25790</v>
      </c>
    </row>
    <row r="6416" spans="39:41" ht="12" customHeight="1" x14ac:dyDescent="0.2">
      <c r="AM6416" t="str">
        <f t="shared" si="100"/>
        <v>Ilok [HRILO]</v>
      </c>
      <c r="AN6416" t="s">
        <v>15750</v>
      </c>
      <c r="AO6416" t="s">
        <v>15751</v>
      </c>
    </row>
    <row r="6417" spans="39:41" ht="12" customHeight="1" x14ac:dyDescent="0.2">
      <c r="AM6417" t="str">
        <f t="shared" si="100"/>
        <v>Ilulissat (Jakobshavn) [GLJAV]</v>
      </c>
      <c r="AN6417" t="s">
        <v>14982</v>
      </c>
      <c r="AO6417" t="s">
        <v>14983</v>
      </c>
    </row>
    <row r="6418" spans="39:41" ht="12" customHeight="1" x14ac:dyDescent="0.2">
      <c r="AM6418" t="str">
        <f t="shared" si="100"/>
        <v>Ima [NGIMA]</v>
      </c>
      <c r="AN6418" t="s">
        <v>22945</v>
      </c>
      <c r="AO6418" t="s">
        <v>22946</v>
      </c>
    </row>
    <row r="6419" spans="39:41" ht="12" customHeight="1" x14ac:dyDescent="0.2">
      <c r="AM6419" t="str">
        <f t="shared" si="100"/>
        <v>Imabari [JPIMB]</v>
      </c>
      <c r="AN6419" t="s">
        <v>19196</v>
      </c>
      <c r="AO6419" t="s">
        <v>19197</v>
      </c>
    </row>
    <row r="6420" spans="39:41" ht="12" customHeight="1" x14ac:dyDescent="0.2">
      <c r="AM6420" t="str">
        <f t="shared" si="100"/>
        <v>Imafuku [JPIMA]</v>
      </c>
      <c r="AN6420" t="s">
        <v>19198</v>
      </c>
      <c r="AO6420" t="s">
        <v>19199</v>
      </c>
    </row>
    <row r="6421" spans="39:41" ht="12" customHeight="1" x14ac:dyDescent="0.2">
      <c r="AM6421" t="str">
        <f t="shared" si="100"/>
        <v>Imagire [JPIGR]</v>
      </c>
      <c r="AN6421" t="s">
        <v>19200</v>
      </c>
      <c r="AO6421" t="s">
        <v>19201</v>
      </c>
    </row>
    <row r="6422" spans="39:41" ht="12" customHeight="1" x14ac:dyDescent="0.2">
      <c r="AM6422" t="str">
        <f t="shared" si="100"/>
        <v>Imam Hasan [IRIMH]</v>
      </c>
      <c r="AN6422" t="s">
        <v>17625</v>
      </c>
      <c r="AO6422" t="s">
        <v>17626</v>
      </c>
    </row>
    <row r="6423" spans="39:41" ht="12" customHeight="1" x14ac:dyDescent="0.2">
      <c r="AM6423" t="str">
        <f t="shared" si="100"/>
        <v>Imam Khomeini Pt/ Mahshahr City [IRBIK]</v>
      </c>
      <c r="AN6423" t="s">
        <v>17627</v>
      </c>
      <c r="AO6423" t="s">
        <v>17628</v>
      </c>
    </row>
    <row r="6424" spans="39:41" ht="12" customHeight="1" x14ac:dyDescent="0.2">
      <c r="AM6424" t="str">
        <f t="shared" si="100"/>
        <v>Imari [JPIMI]</v>
      </c>
      <c r="AN6424" t="s">
        <v>19202</v>
      </c>
      <c r="AO6424" t="s">
        <v>19203</v>
      </c>
    </row>
    <row r="6425" spans="39:41" ht="12" customHeight="1" x14ac:dyDescent="0.2">
      <c r="AM6425" t="str">
        <f t="shared" si="100"/>
        <v>Imatra [FIIMA]</v>
      </c>
      <c r="AN6425" t="s">
        <v>10373</v>
      </c>
      <c r="AO6425" t="s">
        <v>10374</v>
      </c>
    </row>
    <row r="6426" spans="39:41" ht="12" customHeight="1" x14ac:dyDescent="0.2">
      <c r="AM6426" t="str">
        <f t="shared" si="100"/>
        <v>Imazato [JPIMT]</v>
      </c>
      <c r="AN6426" t="s">
        <v>19204</v>
      </c>
      <c r="AO6426" t="s">
        <v>19205</v>
      </c>
    </row>
    <row r="6427" spans="39:41" ht="12" customHeight="1" x14ac:dyDescent="0.2">
      <c r="AM6427" t="str">
        <f t="shared" si="100"/>
        <v>Imazu [JPIMZ]</v>
      </c>
      <c r="AN6427" t="s">
        <v>19206</v>
      </c>
      <c r="AO6427" t="s">
        <v>19207</v>
      </c>
    </row>
    <row r="6428" spans="39:41" ht="12" customHeight="1" x14ac:dyDescent="0.2">
      <c r="AM6428" t="str">
        <f t="shared" si="100"/>
        <v>Imbituba [BRIBB]</v>
      </c>
      <c r="AN6428" t="s">
        <v>3316</v>
      </c>
      <c r="AO6428" t="s">
        <v>3317</v>
      </c>
    </row>
    <row r="6429" spans="39:41" ht="12" customHeight="1" x14ac:dyDescent="0.2">
      <c r="AM6429" t="str">
        <f t="shared" si="100"/>
        <v>Imi [JPIMM]</v>
      </c>
      <c r="AN6429" t="s">
        <v>19208</v>
      </c>
      <c r="AO6429" t="s">
        <v>19209</v>
      </c>
    </row>
    <row r="6430" spans="39:41" ht="12" customHeight="1" x14ac:dyDescent="0.2">
      <c r="AM6430" t="str">
        <f t="shared" si="100"/>
        <v>Immingham [GBIMM]</v>
      </c>
      <c r="AN6430" t="s">
        <v>13457</v>
      </c>
      <c r="AO6430" t="s">
        <v>13458</v>
      </c>
    </row>
    <row r="6431" spans="39:41" ht="12" customHeight="1" x14ac:dyDescent="0.2">
      <c r="AM6431" t="str">
        <f t="shared" si="100"/>
        <v>Imperia [ITIMP]</v>
      </c>
      <c r="AN6431" t="s">
        <v>17979</v>
      </c>
      <c r="AO6431" t="s">
        <v>17980</v>
      </c>
    </row>
    <row r="6432" spans="39:41" ht="12" customHeight="1" x14ac:dyDescent="0.2">
      <c r="AM6432" t="str">
        <f t="shared" si="100"/>
        <v>Imperial [CASIM]</v>
      </c>
      <c r="AN6432" t="s">
        <v>3949</v>
      </c>
      <c r="AO6432" t="s">
        <v>3950</v>
      </c>
    </row>
    <row r="6433" spans="39:41" ht="12" customHeight="1" x14ac:dyDescent="0.2">
      <c r="AM6433" t="str">
        <f t="shared" si="100"/>
        <v>Imroz [TRGCA]</v>
      </c>
      <c r="AN6433" t="s">
        <v>28501</v>
      </c>
      <c r="AO6433" t="s">
        <v>28502</v>
      </c>
    </row>
    <row r="6434" spans="39:41" ht="12" customHeight="1" x14ac:dyDescent="0.2">
      <c r="AM6434" t="str">
        <f t="shared" si="100"/>
        <v>Ina [JPINA]</v>
      </c>
      <c r="AN6434" t="s">
        <v>19210</v>
      </c>
      <c r="AO6434" t="s">
        <v>19211</v>
      </c>
    </row>
    <row r="6435" spans="39:41" ht="12" customHeight="1" x14ac:dyDescent="0.2">
      <c r="AM6435" t="str">
        <f t="shared" si="100"/>
        <v>Inagua [BSIGA]</v>
      </c>
      <c r="AN6435" t="s">
        <v>3450</v>
      </c>
      <c r="AO6435" t="s">
        <v>3451</v>
      </c>
    </row>
    <row r="6436" spans="39:41" ht="12" customHeight="1" x14ac:dyDescent="0.2">
      <c r="AM6436" t="str">
        <f t="shared" si="100"/>
        <v>Inampulugan Island [PHINP]</v>
      </c>
      <c r="AN6436" t="s">
        <v>25791</v>
      </c>
      <c r="AO6436" t="s">
        <v>25792</v>
      </c>
    </row>
    <row r="6437" spans="39:41" ht="12" customHeight="1" x14ac:dyDescent="0.2">
      <c r="AM6437" t="str">
        <f t="shared" si="100"/>
        <v>Inanwatan [IDINA]</v>
      </c>
      <c r="AN6437" t="s">
        <v>16275</v>
      </c>
      <c r="AO6437" t="s">
        <v>16276</v>
      </c>
    </row>
    <row r="6438" spans="39:41" ht="12" customHeight="1" x14ac:dyDescent="0.2">
      <c r="AM6438" t="str">
        <f t="shared" si="100"/>
        <v>Inatori [JPINR]</v>
      </c>
      <c r="AN6438" t="s">
        <v>19212</v>
      </c>
      <c r="AO6438" t="s">
        <v>19213</v>
      </c>
    </row>
    <row r="6439" spans="39:41" ht="12" customHeight="1" x14ac:dyDescent="0.2">
      <c r="AM6439" t="str">
        <f t="shared" si="100"/>
        <v>Inazawa [JPIZW]</v>
      </c>
      <c r="AN6439" t="s">
        <v>19214</v>
      </c>
      <c r="AO6439" t="s">
        <v>19215</v>
      </c>
    </row>
    <row r="6440" spans="39:41" ht="12" customHeight="1" x14ac:dyDescent="0.2">
      <c r="AM6440" t="str">
        <f t="shared" si="100"/>
        <v>Inca [ESNCA]</v>
      </c>
      <c r="AN6440" t="s">
        <v>9845</v>
      </c>
      <c r="AO6440" t="s">
        <v>9846</v>
      </c>
    </row>
    <row r="6441" spans="39:41" ht="12" customHeight="1" x14ac:dyDescent="0.2">
      <c r="AM6441" t="str">
        <f t="shared" si="100"/>
        <v>Incheon [KRINC]</v>
      </c>
      <c r="AN6441" t="s">
        <v>21670</v>
      </c>
      <c r="AO6441" t="s">
        <v>21671</v>
      </c>
    </row>
    <row r="6442" spans="39:41" ht="12" customHeight="1" x14ac:dyDescent="0.2">
      <c r="AM6442" t="str">
        <f t="shared" si="100"/>
        <v>Inchture [GBICH]</v>
      </c>
      <c r="AN6442" t="s">
        <v>13459</v>
      </c>
      <c r="AO6442" t="s">
        <v>13460</v>
      </c>
    </row>
    <row r="6443" spans="39:41" ht="12" customHeight="1" x14ac:dyDescent="0.2">
      <c r="AM6443" t="str">
        <f t="shared" si="100"/>
        <v>Incline Village [USIVG]</v>
      </c>
      <c r="AN6443" t="s">
        <v>30173</v>
      </c>
      <c r="AO6443" t="s">
        <v>30174</v>
      </c>
    </row>
    <row r="6444" spans="39:41" ht="12" customHeight="1" x14ac:dyDescent="0.2">
      <c r="AM6444" t="str">
        <f t="shared" si="100"/>
        <v>Inderoy [NOIND]</v>
      </c>
      <c r="AN6444" t="s">
        <v>24298</v>
      </c>
      <c r="AO6444" t="s">
        <v>36208</v>
      </c>
    </row>
    <row r="6445" spans="39:41" ht="12" customHeight="1" x14ac:dyDescent="0.2">
      <c r="AM6445" t="str">
        <f t="shared" si="100"/>
        <v>Indialantic [USYIL]</v>
      </c>
      <c r="AN6445" t="s">
        <v>30175</v>
      </c>
      <c r="AO6445" t="s">
        <v>30176</v>
      </c>
    </row>
    <row r="6446" spans="39:41" ht="12" customHeight="1" x14ac:dyDescent="0.2">
      <c r="AM6446" t="str">
        <f t="shared" si="100"/>
        <v>Indian Arm [CAIAM]</v>
      </c>
      <c r="AN6446" t="s">
        <v>3951</v>
      </c>
      <c r="AO6446" t="s">
        <v>3952</v>
      </c>
    </row>
    <row r="6447" spans="39:41" ht="12" customHeight="1" x14ac:dyDescent="0.2">
      <c r="AM6447" t="str">
        <f t="shared" si="100"/>
        <v>Indian Mills [USTGB]</v>
      </c>
      <c r="AN6447" t="s">
        <v>30177</v>
      </c>
      <c r="AO6447" t="s">
        <v>30178</v>
      </c>
    </row>
    <row r="6448" spans="39:41" ht="12" customHeight="1" x14ac:dyDescent="0.2">
      <c r="AM6448" t="str">
        <f t="shared" si="100"/>
        <v>Indian Orchard [USIO2]</v>
      </c>
      <c r="AN6448" t="s">
        <v>30179</v>
      </c>
      <c r="AO6448" t="s">
        <v>30180</v>
      </c>
    </row>
    <row r="6449" spans="39:41" ht="12" customHeight="1" x14ac:dyDescent="0.2">
      <c r="AM6449" t="str">
        <f t="shared" si="100"/>
        <v>Indian River City [USIR2]</v>
      </c>
      <c r="AN6449" t="s">
        <v>30181</v>
      </c>
      <c r="AO6449" t="s">
        <v>30182</v>
      </c>
    </row>
    <row r="6450" spans="39:41" ht="12" customHeight="1" x14ac:dyDescent="0.2">
      <c r="AM6450" t="str">
        <f t="shared" si="100"/>
        <v>Indiga [RUIDG]</v>
      </c>
      <c r="AN6450" t="s">
        <v>26949</v>
      </c>
      <c r="AO6450" t="s">
        <v>26950</v>
      </c>
    </row>
    <row r="6451" spans="39:41" ht="12" customHeight="1" x14ac:dyDescent="0.2">
      <c r="AM6451" t="str">
        <f t="shared" si="100"/>
        <v>Indohji [JPIDJ]</v>
      </c>
      <c r="AN6451" t="s">
        <v>19216</v>
      </c>
      <c r="AO6451" t="s">
        <v>19217</v>
      </c>
    </row>
    <row r="6452" spans="39:41" ht="12" customHeight="1" x14ac:dyDescent="0.2">
      <c r="AM6452" t="str">
        <f t="shared" si="100"/>
        <v>Indonesia Bulk Terminal [IDIBT]</v>
      </c>
      <c r="AN6452" t="s">
        <v>16277</v>
      </c>
      <c r="AO6452" t="s">
        <v>16278</v>
      </c>
    </row>
    <row r="6453" spans="39:41" ht="12" customHeight="1" x14ac:dyDescent="0.2">
      <c r="AM6453" t="str">
        <f t="shared" si="100"/>
        <v>Ine [JPINE]</v>
      </c>
      <c r="AN6453" t="s">
        <v>19218</v>
      </c>
      <c r="AO6453" t="s">
        <v>19219</v>
      </c>
    </row>
    <row r="6454" spans="39:41" ht="12" customHeight="1" x14ac:dyDescent="0.2">
      <c r="AM6454" t="str">
        <f t="shared" si="100"/>
        <v>Inebolu [TRINE]</v>
      </c>
      <c r="AN6454" t="s">
        <v>28503</v>
      </c>
      <c r="AO6454" t="s">
        <v>28504</v>
      </c>
    </row>
    <row r="6455" spans="39:41" ht="12" customHeight="1" x14ac:dyDescent="0.2">
      <c r="AM6455" t="str">
        <f t="shared" si="100"/>
        <v>Inga (Inkoo) [FIINK]</v>
      </c>
      <c r="AN6455" t="s">
        <v>10375</v>
      </c>
      <c r="AO6455" t="s">
        <v>35726</v>
      </c>
    </row>
    <row r="6456" spans="39:41" ht="12" customHeight="1" x14ac:dyDescent="0.2">
      <c r="AM6456" t="str">
        <f t="shared" si="100"/>
        <v>Ingatestone [GBIGT]</v>
      </c>
      <c r="AN6456" t="s">
        <v>13461</v>
      </c>
      <c r="AO6456" t="s">
        <v>13462</v>
      </c>
    </row>
    <row r="6457" spans="39:41" ht="12" customHeight="1" x14ac:dyDescent="0.2">
      <c r="AM6457" t="str">
        <f t="shared" ref="AM6457:AM6520" si="101">AO6457 &amp; " [" &amp; AN6457 &amp; "]"</f>
        <v>Ingelheim [DEINM]</v>
      </c>
      <c r="AN6457" t="s">
        <v>7648</v>
      </c>
      <c r="AO6457" t="s">
        <v>7649</v>
      </c>
    </row>
    <row r="6458" spans="39:41" ht="12" customHeight="1" x14ac:dyDescent="0.2">
      <c r="AM6458" t="str">
        <f t="shared" si="101"/>
        <v>Ingelmunster [BEIGE]</v>
      </c>
      <c r="AN6458" t="s">
        <v>2567</v>
      </c>
      <c r="AO6458" t="s">
        <v>2568</v>
      </c>
    </row>
    <row r="6459" spans="39:41" ht="12" customHeight="1" x14ac:dyDescent="0.2">
      <c r="AM6459" t="str">
        <f t="shared" si="101"/>
        <v>Ingeniero Buitrago [ARBUI]</v>
      </c>
      <c r="AN6459" t="s">
        <v>34963</v>
      </c>
      <c r="AO6459" t="s">
        <v>34964</v>
      </c>
    </row>
    <row r="6460" spans="39:41" ht="12" customHeight="1" x14ac:dyDescent="0.2">
      <c r="AM6460" t="str">
        <f t="shared" si="101"/>
        <v>Ingeniero White/Bahia Blanca [ARINW]</v>
      </c>
      <c r="AN6460" t="s">
        <v>1028</v>
      </c>
      <c r="AO6460" t="s">
        <v>1029</v>
      </c>
    </row>
    <row r="6461" spans="39:41" ht="12" customHeight="1" x14ac:dyDescent="0.2">
      <c r="AM6461" t="str">
        <f t="shared" si="101"/>
        <v>Ingle Farm [AUIGF]</v>
      </c>
      <c r="AN6461" t="s">
        <v>1749</v>
      </c>
      <c r="AO6461" t="s">
        <v>1750</v>
      </c>
    </row>
    <row r="6462" spans="39:41" ht="12" customHeight="1" x14ac:dyDescent="0.2">
      <c r="AM6462" t="str">
        <f t="shared" si="101"/>
        <v>Ingleside [USIEG]</v>
      </c>
      <c r="AN6462" t="s">
        <v>30183</v>
      </c>
      <c r="AO6462" t="s">
        <v>30184</v>
      </c>
    </row>
    <row r="6463" spans="39:41" ht="12" customHeight="1" x14ac:dyDescent="0.2">
      <c r="AM6463" t="str">
        <f t="shared" si="101"/>
        <v>Ingleside [USYIG]</v>
      </c>
      <c r="AN6463" t="s">
        <v>30185</v>
      </c>
      <c r="AO6463" t="s">
        <v>30184</v>
      </c>
    </row>
    <row r="6464" spans="39:41" ht="12" customHeight="1" x14ac:dyDescent="0.2">
      <c r="AM6464" t="str">
        <f t="shared" si="101"/>
        <v>Ingoldmells [GBIGM]</v>
      </c>
      <c r="AN6464" t="s">
        <v>13463</v>
      </c>
      <c r="AO6464" t="s">
        <v>13464</v>
      </c>
    </row>
    <row r="6465" spans="39:41" ht="12" customHeight="1" x14ac:dyDescent="0.2">
      <c r="AM6465" t="str">
        <f t="shared" si="101"/>
        <v>Ingolstadt [DEING]</v>
      </c>
      <c r="AN6465" t="s">
        <v>7650</v>
      </c>
      <c r="AO6465" t="s">
        <v>7651</v>
      </c>
    </row>
    <row r="6466" spans="39:41" ht="12" customHeight="1" x14ac:dyDescent="0.2">
      <c r="AM6466" t="str">
        <f t="shared" si="101"/>
        <v>Ingoy [NOISY]</v>
      </c>
      <c r="AN6466" t="s">
        <v>24299</v>
      </c>
      <c r="AO6466" t="s">
        <v>36209</v>
      </c>
    </row>
    <row r="6467" spans="39:41" ht="12" customHeight="1" x14ac:dyDescent="0.2">
      <c r="AM6467" t="str">
        <f t="shared" si="101"/>
        <v>Ingrandes [FRIGS]</v>
      </c>
      <c r="AN6467" t="s">
        <v>11405</v>
      </c>
      <c r="AO6467" t="s">
        <v>11406</v>
      </c>
    </row>
    <row r="6468" spans="39:41" ht="12" customHeight="1" x14ac:dyDescent="0.2">
      <c r="AM6468" t="str">
        <f t="shared" si="101"/>
        <v>Inhambane [MZINH]</v>
      </c>
      <c r="AN6468" t="s">
        <v>22841</v>
      </c>
      <c r="AO6468" t="s">
        <v>22842</v>
      </c>
    </row>
    <row r="6469" spans="39:41" ht="12" customHeight="1" x14ac:dyDescent="0.2">
      <c r="AM6469" t="str">
        <f t="shared" si="101"/>
        <v>Inio [FIINI]</v>
      </c>
      <c r="AN6469" t="s">
        <v>10376</v>
      </c>
      <c r="AO6469" t="s">
        <v>35727</v>
      </c>
    </row>
    <row r="6470" spans="39:41" ht="12" customHeight="1" x14ac:dyDescent="0.2">
      <c r="AM6470" t="str">
        <f t="shared" si="101"/>
        <v>Inkerman [CAIKM]</v>
      </c>
      <c r="AN6470" t="s">
        <v>3953</v>
      </c>
      <c r="AO6470" t="s">
        <v>3954</v>
      </c>
    </row>
    <row r="6471" spans="39:41" ht="12" customHeight="1" x14ac:dyDescent="0.2">
      <c r="AM6471" t="str">
        <f t="shared" si="101"/>
        <v>Inkom [USZIK]</v>
      </c>
      <c r="AN6471" t="s">
        <v>30186</v>
      </c>
      <c r="AO6471" t="s">
        <v>30187</v>
      </c>
    </row>
    <row r="6472" spans="39:41" ht="12" customHeight="1" x14ac:dyDescent="0.2">
      <c r="AM6472" t="str">
        <f t="shared" si="101"/>
        <v>Inndyr [NOIDR]</v>
      </c>
      <c r="AN6472" t="s">
        <v>24300</v>
      </c>
      <c r="AO6472" t="s">
        <v>24301</v>
      </c>
    </row>
    <row r="6473" spans="39:41" ht="12" customHeight="1" x14ac:dyDescent="0.2">
      <c r="AM6473" t="str">
        <f t="shared" si="101"/>
        <v>Innhavet [NOINN]</v>
      </c>
      <c r="AN6473" t="s">
        <v>24302</v>
      </c>
      <c r="AO6473" t="s">
        <v>24303</v>
      </c>
    </row>
    <row r="6474" spans="39:41" ht="12" customHeight="1" x14ac:dyDescent="0.2">
      <c r="AM6474" t="str">
        <f t="shared" si="101"/>
        <v>Innoshima [JPINS]</v>
      </c>
      <c r="AN6474" t="s">
        <v>19220</v>
      </c>
      <c r="AO6474" t="s">
        <v>19221</v>
      </c>
    </row>
    <row r="6475" spans="39:41" ht="12" customHeight="1" x14ac:dyDescent="0.2">
      <c r="AM6475" t="str">
        <f t="shared" si="101"/>
        <v>Innvik [NOINV]</v>
      </c>
      <c r="AN6475" t="s">
        <v>24304</v>
      </c>
      <c r="AO6475" t="s">
        <v>24305</v>
      </c>
    </row>
    <row r="6476" spans="39:41" ht="12" customHeight="1" x14ac:dyDescent="0.2">
      <c r="AM6476" t="str">
        <f t="shared" si="101"/>
        <v>Inobe [JPINO]</v>
      </c>
      <c r="AN6476" t="s">
        <v>19222</v>
      </c>
      <c r="AO6476" t="s">
        <v>19223</v>
      </c>
    </row>
    <row r="6477" spans="39:41" ht="12" customHeight="1" x14ac:dyDescent="0.2">
      <c r="AM6477" t="str">
        <f t="shared" si="101"/>
        <v>Inokuchi, Ehime [JPIUH]</v>
      </c>
      <c r="AN6477" t="s">
        <v>19224</v>
      </c>
      <c r="AO6477" t="s">
        <v>19225</v>
      </c>
    </row>
    <row r="6478" spans="39:41" ht="12" customHeight="1" x14ac:dyDescent="0.2">
      <c r="AM6478" t="str">
        <f t="shared" si="101"/>
        <v>Inokushi, Oita [JPINK]</v>
      </c>
      <c r="AN6478" t="s">
        <v>19226</v>
      </c>
      <c r="AO6478" t="s">
        <v>19227</v>
      </c>
    </row>
    <row r="6479" spans="39:41" ht="12" customHeight="1" x14ac:dyDescent="0.2">
      <c r="AM6479" t="str">
        <f t="shared" si="101"/>
        <v>Inonada [JPIND]</v>
      </c>
      <c r="AN6479" t="s">
        <v>19228</v>
      </c>
      <c r="AO6479" t="s">
        <v>19229</v>
      </c>
    </row>
    <row r="6480" spans="39:41" ht="12" customHeight="1" x14ac:dyDescent="0.2">
      <c r="AM6480" t="str">
        <f t="shared" si="101"/>
        <v>Inousses [GRINO]</v>
      </c>
      <c r="AN6480" t="s">
        <v>15243</v>
      </c>
      <c r="AO6480" t="s">
        <v>15244</v>
      </c>
    </row>
    <row r="6481" spans="39:41" ht="12" customHeight="1" x14ac:dyDescent="0.2">
      <c r="AM6481" t="str">
        <f t="shared" si="101"/>
        <v>Insein [MMINS]</v>
      </c>
      <c r="AN6481" t="s">
        <v>22186</v>
      </c>
      <c r="AO6481" t="s">
        <v>22187</v>
      </c>
    </row>
    <row r="6482" spans="39:41" ht="12" customHeight="1" x14ac:dyDescent="0.2">
      <c r="AM6482" t="str">
        <f t="shared" si="101"/>
        <v>Instow [GBINS]</v>
      </c>
      <c r="AN6482" t="s">
        <v>13465</v>
      </c>
      <c r="AO6482" t="s">
        <v>13466</v>
      </c>
    </row>
    <row r="6483" spans="39:41" ht="12" customHeight="1" x14ac:dyDescent="0.2">
      <c r="AM6483" t="str">
        <f t="shared" si="101"/>
        <v>International Falls [USINL]</v>
      </c>
      <c r="AN6483" t="s">
        <v>30188</v>
      </c>
      <c r="AO6483" t="s">
        <v>30189</v>
      </c>
    </row>
    <row r="6484" spans="39:41" ht="12" customHeight="1" x14ac:dyDescent="0.2">
      <c r="AM6484" t="str">
        <f t="shared" si="101"/>
        <v>Inugaura [JPING]</v>
      </c>
      <c r="AN6484" t="s">
        <v>19230</v>
      </c>
      <c r="AO6484" t="s">
        <v>19231</v>
      </c>
    </row>
    <row r="6485" spans="39:41" ht="12" customHeight="1" x14ac:dyDescent="0.2">
      <c r="AM6485" t="str">
        <f t="shared" si="101"/>
        <v>Inujima [JPINZ]</v>
      </c>
      <c r="AN6485" t="s">
        <v>19232</v>
      </c>
      <c r="AO6485" t="s">
        <v>19233</v>
      </c>
    </row>
    <row r="6486" spans="39:41" ht="12" customHeight="1" x14ac:dyDescent="0.2">
      <c r="AM6486" t="str">
        <f t="shared" si="101"/>
        <v>Inverallochy [GBIAY]</v>
      </c>
      <c r="AN6486" t="s">
        <v>13467</v>
      </c>
      <c r="AO6486" t="s">
        <v>13468</v>
      </c>
    </row>
    <row r="6487" spans="39:41" ht="12" customHeight="1" x14ac:dyDescent="0.2">
      <c r="AM6487" t="str">
        <f t="shared" si="101"/>
        <v>Inveraray [GBIVR]</v>
      </c>
      <c r="AN6487" t="s">
        <v>13469</v>
      </c>
      <c r="AO6487" t="s">
        <v>13470</v>
      </c>
    </row>
    <row r="6488" spans="39:41" ht="12" customHeight="1" x14ac:dyDescent="0.2">
      <c r="AM6488" t="str">
        <f t="shared" si="101"/>
        <v>Invergordon [GBIVG]</v>
      </c>
      <c r="AN6488" t="s">
        <v>13471</v>
      </c>
      <c r="AO6488" t="s">
        <v>13472</v>
      </c>
    </row>
    <row r="6489" spans="39:41" ht="12" customHeight="1" x14ac:dyDescent="0.2">
      <c r="AM6489" t="str">
        <f t="shared" si="101"/>
        <v>Inverie [GBINR]</v>
      </c>
      <c r="AN6489" t="s">
        <v>13473</v>
      </c>
      <c r="AO6489" t="s">
        <v>13474</v>
      </c>
    </row>
    <row r="6490" spans="39:41" ht="12" customHeight="1" x14ac:dyDescent="0.2">
      <c r="AM6490" t="str">
        <f t="shared" si="101"/>
        <v>Inverkeithing [GBINK]</v>
      </c>
      <c r="AN6490" t="s">
        <v>13475</v>
      </c>
      <c r="AO6490" t="s">
        <v>13476</v>
      </c>
    </row>
    <row r="6491" spans="39:41" ht="12" customHeight="1" x14ac:dyDescent="0.2">
      <c r="AM6491" t="str">
        <f t="shared" si="101"/>
        <v>Inverkip [GBIVK]</v>
      </c>
      <c r="AN6491" t="s">
        <v>13477</v>
      </c>
      <c r="AO6491" t="s">
        <v>13478</v>
      </c>
    </row>
    <row r="6492" spans="39:41" ht="12" customHeight="1" x14ac:dyDescent="0.2">
      <c r="AM6492" t="str">
        <f t="shared" si="101"/>
        <v>Invermere [CAIVM]</v>
      </c>
      <c r="AN6492" t="s">
        <v>3955</v>
      </c>
      <c r="AO6492" t="s">
        <v>3956</v>
      </c>
    </row>
    <row r="6493" spans="39:41" ht="12" customHeight="1" x14ac:dyDescent="0.2">
      <c r="AM6493" t="str">
        <f t="shared" si="101"/>
        <v>Inverness [GBINV]</v>
      </c>
      <c r="AN6493" t="s">
        <v>13479</v>
      </c>
      <c r="AO6493" t="s">
        <v>13480</v>
      </c>
    </row>
    <row r="6494" spans="39:41" ht="12" customHeight="1" x14ac:dyDescent="0.2">
      <c r="AM6494" t="str">
        <f t="shared" si="101"/>
        <v>Inverness [USQIS]</v>
      </c>
      <c r="AN6494" t="s">
        <v>30190</v>
      </c>
      <c r="AO6494" t="s">
        <v>13480</v>
      </c>
    </row>
    <row r="6495" spans="39:41" ht="12" customHeight="1" x14ac:dyDescent="0.2">
      <c r="AM6495" t="str">
        <f t="shared" si="101"/>
        <v>Inzersdorf an der Traisen [ATZIN]</v>
      </c>
      <c r="AN6495" t="s">
        <v>1240</v>
      </c>
      <c r="AO6495" t="s">
        <v>1241</v>
      </c>
    </row>
    <row r="6496" spans="39:41" ht="12" customHeight="1" x14ac:dyDescent="0.2">
      <c r="AM6496" t="str">
        <f t="shared" si="101"/>
        <v>Ioco [CAIOC]</v>
      </c>
      <c r="AN6496" t="s">
        <v>3957</v>
      </c>
      <c r="AO6496" t="s">
        <v>3958</v>
      </c>
    </row>
    <row r="6497" spans="39:41" ht="12" customHeight="1" x14ac:dyDescent="0.2">
      <c r="AM6497" t="str">
        <f t="shared" si="101"/>
        <v>Iokanka [RUIOK]</v>
      </c>
      <c r="AN6497" t="s">
        <v>26951</v>
      </c>
      <c r="AO6497" t="s">
        <v>26952</v>
      </c>
    </row>
    <row r="6498" spans="39:41" ht="12" customHeight="1" x14ac:dyDescent="0.2">
      <c r="AM6498" t="str">
        <f t="shared" si="101"/>
        <v>Iona [CAION]</v>
      </c>
      <c r="AN6498" t="s">
        <v>3959</v>
      </c>
      <c r="AO6498" t="s">
        <v>3960</v>
      </c>
    </row>
    <row r="6499" spans="39:41" ht="12" customHeight="1" x14ac:dyDescent="0.2">
      <c r="AM6499" t="str">
        <f t="shared" si="101"/>
        <v>Ios [GRIOS]</v>
      </c>
      <c r="AN6499" t="s">
        <v>15245</v>
      </c>
      <c r="AO6499" t="s">
        <v>15246</v>
      </c>
    </row>
    <row r="6500" spans="39:41" ht="12" customHeight="1" x14ac:dyDescent="0.2">
      <c r="AM6500" t="str">
        <f t="shared" si="101"/>
        <v>Ipil/Zamboanga [PHIPE]</v>
      </c>
      <c r="AN6500" t="s">
        <v>25793</v>
      </c>
      <c r="AO6500" t="s">
        <v>25794</v>
      </c>
    </row>
    <row r="6501" spans="39:41" ht="12" customHeight="1" x14ac:dyDescent="0.2">
      <c r="AM6501" t="str">
        <f t="shared" si="101"/>
        <v>Ipojuca [BRIPO]</v>
      </c>
      <c r="AN6501" t="s">
        <v>3318</v>
      </c>
      <c r="AO6501" t="s">
        <v>3319</v>
      </c>
    </row>
    <row r="6502" spans="39:41" ht="12" customHeight="1" x14ac:dyDescent="0.2">
      <c r="AM6502" t="str">
        <f t="shared" si="101"/>
        <v>Ipswich [AUIPS]</v>
      </c>
      <c r="AN6502" t="s">
        <v>1751</v>
      </c>
      <c r="AO6502" t="s">
        <v>1752</v>
      </c>
    </row>
    <row r="6503" spans="39:41" ht="12" customHeight="1" x14ac:dyDescent="0.2">
      <c r="AM6503" t="str">
        <f t="shared" si="101"/>
        <v>Ipswich [GBIPS]</v>
      </c>
      <c r="AN6503" t="s">
        <v>13481</v>
      </c>
      <c r="AO6503" t="s">
        <v>1752</v>
      </c>
    </row>
    <row r="6504" spans="39:41" ht="12" customHeight="1" x14ac:dyDescent="0.2">
      <c r="AM6504" t="str">
        <f t="shared" si="101"/>
        <v>Iqaluit [CAIQL]</v>
      </c>
      <c r="AN6504" t="s">
        <v>3961</v>
      </c>
      <c r="AO6504" t="s">
        <v>3962</v>
      </c>
    </row>
    <row r="6505" spans="39:41" ht="12" customHeight="1" x14ac:dyDescent="0.2">
      <c r="AM6505" t="str">
        <f t="shared" si="101"/>
        <v>Iquique [CLIQQ]</v>
      </c>
      <c r="AN6505" t="s">
        <v>4874</v>
      </c>
      <c r="AO6505" t="s">
        <v>4875</v>
      </c>
    </row>
    <row r="6506" spans="39:41" ht="12" customHeight="1" x14ac:dyDescent="0.2">
      <c r="AM6506" t="str">
        <f t="shared" si="101"/>
        <v>Iquitos [PEIQT]</v>
      </c>
      <c r="AN6506" t="s">
        <v>25255</v>
      </c>
      <c r="AO6506" t="s">
        <v>25256</v>
      </c>
    </row>
    <row r="6507" spans="39:41" ht="12" customHeight="1" x14ac:dyDescent="0.2">
      <c r="AM6507" t="str">
        <f t="shared" si="101"/>
        <v>Irago [JPIRK]</v>
      </c>
      <c r="AN6507" t="s">
        <v>19234</v>
      </c>
      <c r="AO6507" t="s">
        <v>19235</v>
      </c>
    </row>
    <row r="6508" spans="39:41" ht="12" customHeight="1" x14ac:dyDescent="0.2">
      <c r="AM6508" t="str">
        <f t="shared" si="101"/>
        <v>Irby [GBIRB]</v>
      </c>
      <c r="AN6508" t="s">
        <v>13482</v>
      </c>
      <c r="AO6508" t="s">
        <v>13483</v>
      </c>
    </row>
    <row r="6509" spans="39:41" ht="12" customHeight="1" x14ac:dyDescent="0.2">
      <c r="AM6509" t="str">
        <f t="shared" si="101"/>
        <v>IRINA [HRIRI]</v>
      </c>
      <c r="AN6509" t="s">
        <v>36711</v>
      </c>
      <c r="AO6509" t="s">
        <v>36712</v>
      </c>
    </row>
    <row r="6510" spans="39:41" ht="12" customHeight="1" x14ac:dyDescent="0.2">
      <c r="AM6510" t="str">
        <f t="shared" si="101"/>
        <v>Irvine [CAIVN]</v>
      </c>
      <c r="AN6510" t="s">
        <v>3963</v>
      </c>
      <c r="AO6510" t="s">
        <v>3964</v>
      </c>
    </row>
    <row r="6511" spans="39:41" ht="12" customHeight="1" x14ac:dyDescent="0.2">
      <c r="AM6511" t="str">
        <f t="shared" si="101"/>
        <v>Irvine [GBIRV]</v>
      </c>
      <c r="AN6511" t="s">
        <v>13484</v>
      </c>
      <c r="AO6511" t="s">
        <v>3964</v>
      </c>
    </row>
    <row r="6512" spans="39:41" ht="12" customHeight="1" x14ac:dyDescent="0.2">
      <c r="AM6512" t="str">
        <f t="shared" si="101"/>
        <v>Irvine [USIVK]</v>
      </c>
      <c r="AN6512" t="s">
        <v>30191</v>
      </c>
      <c r="AO6512" t="s">
        <v>3964</v>
      </c>
    </row>
    <row r="6513" spans="39:41" ht="12" customHeight="1" x14ac:dyDescent="0.2">
      <c r="AM6513" t="str">
        <f t="shared" si="101"/>
        <v>Irymple [AUIRY]</v>
      </c>
      <c r="AN6513" t="s">
        <v>1753</v>
      </c>
      <c r="AO6513" t="s">
        <v>1754</v>
      </c>
    </row>
    <row r="6514" spans="39:41" ht="12" customHeight="1" x14ac:dyDescent="0.2">
      <c r="AM6514" t="str">
        <f t="shared" si="101"/>
        <v>Isabel [PHISL]</v>
      </c>
      <c r="AN6514" t="s">
        <v>25795</v>
      </c>
      <c r="AO6514" t="s">
        <v>25796</v>
      </c>
    </row>
    <row r="6515" spans="39:41" ht="12" customHeight="1" x14ac:dyDescent="0.2">
      <c r="AM6515" t="str">
        <f t="shared" si="101"/>
        <v>Isabela de Sagua [CUIDS]</v>
      </c>
      <c r="AN6515" t="s">
        <v>6690</v>
      </c>
      <c r="AO6515" t="s">
        <v>6691</v>
      </c>
    </row>
    <row r="6516" spans="39:41" ht="12" customHeight="1" x14ac:dyDescent="0.2">
      <c r="AM6516" t="str">
        <f t="shared" si="101"/>
        <v>Isabela, Basilan [PHBCT]</v>
      </c>
      <c r="AN6516" t="s">
        <v>25797</v>
      </c>
      <c r="AO6516" t="s">
        <v>25798</v>
      </c>
    </row>
    <row r="6517" spans="39:41" ht="12" customHeight="1" x14ac:dyDescent="0.2">
      <c r="AM6517" t="str">
        <f t="shared" si="101"/>
        <v>Isaccea [ROISC]</v>
      </c>
      <c r="AN6517" t="s">
        <v>26767</v>
      </c>
      <c r="AO6517" t="s">
        <v>26768</v>
      </c>
    </row>
    <row r="6518" spans="39:41" ht="12" customHeight="1" x14ac:dyDescent="0.2">
      <c r="AM6518" t="str">
        <f t="shared" si="101"/>
        <v>Isafjordur - hofn [ISISA]</v>
      </c>
      <c r="AN6518" t="s">
        <v>17726</v>
      </c>
      <c r="AO6518" t="s">
        <v>36052</v>
      </c>
    </row>
    <row r="6519" spans="39:41" ht="12" customHeight="1" x14ac:dyDescent="0.2">
      <c r="AM6519" t="str">
        <f t="shared" si="101"/>
        <v>Isahaya [JPISY]</v>
      </c>
      <c r="AN6519" t="s">
        <v>19236</v>
      </c>
      <c r="AO6519" t="s">
        <v>19237</v>
      </c>
    </row>
    <row r="6520" spans="39:41" ht="12" customHeight="1" x14ac:dyDescent="0.2">
      <c r="AM6520" t="str">
        <f t="shared" si="101"/>
        <v>Ischia [ITISH]</v>
      </c>
      <c r="AN6520" t="s">
        <v>17981</v>
      </c>
      <c r="AO6520" t="s">
        <v>17982</v>
      </c>
    </row>
    <row r="6521" spans="39:41" ht="12" customHeight="1" x14ac:dyDescent="0.2">
      <c r="AM6521" t="str">
        <f t="shared" ref="AM6521:AM6583" si="102">AO6521 &amp; " [" &amp; AN6521 &amp; "]"</f>
        <v>Isdemir [TRIDM]</v>
      </c>
      <c r="AN6521" t="s">
        <v>28505</v>
      </c>
      <c r="AO6521" t="s">
        <v>28506</v>
      </c>
    </row>
    <row r="6522" spans="39:41" ht="12" customHeight="1" x14ac:dyDescent="0.2">
      <c r="AM6522" t="str">
        <f t="shared" si="102"/>
        <v>Ise [JPISE]</v>
      </c>
      <c r="AN6522" t="s">
        <v>19238</v>
      </c>
      <c r="AO6522" t="s">
        <v>19239</v>
      </c>
    </row>
    <row r="6523" spans="39:41" ht="12" customHeight="1" x14ac:dyDescent="0.2">
      <c r="AM6523" t="str">
        <f t="shared" si="102"/>
        <v>Iseki [JPISK]</v>
      </c>
      <c r="AN6523" t="s">
        <v>19240</v>
      </c>
      <c r="AO6523" t="s">
        <v>19241</v>
      </c>
    </row>
    <row r="6524" spans="39:41" ht="12" customHeight="1" x14ac:dyDescent="0.2">
      <c r="AM6524" t="str">
        <f t="shared" si="102"/>
        <v>Isfahan [IRIFN]</v>
      </c>
      <c r="AN6524" t="s">
        <v>17629</v>
      </c>
      <c r="AO6524" t="s">
        <v>17630</v>
      </c>
    </row>
    <row r="6525" spans="39:41" ht="12" customHeight="1" x14ac:dyDescent="0.2">
      <c r="AM6525" t="str">
        <f t="shared" si="102"/>
        <v>Ishiba [JPISB]</v>
      </c>
      <c r="AN6525" t="s">
        <v>19242</v>
      </c>
      <c r="AO6525" t="s">
        <v>19243</v>
      </c>
    </row>
    <row r="6526" spans="39:41" ht="12" customHeight="1" x14ac:dyDescent="0.2">
      <c r="AM6526" t="str">
        <f t="shared" si="102"/>
        <v>Ishida [JPISD]</v>
      </c>
      <c r="AN6526" t="s">
        <v>19244</v>
      </c>
      <c r="AO6526" t="s">
        <v>19245</v>
      </c>
    </row>
    <row r="6527" spans="39:41" ht="12" customHeight="1" x14ac:dyDescent="0.2">
      <c r="AM6527" t="str">
        <f t="shared" si="102"/>
        <v>Ishigaki [JPISG]</v>
      </c>
      <c r="AN6527" t="s">
        <v>19246</v>
      </c>
      <c r="AO6527" t="s">
        <v>19247</v>
      </c>
    </row>
    <row r="6528" spans="39:41" ht="12" customHeight="1" x14ac:dyDescent="0.2">
      <c r="AM6528" t="str">
        <f t="shared" si="102"/>
        <v>Ishikari [JPISI]</v>
      </c>
      <c r="AN6528" t="s">
        <v>19248</v>
      </c>
      <c r="AO6528" t="s">
        <v>19249</v>
      </c>
    </row>
    <row r="6529" spans="39:41" ht="12" customHeight="1" x14ac:dyDescent="0.2">
      <c r="AM6529" t="str">
        <f t="shared" si="102"/>
        <v>Ishikariwan Shinko [JPICW]</v>
      </c>
      <c r="AN6529" t="s">
        <v>19250</v>
      </c>
      <c r="AO6529" t="s">
        <v>19251</v>
      </c>
    </row>
    <row r="6530" spans="39:41" ht="12" customHeight="1" x14ac:dyDescent="0.2">
      <c r="AM6530" t="str">
        <f t="shared" si="102"/>
        <v>Ishikawa [JPIKW]</v>
      </c>
      <c r="AN6530" t="s">
        <v>19252</v>
      </c>
      <c r="AO6530" t="s">
        <v>19253</v>
      </c>
    </row>
    <row r="6531" spans="39:41" ht="12" customHeight="1" x14ac:dyDescent="0.2">
      <c r="AM6531" t="str">
        <f t="shared" si="102"/>
        <v>Ishima [JPISH]</v>
      </c>
      <c r="AN6531" t="s">
        <v>19254</v>
      </c>
      <c r="AO6531" t="s">
        <v>19255</v>
      </c>
    </row>
    <row r="6532" spans="39:41" ht="12" customHeight="1" x14ac:dyDescent="0.2">
      <c r="AM6532" t="str">
        <f t="shared" si="102"/>
        <v>Ishinomaki [JPISM]</v>
      </c>
      <c r="AN6532" t="s">
        <v>19256</v>
      </c>
      <c r="AO6532" t="s">
        <v>19257</v>
      </c>
    </row>
    <row r="6533" spans="39:41" ht="12" customHeight="1" x14ac:dyDescent="0.2">
      <c r="AM6533" t="str">
        <f t="shared" si="102"/>
        <v>Ishiwaki [JPISC]</v>
      </c>
      <c r="AN6533" t="s">
        <v>19258</v>
      </c>
      <c r="AO6533" t="s">
        <v>19259</v>
      </c>
    </row>
    <row r="6534" spans="39:41" ht="12" customHeight="1" x14ac:dyDescent="0.2">
      <c r="AM6534" t="str">
        <f t="shared" si="102"/>
        <v>Isieres [BEISR]</v>
      </c>
      <c r="AN6534" t="s">
        <v>2569</v>
      </c>
      <c r="AO6534" t="s">
        <v>35270</v>
      </c>
    </row>
    <row r="6535" spans="39:41" ht="12" customHeight="1" x14ac:dyDescent="0.2">
      <c r="AM6535" t="str">
        <f t="shared" si="102"/>
        <v>Isigny-sur-Mer [FRISM]</v>
      </c>
      <c r="AN6535" t="s">
        <v>11407</v>
      </c>
      <c r="AO6535" t="s">
        <v>11408</v>
      </c>
    </row>
    <row r="6536" spans="39:41" ht="12" customHeight="1" x14ac:dyDescent="0.2">
      <c r="AM6536" t="str">
        <f t="shared" si="102"/>
        <v>Isis [TNISI]</v>
      </c>
      <c r="AN6536" t="s">
        <v>28345</v>
      </c>
      <c r="AO6536" t="s">
        <v>28346</v>
      </c>
    </row>
    <row r="6537" spans="39:41" ht="12" customHeight="1" x14ac:dyDescent="0.2">
      <c r="AM6537" t="str">
        <f t="shared" si="102"/>
        <v>Iskandariyha [IQIKD]</v>
      </c>
      <c r="AN6537" t="s">
        <v>17562</v>
      </c>
      <c r="AO6537" t="s">
        <v>17563</v>
      </c>
    </row>
    <row r="6538" spans="39:41" ht="12" customHeight="1" x14ac:dyDescent="0.2">
      <c r="AM6538" t="str">
        <f t="shared" si="102"/>
        <v>Iskenderun [TRISK]</v>
      </c>
      <c r="AN6538" t="s">
        <v>28507</v>
      </c>
      <c r="AO6538" t="s">
        <v>28508</v>
      </c>
    </row>
    <row r="6539" spans="39:41" ht="12" customHeight="1" x14ac:dyDescent="0.2">
      <c r="AM6539" t="str">
        <f t="shared" si="102"/>
        <v>Isla de Pascua [CLIPC]</v>
      </c>
      <c r="AN6539" t="s">
        <v>4876</v>
      </c>
      <c r="AO6539" t="s">
        <v>4877</v>
      </c>
    </row>
    <row r="6540" spans="39:41" ht="12" customHeight="1" x14ac:dyDescent="0.2">
      <c r="AM6540" t="str">
        <f t="shared" si="102"/>
        <v>Isla Guarello [CLISG]</v>
      </c>
      <c r="AN6540" t="s">
        <v>4878</v>
      </c>
      <c r="AO6540" t="s">
        <v>4879</v>
      </c>
    </row>
    <row r="6541" spans="39:41" ht="12" customHeight="1" x14ac:dyDescent="0.2">
      <c r="AM6541" t="str">
        <f t="shared" si="102"/>
        <v>Isla Mujeres [MXISJ]</v>
      </c>
      <c r="AN6541" t="s">
        <v>22371</v>
      </c>
      <c r="AO6541" t="s">
        <v>22372</v>
      </c>
    </row>
    <row r="6542" spans="39:41" ht="12" customHeight="1" x14ac:dyDescent="0.2">
      <c r="AM6542" t="str">
        <f t="shared" si="102"/>
        <v>Isla San Marcos [MXSMI]</v>
      </c>
      <c r="AN6542" t="s">
        <v>22373</v>
      </c>
      <c r="AO6542" t="s">
        <v>22374</v>
      </c>
    </row>
    <row r="6543" spans="39:41" ht="12" customHeight="1" x14ac:dyDescent="0.2">
      <c r="AM6543" t="str">
        <f t="shared" si="102"/>
        <v>Island Falls [USIFL]</v>
      </c>
      <c r="AN6543" t="s">
        <v>30192</v>
      </c>
      <c r="AO6543" t="s">
        <v>30193</v>
      </c>
    </row>
    <row r="6544" spans="39:41" ht="12" customHeight="1" x14ac:dyDescent="0.2">
      <c r="AM6544" t="str">
        <f t="shared" si="102"/>
        <v>Island Lake [CAISL]</v>
      </c>
      <c r="AN6544" t="s">
        <v>3965</v>
      </c>
      <c r="AO6544" t="s">
        <v>3966</v>
      </c>
    </row>
    <row r="6545" spans="39:41" ht="12" customHeight="1" x14ac:dyDescent="0.2">
      <c r="AM6545" t="str">
        <f t="shared" si="102"/>
        <v>Island View [ZAIVI]</v>
      </c>
      <c r="AN6545" t="s">
        <v>32687</v>
      </c>
      <c r="AO6545" t="s">
        <v>32688</v>
      </c>
    </row>
    <row r="6546" spans="39:41" ht="12" customHeight="1" x14ac:dyDescent="0.2">
      <c r="AM6546" t="str">
        <f t="shared" si="102"/>
        <v>Islandmagee [GBIMG]</v>
      </c>
      <c r="AN6546" t="s">
        <v>13485</v>
      </c>
      <c r="AO6546" t="s">
        <v>13486</v>
      </c>
    </row>
    <row r="6547" spans="39:41" ht="12" customHeight="1" x14ac:dyDescent="0.2">
      <c r="AM6547" t="str">
        <f t="shared" si="102"/>
        <v>Islay [GBISY]</v>
      </c>
      <c r="AN6547" t="s">
        <v>13487</v>
      </c>
      <c r="AO6547" t="s">
        <v>13488</v>
      </c>
    </row>
    <row r="6548" spans="39:41" ht="12" customHeight="1" x14ac:dyDescent="0.2">
      <c r="AM6548" t="str">
        <f t="shared" si="102"/>
        <v>Isle [USIVA]</v>
      </c>
      <c r="AN6548" t="s">
        <v>30194</v>
      </c>
      <c r="AO6548" t="s">
        <v>30195</v>
      </c>
    </row>
    <row r="6549" spans="39:41" ht="12" customHeight="1" x14ac:dyDescent="0.2">
      <c r="AM6549" t="str">
        <f t="shared" si="102"/>
        <v>Isle of Grain [GBIOG]</v>
      </c>
      <c r="AN6549" t="s">
        <v>13489</v>
      </c>
      <c r="AO6549" t="s">
        <v>13490</v>
      </c>
    </row>
    <row r="6550" spans="39:41" ht="12" customHeight="1" x14ac:dyDescent="0.2">
      <c r="AM6550" t="str">
        <f t="shared" si="102"/>
        <v>Isle of Sheppey [GBIOS]</v>
      </c>
      <c r="AN6550" t="s">
        <v>13491</v>
      </c>
      <c r="AO6550" t="s">
        <v>13492</v>
      </c>
    </row>
    <row r="6551" spans="39:41" ht="12" customHeight="1" x14ac:dyDescent="0.2">
      <c r="AM6551" t="str">
        <f t="shared" si="102"/>
        <v>Isle of Whithorn [GBWHH]</v>
      </c>
      <c r="AN6551" t="s">
        <v>13493</v>
      </c>
      <c r="AO6551" t="s">
        <v>13494</v>
      </c>
    </row>
    <row r="6552" spans="39:41" ht="12" customHeight="1" x14ac:dyDescent="0.2">
      <c r="AM6552" t="str">
        <f t="shared" si="102"/>
        <v>Isle-Saint-Georges [FRISG]</v>
      </c>
      <c r="AN6552" t="s">
        <v>11409</v>
      </c>
      <c r="AO6552" t="s">
        <v>11410</v>
      </c>
    </row>
    <row r="6553" spans="39:41" ht="12" customHeight="1" x14ac:dyDescent="0.2">
      <c r="AM6553" t="str">
        <f t="shared" si="102"/>
        <v>Isle-sur-la-Sorgue [FRRGU]</v>
      </c>
      <c r="AN6553" t="s">
        <v>11411</v>
      </c>
      <c r="AO6553" t="s">
        <v>11412</v>
      </c>
    </row>
    <row r="6554" spans="39:41" ht="12" customHeight="1" x14ac:dyDescent="0.2">
      <c r="AM6554" t="str">
        <f t="shared" si="102"/>
        <v>Ismailia [EGISM]</v>
      </c>
      <c r="AN6554" t="s">
        <v>9490</v>
      </c>
      <c r="AO6554" t="s">
        <v>9491</v>
      </c>
    </row>
    <row r="6555" spans="39:41" ht="12" customHeight="1" x14ac:dyDescent="0.2">
      <c r="AM6555" t="str">
        <f t="shared" si="102"/>
        <v>Isnas [FIISN]</v>
      </c>
      <c r="AN6555" t="s">
        <v>10377</v>
      </c>
      <c r="AO6555" t="s">
        <v>35728</v>
      </c>
    </row>
    <row r="6556" spans="39:41" ht="12" customHeight="1" x14ac:dyDescent="0.2">
      <c r="AM6556" t="str">
        <f t="shared" si="102"/>
        <v>Isola Asinara [ITISN]</v>
      </c>
      <c r="AN6556" t="s">
        <v>17983</v>
      </c>
      <c r="AO6556" t="s">
        <v>17984</v>
      </c>
    </row>
    <row r="6557" spans="39:41" ht="12" customHeight="1" x14ac:dyDescent="0.2">
      <c r="AM6557" t="str">
        <f t="shared" si="102"/>
        <v>Isola del Giglio [ITIDG]</v>
      </c>
      <c r="AN6557" t="s">
        <v>17985</v>
      </c>
      <c r="AO6557" t="s">
        <v>17986</v>
      </c>
    </row>
    <row r="6558" spans="39:41" ht="12" customHeight="1" x14ac:dyDescent="0.2">
      <c r="AM6558" t="str">
        <f t="shared" si="102"/>
        <v>Isola delle Femmine [ITIDF]</v>
      </c>
      <c r="AN6558" t="s">
        <v>17987</v>
      </c>
      <c r="AO6558" t="s">
        <v>17988</v>
      </c>
    </row>
    <row r="6559" spans="39:41" ht="12" customHeight="1" x14ac:dyDescent="0.2">
      <c r="AM6559" t="str">
        <f t="shared" si="102"/>
        <v>Isola Santo Stefano [ITISS]</v>
      </c>
      <c r="AN6559" t="s">
        <v>17989</v>
      </c>
      <c r="AO6559" t="s">
        <v>17990</v>
      </c>
    </row>
    <row r="6560" spans="39:41" ht="12" customHeight="1" x14ac:dyDescent="0.2">
      <c r="AM6560" t="str">
        <f t="shared" si="102"/>
        <v>Isolotto Formica [ITFOR]</v>
      </c>
      <c r="AN6560" t="s">
        <v>17991</v>
      </c>
      <c r="AO6560" t="s">
        <v>17992</v>
      </c>
    </row>
    <row r="6561" spans="39:41" ht="12" customHeight="1" x14ac:dyDescent="0.2">
      <c r="AM6561" t="str">
        <f t="shared" si="102"/>
        <v>Isozaki [JPISX]</v>
      </c>
      <c r="AN6561" t="s">
        <v>19260</v>
      </c>
      <c r="AO6561" t="s">
        <v>19261</v>
      </c>
    </row>
    <row r="6562" spans="39:41" ht="12" customHeight="1" x14ac:dyDescent="0.2">
      <c r="AM6562" t="str">
        <f t="shared" si="102"/>
        <v>Ispringen [DEISP]</v>
      </c>
      <c r="AN6562" t="s">
        <v>7652</v>
      </c>
      <c r="AO6562" t="s">
        <v>7653</v>
      </c>
    </row>
    <row r="6563" spans="39:41" ht="12" customHeight="1" x14ac:dyDescent="0.2">
      <c r="AM6563" t="str">
        <f t="shared" si="102"/>
        <v>Issai [JPISA]</v>
      </c>
      <c r="AN6563" t="s">
        <v>19262</v>
      </c>
      <c r="AO6563" t="s">
        <v>19263</v>
      </c>
    </row>
    <row r="6564" spans="39:41" ht="12" customHeight="1" x14ac:dyDescent="0.2">
      <c r="AM6564" t="str">
        <f t="shared" si="102"/>
        <v>Isshiki [JPIKJ]</v>
      </c>
      <c r="AN6564" t="s">
        <v>19264</v>
      </c>
      <c r="AO6564" t="s">
        <v>19265</v>
      </c>
    </row>
    <row r="6565" spans="39:41" ht="12" customHeight="1" x14ac:dyDescent="0.2">
      <c r="AM6565" t="str">
        <f t="shared" si="102"/>
        <v>Isso [JPKYR]</v>
      </c>
      <c r="AN6565" t="s">
        <v>19266</v>
      </c>
      <c r="AO6565" t="s">
        <v>19267</v>
      </c>
    </row>
    <row r="6566" spans="39:41" ht="12" customHeight="1" x14ac:dyDescent="0.2">
      <c r="AM6566" t="str">
        <f t="shared" si="102"/>
        <v>Issou [FRIOU]</v>
      </c>
      <c r="AN6566" t="s">
        <v>11413</v>
      </c>
      <c r="AO6566" t="s">
        <v>11414</v>
      </c>
    </row>
    <row r="6567" spans="39:41" ht="12" customHeight="1" x14ac:dyDescent="0.2">
      <c r="AM6567" t="str">
        <f t="shared" si="102"/>
        <v>Issum [DEISU]</v>
      </c>
      <c r="AN6567" t="s">
        <v>7654</v>
      </c>
      <c r="AO6567" t="s">
        <v>7655</v>
      </c>
    </row>
    <row r="6568" spans="39:41" ht="12" customHeight="1" x14ac:dyDescent="0.2">
      <c r="AM6568" t="str">
        <f t="shared" si="102"/>
        <v>Ist [HRIST]</v>
      </c>
      <c r="AN6568" t="s">
        <v>15752</v>
      </c>
      <c r="AO6568" t="s">
        <v>15753</v>
      </c>
    </row>
    <row r="6569" spans="39:41" ht="12" customHeight="1" x14ac:dyDescent="0.2">
      <c r="AM6569" t="str">
        <f t="shared" si="102"/>
        <v>Istanbul [TRIST]</v>
      </c>
      <c r="AN6569" t="s">
        <v>28509</v>
      </c>
      <c r="AO6569" t="s">
        <v>28510</v>
      </c>
    </row>
    <row r="6570" spans="39:41" ht="12" customHeight="1" x14ac:dyDescent="0.2">
      <c r="AM6570" t="str">
        <f t="shared" si="102"/>
        <v>Isthmia [GRITM]</v>
      </c>
      <c r="AN6570" t="s">
        <v>15247</v>
      </c>
      <c r="AO6570" t="s">
        <v>35906</v>
      </c>
    </row>
    <row r="6571" spans="39:41" ht="12" customHeight="1" x14ac:dyDescent="0.2">
      <c r="AM6571" t="str">
        <f t="shared" si="102"/>
        <v>Istres [FRIST]</v>
      </c>
      <c r="AN6571" t="s">
        <v>36960</v>
      </c>
      <c r="AO6571" t="s">
        <v>36961</v>
      </c>
    </row>
    <row r="6572" spans="39:41" ht="12" customHeight="1" x14ac:dyDescent="0.2">
      <c r="AM6572" t="str">
        <f t="shared" si="102"/>
        <v>Isuwan [JPISU]</v>
      </c>
      <c r="AN6572" t="s">
        <v>19268</v>
      </c>
      <c r="AO6572" t="s">
        <v>19269</v>
      </c>
    </row>
    <row r="6573" spans="39:41" ht="12" customHeight="1" x14ac:dyDescent="0.2">
      <c r="AM6573" t="str">
        <f t="shared" si="102"/>
        <v>Ita Enramada [PYITE]</v>
      </c>
      <c r="AN6573" t="s">
        <v>26672</v>
      </c>
      <c r="AO6573" t="s">
        <v>26673</v>
      </c>
    </row>
    <row r="6574" spans="39:41" ht="12" customHeight="1" x14ac:dyDescent="0.2">
      <c r="AM6574" t="str">
        <f t="shared" si="102"/>
        <v>Itaberai [BRIAR]</v>
      </c>
      <c r="AN6574" t="s">
        <v>36824</v>
      </c>
      <c r="AO6574" t="s">
        <v>36825</v>
      </c>
    </row>
    <row r="6575" spans="39:41" ht="12" customHeight="1" x14ac:dyDescent="0.2">
      <c r="AM6575" t="str">
        <f t="shared" si="102"/>
        <v>Itabirito [BRIRO]</v>
      </c>
      <c r="AN6575" t="s">
        <v>3320</v>
      </c>
      <c r="AO6575" t="s">
        <v>3321</v>
      </c>
    </row>
    <row r="6576" spans="39:41" ht="12" customHeight="1" x14ac:dyDescent="0.2">
      <c r="AM6576" t="str">
        <f t="shared" si="102"/>
        <v>Itacoatiara [BRITA]</v>
      </c>
      <c r="AN6576" t="s">
        <v>36826</v>
      </c>
      <c r="AO6576" t="s">
        <v>36827</v>
      </c>
    </row>
    <row r="6577" spans="39:41" ht="12" customHeight="1" x14ac:dyDescent="0.2">
      <c r="AM6577" t="str">
        <f t="shared" si="102"/>
        <v>Itajai [BRITJ]</v>
      </c>
      <c r="AN6577" t="s">
        <v>3322</v>
      </c>
      <c r="AO6577" t="s">
        <v>3323</v>
      </c>
    </row>
    <row r="6578" spans="39:41" ht="12" customHeight="1" x14ac:dyDescent="0.2">
      <c r="AM6578" t="str">
        <f t="shared" si="102"/>
        <v>Itako [JPITK]</v>
      </c>
      <c r="AN6578" t="s">
        <v>19270</v>
      </c>
      <c r="AO6578" t="s">
        <v>19271</v>
      </c>
    </row>
    <row r="6579" spans="39:41" ht="12" customHeight="1" x14ac:dyDescent="0.2">
      <c r="AM6579" t="str">
        <f t="shared" si="102"/>
        <v>Itapemirim [BRITZ]</v>
      </c>
      <c r="AN6579" t="s">
        <v>3324</v>
      </c>
      <c r="AO6579" t="s">
        <v>3325</v>
      </c>
    </row>
    <row r="6580" spans="39:41" ht="12" customHeight="1" x14ac:dyDescent="0.2">
      <c r="AM6580" t="str">
        <f t="shared" si="102"/>
        <v>Itapoa [BRIOA]</v>
      </c>
      <c r="AN6580" t="s">
        <v>3326</v>
      </c>
      <c r="AO6580" t="s">
        <v>35295</v>
      </c>
    </row>
    <row r="6581" spans="39:41" ht="12" customHeight="1" x14ac:dyDescent="0.2">
      <c r="AM6581" t="str">
        <f t="shared" si="102"/>
        <v>Itaqui [BRIQI]</v>
      </c>
      <c r="AN6581" t="s">
        <v>3327</v>
      </c>
      <c r="AO6581" t="s">
        <v>3328</v>
      </c>
    </row>
    <row r="6582" spans="39:41" ht="12" customHeight="1" x14ac:dyDescent="0.2">
      <c r="AM6582" t="str">
        <f t="shared" si="102"/>
        <v>Itaqui [BRITQ]</v>
      </c>
      <c r="AN6582" t="s">
        <v>3329</v>
      </c>
      <c r="AO6582" t="s">
        <v>3328</v>
      </c>
    </row>
    <row r="6583" spans="39:41" ht="12" customHeight="1" x14ac:dyDescent="0.2">
      <c r="AM6583" t="str">
        <f t="shared" si="102"/>
        <v>Itchenor [GBITC]</v>
      </c>
      <c r="AN6583" t="s">
        <v>13495</v>
      </c>
      <c r="AO6583" t="s">
        <v>13496</v>
      </c>
    </row>
    <row r="6584" spans="39:41" ht="12" customHeight="1" x14ac:dyDescent="0.2">
      <c r="AM6584" t="str">
        <f t="shared" ref="AM6584:AM6647" si="103">AO6584 &amp; " [" &amp; AN6584 &amp; "]"</f>
        <v>Itea [GRITA]</v>
      </c>
      <c r="AN6584" t="s">
        <v>15248</v>
      </c>
      <c r="AO6584" t="s">
        <v>15249</v>
      </c>
    </row>
    <row r="6585" spans="39:41" ht="12" customHeight="1" x14ac:dyDescent="0.2">
      <c r="AM6585" t="str">
        <f t="shared" si="103"/>
        <v>Ithaki (Ithaca) [GRITH]</v>
      </c>
      <c r="AN6585" t="s">
        <v>15250</v>
      </c>
      <c r="AO6585" t="s">
        <v>15251</v>
      </c>
    </row>
    <row r="6586" spans="39:41" ht="12" customHeight="1" x14ac:dyDescent="0.2">
      <c r="AM6586" t="str">
        <f t="shared" si="103"/>
        <v>Itoh, Shimane [JPITU]</v>
      </c>
      <c r="AN6586" t="s">
        <v>19272</v>
      </c>
      <c r="AO6586" t="s">
        <v>19273</v>
      </c>
    </row>
    <row r="6587" spans="39:41" ht="12" customHeight="1" x14ac:dyDescent="0.2">
      <c r="AM6587" t="str">
        <f t="shared" si="103"/>
        <v>Itoh, Shizuoka [JPITJ]</v>
      </c>
      <c r="AN6587" t="s">
        <v>19274</v>
      </c>
      <c r="AO6587" t="s">
        <v>19275</v>
      </c>
    </row>
    <row r="6588" spans="39:41" ht="12" customHeight="1" x14ac:dyDescent="0.2">
      <c r="AM6588" t="str">
        <f t="shared" si="103"/>
        <v>Itozaki [JPITO]</v>
      </c>
      <c r="AN6588" t="s">
        <v>19276</v>
      </c>
      <c r="AO6588" t="s">
        <v>19277</v>
      </c>
    </row>
    <row r="6589" spans="39:41" ht="12" customHeight="1" x14ac:dyDescent="0.2">
      <c r="AM6589" t="str">
        <f t="shared" si="103"/>
        <v>Itsukushima [JPITS]</v>
      </c>
      <c r="AN6589" t="s">
        <v>19278</v>
      </c>
      <c r="AO6589" t="s">
        <v>19279</v>
      </c>
    </row>
    <row r="6590" spans="39:41" ht="12" customHeight="1" x14ac:dyDescent="0.2">
      <c r="AM6590" t="str">
        <f t="shared" si="103"/>
        <v>Itter (Ittre) [BEITR]</v>
      </c>
      <c r="AN6590" t="s">
        <v>2570</v>
      </c>
      <c r="AO6590" t="s">
        <v>2571</v>
      </c>
    </row>
    <row r="6591" spans="39:41" ht="12" customHeight="1" x14ac:dyDescent="0.2">
      <c r="AM6591" t="str">
        <f t="shared" si="103"/>
        <v>Itteren [NLITR]</v>
      </c>
      <c r="AN6591" t="s">
        <v>23298</v>
      </c>
      <c r="AO6591" t="s">
        <v>23299</v>
      </c>
    </row>
    <row r="6592" spans="39:41" ht="12" customHeight="1" x14ac:dyDescent="0.2">
      <c r="AM6592" t="str">
        <f t="shared" si="103"/>
        <v>Iturriotz [ESITR]</v>
      </c>
      <c r="AN6592" t="s">
        <v>9847</v>
      </c>
      <c r="AO6592" t="s">
        <v>9848</v>
      </c>
    </row>
    <row r="6593" spans="39:41" ht="12" customHeight="1" x14ac:dyDescent="0.2">
      <c r="AM6593" t="str">
        <f t="shared" si="103"/>
        <v>Itzehoe [DEITZ]</v>
      </c>
      <c r="AN6593" t="s">
        <v>7656</v>
      </c>
      <c r="AO6593" t="s">
        <v>7657</v>
      </c>
    </row>
    <row r="6594" spans="39:41" ht="12" customHeight="1" x14ac:dyDescent="0.2">
      <c r="AM6594" t="str">
        <f t="shared" si="103"/>
        <v>Iuka [USIUK]</v>
      </c>
      <c r="AN6594" t="s">
        <v>30196</v>
      </c>
      <c r="AO6594" t="s">
        <v>30197</v>
      </c>
    </row>
    <row r="6595" spans="39:41" ht="12" customHeight="1" x14ac:dyDescent="0.2">
      <c r="AM6595" t="str">
        <f t="shared" si="103"/>
        <v>Iurreta [ESIUA]</v>
      </c>
      <c r="AN6595" t="s">
        <v>9849</v>
      </c>
      <c r="AO6595" t="s">
        <v>9850</v>
      </c>
    </row>
    <row r="6596" spans="39:41" ht="12" customHeight="1" x14ac:dyDescent="0.2">
      <c r="AM6596" t="str">
        <f t="shared" si="103"/>
        <v>IVANA A [HRIVA]</v>
      </c>
      <c r="AN6596" t="s">
        <v>36709</v>
      </c>
      <c r="AO6596" t="s">
        <v>36710</v>
      </c>
    </row>
    <row r="6597" spans="39:41" ht="12" customHeight="1" x14ac:dyDescent="0.2">
      <c r="AM6597" t="str">
        <f t="shared" si="103"/>
        <v>IVANA B [HRIVB]</v>
      </c>
      <c r="AN6597" t="s">
        <v>36707</v>
      </c>
      <c r="AO6597" t="s">
        <v>36708</v>
      </c>
    </row>
    <row r="6598" spans="39:41" ht="12" customHeight="1" x14ac:dyDescent="0.2">
      <c r="AM6598" t="str">
        <f t="shared" si="103"/>
        <v>IVANA C [HRIVC]</v>
      </c>
      <c r="AN6598" t="s">
        <v>36745</v>
      </c>
      <c r="AO6598" t="s">
        <v>36746</v>
      </c>
    </row>
    <row r="6599" spans="39:41" ht="12" customHeight="1" x14ac:dyDescent="0.2">
      <c r="AM6599" t="str">
        <f t="shared" si="103"/>
        <v>IVANA D [HRIVD]</v>
      </c>
      <c r="AN6599" t="s">
        <v>36743</v>
      </c>
      <c r="AO6599" t="s">
        <v>36744</v>
      </c>
    </row>
    <row r="6600" spans="39:41" ht="12" customHeight="1" x14ac:dyDescent="0.2">
      <c r="AM6600" t="str">
        <f t="shared" si="103"/>
        <v>IVANA E [HRIVE]</v>
      </c>
      <c r="AN6600" t="s">
        <v>36741</v>
      </c>
      <c r="AO6600" t="s">
        <v>36742</v>
      </c>
    </row>
    <row r="6601" spans="39:41" ht="12" customHeight="1" x14ac:dyDescent="0.2">
      <c r="AM6601" t="str">
        <f t="shared" si="103"/>
        <v>IVANA K [HRIVK]</v>
      </c>
      <c r="AN6601" t="s">
        <v>36739</v>
      </c>
      <c r="AO6601" t="s">
        <v>36740</v>
      </c>
    </row>
    <row r="6602" spans="39:41" ht="12" customHeight="1" x14ac:dyDescent="0.2">
      <c r="AM6602" t="str">
        <f t="shared" si="103"/>
        <v>Ivanovo [RUIVO]</v>
      </c>
      <c r="AN6602" t="s">
        <v>26953</v>
      </c>
      <c r="AO6602" t="s">
        <v>26954</v>
      </c>
    </row>
    <row r="6603" spans="39:41" ht="12" customHeight="1" x14ac:dyDescent="0.2">
      <c r="AM6603" t="str">
        <f t="shared" si="103"/>
        <v>Ivigtut [GLIUT]</v>
      </c>
      <c r="AN6603" t="s">
        <v>14984</v>
      </c>
      <c r="AO6603" t="s">
        <v>14985</v>
      </c>
    </row>
    <row r="6604" spans="39:41" ht="12" customHeight="1" x14ac:dyDescent="0.2">
      <c r="AM6604" t="str">
        <f t="shared" si="103"/>
        <v>Ivoz-Ramet [BEYRT]</v>
      </c>
      <c r="AN6604" t="s">
        <v>2572</v>
      </c>
      <c r="AO6604" t="s">
        <v>2573</v>
      </c>
    </row>
    <row r="6605" spans="39:41" ht="12" customHeight="1" x14ac:dyDescent="0.2">
      <c r="AM6605" t="str">
        <f t="shared" si="103"/>
        <v>Iwafune [JPIWH]</v>
      </c>
      <c r="AN6605" t="s">
        <v>19280</v>
      </c>
      <c r="AO6605" t="s">
        <v>19281</v>
      </c>
    </row>
    <row r="6606" spans="39:41" ht="12" customHeight="1" x14ac:dyDescent="0.2">
      <c r="AM6606" t="str">
        <f t="shared" si="103"/>
        <v>Iwagi,Ehime [JPIWG]</v>
      </c>
      <c r="AN6606" t="s">
        <v>19282</v>
      </c>
      <c r="AO6606" t="s">
        <v>19283</v>
      </c>
    </row>
    <row r="6607" spans="39:41" ht="12" customHeight="1" x14ac:dyDescent="0.2">
      <c r="AM6607" t="str">
        <f t="shared" si="103"/>
        <v>Iwaki [JPIWI]</v>
      </c>
      <c r="AN6607" t="s">
        <v>19284</v>
      </c>
      <c r="AO6607" t="s">
        <v>19285</v>
      </c>
    </row>
    <row r="6608" spans="39:41" ht="12" customHeight="1" x14ac:dyDescent="0.2">
      <c r="AM6608" t="str">
        <f t="shared" si="103"/>
        <v>Iwakuni [JPIWK]</v>
      </c>
      <c r="AN6608" t="s">
        <v>19286</v>
      </c>
      <c r="AO6608" t="s">
        <v>19287</v>
      </c>
    </row>
    <row r="6609" spans="39:41" ht="12" customHeight="1" x14ac:dyDescent="0.2">
      <c r="AM6609" t="str">
        <f t="shared" si="103"/>
        <v>Iwamatsu [JPIWA]</v>
      </c>
      <c r="AN6609" t="s">
        <v>19288</v>
      </c>
      <c r="AO6609" t="s">
        <v>19289</v>
      </c>
    </row>
    <row r="6610" spans="39:41" ht="12" customHeight="1" x14ac:dyDescent="0.2">
      <c r="AM6610" t="str">
        <f t="shared" si="103"/>
        <v>Iwanai [JPIWN]</v>
      </c>
      <c r="AN6610" t="s">
        <v>19290</v>
      </c>
      <c r="AO6610" t="s">
        <v>19291</v>
      </c>
    </row>
    <row r="6611" spans="39:41" ht="12" customHeight="1" x14ac:dyDescent="0.2">
      <c r="AM6611" t="str">
        <f t="shared" si="103"/>
        <v>Iwaya [JPIWY]</v>
      </c>
      <c r="AN6611" t="s">
        <v>19292</v>
      </c>
      <c r="AO6611" t="s">
        <v>19293</v>
      </c>
    </row>
    <row r="6612" spans="39:41" ht="12" customHeight="1" x14ac:dyDescent="0.2">
      <c r="AM6612" t="str">
        <f t="shared" si="103"/>
        <v>Iwayadomari [JPIDM]</v>
      </c>
      <c r="AN6612" t="s">
        <v>19294</v>
      </c>
      <c r="AO6612" t="s">
        <v>19295</v>
      </c>
    </row>
    <row r="6613" spans="39:41" ht="12" customHeight="1" x14ac:dyDescent="0.2">
      <c r="AM6613" t="str">
        <f t="shared" si="103"/>
        <v>Iwierzyce [PLIYC]</v>
      </c>
      <c r="AN6613" t="s">
        <v>26309</v>
      </c>
      <c r="AO6613" t="s">
        <v>26310</v>
      </c>
    </row>
    <row r="6614" spans="39:41" ht="12" customHeight="1" x14ac:dyDescent="0.2">
      <c r="AM6614" t="str">
        <f t="shared" si="103"/>
        <v>Iwojima, Kagoshima [JPIOU]</v>
      </c>
      <c r="AN6614" t="s">
        <v>19296</v>
      </c>
      <c r="AO6614" t="s">
        <v>19297</v>
      </c>
    </row>
    <row r="6615" spans="39:41" ht="12" customHeight="1" x14ac:dyDescent="0.2">
      <c r="AM6615" t="str">
        <f t="shared" si="103"/>
        <v>Iwojima, Nagasaki [JPIWT]</v>
      </c>
      <c r="AN6615" t="s">
        <v>19298</v>
      </c>
      <c r="AO6615" t="s">
        <v>19299</v>
      </c>
    </row>
    <row r="6616" spans="39:41" ht="12" customHeight="1" x14ac:dyDescent="0.2">
      <c r="AM6616" t="str">
        <f t="shared" si="103"/>
        <v>Iwojima, Tokyo [JPIWO]</v>
      </c>
      <c r="AN6616" t="s">
        <v>37011</v>
      </c>
      <c r="AO6616" t="s">
        <v>37012</v>
      </c>
    </row>
    <row r="6617" spans="39:41" ht="12" customHeight="1" x14ac:dyDescent="0.2">
      <c r="AM6617" t="str">
        <f t="shared" si="103"/>
        <v>Ixtapa/Zihuatanejo [MXZIH]</v>
      </c>
      <c r="AN6617" t="s">
        <v>22375</v>
      </c>
      <c r="AO6617" t="s">
        <v>22376</v>
      </c>
    </row>
    <row r="6618" spans="39:41" ht="12" customHeight="1" x14ac:dyDescent="0.2">
      <c r="AM6618" t="str">
        <f t="shared" si="103"/>
        <v>Ixtapaluca [MXZIP]</v>
      </c>
      <c r="AN6618" t="s">
        <v>22377</v>
      </c>
      <c r="AO6618" t="s">
        <v>22378</v>
      </c>
    </row>
    <row r="6619" spans="39:41" ht="12" customHeight="1" x14ac:dyDescent="0.2">
      <c r="AM6619" t="str">
        <f t="shared" si="103"/>
        <v>Iya [JPIYA]</v>
      </c>
      <c r="AN6619" t="s">
        <v>19300</v>
      </c>
      <c r="AO6619" t="s">
        <v>19301</v>
      </c>
    </row>
    <row r="6620" spans="39:41" ht="12" customHeight="1" x14ac:dyDescent="0.2">
      <c r="AM6620" t="str">
        <f t="shared" si="103"/>
        <v>Iyo [JPIYO]</v>
      </c>
      <c r="AN6620" t="s">
        <v>19302</v>
      </c>
      <c r="AO6620" t="s">
        <v>19303</v>
      </c>
    </row>
    <row r="6621" spans="39:41" ht="12" customHeight="1" x14ac:dyDescent="0.2">
      <c r="AM6621" t="str">
        <f t="shared" si="103"/>
        <v>Iyomishima [JPIYM]</v>
      </c>
      <c r="AN6621" t="s">
        <v>19304</v>
      </c>
      <c r="AO6621" t="s">
        <v>19305</v>
      </c>
    </row>
    <row r="6622" spans="39:41" ht="12" customHeight="1" x14ac:dyDescent="0.2">
      <c r="AM6622" t="str">
        <f t="shared" si="103"/>
        <v>IZABELA JUG [HRIZJ]</v>
      </c>
      <c r="AN6622" t="s">
        <v>36737</v>
      </c>
      <c r="AO6622" t="s">
        <v>36738</v>
      </c>
    </row>
    <row r="6623" spans="39:41" ht="12" customHeight="1" x14ac:dyDescent="0.2">
      <c r="AM6623" t="str">
        <f t="shared" si="103"/>
        <v>IZABELA SJEVER [HRIZS]</v>
      </c>
      <c r="AN6623" t="s">
        <v>36735</v>
      </c>
      <c r="AO6623" t="s">
        <v>36736</v>
      </c>
    </row>
    <row r="6624" spans="39:41" ht="12" customHeight="1" x14ac:dyDescent="0.2">
      <c r="AM6624" t="str">
        <f t="shared" si="103"/>
        <v>Izegem [BEIZG]</v>
      </c>
      <c r="AN6624" t="s">
        <v>2574</v>
      </c>
      <c r="AO6624" t="s">
        <v>2575</v>
      </c>
    </row>
    <row r="6625" spans="39:41" ht="12" customHeight="1" x14ac:dyDescent="0.2">
      <c r="AM6625" t="str">
        <f t="shared" si="103"/>
        <v>Izmail [UAIZM]</v>
      </c>
      <c r="AN6625" t="s">
        <v>28747</v>
      </c>
      <c r="AO6625" t="s">
        <v>28748</v>
      </c>
    </row>
    <row r="6626" spans="39:41" ht="12" customHeight="1" x14ac:dyDescent="0.2">
      <c r="AM6626" t="str">
        <f t="shared" si="103"/>
        <v>Izmir [TRIZM]</v>
      </c>
      <c r="AN6626" t="s">
        <v>28511</v>
      </c>
      <c r="AO6626" t="s">
        <v>28512</v>
      </c>
    </row>
    <row r="6627" spans="39:41" ht="12" customHeight="1" x14ac:dyDescent="0.2">
      <c r="AM6627" t="str">
        <f t="shared" si="103"/>
        <v>Izmit [TRIZT]</v>
      </c>
      <c r="AN6627" t="s">
        <v>28513</v>
      </c>
      <c r="AO6627" t="s">
        <v>28514</v>
      </c>
    </row>
    <row r="6628" spans="39:41" ht="12" customHeight="1" x14ac:dyDescent="0.2">
      <c r="AM6628" t="str">
        <f t="shared" si="103"/>
        <v>Izmit [ZARSS]</v>
      </c>
      <c r="AN6628" t="s">
        <v>32689</v>
      </c>
      <c r="AO6628" t="s">
        <v>28514</v>
      </c>
    </row>
    <row r="6629" spans="39:41" ht="12" customHeight="1" x14ac:dyDescent="0.2">
      <c r="AM6629" t="str">
        <f t="shared" si="103"/>
        <v>Izola [SIIZO]</v>
      </c>
      <c r="AN6629" t="s">
        <v>28000</v>
      </c>
      <c r="AO6629" t="s">
        <v>28001</v>
      </c>
    </row>
    <row r="6630" spans="39:41" ht="12" customHeight="1" x14ac:dyDescent="0.2">
      <c r="AM6630" t="str">
        <f t="shared" si="103"/>
        <v>Izon [FRIZO]</v>
      </c>
      <c r="AN6630" t="s">
        <v>11415</v>
      </c>
      <c r="AO6630" t="s">
        <v>11416</v>
      </c>
    </row>
    <row r="6631" spans="39:41" ht="12" customHeight="1" x14ac:dyDescent="0.2">
      <c r="AM6631" t="str">
        <f t="shared" si="103"/>
        <v>Izuhara [JPIZH]</v>
      </c>
      <c r="AN6631" t="s">
        <v>19306</v>
      </c>
      <c r="AO6631" t="s">
        <v>19307</v>
      </c>
    </row>
    <row r="6632" spans="39:41" ht="12" customHeight="1" x14ac:dyDescent="0.2">
      <c r="AM6632" t="str">
        <f t="shared" si="103"/>
        <v>Izuka [JPIZU]</v>
      </c>
      <c r="AN6632" t="s">
        <v>19308</v>
      </c>
      <c r="AO6632" t="s">
        <v>19309</v>
      </c>
    </row>
    <row r="6633" spans="39:41" ht="12" customHeight="1" x14ac:dyDescent="0.2">
      <c r="AM6633" t="str">
        <f t="shared" si="103"/>
        <v>Izumi, Aichi [JPIZM]</v>
      </c>
      <c r="AN6633" t="s">
        <v>19310</v>
      </c>
      <c r="AO6633" t="s">
        <v>19311</v>
      </c>
    </row>
    <row r="6634" spans="39:41" ht="12" customHeight="1" x14ac:dyDescent="0.2">
      <c r="AM6634" t="str">
        <f t="shared" si="103"/>
        <v>Izumi, Nagasaki [JPIZI]</v>
      </c>
      <c r="AN6634" t="s">
        <v>19312</v>
      </c>
      <c r="AO6634" t="s">
        <v>19313</v>
      </c>
    </row>
    <row r="6635" spans="39:41" ht="12" customHeight="1" x14ac:dyDescent="0.2">
      <c r="AM6635" t="str">
        <f t="shared" si="103"/>
        <v>Izumisano [JPIZS]</v>
      </c>
      <c r="AN6635" t="s">
        <v>19314</v>
      </c>
      <c r="AO6635" t="s">
        <v>19315</v>
      </c>
    </row>
    <row r="6636" spans="39:41" ht="12" customHeight="1" x14ac:dyDescent="0.2">
      <c r="AM6636" t="str">
        <f t="shared" si="103"/>
        <v>Izumo [JPIZO]</v>
      </c>
      <c r="AN6636" t="s">
        <v>19316</v>
      </c>
      <c r="AO6636" t="s">
        <v>19317</v>
      </c>
    </row>
    <row r="6637" spans="39:41" ht="12" customHeight="1" x14ac:dyDescent="0.2">
      <c r="AM6637" t="str">
        <f t="shared" si="103"/>
        <v>Jaagupi [EEJGP]</v>
      </c>
      <c r="AN6637" t="s">
        <v>9162</v>
      </c>
      <c r="AO6637" t="s">
        <v>9163</v>
      </c>
    </row>
    <row r="6638" spans="39:41" ht="12" customHeight="1" x14ac:dyDescent="0.2">
      <c r="AM6638" t="str">
        <f t="shared" si="103"/>
        <v>Jababeka [IDJBK]</v>
      </c>
      <c r="AN6638" t="s">
        <v>16279</v>
      </c>
      <c r="AO6638" t="s">
        <v>16280</v>
      </c>
    </row>
    <row r="6639" spans="39:41" ht="12" customHeight="1" x14ac:dyDescent="0.2">
      <c r="AM6639" t="str">
        <f t="shared" si="103"/>
        <v>Jabbeke [BEJBE]</v>
      </c>
      <c r="AN6639" t="s">
        <v>36777</v>
      </c>
      <c r="AO6639" t="s">
        <v>36778</v>
      </c>
    </row>
    <row r="6640" spans="39:41" ht="12" customHeight="1" x14ac:dyDescent="0.2">
      <c r="AM6640" t="str">
        <f t="shared" si="103"/>
        <v>Jabiru Venture (oil terminal) [AUJOV]</v>
      </c>
      <c r="AN6640" t="s">
        <v>1755</v>
      </c>
      <c r="AO6640" t="s">
        <v>1756</v>
      </c>
    </row>
    <row r="6641" spans="39:41" ht="12" customHeight="1" x14ac:dyDescent="0.2">
      <c r="AM6641" t="str">
        <f t="shared" si="103"/>
        <v>Jablanac [HRJAB]</v>
      </c>
      <c r="AN6641" t="s">
        <v>15754</v>
      </c>
      <c r="AO6641" t="s">
        <v>15755</v>
      </c>
    </row>
    <row r="6642" spans="39:41" ht="12" customHeight="1" x14ac:dyDescent="0.2">
      <c r="AM6642" t="str">
        <f t="shared" si="103"/>
        <v>Jablanica [BAJBA]</v>
      </c>
      <c r="AN6642" t="s">
        <v>2172</v>
      </c>
      <c r="AO6642" t="s">
        <v>2173</v>
      </c>
    </row>
    <row r="6643" spans="39:41" ht="12" customHeight="1" x14ac:dyDescent="0.2">
      <c r="AM6643" t="str">
        <f t="shared" si="103"/>
        <v>Jablonne nad Orlici [CZJAB]</v>
      </c>
      <c r="AN6643" t="s">
        <v>6851</v>
      </c>
      <c r="AO6643" t="s">
        <v>35402</v>
      </c>
    </row>
    <row r="6644" spans="39:41" ht="12" customHeight="1" x14ac:dyDescent="0.2">
      <c r="AM6644" t="str">
        <f t="shared" si="103"/>
        <v>Jabung Terminal [IDJBT]</v>
      </c>
      <c r="AN6644" t="s">
        <v>16281</v>
      </c>
      <c r="AO6644" t="s">
        <v>16282</v>
      </c>
    </row>
    <row r="6645" spans="39:41" ht="12" customHeight="1" x14ac:dyDescent="0.2">
      <c r="AM6645" t="str">
        <f t="shared" si="103"/>
        <v>Jackman [USJAM]</v>
      </c>
      <c r="AN6645" t="s">
        <v>30198</v>
      </c>
      <c r="AO6645" t="s">
        <v>30199</v>
      </c>
    </row>
    <row r="6646" spans="39:41" ht="12" customHeight="1" x14ac:dyDescent="0.2">
      <c r="AM6646" t="str">
        <f t="shared" si="103"/>
        <v>Jacksboro [USJQK]</v>
      </c>
      <c r="AN6646" t="s">
        <v>30200</v>
      </c>
      <c r="AO6646" t="s">
        <v>30201</v>
      </c>
    </row>
    <row r="6647" spans="39:41" ht="12" customHeight="1" x14ac:dyDescent="0.2">
      <c r="AM6647" t="str">
        <f t="shared" si="103"/>
        <v>Jackson [USJS3]</v>
      </c>
      <c r="AN6647" t="s">
        <v>30202</v>
      </c>
      <c r="AO6647" t="s">
        <v>30203</v>
      </c>
    </row>
    <row r="6648" spans="39:41" ht="12" customHeight="1" x14ac:dyDescent="0.2">
      <c r="AM6648" t="str">
        <f t="shared" ref="AM6648:AM6711" si="104">AO6648 &amp; " [" &amp; AN6648 &amp; "]"</f>
        <v>Jackson Arm [CAJAC]</v>
      </c>
      <c r="AN6648" t="s">
        <v>3967</v>
      </c>
      <c r="AO6648" t="s">
        <v>3968</v>
      </c>
    </row>
    <row r="6649" spans="39:41" ht="12" customHeight="1" x14ac:dyDescent="0.2">
      <c r="AM6649" t="str">
        <f t="shared" si="104"/>
        <v>Jacksonville [USJAX]</v>
      </c>
      <c r="AN6649" t="s">
        <v>30204</v>
      </c>
      <c r="AO6649" t="s">
        <v>30205</v>
      </c>
    </row>
    <row r="6650" spans="39:41" ht="12" customHeight="1" x14ac:dyDescent="0.2">
      <c r="AM6650" t="str">
        <f t="shared" si="104"/>
        <v>Jacksonville [USJ3C]</v>
      </c>
      <c r="AN6650" t="s">
        <v>30206</v>
      </c>
      <c r="AO6650" t="s">
        <v>30205</v>
      </c>
    </row>
    <row r="6651" spans="39:41" ht="12" customHeight="1" x14ac:dyDescent="0.2">
      <c r="AM6651" t="str">
        <f t="shared" si="104"/>
        <v>Jacmel [HTJAK]</v>
      </c>
      <c r="AN6651" t="s">
        <v>16034</v>
      </c>
      <c r="AO6651" t="s">
        <v>16035</v>
      </c>
    </row>
    <row r="6652" spans="39:41" ht="12" customHeight="1" x14ac:dyDescent="0.2">
      <c r="AM6652" t="str">
        <f t="shared" si="104"/>
        <v>Jacqueville [CIJAC]</v>
      </c>
      <c r="AN6652" t="s">
        <v>4789</v>
      </c>
      <c r="AO6652" t="s">
        <v>4790</v>
      </c>
    </row>
    <row r="6653" spans="39:41" ht="12" customHeight="1" x14ac:dyDescent="0.2">
      <c r="AM6653" t="str">
        <f t="shared" si="104"/>
        <v>Jadrija [HRJDR]</v>
      </c>
      <c r="AN6653" t="s">
        <v>15756</v>
      </c>
      <c r="AO6653" t="s">
        <v>15757</v>
      </c>
    </row>
    <row r="6654" spans="39:41" ht="12" customHeight="1" x14ac:dyDescent="0.2">
      <c r="AM6654" t="str">
        <f t="shared" si="104"/>
        <v>Jafarabad [INJBD]</v>
      </c>
      <c r="AN6654" t="s">
        <v>17174</v>
      </c>
      <c r="AO6654" t="s">
        <v>17175</v>
      </c>
    </row>
    <row r="6655" spans="39:41" ht="12" customHeight="1" x14ac:dyDescent="0.2">
      <c r="AM6655" t="str">
        <f t="shared" si="104"/>
        <v>Jaffna [LKJAF]</v>
      </c>
      <c r="AN6655" t="s">
        <v>21827</v>
      </c>
      <c r="AO6655" t="s">
        <v>21828</v>
      </c>
    </row>
    <row r="6656" spans="39:41" ht="12" customHeight="1" x14ac:dyDescent="0.2">
      <c r="AM6656" t="str">
        <f t="shared" si="104"/>
        <v>Jagna [PHJAG]</v>
      </c>
      <c r="AN6656" t="s">
        <v>25799</v>
      </c>
      <c r="AO6656" t="s">
        <v>25800</v>
      </c>
    </row>
    <row r="6657" spans="39:41" ht="12" customHeight="1" x14ac:dyDescent="0.2">
      <c r="AM6657" t="str">
        <f t="shared" si="104"/>
        <v>Jaguariaiva [BRJRV]</v>
      </c>
      <c r="AN6657" t="s">
        <v>3330</v>
      </c>
      <c r="AO6657" t="s">
        <v>35296</v>
      </c>
    </row>
    <row r="6658" spans="39:41" ht="12" customHeight="1" x14ac:dyDescent="0.2">
      <c r="AM6658" t="str">
        <f t="shared" si="104"/>
        <v>Jaigad [INJGD]</v>
      </c>
      <c r="AN6658" t="s">
        <v>17176</v>
      </c>
      <c r="AO6658" t="s">
        <v>17177</v>
      </c>
    </row>
    <row r="6659" spans="39:41" ht="12" customHeight="1" x14ac:dyDescent="0.2">
      <c r="AM6659" t="str">
        <f t="shared" si="104"/>
        <v>Jaipur-Kanakpura [INKKU]</v>
      </c>
      <c r="AN6659" t="s">
        <v>17178</v>
      </c>
      <c r="AO6659" t="s">
        <v>17179</v>
      </c>
    </row>
    <row r="6660" spans="39:41" ht="12" customHeight="1" x14ac:dyDescent="0.2">
      <c r="AM6660" t="str">
        <f t="shared" si="104"/>
        <v>Jaitapur [INJTP]</v>
      </c>
      <c r="AN6660" t="s">
        <v>17180</v>
      </c>
      <c r="AO6660" t="s">
        <v>17181</v>
      </c>
    </row>
    <row r="6661" spans="39:41" ht="12" customHeight="1" x14ac:dyDescent="0.2">
      <c r="AM6661" t="str">
        <f t="shared" si="104"/>
        <v>Jakarta Pusat [IDJPU]</v>
      </c>
      <c r="AN6661" t="s">
        <v>34965</v>
      </c>
      <c r="AO6661" t="s">
        <v>34966</v>
      </c>
    </row>
    <row r="6662" spans="39:41" ht="12" customHeight="1" x14ac:dyDescent="0.2">
      <c r="AM6662" t="str">
        <f t="shared" si="104"/>
        <v>Jakarta UTC1 [IDUTC]</v>
      </c>
      <c r="AN6662" t="s">
        <v>16283</v>
      </c>
      <c r="AO6662" t="s">
        <v>16284</v>
      </c>
    </row>
    <row r="6663" spans="39:41" ht="12" customHeight="1" x14ac:dyDescent="0.2">
      <c r="AM6663" t="str">
        <f t="shared" si="104"/>
        <v>Jakarta UTC3 [IDUTE]</v>
      </c>
      <c r="AN6663" t="s">
        <v>16285</v>
      </c>
      <c r="AO6663" t="s">
        <v>16286</v>
      </c>
    </row>
    <row r="6664" spans="39:41" ht="12" customHeight="1" x14ac:dyDescent="0.2">
      <c r="AM6664" t="str">
        <f t="shared" si="104"/>
        <v>Jakarta, Java [IDJKT]</v>
      </c>
      <c r="AN6664" t="s">
        <v>16287</v>
      </c>
      <c r="AO6664" t="s">
        <v>16288</v>
      </c>
    </row>
    <row r="6665" spans="39:41" ht="12" customHeight="1" x14ac:dyDescent="0.2">
      <c r="AM6665" t="str">
        <f t="shared" si="104"/>
        <v>Jakhau [INJAK]</v>
      </c>
      <c r="AN6665" t="s">
        <v>17182</v>
      </c>
      <c r="AO6665" t="s">
        <v>17183</v>
      </c>
    </row>
    <row r="6666" spans="39:41" ht="12" customHeight="1" x14ac:dyDescent="0.2">
      <c r="AM6666" t="str">
        <f t="shared" si="104"/>
        <v>Jakobsnes [NOJAN]</v>
      </c>
      <c r="AN6666" t="s">
        <v>24306</v>
      </c>
      <c r="AO6666" t="s">
        <v>24307</v>
      </c>
    </row>
    <row r="6667" spans="39:41" ht="12" customHeight="1" x14ac:dyDescent="0.2">
      <c r="AM6667" t="str">
        <f t="shared" si="104"/>
        <v>Jakobstad (Pietarsaari) [FIPRS]</v>
      </c>
      <c r="AN6667" t="s">
        <v>10378</v>
      </c>
      <c r="AO6667" t="s">
        <v>10379</v>
      </c>
    </row>
    <row r="6668" spans="39:41" ht="12" customHeight="1" x14ac:dyDescent="0.2">
      <c r="AM6668" t="str">
        <f t="shared" si="104"/>
        <v>Jakolof Bay [USJKF]</v>
      </c>
      <c r="AN6668" t="s">
        <v>30207</v>
      </c>
      <c r="AO6668" t="s">
        <v>30208</v>
      </c>
    </row>
    <row r="6669" spans="39:41" ht="12" customHeight="1" x14ac:dyDescent="0.2">
      <c r="AM6669" t="str">
        <f t="shared" si="104"/>
        <v>Jamaica [USJA2]</v>
      </c>
      <c r="AN6669" t="s">
        <v>30209</v>
      </c>
      <c r="AO6669" t="s">
        <v>30210</v>
      </c>
    </row>
    <row r="6670" spans="39:41" ht="12" customHeight="1" x14ac:dyDescent="0.2">
      <c r="AM6670" t="str">
        <f t="shared" si="104"/>
        <v>Jambes [BEJAM]</v>
      </c>
      <c r="AN6670" t="s">
        <v>2576</v>
      </c>
      <c r="AO6670" t="s">
        <v>2577</v>
      </c>
    </row>
    <row r="6671" spans="39:41" ht="12" customHeight="1" x14ac:dyDescent="0.2">
      <c r="AM6671" t="str">
        <f t="shared" si="104"/>
        <v>Jambi, Sumatra [IDDJB]</v>
      </c>
      <c r="AN6671" t="s">
        <v>16289</v>
      </c>
      <c r="AO6671" t="s">
        <v>16290</v>
      </c>
    </row>
    <row r="6672" spans="39:41" ht="12" customHeight="1" x14ac:dyDescent="0.2">
      <c r="AM6672" t="str">
        <f t="shared" si="104"/>
        <v>Jambongan, Sabah [MYJAM]</v>
      </c>
      <c r="AN6672" t="s">
        <v>22554</v>
      </c>
      <c r="AO6672" t="s">
        <v>22555</v>
      </c>
    </row>
    <row r="6673" spans="39:41" ht="12" customHeight="1" x14ac:dyDescent="0.2">
      <c r="AM6673" t="str">
        <f t="shared" si="104"/>
        <v>Jamesburg [USJMB]</v>
      </c>
      <c r="AN6673" t="s">
        <v>30211</v>
      </c>
      <c r="AO6673" t="s">
        <v>30212</v>
      </c>
    </row>
    <row r="6674" spans="39:41" ht="12" customHeight="1" x14ac:dyDescent="0.2">
      <c r="AM6674" t="str">
        <f t="shared" si="104"/>
        <v>Jamesport [USJPY]</v>
      </c>
      <c r="AN6674" t="s">
        <v>30213</v>
      </c>
      <c r="AO6674" t="s">
        <v>30214</v>
      </c>
    </row>
    <row r="6675" spans="39:41" ht="12" customHeight="1" x14ac:dyDescent="0.2">
      <c r="AM6675" t="str">
        <f t="shared" si="104"/>
        <v>Jamestown [SHSHN]</v>
      </c>
      <c r="AN6675" t="s">
        <v>27994</v>
      </c>
      <c r="AO6675" t="s">
        <v>27995</v>
      </c>
    </row>
    <row r="6676" spans="39:41" ht="12" customHeight="1" x14ac:dyDescent="0.2">
      <c r="AM6676" t="str">
        <f t="shared" si="104"/>
        <v>Jammu [INIXJ]</v>
      </c>
      <c r="AN6676" t="s">
        <v>17184</v>
      </c>
      <c r="AO6676" t="s">
        <v>17185</v>
      </c>
    </row>
    <row r="6677" spans="39:41" ht="12" customHeight="1" x14ac:dyDescent="0.2">
      <c r="AM6677" t="str">
        <f t="shared" si="104"/>
        <v>Jan Mayen [SJJAM]</v>
      </c>
      <c r="AN6677" t="s">
        <v>37163</v>
      </c>
      <c r="AO6677" t="s">
        <v>37164</v>
      </c>
    </row>
    <row r="6678" spans="39:41" ht="12" customHeight="1" x14ac:dyDescent="0.2">
      <c r="AM6678" t="str">
        <f t="shared" si="104"/>
        <v>Janakkala [FIJAN]</v>
      </c>
      <c r="AN6678" t="s">
        <v>10380</v>
      </c>
      <c r="AO6678" t="s">
        <v>10381</v>
      </c>
    </row>
    <row r="6679" spans="39:41" ht="12" customHeight="1" x14ac:dyDescent="0.2">
      <c r="AM6679" t="str">
        <f t="shared" si="104"/>
        <v>Janesville [USJVL]</v>
      </c>
      <c r="AN6679" t="s">
        <v>30215</v>
      </c>
      <c r="AO6679" t="s">
        <v>30216</v>
      </c>
    </row>
    <row r="6680" spans="39:41" ht="12" customHeight="1" x14ac:dyDescent="0.2">
      <c r="AM6680" t="str">
        <f t="shared" si="104"/>
        <v>Jang Bogo Station [AQJBS]</v>
      </c>
      <c r="AN6680" t="s">
        <v>932</v>
      </c>
      <c r="AO6680" t="s">
        <v>933</v>
      </c>
    </row>
    <row r="6681" spans="39:41" ht="12" customHeight="1" x14ac:dyDescent="0.2">
      <c r="AM6681" t="str">
        <f t="shared" si="104"/>
        <v>Janghang/Seocheon-gun [KRCHG]</v>
      </c>
      <c r="AN6681" t="s">
        <v>21672</v>
      </c>
      <c r="AO6681" t="s">
        <v>21673</v>
      </c>
    </row>
    <row r="6682" spans="39:41" ht="12" customHeight="1" x14ac:dyDescent="0.2">
      <c r="AM6682" t="str">
        <f t="shared" si="104"/>
        <v>Janowiec [PLLUU]</v>
      </c>
      <c r="AN6682" t="s">
        <v>26311</v>
      </c>
      <c r="AO6682" t="s">
        <v>26312</v>
      </c>
    </row>
    <row r="6683" spans="39:41" ht="12" customHeight="1" x14ac:dyDescent="0.2">
      <c r="AM6683" t="str">
        <f t="shared" si="104"/>
        <v>Japons [ATJPS]</v>
      </c>
      <c r="AN6683" t="s">
        <v>1242</v>
      </c>
      <c r="AO6683" t="s">
        <v>1243</v>
      </c>
    </row>
    <row r="6684" spans="39:41" ht="12" customHeight="1" x14ac:dyDescent="0.2">
      <c r="AM6684" t="str">
        <f t="shared" si="104"/>
        <v>Jarenina [SIJAR]</v>
      </c>
      <c r="AN6684" t="s">
        <v>28002</v>
      </c>
      <c r="AO6684" t="s">
        <v>28003</v>
      </c>
    </row>
    <row r="6685" spans="39:41" ht="12" customHeight="1" x14ac:dyDescent="0.2">
      <c r="AM6685" t="str">
        <f t="shared" si="104"/>
        <v>Jarfalla [SEJAR]</v>
      </c>
      <c r="AN6685" t="s">
        <v>27649</v>
      </c>
      <c r="AO6685" t="s">
        <v>36458</v>
      </c>
    </row>
    <row r="6686" spans="39:41" ht="12" customHeight="1" x14ac:dyDescent="0.2">
      <c r="AM6686" t="str">
        <f t="shared" si="104"/>
        <v>Jaristea [ROJRT]</v>
      </c>
      <c r="AN6686" t="s">
        <v>26769</v>
      </c>
      <c r="AO6686" t="s">
        <v>26770</v>
      </c>
    </row>
    <row r="6687" spans="39:41" ht="12" customHeight="1" x14ac:dyDescent="0.2">
      <c r="AM6687" t="str">
        <f t="shared" si="104"/>
        <v>Jarjis [TNJAR]</v>
      </c>
      <c r="AN6687" t="s">
        <v>28347</v>
      </c>
      <c r="AO6687" t="s">
        <v>28348</v>
      </c>
    </row>
    <row r="6688" spans="39:41" ht="12" customHeight="1" x14ac:dyDescent="0.2">
      <c r="AM6688" t="str">
        <f t="shared" si="104"/>
        <v>Jarlsoy [NOJOY]</v>
      </c>
      <c r="AN6688" t="s">
        <v>24308</v>
      </c>
      <c r="AO6688" t="s">
        <v>36210</v>
      </c>
    </row>
    <row r="6689" spans="39:41" ht="12" customHeight="1" x14ac:dyDescent="0.2">
      <c r="AM6689" t="str">
        <f t="shared" si="104"/>
        <v>Jarrahdale [AUJAR]</v>
      </c>
      <c r="AN6689" t="s">
        <v>1757</v>
      </c>
      <c r="AO6689" t="s">
        <v>1758</v>
      </c>
    </row>
    <row r="6690" spans="39:41" ht="12" customHeight="1" x14ac:dyDescent="0.2">
      <c r="AM6690" t="str">
        <f t="shared" si="104"/>
        <v>Jarrow [GBJAR]</v>
      </c>
      <c r="AN6690" t="s">
        <v>13497</v>
      </c>
      <c r="AO6690" t="s">
        <v>13498</v>
      </c>
    </row>
    <row r="6691" spans="39:41" ht="12" customHeight="1" x14ac:dyDescent="0.2">
      <c r="AM6691" t="str">
        <f t="shared" si="104"/>
        <v>Jarry [GPJAR]</v>
      </c>
      <c r="AN6691" t="s">
        <v>15055</v>
      </c>
      <c r="AO6691" t="s">
        <v>15056</v>
      </c>
    </row>
    <row r="6692" spans="39:41" ht="12" customHeight="1" x14ac:dyDescent="0.2">
      <c r="AM6692" t="str">
        <f t="shared" si="104"/>
        <v>Jasaan [PHJAS]</v>
      </c>
      <c r="AN6692" t="s">
        <v>25801</v>
      </c>
      <c r="AO6692" t="s">
        <v>25802</v>
      </c>
    </row>
    <row r="6693" spans="39:41" ht="12" customHeight="1" x14ac:dyDescent="0.2">
      <c r="AM6693" t="str">
        <f t="shared" si="104"/>
        <v>Jaszarokszallas [HUJKZ]</v>
      </c>
      <c r="AN6693" t="s">
        <v>16094</v>
      </c>
      <c r="AO6693" t="s">
        <v>36016</v>
      </c>
    </row>
    <row r="6694" spans="39:41" ht="12" customHeight="1" x14ac:dyDescent="0.2">
      <c r="AM6694" t="str">
        <f t="shared" si="104"/>
        <v>Jatterson [SEJAT]</v>
      </c>
      <c r="AN6694" t="s">
        <v>27650</v>
      </c>
      <c r="AO6694" t="s">
        <v>36459</v>
      </c>
    </row>
    <row r="6695" spans="39:41" ht="12" customHeight="1" x14ac:dyDescent="0.2">
      <c r="AM6695" t="str">
        <f t="shared" si="104"/>
        <v>Java [BEJAV]</v>
      </c>
      <c r="AN6695" t="s">
        <v>2578</v>
      </c>
      <c r="AO6695" t="s">
        <v>2579</v>
      </c>
    </row>
    <row r="6696" spans="39:41" ht="12" customHeight="1" x14ac:dyDescent="0.2">
      <c r="AM6696" t="str">
        <f t="shared" si="104"/>
        <v>Javea [ESJAV]</v>
      </c>
      <c r="AN6696" t="s">
        <v>9851</v>
      </c>
      <c r="AO6696" t="s">
        <v>35674</v>
      </c>
    </row>
    <row r="6697" spans="39:41" ht="12" customHeight="1" x14ac:dyDescent="0.2">
      <c r="AM6697" t="str">
        <f t="shared" si="104"/>
        <v>Javrezac [FRJAV]</v>
      </c>
      <c r="AN6697" t="s">
        <v>11417</v>
      </c>
      <c r="AO6697" t="s">
        <v>11418</v>
      </c>
    </row>
    <row r="6698" spans="39:41" ht="12" customHeight="1" x14ac:dyDescent="0.2">
      <c r="AM6698" t="str">
        <f t="shared" si="104"/>
        <v>Jawa Timur [IDJWA]</v>
      </c>
      <c r="AN6698" t="s">
        <v>34967</v>
      </c>
      <c r="AO6698" t="s">
        <v>34968</v>
      </c>
    </row>
    <row r="6699" spans="39:41" ht="12" customHeight="1" x14ac:dyDescent="0.2">
      <c r="AM6699" t="str">
        <f t="shared" si="104"/>
        <v>Jawaharlal Nehru (Nhava Sheva) [INNSA]</v>
      </c>
      <c r="AN6699" t="s">
        <v>17186</v>
      </c>
      <c r="AO6699" t="s">
        <v>17187</v>
      </c>
    </row>
    <row r="6700" spans="39:41" ht="12" customHeight="1" x14ac:dyDescent="0.2">
      <c r="AM6700" t="str">
        <f t="shared" si="104"/>
        <v>Jay [USJAY]</v>
      </c>
      <c r="AN6700" t="s">
        <v>30217</v>
      </c>
      <c r="AO6700" t="s">
        <v>30218</v>
      </c>
    </row>
    <row r="6701" spans="39:41" ht="12" customHeight="1" x14ac:dyDescent="0.2">
      <c r="AM6701" t="str">
        <f t="shared" si="104"/>
        <v>Jaya Container Terminal [LKJCT]</v>
      </c>
      <c r="AN6701" t="s">
        <v>21829</v>
      </c>
      <c r="AO6701" t="s">
        <v>21830</v>
      </c>
    </row>
    <row r="6702" spans="39:41" ht="12" customHeight="1" x14ac:dyDescent="0.2">
      <c r="AM6702" t="str">
        <f t="shared" si="104"/>
        <v>Jayapura, Irian Jaya [IDDJJ]</v>
      </c>
      <c r="AN6702" t="s">
        <v>16291</v>
      </c>
      <c r="AO6702" t="s">
        <v>16292</v>
      </c>
    </row>
    <row r="6703" spans="39:41" ht="12" customHeight="1" x14ac:dyDescent="0.2">
      <c r="AM6703" t="str">
        <f t="shared" si="104"/>
        <v>Jebel Ali [AEJEA]</v>
      </c>
      <c r="AN6703" t="s">
        <v>735</v>
      </c>
      <c r="AO6703" t="s">
        <v>736</v>
      </c>
    </row>
    <row r="6704" spans="39:41" ht="12" customHeight="1" x14ac:dyDescent="0.2">
      <c r="AM6704" t="str">
        <f t="shared" si="104"/>
        <v>Jebel Ali Free Zone [AEQWE]</v>
      </c>
      <c r="AN6704" t="s">
        <v>737</v>
      </c>
      <c r="AO6704" t="s">
        <v>738</v>
      </c>
    </row>
    <row r="6705" spans="39:41" ht="12" customHeight="1" x14ac:dyDescent="0.2">
      <c r="AM6705" t="str">
        <f t="shared" si="104"/>
        <v>Jebel Dhana [KWJBD]</v>
      </c>
      <c r="AN6705" t="s">
        <v>21756</v>
      </c>
      <c r="AO6705" t="s">
        <v>21757</v>
      </c>
    </row>
    <row r="6706" spans="39:41" ht="12" customHeight="1" x14ac:dyDescent="0.2">
      <c r="AM6706" t="str">
        <f t="shared" si="104"/>
        <v>Jebel Dhanna [AEJED]</v>
      </c>
      <c r="AN6706" t="s">
        <v>739</v>
      </c>
      <c r="AO6706" t="s">
        <v>740</v>
      </c>
    </row>
    <row r="6707" spans="39:41" ht="12" customHeight="1" x14ac:dyDescent="0.2">
      <c r="AM6707" t="str">
        <f t="shared" si="104"/>
        <v>Jeddah [SAJED]</v>
      </c>
      <c r="AN6707" t="s">
        <v>27388</v>
      </c>
      <c r="AO6707" t="s">
        <v>27389</v>
      </c>
    </row>
    <row r="6708" spans="39:41" ht="12" customHeight="1" x14ac:dyDescent="0.2">
      <c r="AM6708" t="str">
        <f t="shared" si="104"/>
        <v>Jedlina-Zdroj [PLJDZ]</v>
      </c>
      <c r="AN6708" t="s">
        <v>26313</v>
      </c>
      <c r="AO6708" t="s">
        <v>36366</v>
      </c>
    </row>
    <row r="6709" spans="39:41" ht="12" customHeight="1" x14ac:dyDescent="0.2">
      <c r="AM6709" t="str">
        <f t="shared" si="104"/>
        <v>Jefferson [USJFZ]</v>
      </c>
      <c r="AN6709" t="s">
        <v>30219</v>
      </c>
      <c r="AO6709" t="s">
        <v>30220</v>
      </c>
    </row>
    <row r="6710" spans="39:41" ht="12" customHeight="1" x14ac:dyDescent="0.2">
      <c r="AM6710" t="str">
        <f t="shared" si="104"/>
        <v>Jefferson Hills [USJE2]</v>
      </c>
      <c r="AN6710" t="s">
        <v>30221</v>
      </c>
      <c r="AO6710" t="s">
        <v>30222</v>
      </c>
    </row>
    <row r="6711" spans="39:41" ht="12" customHeight="1" x14ac:dyDescent="0.2">
      <c r="AM6711" t="str">
        <f t="shared" si="104"/>
        <v>Jeffersonville [USZJ9]</v>
      </c>
      <c r="AN6711" t="s">
        <v>30223</v>
      </c>
      <c r="AO6711" t="s">
        <v>30224</v>
      </c>
    </row>
    <row r="6712" spans="39:41" ht="12" customHeight="1" x14ac:dyDescent="0.2">
      <c r="AM6712" t="str">
        <f t="shared" ref="AM6712:AM6775" si="105">AO6712 &amp; " [" &amp; AN6712 &amp; "]"</f>
        <v>Jeju [KRCHA]</v>
      </c>
      <c r="AN6712" t="s">
        <v>21674</v>
      </c>
      <c r="AO6712" t="s">
        <v>21675</v>
      </c>
    </row>
    <row r="6713" spans="39:41" ht="12" customHeight="1" x14ac:dyDescent="0.2">
      <c r="AM6713" t="str">
        <f t="shared" si="105"/>
        <v>Jekabpils [LVJPS]</v>
      </c>
      <c r="AN6713" t="s">
        <v>21927</v>
      </c>
      <c r="AO6713" t="s">
        <v>21928</v>
      </c>
    </row>
    <row r="6714" spans="39:41" ht="12" customHeight="1" x14ac:dyDescent="0.2">
      <c r="AM6714" t="str">
        <f t="shared" si="105"/>
        <v>Jelling [DKJEL]</v>
      </c>
      <c r="AN6714" t="s">
        <v>8756</v>
      </c>
      <c r="AO6714" t="s">
        <v>8757</v>
      </c>
    </row>
    <row r="6715" spans="39:41" ht="12" customHeight="1" x14ac:dyDescent="0.2">
      <c r="AM6715" t="str">
        <f t="shared" si="105"/>
        <v>Jelsa [HRJSA]</v>
      </c>
      <c r="AN6715" t="s">
        <v>15758</v>
      </c>
      <c r="AO6715" t="s">
        <v>15759</v>
      </c>
    </row>
    <row r="6716" spans="39:41" ht="12" customHeight="1" x14ac:dyDescent="0.2">
      <c r="AM6716" t="str">
        <f t="shared" si="105"/>
        <v>Jelsa [NOJEL]</v>
      </c>
      <c r="AN6716" t="s">
        <v>24309</v>
      </c>
      <c r="AO6716" t="s">
        <v>15759</v>
      </c>
    </row>
    <row r="6717" spans="39:41" ht="12" customHeight="1" x14ac:dyDescent="0.2">
      <c r="AM6717" t="str">
        <f t="shared" si="105"/>
        <v>Jelutong [MYJEL]</v>
      </c>
      <c r="AN6717" t="s">
        <v>34969</v>
      </c>
      <c r="AO6717" t="s">
        <v>34970</v>
      </c>
    </row>
    <row r="6718" spans="39:41" ht="12" customHeight="1" x14ac:dyDescent="0.2">
      <c r="AM6718" t="str">
        <f t="shared" si="105"/>
        <v>Jemeppe-sur-Sambre [BEJPS]</v>
      </c>
      <c r="AN6718" t="s">
        <v>2580</v>
      </c>
      <c r="AO6718" t="s">
        <v>2581</v>
      </c>
    </row>
    <row r="6719" spans="39:41" ht="12" customHeight="1" x14ac:dyDescent="0.2">
      <c r="AM6719" t="str">
        <f t="shared" si="105"/>
        <v>Jemgum [DEJEM]</v>
      </c>
      <c r="AN6719" t="s">
        <v>7658</v>
      </c>
      <c r="AO6719" t="s">
        <v>7659</v>
      </c>
    </row>
    <row r="6720" spans="39:41" ht="12" customHeight="1" x14ac:dyDescent="0.2">
      <c r="AM6720" t="str">
        <f t="shared" si="105"/>
        <v>Jemseg [CAJEG]</v>
      </c>
      <c r="AN6720" t="s">
        <v>3969</v>
      </c>
      <c r="AO6720" t="s">
        <v>3970</v>
      </c>
    </row>
    <row r="6721" spans="39:41" ht="12" customHeight="1" x14ac:dyDescent="0.2">
      <c r="AM6721" t="str">
        <f t="shared" si="105"/>
        <v>Jencice [CZJEN]</v>
      </c>
      <c r="AN6721" t="s">
        <v>6852</v>
      </c>
      <c r="AO6721" t="s">
        <v>6853</v>
      </c>
    </row>
    <row r="6722" spans="39:41" ht="12" customHeight="1" x14ac:dyDescent="0.2">
      <c r="AM6722" t="str">
        <f t="shared" si="105"/>
        <v>Jenks [USJUK]</v>
      </c>
      <c r="AN6722" t="s">
        <v>30225</v>
      </c>
      <c r="AO6722" t="s">
        <v>30226</v>
      </c>
    </row>
    <row r="6723" spans="39:41" ht="12" customHeight="1" x14ac:dyDescent="0.2">
      <c r="AM6723" t="str">
        <f t="shared" si="105"/>
        <v>Jepara [IDJEP]</v>
      </c>
      <c r="AN6723" t="s">
        <v>16293</v>
      </c>
      <c r="AO6723" t="s">
        <v>16294</v>
      </c>
    </row>
    <row r="6724" spans="39:41" ht="12" customHeight="1" x14ac:dyDescent="0.2">
      <c r="AM6724" t="str">
        <f t="shared" si="105"/>
        <v>Jeremie [HTJEE]</v>
      </c>
      <c r="AN6724" t="s">
        <v>16036</v>
      </c>
      <c r="AO6724" t="s">
        <v>36004</v>
      </c>
    </row>
    <row r="6725" spans="39:41" ht="12" customHeight="1" x14ac:dyDescent="0.2">
      <c r="AM6725" t="str">
        <f t="shared" si="105"/>
        <v>Jerez [MXJZA]</v>
      </c>
      <c r="AN6725" t="s">
        <v>22379</v>
      </c>
      <c r="AO6725" t="s">
        <v>22380</v>
      </c>
    </row>
    <row r="6726" spans="39:41" ht="12" customHeight="1" x14ac:dyDescent="0.2">
      <c r="AM6726" t="str">
        <f t="shared" si="105"/>
        <v>Jermuk [AMJER]</v>
      </c>
      <c r="AN6726" t="s">
        <v>824</v>
      </c>
      <c r="AO6726" t="s">
        <v>825</v>
      </c>
    </row>
    <row r="6727" spans="39:41" ht="12" customHeight="1" x14ac:dyDescent="0.2">
      <c r="AM6727" t="str">
        <f t="shared" si="105"/>
        <v>Jersey City [USJEC]</v>
      </c>
      <c r="AN6727" t="s">
        <v>30227</v>
      </c>
      <c r="AO6727" t="s">
        <v>30228</v>
      </c>
    </row>
    <row r="6728" spans="39:41" ht="12" customHeight="1" x14ac:dyDescent="0.2">
      <c r="AM6728" t="str">
        <f t="shared" si="105"/>
        <v>Jervis Inlet [CAJEI]</v>
      </c>
      <c r="AN6728" t="s">
        <v>3971</v>
      </c>
      <c r="AO6728" t="s">
        <v>3972</v>
      </c>
    </row>
    <row r="6729" spans="39:41" ht="12" customHeight="1" x14ac:dyDescent="0.2">
      <c r="AM6729" t="str">
        <f t="shared" si="105"/>
        <v>Jesenice [SIJCE]</v>
      </c>
      <c r="AN6729" t="s">
        <v>28004</v>
      </c>
      <c r="AO6729" t="s">
        <v>28005</v>
      </c>
    </row>
    <row r="6730" spans="39:41" ht="12" customHeight="1" x14ac:dyDescent="0.2">
      <c r="AM6730" t="str">
        <f t="shared" si="105"/>
        <v>Jet Park [ZAJTP]</v>
      </c>
      <c r="AN6730" t="s">
        <v>32690</v>
      </c>
      <c r="AO6730" t="s">
        <v>32691</v>
      </c>
    </row>
    <row r="6731" spans="39:41" ht="12" customHeight="1" x14ac:dyDescent="0.2">
      <c r="AM6731" t="str">
        <f t="shared" si="105"/>
        <v>Jettingen [DEJTN]</v>
      </c>
      <c r="AN6731" t="s">
        <v>7660</v>
      </c>
      <c r="AO6731" t="s">
        <v>7661</v>
      </c>
    </row>
    <row r="6732" spans="39:41" ht="12" customHeight="1" x14ac:dyDescent="0.2">
      <c r="AM6732" t="str">
        <f t="shared" si="105"/>
        <v>Jetzelsdorf [ATZLF]</v>
      </c>
      <c r="AN6732" t="s">
        <v>1244</v>
      </c>
      <c r="AO6732" t="s">
        <v>1245</v>
      </c>
    </row>
    <row r="6733" spans="39:41" ht="12" customHeight="1" x14ac:dyDescent="0.2">
      <c r="AM6733" t="str">
        <f t="shared" si="105"/>
        <v>Jevisovice [CZJIE]</v>
      </c>
      <c r="AN6733" t="s">
        <v>6854</v>
      </c>
      <c r="AO6733" t="s">
        <v>6855</v>
      </c>
    </row>
    <row r="6734" spans="39:41" ht="12" customHeight="1" x14ac:dyDescent="0.2">
      <c r="AM6734" t="str">
        <f t="shared" si="105"/>
        <v>Jiamusi Pt [CNJMS]</v>
      </c>
      <c r="AN6734" t="s">
        <v>5509</v>
      </c>
      <c r="AO6734" t="s">
        <v>5510</v>
      </c>
    </row>
    <row r="6735" spans="39:41" ht="12" customHeight="1" x14ac:dyDescent="0.2">
      <c r="AM6735" t="str">
        <f t="shared" si="105"/>
        <v>Jianbi [CNJBI]</v>
      </c>
      <c r="AN6735" t="s">
        <v>5511</v>
      </c>
      <c r="AO6735" t="s">
        <v>5512</v>
      </c>
    </row>
    <row r="6736" spans="39:41" ht="12" customHeight="1" x14ac:dyDescent="0.2">
      <c r="AM6736" t="str">
        <f t="shared" si="105"/>
        <v>Jiang'an [CNJAA]</v>
      </c>
      <c r="AN6736" t="s">
        <v>5513</v>
      </c>
      <c r="AO6736" t="s">
        <v>5514</v>
      </c>
    </row>
    <row r="6737" spans="39:41" ht="12" customHeight="1" x14ac:dyDescent="0.2">
      <c r="AM6737" t="str">
        <f t="shared" si="105"/>
        <v>Jiangcheng [CNJCH]</v>
      </c>
      <c r="AN6737" t="s">
        <v>5515</v>
      </c>
      <c r="AO6737" t="s">
        <v>5516</v>
      </c>
    </row>
    <row r="6738" spans="39:41" ht="12" customHeight="1" x14ac:dyDescent="0.2">
      <c r="AM6738" t="str">
        <f t="shared" si="105"/>
        <v>Jiangchuan [CNJCN]</v>
      </c>
      <c r="AN6738" t="s">
        <v>5517</v>
      </c>
      <c r="AO6738" t="s">
        <v>5518</v>
      </c>
    </row>
    <row r="6739" spans="39:41" ht="12" customHeight="1" x14ac:dyDescent="0.2">
      <c r="AM6739" t="str">
        <f t="shared" si="105"/>
        <v>Jiangjin [CNJGJ]</v>
      </c>
      <c r="AN6739" t="s">
        <v>5519</v>
      </c>
      <c r="AO6739" t="s">
        <v>5520</v>
      </c>
    </row>
    <row r="6740" spans="39:41" ht="12" customHeight="1" x14ac:dyDescent="0.2">
      <c r="AM6740" t="str">
        <f t="shared" si="105"/>
        <v>Jiangkou [CNJKO]</v>
      </c>
      <c r="AN6740" t="s">
        <v>5521</v>
      </c>
      <c r="AO6740" t="s">
        <v>5522</v>
      </c>
    </row>
    <row r="6741" spans="39:41" ht="12" customHeight="1" x14ac:dyDescent="0.2">
      <c r="AM6741" t="str">
        <f t="shared" si="105"/>
        <v>Jiangkou [CNFKJ]</v>
      </c>
      <c r="AN6741" t="s">
        <v>5523</v>
      </c>
      <c r="AO6741" t="s">
        <v>5522</v>
      </c>
    </row>
    <row r="6742" spans="39:41" ht="12" customHeight="1" x14ac:dyDescent="0.2">
      <c r="AM6742" t="str">
        <f t="shared" si="105"/>
        <v>Jiangmen Pt [CNJMN]</v>
      </c>
      <c r="AN6742" t="s">
        <v>5524</v>
      </c>
      <c r="AO6742" t="s">
        <v>5525</v>
      </c>
    </row>
    <row r="6743" spans="39:41" ht="12" customHeight="1" x14ac:dyDescent="0.2">
      <c r="AM6743" t="str">
        <f t="shared" si="105"/>
        <v>Jiangping [CNJIP]</v>
      </c>
      <c r="AN6743" t="s">
        <v>5526</v>
      </c>
      <c r="AO6743" t="s">
        <v>5527</v>
      </c>
    </row>
    <row r="6744" spans="39:41" ht="12" customHeight="1" x14ac:dyDescent="0.2">
      <c r="AM6744" t="str">
        <f t="shared" si="105"/>
        <v>Jiangpu [CNJPU]</v>
      </c>
      <c r="AN6744" t="s">
        <v>5528</v>
      </c>
      <c r="AO6744" t="s">
        <v>5529</v>
      </c>
    </row>
    <row r="6745" spans="39:41" ht="12" customHeight="1" x14ac:dyDescent="0.2">
      <c r="AM6745" t="str">
        <f t="shared" si="105"/>
        <v>Jiangshan Pt [CNJIS]</v>
      </c>
      <c r="AN6745" t="s">
        <v>5530</v>
      </c>
      <c r="AO6745" t="s">
        <v>5531</v>
      </c>
    </row>
    <row r="6746" spans="39:41" ht="12" customHeight="1" x14ac:dyDescent="0.2">
      <c r="AM6746" t="str">
        <f t="shared" si="105"/>
        <v>Jiangyin [CNJGY]</v>
      </c>
      <c r="AN6746" t="s">
        <v>5532</v>
      </c>
      <c r="AO6746" t="s">
        <v>5533</v>
      </c>
    </row>
    <row r="6747" spans="39:41" ht="12" customHeight="1" x14ac:dyDescent="0.2">
      <c r="AM6747" t="str">
        <f t="shared" si="105"/>
        <v>Jiangyin Pt [CNJIA]</v>
      </c>
      <c r="AN6747" t="s">
        <v>5534</v>
      </c>
      <c r="AO6747" t="s">
        <v>5535</v>
      </c>
    </row>
    <row r="6748" spans="39:41" ht="12" customHeight="1" x14ac:dyDescent="0.2">
      <c r="AM6748" t="str">
        <f t="shared" si="105"/>
        <v>Jianli [CNJLI]</v>
      </c>
      <c r="AN6748" t="s">
        <v>5536</v>
      </c>
      <c r="AO6748" t="s">
        <v>5537</v>
      </c>
    </row>
    <row r="6749" spans="39:41" ht="12" customHeight="1" x14ac:dyDescent="0.2">
      <c r="AM6749" t="str">
        <f t="shared" si="105"/>
        <v>Jiantiao [CNJTO]</v>
      </c>
      <c r="AN6749" t="s">
        <v>5538</v>
      </c>
      <c r="AO6749" t="s">
        <v>5539</v>
      </c>
    </row>
    <row r="6750" spans="39:41" ht="12" customHeight="1" x14ac:dyDescent="0.2">
      <c r="AM6750" t="str">
        <f t="shared" si="105"/>
        <v>Jiao Xin [CNJXN]</v>
      </c>
      <c r="AN6750" t="s">
        <v>5540</v>
      </c>
      <c r="AO6750" t="s">
        <v>5541</v>
      </c>
    </row>
    <row r="6751" spans="39:41" ht="12" customHeight="1" x14ac:dyDescent="0.2">
      <c r="AM6751" t="str">
        <f t="shared" si="105"/>
        <v>Jiaokou [CNJOK]</v>
      </c>
      <c r="AN6751" t="s">
        <v>5542</v>
      </c>
      <c r="AO6751" t="s">
        <v>5543</v>
      </c>
    </row>
    <row r="6752" spans="39:41" ht="12" customHeight="1" x14ac:dyDescent="0.2">
      <c r="AM6752" t="str">
        <f t="shared" si="105"/>
        <v>Jiaoshan Pt [CNJSG]</v>
      </c>
      <c r="AN6752" t="s">
        <v>5544</v>
      </c>
      <c r="AO6752" t="s">
        <v>5545</v>
      </c>
    </row>
    <row r="6753" spans="39:41" ht="12" customHeight="1" x14ac:dyDescent="0.2">
      <c r="AM6753" t="str">
        <f t="shared" si="105"/>
        <v>Jiaxing Pt [CNJAX]</v>
      </c>
      <c r="AN6753" t="s">
        <v>5546</v>
      </c>
      <c r="AO6753" t="s">
        <v>5547</v>
      </c>
    </row>
    <row r="6754" spans="39:41" ht="12" customHeight="1" x14ac:dyDescent="0.2">
      <c r="AM6754" t="str">
        <f t="shared" si="105"/>
        <v>Jiayin [CNJAY]</v>
      </c>
      <c r="AN6754" t="s">
        <v>5548</v>
      </c>
      <c r="AO6754" t="s">
        <v>5549</v>
      </c>
    </row>
    <row r="6755" spans="39:41" ht="12" customHeight="1" x14ac:dyDescent="0.2">
      <c r="AM6755" t="str">
        <f t="shared" si="105"/>
        <v>Jiazi [CNJIZ]</v>
      </c>
      <c r="AN6755" t="s">
        <v>5550</v>
      </c>
      <c r="AO6755" t="s">
        <v>5551</v>
      </c>
    </row>
    <row r="6756" spans="39:41" ht="12" customHeight="1" x14ac:dyDescent="0.2">
      <c r="AM6756" t="str">
        <f t="shared" si="105"/>
        <v>Jicaral [CRJIC]</v>
      </c>
      <c r="AN6756" t="s">
        <v>6587</v>
      </c>
      <c r="AO6756" t="s">
        <v>6588</v>
      </c>
    </row>
    <row r="6757" spans="39:41" ht="12" customHeight="1" x14ac:dyDescent="0.2">
      <c r="AM6757" t="str">
        <f t="shared" si="105"/>
        <v>Jieh [LBJIE]</v>
      </c>
      <c r="AN6757" t="s">
        <v>21794</v>
      </c>
      <c r="AO6757" t="s">
        <v>21795</v>
      </c>
    </row>
    <row r="6758" spans="39:41" ht="12" customHeight="1" x14ac:dyDescent="0.2">
      <c r="AM6758" t="str">
        <f t="shared" si="105"/>
        <v>Jieshi [CNJES]</v>
      </c>
      <c r="AN6758" t="s">
        <v>5552</v>
      </c>
      <c r="AO6758" t="s">
        <v>5553</v>
      </c>
    </row>
    <row r="6759" spans="39:41" ht="12" customHeight="1" x14ac:dyDescent="0.2">
      <c r="AM6759" t="str">
        <f t="shared" si="105"/>
        <v>Jijel (ex Djidjelli) [DZDJI]</v>
      </c>
      <c r="AN6759" t="s">
        <v>9060</v>
      </c>
      <c r="AO6759" t="s">
        <v>9061</v>
      </c>
    </row>
    <row r="6760" spans="39:41" ht="12" customHeight="1" x14ac:dyDescent="0.2">
      <c r="AM6760" t="str">
        <f t="shared" si="105"/>
        <v>Jimenez [MXJMN]</v>
      </c>
      <c r="AN6760" t="s">
        <v>22381</v>
      </c>
      <c r="AO6760" t="s">
        <v>36093</v>
      </c>
    </row>
    <row r="6761" spans="39:41" ht="12" customHeight="1" x14ac:dyDescent="0.2">
      <c r="AM6761" t="str">
        <f t="shared" si="105"/>
        <v>Jimenez/Ozamis [PHJNZ]</v>
      </c>
      <c r="AN6761" t="s">
        <v>25803</v>
      </c>
      <c r="AO6761" t="s">
        <v>25804</v>
      </c>
    </row>
    <row r="6762" spans="39:41" ht="12" customHeight="1" x14ac:dyDescent="0.2">
      <c r="AM6762" t="str">
        <f t="shared" si="105"/>
        <v>Jimiya [CNJMY]</v>
      </c>
      <c r="AN6762" t="s">
        <v>5554</v>
      </c>
      <c r="AO6762" t="s">
        <v>5555</v>
      </c>
    </row>
    <row r="6763" spans="39:41" ht="12" customHeight="1" x14ac:dyDescent="0.2">
      <c r="AM6763" t="str">
        <f t="shared" si="105"/>
        <v>Jingan [CNDMJ]</v>
      </c>
      <c r="AN6763" t="s">
        <v>5556</v>
      </c>
      <c r="AO6763" t="s">
        <v>5557</v>
      </c>
    </row>
    <row r="6764" spans="39:41" ht="12" customHeight="1" x14ac:dyDescent="0.2">
      <c r="AM6764" t="str">
        <f t="shared" si="105"/>
        <v>Jinghai [CNHLJ]</v>
      </c>
      <c r="AN6764" t="s">
        <v>5558</v>
      </c>
      <c r="AO6764" t="s">
        <v>5559</v>
      </c>
    </row>
    <row r="6765" spans="39:41" ht="12" customHeight="1" x14ac:dyDescent="0.2">
      <c r="AM6765" t="str">
        <f t="shared" si="105"/>
        <v>Jinghong [CNJOG]</v>
      </c>
      <c r="AN6765" t="s">
        <v>5560</v>
      </c>
      <c r="AO6765" t="s">
        <v>5561</v>
      </c>
    </row>
    <row r="6766" spans="39:41" ht="12" customHeight="1" x14ac:dyDescent="0.2">
      <c r="AM6766" t="str">
        <f t="shared" si="105"/>
        <v>Jingjiang Pt [CNJIJ]</v>
      </c>
      <c r="AN6766" t="s">
        <v>5562</v>
      </c>
      <c r="AO6766" t="s">
        <v>5563</v>
      </c>
    </row>
    <row r="6767" spans="39:41" ht="12" customHeight="1" x14ac:dyDescent="0.2">
      <c r="AM6767" t="str">
        <f t="shared" si="105"/>
        <v>Jingtang Pt [CNJTG]</v>
      </c>
      <c r="AN6767" t="s">
        <v>5564</v>
      </c>
      <c r="AO6767" t="s">
        <v>5565</v>
      </c>
    </row>
    <row r="6768" spans="39:41" ht="12" customHeight="1" x14ac:dyDescent="0.2">
      <c r="AM6768" t="str">
        <f t="shared" si="105"/>
        <v>Jinguzhou [CNJGU]</v>
      </c>
      <c r="AN6768" t="s">
        <v>5566</v>
      </c>
      <c r="AO6768" t="s">
        <v>5567</v>
      </c>
    </row>
    <row r="6769" spans="39:41" ht="12" customHeight="1" x14ac:dyDescent="0.2">
      <c r="AM6769" t="str">
        <f t="shared" si="105"/>
        <v>Jingzhou Pt [CNJZK]</v>
      </c>
      <c r="AN6769" t="s">
        <v>5568</v>
      </c>
      <c r="AO6769" t="s">
        <v>5569</v>
      </c>
    </row>
    <row r="6770" spans="39:41" ht="12" customHeight="1" x14ac:dyDescent="0.2">
      <c r="AM6770" t="str">
        <f t="shared" si="105"/>
        <v>Jinhae [KRCHF]</v>
      </c>
      <c r="AN6770" t="s">
        <v>21676</v>
      </c>
      <c r="AO6770" t="s">
        <v>21677</v>
      </c>
    </row>
    <row r="6771" spans="39:41" ht="12" customHeight="1" x14ac:dyDescent="0.2">
      <c r="AM6771" t="str">
        <f t="shared" si="105"/>
        <v>Jinhaian [CNJNH]</v>
      </c>
      <c r="AN6771" t="s">
        <v>5570</v>
      </c>
      <c r="AO6771" t="s">
        <v>5571</v>
      </c>
    </row>
    <row r="6772" spans="39:41" ht="12" customHeight="1" x14ac:dyDescent="0.2">
      <c r="AM6772" t="str">
        <f t="shared" si="105"/>
        <v>Jinhekou [CNJHK]</v>
      </c>
      <c r="AN6772" t="s">
        <v>5572</v>
      </c>
      <c r="AO6772" t="s">
        <v>5573</v>
      </c>
    </row>
    <row r="6773" spans="39:41" ht="12" customHeight="1" x14ac:dyDescent="0.2">
      <c r="AM6773" t="str">
        <f t="shared" si="105"/>
        <v>Jinja [UGJIN]</v>
      </c>
      <c r="AN6773" t="s">
        <v>28775</v>
      </c>
      <c r="AO6773" t="s">
        <v>28776</v>
      </c>
    </row>
    <row r="6774" spans="39:41" ht="12" customHeight="1" x14ac:dyDescent="0.2">
      <c r="AM6774" t="str">
        <f t="shared" si="105"/>
        <v>Jinjing [CNPTJ]</v>
      </c>
      <c r="AN6774" t="s">
        <v>5574</v>
      </c>
      <c r="AO6774" t="s">
        <v>5575</v>
      </c>
    </row>
    <row r="6775" spans="39:41" ht="12" customHeight="1" x14ac:dyDescent="0.2">
      <c r="AM6775" t="str">
        <f t="shared" si="105"/>
        <v>Jinli [CNJNL]</v>
      </c>
      <c r="AN6775" t="s">
        <v>5576</v>
      </c>
      <c r="AO6775" t="s">
        <v>5577</v>
      </c>
    </row>
    <row r="6776" spans="39:41" ht="12" customHeight="1" x14ac:dyDescent="0.2">
      <c r="AM6776" t="str">
        <f t="shared" ref="AM6776:AM6839" si="106">AO6776 &amp; " [" &amp; AN6776 &amp; "]"</f>
        <v>Jinpai [CNJPI]</v>
      </c>
      <c r="AN6776" t="s">
        <v>5578</v>
      </c>
      <c r="AO6776" t="s">
        <v>5579</v>
      </c>
    </row>
    <row r="6777" spans="39:41" ht="12" customHeight="1" x14ac:dyDescent="0.2">
      <c r="AM6777" t="str">
        <f t="shared" si="106"/>
        <v>Jinzhou Pt [CNJNZ]</v>
      </c>
      <c r="AN6777" t="s">
        <v>5580</v>
      </c>
      <c r="AO6777" t="s">
        <v>5581</v>
      </c>
    </row>
    <row r="6778" spans="39:41" ht="12" customHeight="1" x14ac:dyDescent="0.2">
      <c r="AM6778" t="str">
        <f t="shared" si="106"/>
        <v>Jiujiang [CNJUJ]</v>
      </c>
      <c r="AN6778" t="s">
        <v>5582</v>
      </c>
      <c r="AO6778" t="s">
        <v>5583</v>
      </c>
    </row>
    <row r="6779" spans="39:41" ht="12" customHeight="1" x14ac:dyDescent="0.2">
      <c r="AM6779" t="str">
        <f t="shared" si="106"/>
        <v>Jiujiang Pt [CNJIU]</v>
      </c>
      <c r="AN6779" t="s">
        <v>5584</v>
      </c>
      <c r="AO6779" t="s">
        <v>5585</v>
      </c>
    </row>
    <row r="6780" spans="39:41" ht="12" customHeight="1" x14ac:dyDescent="0.2">
      <c r="AM6780" t="str">
        <f t="shared" si="106"/>
        <v>Jiuli [CNJUL]</v>
      </c>
      <c r="AN6780" t="s">
        <v>5586</v>
      </c>
      <c r="AO6780" t="s">
        <v>5587</v>
      </c>
    </row>
    <row r="6781" spans="39:41" ht="12" customHeight="1" x14ac:dyDescent="0.2">
      <c r="AM6781" t="str">
        <f t="shared" si="106"/>
        <v>Jiulongpo Pt [CNJLP]</v>
      </c>
      <c r="AN6781" t="s">
        <v>5588</v>
      </c>
      <c r="AO6781" t="s">
        <v>5589</v>
      </c>
    </row>
    <row r="6782" spans="39:41" ht="12" customHeight="1" x14ac:dyDescent="0.2">
      <c r="AM6782" t="str">
        <f t="shared" si="106"/>
        <v>Jiuzhen [CNJUZ]</v>
      </c>
      <c r="AN6782" t="s">
        <v>5590</v>
      </c>
      <c r="AO6782" t="s">
        <v>5591</v>
      </c>
    </row>
    <row r="6783" spans="39:41" ht="12" customHeight="1" x14ac:dyDescent="0.2">
      <c r="AM6783" t="str">
        <f t="shared" si="106"/>
        <v>Jiuzhou Pt [CNJZU]</v>
      </c>
      <c r="AN6783" t="s">
        <v>5592</v>
      </c>
      <c r="AO6783" t="s">
        <v>5593</v>
      </c>
    </row>
    <row r="6784" spans="39:41" ht="12" customHeight="1" x14ac:dyDescent="0.2">
      <c r="AM6784" t="str">
        <f t="shared" si="106"/>
        <v>Jiwani [PKJIW]</v>
      </c>
      <c r="AN6784" t="s">
        <v>26246</v>
      </c>
      <c r="AO6784" t="s">
        <v>26247</v>
      </c>
    </row>
    <row r="6785" spans="39:41" ht="12" customHeight="1" x14ac:dyDescent="0.2">
      <c r="AM6785" t="str">
        <f t="shared" si="106"/>
        <v>Jizan [SAGIZ]</v>
      </c>
      <c r="AN6785" t="s">
        <v>27390</v>
      </c>
      <c r="AO6785" t="s">
        <v>27391</v>
      </c>
    </row>
    <row r="6786" spans="39:41" ht="12" customHeight="1" x14ac:dyDescent="0.2">
      <c r="AM6786" t="str">
        <f t="shared" si="106"/>
        <v>Joane [PTBRA]</v>
      </c>
      <c r="AN6786" t="s">
        <v>26518</v>
      </c>
      <c r="AO6786" t="s">
        <v>26519</v>
      </c>
    </row>
    <row r="6787" spans="39:41" ht="12" customHeight="1" x14ac:dyDescent="0.2">
      <c r="AM6787" t="str">
        <f t="shared" si="106"/>
        <v>Joao Pessoa [BRJPA]</v>
      </c>
      <c r="AN6787" t="s">
        <v>3331</v>
      </c>
      <c r="AO6787" t="s">
        <v>3332</v>
      </c>
    </row>
    <row r="6788" spans="39:41" ht="12" customHeight="1" x14ac:dyDescent="0.2">
      <c r="AM6788" t="str">
        <f t="shared" si="106"/>
        <v>Jobstown [USQJB]</v>
      </c>
      <c r="AN6788" t="s">
        <v>30229</v>
      </c>
      <c r="AO6788" t="s">
        <v>30230</v>
      </c>
    </row>
    <row r="6789" spans="39:41" ht="12" customHeight="1" x14ac:dyDescent="0.2">
      <c r="AM6789" t="str">
        <f t="shared" si="106"/>
        <v>Jodhpur [INJDG]</v>
      </c>
      <c r="AN6789" t="s">
        <v>17188</v>
      </c>
      <c r="AO6789" t="s">
        <v>17189</v>
      </c>
    </row>
    <row r="6790" spans="39:41" ht="12" customHeight="1" x14ac:dyDescent="0.2">
      <c r="AM6790" t="str">
        <f t="shared" si="106"/>
        <v>Jodia [INJDA]</v>
      </c>
      <c r="AN6790" t="s">
        <v>17190</v>
      </c>
      <c r="AO6790" t="s">
        <v>17191</v>
      </c>
    </row>
    <row r="6791" spans="39:41" ht="12" customHeight="1" x14ac:dyDescent="0.2">
      <c r="AM6791" t="str">
        <f t="shared" si="106"/>
        <v>Joe Paadisadam [EEJEP]</v>
      </c>
      <c r="AN6791" t="s">
        <v>9164</v>
      </c>
      <c r="AO6791" t="s">
        <v>35617</v>
      </c>
    </row>
    <row r="6792" spans="39:41" ht="12" customHeight="1" x14ac:dyDescent="0.2">
      <c r="AM6792" t="str">
        <f t="shared" si="106"/>
        <v>Joekaaru [EEJKR]</v>
      </c>
      <c r="AN6792" t="s">
        <v>9165</v>
      </c>
      <c r="AO6792" t="s">
        <v>35618</v>
      </c>
    </row>
    <row r="6793" spans="39:41" ht="12" customHeight="1" x14ac:dyDescent="0.2">
      <c r="AM6793" t="str">
        <f t="shared" si="106"/>
        <v>Joensuu [FIJOE]</v>
      </c>
      <c r="AN6793" t="s">
        <v>10382</v>
      </c>
      <c r="AO6793" t="s">
        <v>10383</v>
      </c>
    </row>
    <row r="6794" spans="39:41" ht="12" customHeight="1" x14ac:dyDescent="0.2">
      <c r="AM6794" t="str">
        <f t="shared" si="106"/>
        <v>Joesadam [EEJOS]</v>
      </c>
      <c r="AN6794" t="s">
        <v>9166</v>
      </c>
      <c r="AO6794" t="s">
        <v>35619</v>
      </c>
    </row>
    <row r="6795" spans="39:41" ht="12" customHeight="1" x14ac:dyDescent="0.2">
      <c r="AM6795" t="str">
        <f t="shared" si="106"/>
        <v>Joetsu [JPJTS]</v>
      </c>
      <c r="AN6795" t="s">
        <v>19318</v>
      </c>
      <c r="AO6795" t="s">
        <v>19319</v>
      </c>
    </row>
    <row r="6796" spans="39:41" ht="12" customHeight="1" x14ac:dyDescent="0.2">
      <c r="AM6796" t="str">
        <f t="shared" si="106"/>
        <v>Jogja Inland Port [IDJIP]</v>
      </c>
      <c r="AN6796" t="s">
        <v>16295</v>
      </c>
      <c r="AO6796" t="s">
        <v>16296</v>
      </c>
    </row>
    <row r="6797" spans="39:41" ht="12" customHeight="1" x14ac:dyDescent="0.2">
      <c r="AM6797" t="str">
        <f t="shared" si="106"/>
        <v>Johannedal [SEJOH]</v>
      </c>
      <c r="AN6797" t="s">
        <v>27651</v>
      </c>
      <c r="AO6797" t="s">
        <v>27652</v>
      </c>
    </row>
    <row r="6798" spans="39:41" ht="12" customHeight="1" x14ac:dyDescent="0.2">
      <c r="AM6798" t="str">
        <f t="shared" si="106"/>
        <v>John F Kennedy Space Center/Cape Canaveral [USKDC]</v>
      </c>
      <c r="AN6798" t="s">
        <v>30231</v>
      </c>
      <c r="AO6798" t="s">
        <v>30232</v>
      </c>
    </row>
    <row r="6799" spans="39:41" ht="12" customHeight="1" x14ac:dyDescent="0.2">
      <c r="AM6799" t="str">
        <f t="shared" si="106"/>
        <v>John O'Groats [GBJOG]</v>
      </c>
      <c r="AN6799" t="s">
        <v>13499</v>
      </c>
      <c r="AO6799" t="s">
        <v>13500</v>
      </c>
    </row>
    <row r="6800" spans="39:41" ht="12" customHeight="1" x14ac:dyDescent="0.2">
      <c r="AM6800" t="str">
        <f t="shared" si="106"/>
        <v>Johnsburg [USJBG]</v>
      </c>
      <c r="AN6800" t="s">
        <v>30233</v>
      </c>
      <c r="AO6800" t="s">
        <v>30234</v>
      </c>
    </row>
    <row r="6801" spans="39:41" ht="12" customHeight="1" x14ac:dyDescent="0.2">
      <c r="AM6801" t="str">
        <f t="shared" si="106"/>
        <v>Johnshaven [GBJHV]</v>
      </c>
      <c r="AN6801" t="s">
        <v>13501</v>
      </c>
      <c r="AO6801" t="s">
        <v>13502</v>
      </c>
    </row>
    <row r="6802" spans="39:41" ht="12" customHeight="1" x14ac:dyDescent="0.2">
      <c r="AM6802" t="str">
        <f t="shared" si="106"/>
        <v>Johnson [USJOA]</v>
      </c>
      <c r="AN6802" t="s">
        <v>30235</v>
      </c>
      <c r="AO6802" t="s">
        <v>30236</v>
      </c>
    </row>
    <row r="6803" spans="39:41" ht="12" customHeight="1" x14ac:dyDescent="0.2">
      <c r="AM6803" t="str">
        <f t="shared" si="106"/>
        <v>Johnston Atoll [UMJON]</v>
      </c>
      <c r="AN6803" t="s">
        <v>28779</v>
      </c>
      <c r="AO6803" t="s">
        <v>28780</v>
      </c>
    </row>
    <row r="6804" spans="39:41" ht="12" customHeight="1" x14ac:dyDescent="0.2">
      <c r="AM6804" t="str">
        <f t="shared" si="106"/>
        <v>Johnstonebridge [GBJTB]</v>
      </c>
      <c r="AN6804" t="s">
        <v>13503</v>
      </c>
      <c r="AO6804" t="s">
        <v>13504</v>
      </c>
    </row>
    <row r="6805" spans="39:41" ht="12" customHeight="1" x14ac:dyDescent="0.2">
      <c r="AM6805" t="str">
        <f t="shared" si="106"/>
        <v>Johor Bahru [MYJHB]</v>
      </c>
      <c r="AN6805" t="s">
        <v>22556</v>
      </c>
      <c r="AO6805" t="s">
        <v>22557</v>
      </c>
    </row>
    <row r="6806" spans="39:41" ht="12" customHeight="1" x14ac:dyDescent="0.2">
      <c r="AM6806" t="str">
        <f t="shared" si="106"/>
        <v>Joigny [FRUXE]</v>
      </c>
      <c r="AN6806" t="s">
        <v>11419</v>
      </c>
      <c r="AO6806" t="s">
        <v>11420</v>
      </c>
    </row>
    <row r="6807" spans="39:41" ht="12" customHeight="1" x14ac:dyDescent="0.2">
      <c r="AM6807" t="str">
        <f t="shared" si="106"/>
        <v>Jokawauchi [JPJKW]</v>
      </c>
      <c r="AN6807" t="s">
        <v>19320</v>
      </c>
      <c r="AO6807" t="s">
        <v>19321</v>
      </c>
    </row>
    <row r="6808" spans="39:41" ht="12" customHeight="1" x14ac:dyDescent="0.2">
      <c r="AM6808" t="str">
        <f t="shared" si="106"/>
        <v>Jolo [PHJOL]</v>
      </c>
      <c r="AN6808" t="s">
        <v>25805</v>
      </c>
      <c r="AO6808" t="s">
        <v>25806</v>
      </c>
    </row>
    <row r="6809" spans="39:41" ht="12" customHeight="1" x14ac:dyDescent="0.2">
      <c r="AM6809" t="str">
        <f t="shared" si="106"/>
        <v>Jondal [NOJON]</v>
      </c>
      <c r="AN6809" t="s">
        <v>24310</v>
      </c>
      <c r="AO6809" t="s">
        <v>24311</v>
      </c>
    </row>
    <row r="6810" spans="39:41" ht="12" customHeight="1" x14ac:dyDescent="0.2">
      <c r="AM6810" t="str">
        <f t="shared" si="106"/>
        <v>Jonesport [USJON]</v>
      </c>
      <c r="AN6810" t="s">
        <v>30237</v>
      </c>
      <c r="AO6810" t="s">
        <v>30238</v>
      </c>
    </row>
    <row r="6811" spans="39:41" ht="12" customHeight="1" x14ac:dyDescent="0.2">
      <c r="AM6811" t="str">
        <f t="shared" si="106"/>
        <v>Jonkoping [SEJKG]</v>
      </c>
      <c r="AN6811" t="s">
        <v>27653</v>
      </c>
      <c r="AO6811" t="s">
        <v>36460</v>
      </c>
    </row>
    <row r="6812" spans="39:41" ht="12" customHeight="1" x14ac:dyDescent="0.2">
      <c r="AM6812" t="str">
        <f t="shared" si="106"/>
        <v>Jonoshita [JPJON]</v>
      </c>
      <c r="AN6812" t="s">
        <v>19322</v>
      </c>
      <c r="AO6812" t="s">
        <v>19323</v>
      </c>
    </row>
    <row r="6813" spans="39:41" ht="12" customHeight="1" x14ac:dyDescent="0.2">
      <c r="AM6813" t="str">
        <f t="shared" si="106"/>
        <v>Jorf Lasfar [MAJFL]</v>
      </c>
      <c r="AN6813" t="s">
        <v>22040</v>
      </c>
      <c r="AO6813" t="s">
        <v>22041</v>
      </c>
    </row>
    <row r="6814" spans="39:41" ht="12" customHeight="1" x14ac:dyDescent="0.2">
      <c r="AM6814" t="str">
        <f t="shared" si="106"/>
        <v>Jorlanda [SEJNA]</v>
      </c>
      <c r="AN6814" t="s">
        <v>27654</v>
      </c>
      <c r="AO6814" t="s">
        <v>36461</v>
      </c>
    </row>
    <row r="6815" spans="39:41" ht="12" customHeight="1" x14ac:dyDescent="0.2">
      <c r="AM6815" t="str">
        <f t="shared" si="106"/>
        <v>Jorong Anchorage [IDJOR]</v>
      </c>
      <c r="AN6815" t="s">
        <v>16297</v>
      </c>
      <c r="AO6815" t="s">
        <v>16298</v>
      </c>
    </row>
    <row r="6816" spans="39:41" ht="12" customHeight="1" x14ac:dyDescent="0.2">
      <c r="AM6816" t="str">
        <f t="shared" si="106"/>
        <v>Jose Ignacio Terminal [UYJIT]</v>
      </c>
      <c r="AN6816" t="s">
        <v>32111</v>
      </c>
      <c r="AO6816" t="s">
        <v>32112</v>
      </c>
    </row>
    <row r="6817" spans="39:41" ht="12" customHeight="1" x14ac:dyDescent="0.2">
      <c r="AM6817" t="str">
        <f t="shared" si="106"/>
        <v>Jose Leon Suarez [ARJLS]</v>
      </c>
      <c r="AN6817" t="s">
        <v>1030</v>
      </c>
      <c r="AO6817" t="s">
        <v>1031</v>
      </c>
    </row>
    <row r="6818" spans="39:41" ht="12" customHeight="1" x14ac:dyDescent="0.2">
      <c r="AM6818" t="str">
        <f t="shared" si="106"/>
        <v>Jose Panganiban, Luzon [PHJPM]</v>
      </c>
      <c r="AN6818" t="s">
        <v>25807</v>
      </c>
      <c r="AO6818" t="s">
        <v>25808</v>
      </c>
    </row>
    <row r="6819" spans="39:41" ht="12" customHeight="1" x14ac:dyDescent="0.2">
      <c r="AM6819" t="str">
        <f t="shared" si="106"/>
        <v>Jose Terminal [VEJOT]</v>
      </c>
      <c r="AN6819" t="s">
        <v>32190</v>
      </c>
      <c r="AO6819" t="s">
        <v>32191</v>
      </c>
    </row>
    <row r="6820" spans="39:41" ht="12" customHeight="1" x14ac:dyDescent="0.2">
      <c r="AM6820" t="str">
        <f t="shared" si="106"/>
        <v>Jossen [DEJSN]</v>
      </c>
      <c r="AN6820" t="s">
        <v>7662</v>
      </c>
      <c r="AO6820" t="s">
        <v>35452</v>
      </c>
    </row>
    <row r="6821" spans="39:41" ht="12" customHeight="1" x14ac:dyDescent="0.2">
      <c r="AM6821" t="str">
        <f t="shared" si="106"/>
        <v>Jossingfjord [NOJOS]</v>
      </c>
      <c r="AN6821" t="s">
        <v>24312</v>
      </c>
      <c r="AO6821" t="s">
        <v>36211</v>
      </c>
    </row>
    <row r="6822" spans="39:41" ht="12" customHeight="1" x14ac:dyDescent="0.2">
      <c r="AM6822" t="str">
        <f t="shared" si="106"/>
        <v>Jost Van Dyke [VGJVD]</v>
      </c>
      <c r="AN6822" t="s">
        <v>32266</v>
      </c>
      <c r="AO6822" t="s">
        <v>32267</v>
      </c>
    </row>
    <row r="6823" spans="39:41" ht="12" customHeight="1" x14ac:dyDescent="0.2">
      <c r="AM6823" t="str">
        <f t="shared" si="106"/>
        <v>Jouarre [FRJUU]</v>
      </c>
      <c r="AN6823" t="s">
        <v>11421</v>
      </c>
      <c r="AO6823" t="s">
        <v>11422</v>
      </c>
    </row>
    <row r="6824" spans="39:41" ht="12" customHeight="1" x14ac:dyDescent="0.2">
      <c r="AM6824" t="str">
        <f t="shared" si="106"/>
        <v>Jounieh [LBQJN]</v>
      </c>
      <c r="AN6824" t="s">
        <v>37025</v>
      </c>
      <c r="AO6824" t="s">
        <v>37026</v>
      </c>
    </row>
    <row r="6825" spans="39:41" ht="12" customHeight="1" x14ac:dyDescent="0.2">
      <c r="AM6825" t="str">
        <f t="shared" si="106"/>
        <v>Joutseno [FIJOU]</v>
      </c>
      <c r="AN6825" t="s">
        <v>10384</v>
      </c>
      <c r="AO6825" t="s">
        <v>10385</v>
      </c>
    </row>
    <row r="6826" spans="39:41" ht="12" customHeight="1" x14ac:dyDescent="0.2">
      <c r="AM6826" t="str">
        <f t="shared" si="106"/>
        <v>Jovik [NOJOV]</v>
      </c>
      <c r="AN6826" t="s">
        <v>24313</v>
      </c>
      <c r="AO6826" t="s">
        <v>36212</v>
      </c>
    </row>
    <row r="6827" spans="39:41" ht="12" customHeight="1" x14ac:dyDescent="0.2">
      <c r="AM6827" t="str">
        <f t="shared" si="106"/>
        <v>Juan Carlos Primero [AQJCP]</v>
      </c>
      <c r="AN6827" t="s">
        <v>934</v>
      </c>
      <c r="AO6827" t="s">
        <v>935</v>
      </c>
    </row>
    <row r="6828" spans="39:41" ht="12" customHeight="1" x14ac:dyDescent="0.2">
      <c r="AM6828" t="str">
        <f t="shared" si="106"/>
        <v>Juan Fernandez [CLJFZ]</v>
      </c>
      <c r="AN6828" t="s">
        <v>4880</v>
      </c>
      <c r="AO6828" t="s">
        <v>35357</v>
      </c>
    </row>
    <row r="6829" spans="39:41" ht="12" customHeight="1" x14ac:dyDescent="0.2">
      <c r="AM6829" t="str">
        <f t="shared" si="106"/>
        <v>Juan L. Lacaze [UYJLC]</v>
      </c>
      <c r="AN6829" t="s">
        <v>32113</v>
      </c>
      <c r="AO6829" t="s">
        <v>32114</v>
      </c>
    </row>
    <row r="6830" spans="39:41" ht="12" customHeight="1" x14ac:dyDescent="0.2">
      <c r="AM6830" t="str">
        <f t="shared" si="106"/>
        <v>Juan-les-Pins [FRJLP]</v>
      </c>
      <c r="AN6830" t="s">
        <v>11423</v>
      </c>
      <c r="AO6830" t="s">
        <v>11424</v>
      </c>
    </row>
    <row r="6831" spans="39:41" ht="12" customHeight="1" x14ac:dyDescent="0.2">
      <c r="AM6831" t="str">
        <f t="shared" si="106"/>
        <v>Juaymah Terminal [SAJUT]</v>
      </c>
      <c r="AN6831" t="s">
        <v>27392</v>
      </c>
      <c r="AO6831" t="s">
        <v>27393</v>
      </c>
    </row>
    <row r="6832" spans="39:41" ht="12" customHeight="1" x14ac:dyDescent="0.2">
      <c r="AM6832" t="str">
        <f t="shared" si="106"/>
        <v>Jubail [SAJUB]</v>
      </c>
      <c r="AN6832" t="s">
        <v>27394</v>
      </c>
      <c r="AO6832" t="s">
        <v>27395</v>
      </c>
    </row>
    <row r="6833" spans="39:41" ht="12" customHeight="1" x14ac:dyDescent="0.2">
      <c r="AM6833" t="str">
        <f t="shared" si="106"/>
        <v>Jubany [AQJUB]</v>
      </c>
      <c r="AN6833" t="s">
        <v>936</v>
      </c>
      <c r="AO6833" t="s">
        <v>937</v>
      </c>
    </row>
    <row r="6834" spans="39:41" ht="12" customHeight="1" x14ac:dyDescent="0.2">
      <c r="AM6834" t="str">
        <f t="shared" si="106"/>
        <v>Jubilee FPSO [GHJUB]</v>
      </c>
      <c r="AN6834" t="s">
        <v>14958</v>
      </c>
      <c r="AO6834" t="s">
        <v>14959</v>
      </c>
    </row>
    <row r="6835" spans="39:41" ht="12" customHeight="1" x14ac:dyDescent="0.2">
      <c r="AM6835" t="str">
        <f t="shared" si="106"/>
        <v>Jucaro [CUJUC]</v>
      </c>
      <c r="AN6835" t="s">
        <v>6692</v>
      </c>
      <c r="AO6835" t="s">
        <v>35389</v>
      </c>
    </row>
    <row r="6836" spans="39:41" ht="12" customHeight="1" x14ac:dyDescent="0.2">
      <c r="AM6836" t="str">
        <f t="shared" si="106"/>
        <v>Juchitan de Zaragoza [MXJDZ]</v>
      </c>
      <c r="AN6836" t="s">
        <v>22382</v>
      </c>
      <c r="AO6836" t="s">
        <v>36094</v>
      </c>
    </row>
    <row r="6837" spans="39:41" ht="12" customHeight="1" x14ac:dyDescent="0.2">
      <c r="AM6837" t="str">
        <f t="shared" si="106"/>
        <v>Judendorf [ATJDD]</v>
      </c>
      <c r="AN6837" t="s">
        <v>1246</v>
      </c>
      <c r="AO6837" t="s">
        <v>1247</v>
      </c>
    </row>
    <row r="6838" spans="39:41" ht="12" customHeight="1" x14ac:dyDescent="0.2">
      <c r="AM6838" t="str">
        <f t="shared" si="106"/>
        <v>Judsonia [USJSA]</v>
      </c>
      <c r="AN6838" t="s">
        <v>30239</v>
      </c>
      <c r="AO6838" t="s">
        <v>30240</v>
      </c>
    </row>
    <row r="6839" spans="39:41" ht="12" customHeight="1" x14ac:dyDescent="0.2">
      <c r="AM6839" t="str">
        <f t="shared" si="106"/>
        <v>Juelsminde [DKJUE]</v>
      </c>
      <c r="AN6839" t="s">
        <v>8758</v>
      </c>
      <c r="AO6839" t="s">
        <v>8759</v>
      </c>
    </row>
    <row r="6840" spans="39:41" ht="12" customHeight="1" x14ac:dyDescent="0.2">
      <c r="AM6840" t="str">
        <f t="shared" ref="AM6840:AM6903" si="107">AO6840 &amp; " [" &amp; AN6840 &amp; "]"</f>
        <v>Juheta [EEJHT]</v>
      </c>
      <c r="AN6840" t="s">
        <v>9167</v>
      </c>
      <c r="AO6840" t="s">
        <v>9168</v>
      </c>
    </row>
    <row r="6841" spans="39:41" ht="12" customHeight="1" x14ac:dyDescent="0.2">
      <c r="AM6841" t="str">
        <f t="shared" si="107"/>
        <v>Juist [DEJUI]</v>
      </c>
      <c r="AN6841" t="s">
        <v>7663</v>
      </c>
      <c r="AO6841" t="s">
        <v>7664</v>
      </c>
    </row>
    <row r="6842" spans="39:41" ht="12" customHeight="1" x14ac:dyDescent="0.2">
      <c r="AM6842" t="str">
        <f t="shared" si="107"/>
        <v>Julis [ILJUL]</v>
      </c>
      <c r="AN6842" t="s">
        <v>16968</v>
      </c>
      <c r="AO6842" t="s">
        <v>16969</v>
      </c>
    </row>
    <row r="6843" spans="39:41" ht="12" customHeight="1" x14ac:dyDescent="0.2">
      <c r="AM6843" t="str">
        <f t="shared" si="107"/>
        <v>Jumunjin [KRJMJ]</v>
      </c>
      <c r="AN6843" t="s">
        <v>21678</v>
      </c>
      <c r="AO6843" t="s">
        <v>21679</v>
      </c>
    </row>
    <row r="6844" spans="39:41" ht="12" customHeight="1" x14ac:dyDescent="0.2">
      <c r="AM6844" t="str">
        <f t="shared" si="107"/>
        <v>Junay [FRYAN]</v>
      </c>
      <c r="AN6844" t="s">
        <v>11425</v>
      </c>
      <c r="AO6844" t="s">
        <v>11426</v>
      </c>
    </row>
    <row r="6845" spans="39:41" ht="12" customHeight="1" x14ac:dyDescent="0.2">
      <c r="AM6845" t="str">
        <f t="shared" si="107"/>
        <v>Juneau [USJNU]</v>
      </c>
      <c r="AN6845" t="s">
        <v>30241</v>
      </c>
      <c r="AO6845" t="s">
        <v>30242</v>
      </c>
    </row>
    <row r="6846" spans="39:41" ht="12" customHeight="1" x14ac:dyDescent="0.2">
      <c r="AM6846" t="str">
        <f t="shared" si="107"/>
        <v>Junghwa [KRJHA]</v>
      </c>
      <c r="AN6846" t="s">
        <v>21680</v>
      </c>
      <c r="AO6846" t="s">
        <v>21681</v>
      </c>
    </row>
    <row r="6847" spans="39:41" ht="12" customHeight="1" x14ac:dyDescent="0.2">
      <c r="AM6847" t="str">
        <f t="shared" si="107"/>
        <v>Jupille-sur-Meuse [BEJAK]</v>
      </c>
      <c r="AN6847" t="s">
        <v>2582</v>
      </c>
      <c r="AO6847" t="s">
        <v>2583</v>
      </c>
    </row>
    <row r="6848" spans="39:41" ht="12" customHeight="1" x14ac:dyDescent="0.2">
      <c r="AM6848" t="str">
        <f t="shared" si="107"/>
        <v>Jura [GBJUR]</v>
      </c>
      <c r="AN6848" t="s">
        <v>13505</v>
      </c>
      <c r="AO6848" t="s">
        <v>13506</v>
      </c>
    </row>
    <row r="6849" spans="39:41" ht="12" customHeight="1" x14ac:dyDescent="0.2">
      <c r="AM6849" t="str">
        <f t="shared" si="107"/>
        <v>Jurmala [LVZJA]</v>
      </c>
      <c r="AN6849" t="s">
        <v>37029</v>
      </c>
      <c r="AO6849" t="s">
        <v>37030</v>
      </c>
    </row>
    <row r="6850" spans="39:41" ht="12" customHeight="1" x14ac:dyDescent="0.2">
      <c r="AM6850" t="str">
        <f t="shared" si="107"/>
        <v>Jurong [CNJRG]</v>
      </c>
      <c r="AN6850" t="s">
        <v>5594</v>
      </c>
      <c r="AO6850" t="s">
        <v>5595</v>
      </c>
    </row>
    <row r="6851" spans="39:41" ht="12" customHeight="1" x14ac:dyDescent="0.2">
      <c r="AM6851" t="str">
        <f t="shared" si="107"/>
        <v>Jurong/Singapore [SGJUR]</v>
      </c>
      <c r="AN6851" t="s">
        <v>27963</v>
      </c>
      <c r="AO6851" t="s">
        <v>27964</v>
      </c>
    </row>
    <row r="6852" spans="39:41" ht="12" customHeight="1" x14ac:dyDescent="0.2">
      <c r="AM6852" t="str">
        <f t="shared" si="107"/>
        <v>Juruti [BRJUR]</v>
      </c>
      <c r="AN6852" t="s">
        <v>34971</v>
      </c>
      <c r="AO6852" t="s">
        <v>34972</v>
      </c>
    </row>
    <row r="6853" spans="39:41" ht="12" customHeight="1" x14ac:dyDescent="0.2">
      <c r="AM6853" t="str">
        <f t="shared" si="107"/>
        <v>Jussaro [FIJUS]</v>
      </c>
      <c r="AN6853" t="s">
        <v>10386</v>
      </c>
      <c r="AO6853" t="s">
        <v>10387</v>
      </c>
    </row>
    <row r="6854" spans="39:41" ht="12" customHeight="1" x14ac:dyDescent="0.2">
      <c r="AM6854" t="str">
        <f t="shared" si="107"/>
        <v>Jussat [FRJUT]</v>
      </c>
      <c r="AN6854" t="s">
        <v>11427</v>
      </c>
      <c r="AO6854" t="s">
        <v>11428</v>
      </c>
    </row>
    <row r="6855" spans="39:41" ht="12" customHeight="1" x14ac:dyDescent="0.2">
      <c r="AM6855" t="str">
        <f t="shared" si="107"/>
        <v>Juuka [FIJUK]</v>
      </c>
      <c r="AN6855" t="s">
        <v>10388</v>
      </c>
      <c r="AO6855" t="s">
        <v>10389</v>
      </c>
    </row>
    <row r="6856" spans="39:41" ht="12" customHeight="1" x14ac:dyDescent="0.2">
      <c r="AM6856" t="str">
        <f t="shared" si="107"/>
        <v>Jyvaskyla [FIJYV]</v>
      </c>
      <c r="AN6856" t="s">
        <v>10390</v>
      </c>
      <c r="AO6856" t="s">
        <v>35729</v>
      </c>
    </row>
    <row r="6857" spans="39:41" ht="12" customHeight="1" x14ac:dyDescent="0.2">
      <c r="AM6857" t="str">
        <f t="shared" si="107"/>
        <v>Kaavi Paadisadam [EEKVI]</v>
      </c>
      <c r="AN6857" t="s">
        <v>34973</v>
      </c>
      <c r="AO6857" t="s">
        <v>34974</v>
      </c>
    </row>
    <row r="6858" spans="39:41" ht="12" customHeight="1" x14ac:dyDescent="0.2">
      <c r="AM6858" t="str">
        <f t="shared" si="107"/>
        <v>Kabanoki [JPKAB]</v>
      </c>
      <c r="AN6858" t="s">
        <v>19324</v>
      </c>
      <c r="AO6858" t="s">
        <v>19325</v>
      </c>
    </row>
    <row r="6859" spans="39:41" ht="12" customHeight="1" x14ac:dyDescent="0.2">
      <c r="AM6859" t="str">
        <f t="shared" si="107"/>
        <v>Kabasalan/Zamboanga [PHKAS]</v>
      </c>
      <c r="AN6859" t="s">
        <v>25809</v>
      </c>
      <c r="AO6859" t="s">
        <v>25810</v>
      </c>
    </row>
    <row r="6860" spans="39:41" ht="12" customHeight="1" x14ac:dyDescent="0.2">
      <c r="AM6860" t="str">
        <f t="shared" si="107"/>
        <v>Kabashima [JPKBM]</v>
      </c>
      <c r="AN6860" t="s">
        <v>19326</v>
      </c>
      <c r="AO6860" t="s">
        <v>19327</v>
      </c>
    </row>
    <row r="6861" spans="39:41" ht="12" customHeight="1" x14ac:dyDescent="0.2">
      <c r="AM6861" t="str">
        <f t="shared" si="107"/>
        <v>Kabatas [TRKBS]</v>
      </c>
      <c r="AN6861" t="s">
        <v>28515</v>
      </c>
      <c r="AO6861" t="s">
        <v>28516</v>
      </c>
    </row>
    <row r="6862" spans="39:41" ht="12" customHeight="1" x14ac:dyDescent="0.2">
      <c r="AM6862" t="str">
        <f t="shared" si="107"/>
        <v>Kabelvag [NOKAB]</v>
      </c>
      <c r="AN6862" t="s">
        <v>24314</v>
      </c>
      <c r="AO6862" t="s">
        <v>36213</v>
      </c>
    </row>
    <row r="6863" spans="39:41" ht="12" customHeight="1" x14ac:dyDescent="0.2">
      <c r="AM6863" t="str">
        <f t="shared" si="107"/>
        <v>Kaberneeme [EEKAB]</v>
      </c>
      <c r="AN6863" t="s">
        <v>36884</v>
      </c>
      <c r="AO6863" t="s">
        <v>36885</v>
      </c>
    </row>
    <row r="6864" spans="39:41" ht="12" customHeight="1" x14ac:dyDescent="0.2">
      <c r="AM6864" t="str">
        <f t="shared" si="107"/>
        <v>Kaberneeme Sadam [EEKBN]</v>
      </c>
      <c r="AN6864" t="s">
        <v>9169</v>
      </c>
      <c r="AO6864" t="s">
        <v>9170</v>
      </c>
    </row>
    <row r="6865" spans="39:41" ht="12" customHeight="1" x14ac:dyDescent="0.2">
      <c r="AM6865" t="str">
        <f t="shared" si="107"/>
        <v>Kabong, Sarawak [MYKAB]</v>
      </c>
      <c r="AN6865" t="s">
        <v>22558</v>
      </c>
      <c r="AO6865" t="s">
        <v>22559</v>
      </c>
    </row>
    <row r="6866" spans="39:41" ht="12" customHeight="1" x14ac:dyDescent="0.2">
      <c r="AM6866" t="str">
        <f t="shared" si="107"/>
        <v>Kachtem [BEKCT]</v>
      </c>
      <c r="AN6866" t="s">
        <v>2584</v>
      </c>
      <c r="AO6866" t="s">
        <v>2585</v>
      </c>
    </row>
    <row r="6867" spans="39:41" ht="12" customHeight="1" x14ac:dyDescent="0.2">
      <c r="AM6867" t="str">
        <f t="shared" si="107"/>
        <v>Kada [JPKAA]</v>
      </c>
      <c r="AN6867" t="s">
        <v>19328</v>
      </c>
      <c r="AO6867" t="s">
        <v>19329</v>
      </c>
    </row>
    <row r="6868" spans="39:41" ht="12" customHeight="1" x14ac:dyDescent="0.2">
      <c r="AM6868" t="str">
        <f t="shared" si="107"/>
        <v>Kadan [CZKAD]</v>
      </c>
      <c r="AN6868" t="s">
        <v>6856</v>
      </c>
      <c r="AO6868" t="s">
        <v>6857</v>
      </c>
    </row>
    <row r="6869" spans="39:41" ht="12" customHeight="1" x14ac:dyDescent="0.2">
      <c r="AM6869" t="str">
        <f t="shared" si="107"/>
        <v>Kadmat Is [INKDI]</v>
      </c>
      <c r="AN6869" t="s">
        <v>17192</v>
      </c>
      <c r="AO6869" t="s">
        <v>17193</v>
      </c>
    </row>
    <row r="6870" spans="39:41" ht="12" customHeight="1" x14ac:dyDescent="0.2">
      <c r="AM6870" t="str">
        <f t="shared" si="107"/>
        <v>Kadokawa [JPKDW]</v>
      </c>
      <c r="AN6870" t="s">
        <v>19330</v>
      </c>
      <c r="AO6870" t="s">
        <v>19331</v>
      </c>
    </row>
    <row r="6871" spans="39:41" ht="12" customHeight="1" x14ac:dyDescent="0.2">
      <c r="AM6871" t="str">
        <f t="shared" si="107"/>
        <v>Kadokura [JPKDO]</v>
      </c>
      <c r="AN6871" t="s">
        <v>19332</v>
      </c>
      <c r="AO6871" t="s">
        <v>19333</v>
      </c>
    </row>
    <row r="6872" spans="39:41" ht="12" customHeight="1" x14ac:dyDescent="0.2">
      <c r="AM6872" t="str">
        <f t="shared" si="107"/>
        <v>Kafjord [NOKAF]</v>
      </c>
      <c r="AN6872" t="s">
        <v>24315</v>
      </c>
      <c r="AO6872" t="s">
        <v>36214</v>
      </c>
    </row>
    <row r="6873" spans="39:41" ht="12" customHeight="1" x14ac:dyDescent="0.2">
      <c r="AM6873" t="str">
        <f t="shared" si="107"/>
        <v>Kafr El Sheikh [EGKEH]</v>
      </c>
      <c r="AN6873" t="s">
        <v>9492</v>
      </c>
      <c r="AO6873" t="s">
        <v>9493</v>
      </c>
    </row>
    <row r="6874" spans="39:41" ht="12" customHeight="1" x14ac:dyDescent="0.2">
      <c r="AM6874" t="str">
        <f t="shared" si="107"/>
        <v>Kafuka [JPKBK]</v>
      </c>
      <c r="AN6874" t="s">
        <v>19334</v>
      </c>
      <c r="AO6874" t="s">
        <v>19335</v>
      </c>
    </row>
    <row r="6875" spans="39:41" ht="12" customHeight="1" x14ac:dyDescent="0.2">
      <c r="AM6875" t="str">
        <f t="shared" si="107"/>
        <v>Kafuri [JPKAF]</v>
      </c>
      <c r="AN6875" t="s">
        <v>19336</v>
      </c>
      <c r="AO6875" t="s">
        <v>19337</v>
      </c>
    </row>
    <row r="6876" spans="39:41" ht="12" customHeight="1" x14ac:dyDescent="0.2">
      <c r="AM6876" t="str">
        <f t="shared" si="107"/>
        <v>Kaga, Shimane [JPKJG]</v>
      </c>
      <c r="AN6876" t="s">
        <v>19338</v>
      </c>
      <c r="AO6876" t="s">
        <v>19339</v>
      </c>
    </row>
    <row r="6877" spans="39:41" ht="12" customHeight="1" x14ac:dyDescent="0.2">
      <c r="AM6877" t="str">
        <f t="shared" si="107"/>
        <v>Kagami [JPKGM]</v>
      </c>
      <c r="AN6877" t="s">
        <v>19340</v>
      </c>
      <c r="AO6877" t="s">
        <v>19341</v>
      </c>
    </row>
    <row r="6878" spans="39:41" ht="12" customHeight="1" x14ac:dyDescent="0.2">
      <c r="AM6878" t="str">
        <f t="shared" si="107"/>
        <v>Kage [SEKAG]</v>
      </c>
      <c r="AN6878" t="s">
        <v>27655</v>
      </c>
      <c r="AO6878" t="s">
        <v>36462</v>
      </c>
    </row>
    <row r="6879" spans="39:41" ht="12" customHeight="1" x14ac:dyDescent="0.2">
      <c r="AM6879" t="str">
        <f t="shared" si="107"/>
        <v>Kagera [TZKAG]</v>
      </c>
      <c r="AN6879" t="s">
        <v>28707</v>
      </c>
      <c r="AO6879" t="s">
        <v>28708</v>
      </c>
    </row>
    <row r="6880" spans="39:41" ht="12" customHeight="1" x14ac:dyDescent="0.2">
      <c r="AM6880" t="str">
        <f t="shared" si="107"/>
        <v>Kagghamra [SEKGG]</v>
      </c>
      <c r="AN6880" t="s">
        <v>27656</v>
      </c>
      <c r="AO6880" t="s">
        <v>27657</v>
      </c>
    </row>
    <row r="6881" spans="39:41" ht="12" customHeight="1" x14ac:dyDescent="0.2">
      <c r="AM6881" t="str">
        <f t="shared" si="107"/>
        <v>Kagoshima [JPKOJ]</v>
      </c>
      <c r="AN6881" t="s">
        <v>19342</v>
      </c>
      <c r="AO6881" t="s">
        <v>19343</v>
      </c>
    </row>
    <row r="6882" spans="39:41" ht="12" customHeight="1" x14ac:dyDescent="0.2">
      <c r="AM6882" t="str">
        <f t="shared" si="107"/>
        <v>Kaguyak [USKAG]</v>
      </c>
      <c r="AN6882" t="s">
        <v>30243</v>
      </c>
      <c r="AO6882" t="s">
        <v>30244</v>
      </c>
    </row>
    <row r="6883" spans="39:41" ht="12" customHeight="1" x14ac:dyDescent="0.2">
      <c r="AM6883" t="str">
        <f t="shared" si="107"/>
        <v>Kahayan Bay [IDKAH]</v>
      </c>
      <c r="AN6883" t="s">
        <v>16299</v>
      </c>
      <c r="AO6883" t="s">
        <v>16300</v>
      </c>
    </row>
    <row r="6884" spans="39:41" ht="12" customHeight="1" x14ac:dyDescent="0.2">
      <c r="AM6884" t="str">
        <f t="shared" si="107"/>
        <v>Kahl am Main [DEKAM]</v>
      </c>
      <c r="AN6884" t="s">
        <v>7665</v>
      </c>
      <c r="AO6884" t="s">
        <v>7666</v>
      </c>
    </row>
    <row r="6885" spans="39:41" ht="12" customHeight="1" x14ac:dyDescent="0.2">
      <c r="AM6885" t="str">
        <f t="shared" si="107"/>
        <v>Kahuku [USKL9]</v>
      </c>
      <c r="AN6885" t="s">
        <v>30245</v>
      </c>
      <c r="AO6885" t="s">
        <v>30246</v>
      </c>
    </row>
    <row r="6886" spans="39:41" ht="12" customHeight="1" x14ac:dyDescent="0.2">
      <c r="AM6886" t="str">
        <f t="shared" si="107"/>
        <v>Kahyangan [IDKHY]</v>
      </c>
      <c r="AN6886" t="s">
        <v>16301</v>
      </c>
      <c r="AO6886" t="s">
        <v>16302</v>
      </c>
    </row>
    <row r="6887" spans="39:41" ht="12" customHeight="1" x14ac:dyDescent="0.2">
      <c r="AM6887" t="str">
        <f t="shared" si="107"/>
        <v>Kaibola [PGKAI]</v>
      </c>
      <c r="AN6887" t="s">
        <v>25390</v>
      </c>
      <c r="AO6887" t="s">
        <v>25391</v>
      </c>
    </row>
    <row r="6888" spans="39:41" ht="12" customHeight="1" x14ac:dyDescent="0.2">
      <c r="AM6888" t="str">
        <f t="shared" si="107"/>
        <v>Kaifeng [CNKFG]</v>
      </c>
      <c r="AN6888" t="s">
        <v>5596</v>
      </c>
      <c r="AO6888" t="s">
        <v>5597</v>
      </c>
    </row>
    <row r="6889" spans="39:41" ht="12" customHeight="1" x14ac:dyDescent="0.2">
      <c r="AM6889" t="str">
        <f t="shared" si="107"/>
        <v>Kaigata [JPKGT]</v>
      </c>
      <c r="AN6889" t="s">
        <v>19344</v>
      </c>
      <c r="AO6889" t="s">
        <v>19345</v>
      </c>
    </row>
    <row r="6890" spans="39:41" ht="12" customHeight="1" x14ac:dyDescent="0.2">
      <c r="AM6890" t="str">
        <f t="shared" si="107"/>
        <v>Kaikoura [NZKBZ]</v>
      </c>
      <c r="AN6890" t="s">
        <v>25068</v>
      </c>
      <c r="AO6890" t="s">
        <v>25069</v>
      </c>
    </row>
    <row r="6891" spans="39:41" ht="12" customHeight="1" x14ac:dyDescent="0.2">
      <c r="AM6891" t="str">
        <f t="shared" si="107"/>
        <v>Kailua [USKA7]</v>
      </c>
      <c r="AN6891" t="s">
        <v>30247</v>
      </c>
      <c r="AO6891" t="s">
        <v>30248</v>
      </c>
    </row>
    <row r="6892" spans="39:41" ht="12" customHeight="1" x14ac:dyDescent="0.2">
      <c r="AM6892" t="str">
        <f t="shared" si="107"/>
        <v>Kaimt [DEKMT]</v>
      </c>
      <c r="AN6892" t="s">
        <v>7667</v>
      </c>
      <c r="AO6892" t="s">
        <v>7668</v>
      </c>
    </row>
    <row r="6893" spans="39:41" ht="12" customHeight="1" x14ac:dyDescent="0.2">
      <c r="AM6893" t="str">
        <f t="shared" si="107"/>
        <v>Kain [BEKAI]</v>
      </c>
      <c r="AN6893" t="s">
        <v>2586</v>
      </c>
      <c r="AO6893" t="s">
        <v>2587</v>
      </c>
    </row>
    <row r="6894" spans="39:41" ht="12" customHeight="1" x14ac:dyDescent="0.2">
      <c r="AM6894" t="str">
        <f t="shared" si="107"/>
        <v>Kainan [JPKAI]</v>
      </c>
      <c r="AN6894" t="s">
        <v>19346</v>
      </c>
      <c r="AO6894" t="s">
        <v>19347</v>
      </c>
    </row>
    <row r="6895" spans="39:41" ht="12" customHeight="1" x14ac:dyDescent="0.2">
      <c r="AM6895" t="str">
        <f t="shared" si="107"/>
        <v>Kaipola [FIKPL]</v>
      </c>
      <c r="AN6895" t="s">
        <v>10391</v>
      </c>
      <c r="AO6895" t="s">
        <v>10392</v>
      </c>
    </row>
    <row r="6896" spans="39:41" ht="12" customHeight="1" x14ac:dyDescent="0.2">
      <c r="AM6896" t="str">
        <f t="shared" si="107"/>
        <v>Kairuku [PGKRK]</v>
      </c>
      <c r="AN6896" t="s">
        <v>25392</v>
      </c>
      <c r="AO6896" t="s">
        <v>25393</v>
      </c>
    </row>
    <row r="6897" spans="39:41" ht="12" customHeight="1" x14ac:dyDescent="0.2">
      <c r="AM6897" t="str">
        <f t="shared" si="107"/>
        <v>Kaita [JPKAD]</v>
      </c>
      <c r="AN6897" t="s">
        <v>19348</v>
      </c>
      <c r="AO6897" t="s">
        <v>19349</v>
      </c>
    </row>
    <row r="6898" spans="39:41" ht="12" customHeight="1" x14ac:dyDescent="0.2">
      <c r="AM6898" t="str">
        <f t="shared" si="107"/>
        <v>Kaizaki [JPKAZ]</v>
      </c>
      <c r="AN6898" t="s">
        <v>19350</v>
      </c>
      <c r="AO6898" t="s">
        <v>19351</v>
      </c>
    </row>
    <row r="6899" spans="39:41" ht="12" customHeight="1" x14ac:dyDescent="0.2">
      <c r="AM6899" t="str">
        <f t="shared" si="107"/>
        <v>Kaje Omni-Pac [DEKOP]</v>
      </c>
      <c r="AN6899" t="s">
        <v>7669</v>
      </c>
      <c r="AO6899" t="s">
        <v>7670</v>
      </c>
    </row>
    <row r="6900" spans="39:41" ht="12" customHeight="1" x14ac:dyDescent="0.2">
      <c r="AM6900" t="str">
        <f t="shared" si="107"/>
        <v>Kajiki [JPKJK]</v>
      </c>
      <c r="AN6900" t="s">
        <v>19352</v>
      </c>
      <c r="AO6900" t="s">
        <v>19353</v>
      </c>
    </row>
    <row r="6901" spans="39:41" ht="12" customHeight="1" x14ac:dyDescent="0.2">
      <c r="AM6901" t="str">
        <f t="shared" si="107"/>
        <v>Kakap Marine Terminal [XZKMT]</v>
      </c>
      <c r="AN6901" t="s">
        <v>32577</v>
      </c>
      <c r="AO6901" t="s">
        <v>32578</v>
      </c>
    </row>
    <row r="6902" spans="39:41" ht="12" customHeight="1" x14ac:dyDescent="0.2">
      <c r="AM6902" t="str">
        <f t="shared" si="107"/>
        <v>Kakap Natuna Terminal [IDKNT]</v>
      </c>
      <c r="AN6902" t="s">
        <v>16303</v>
      </c>
      <c r="AO6902" t="s">
        <v>16304</v>
      </c>
    </row>
    <row r="6903" spans="39:41" ht="12" customHeight="1" x14ac:dyDescent="0.2">
      <c r="AM6903" t="str">
        <f t="shared" si="107"/>
        <v>Kakapo [PGKPP]</v>
      </c>
      <c r="AN6903" t="s">
        <v>25394</v>
      </c>
      <c r="AO6903" t="s">
        <v>25395</v>
      </c>
    </row>
    <row r="6904" spans="39:41" ht="12" customHeight="1" x14ac:dyDescent="0.2">
      <c r="AM6904" t="str">
        <f t="shared" ref="AM6904:AM6967" si="108">AO6904 &amp; " [" &amp; AN6904 &amp; "]"</f>
        <v>Kakeroma [JPKER]</v>
      </c>
      <c r="AN6904" t="s">
        <v>19354</v>
      </c>
      <c r="AO6904" t="s">
        <v>19355</v>
      </c>
    </row>
    <row r="6905" spans="39:41" ht="12" customHeight="1" x14ac:dyDescent="0.2">
      <c r="AM6905" t="str">
        <f t="shared" si="108"/>
        <v>Kakeshoek [NLKKO]</v>
      </c>
      <c r="AN6905" t="s">
        <v>23300</v>
      </c>
      <c r="AO6905" t="s">
        <v>23301</v>
      </c>
    </row>
    <row r="6906" spans="39:41" ht="12" customHeight="1" x14ac:dyDescent="0.2">
      <c r="AM6906" t="str">
        <f t="shared" si="108"/>
        <v>Kakinada [INKAK]</v>
      </c>
      <c r="AN6906" t="s">
        <v>17194</v>
      </c>
      <c r="AO6906" t="s">
        <v>17195</v>
      </c>
    </row>
    <row r="6907" spans="39:41" ht="12" customHeight="1" x14ac:dyDescent="0.2">
      <c r="AM6907" t="str">
        <f t="shared" si="108"/>
        <v>Kakogawa [JPKGA]</v>
      </c>
      <c r="AN6907" t="s">
        <v>19356</v>
      </c>
      <c r="AO6907" t="s">
        <v>19357</v>
      </c>
    </row>
    <row r="6908" spans="39:41" ht="12" customHeight="1" x14ac:dyDescent="0.2">
      <c r="AM6908" t="str">
        <f t="shared" si="108"/>
        <v>Kakumae [EEKAK]</v>
      </c>
      <c r="AN6908" t="s">
        <v>9171</v>
      </c>
      <c r="AO6908" t="s">
        <v>35620</v>
      </c>
    </row>
    <row r="6909" spans="39:41" ht="12" customHeight="1" x14ac:dyDescent="0.2">
      <c r="AM6909" t="str">
        <f t="shared" si="108"/>
        <v>Kalabahi [IDKBH]</v>
      </c>
      <c r="AN6909" t="s">
        <v>16305</v>
      </c>
      <c r="AO6909" t="s">
        <v>16306</v>
      </c>
    </row>
    <row r="6910" spans="39:41" ht="12" customHeight="1" x14ac:dyDescent="0.2">
      <c r="AM6910" t="str">
        <f t="shared" si="108"/>
        <v>Kalajoki [FIKJO]</v>
      </c>
      <c r="AN6910" t="s">
        <v>10393</v>
      </c>
      <c r="AO6910" t="s">
        <v>10394</v>
      </c>
    </row>
    <row r="6911" spans="39:41" ht="12" customHeight="1" x14ac:dyDescent="0.2">
      <c r="AM6911" t="str">
        <f t="shared" si="108"/>
        <v>Kalamaki [GRKLM]</v>
      </c>
      <c r="AN6911" t="s">
        <v>15252</v>
      </c>
      <c r="AO6911" t="s">
        <v>15253</v>
      </c>
    </row>
    <row r="6912" spans="39:41" ht="12" customHeight="1" x14ac:dyDescent="0.2">
      <c r="AM6912" t="str">
        <f t="shared" si="108"/>
        <v>Kalamansig [PHKLM]</v>
      </c>
      <c r="AN6912" t="s">
        <v>25811</v>
      </c>
      <c r="AO6912" t="s">
        <v>25812</v>
      </c>
    </row>
    <row r="6913" spans="39:41" ht="12" customHeight="1" x14ac:dyDescent="0.2">
      <c r="AM6913" t="str">
        <f t="shared" si="108"/>
        <v>Kalamata [GRKLX]</v>
      </c>
      <c r="AN6913" t="s">
        <v>15254</v>
      </c>
      <c r="AO6913" t="s">
        <v>35907</v>
      </c>
    </row>
    <row r="6914" spans="39:41" ht="12" customHeight="1" x14ac:dyDescent="0.2">
      <c r="AM6914" t="str">
        <f t="shared" si="108"/>
        <v>Kalamos Island (Lefkada) [GRKAI]</v>
      </c>
      <c r="AN6914" t="s">
        <v>15255</v>
      </c>
      <c r="AO6914" t="s">
        <v>15256</v>
      </c>
    </row>
    <row r="6915" spans="39:41" ht="12" customHeight="1" x14ac:dyDescent="0.2">
      <c r="AM6915" t="str">
        <f t="shared" si="108"/>
        <v>Kalana [EEKAL]</v>
      </c>
      <c r="AN6915" t="s">
        <v>9172</v>
      </c>
      <c r="AO6915" t="s">
        <v>9173</v>
      </c>
    </row>
    <row r="6916" spans="39:41" ht="12" customHeight="1" x14ac:dyDescent="0.2">
      <c r="AM6916" t="str">
        <f t="shared" si="108"/>
        <v>Kalasadam [EEKAS]</v>
      </c>
      <c r="AN6916" t="s">
        <v>9174</v>
      </c>
      <c r="AO6916" t="s">
        <v>9175</v>
      </c>
    </row>
    <row r="6917" spans="39:41" ht="12" customHeight="1" x14ac:dyDescent="0.2">
      <c r="AM6917" t="str">
        <f t="shared" si="108"/>
        <v>Kalathos Rodou [GRKLD]</v>
      </c>
      <c r="AN6917" t="s">
        <v>15257</v>
      </c>
      <c r="AO6917" t="s">
        <v>15258</v>
      </c>
    </row>
    <row r="6918" spans="39:41" ht="12" customHeight="1" x14ac:dyDescent="0.2">
      <c r="AM6918" t="str">
        <f t="shared" si="108"/>
        <v>Kalba [AEKLB]</v>
      </c>
      <c r="AN6918" t="s">
        <v>741</v>
      </c>
      <c r="AO6918" t="s">
        <v>742</v>
      </c>
    </row>
    <row r="6919" spans="39:41" ht="12" customHeight="1" x14ac:dyDescent="0.2">
      <c r="AM6919" t="str">
        <f t="shared" si="108"/>
        <v>Kalbut Situbondo [IDKSO]</v>
      </c>
      <c r="AN6919" t="s">
        <v>16307</v>
      </c>
      <c r="AO6919" t="s">
        <v>16308</v>
      </c>
    </row>
    <row r="6920" spans="39:41" ht="12" customHeight="1" x14ac:dyDescent="0.2">
      <c r="AM6920" t="str">
        <f t="shared" si="108"/>
        <v>Kaldfjord [NOKDF]</v>
      </c>
      <c r="AN6920" t="s">
        <v>24316</v>
      </c>
      <c r="AO6920" t="s">
        <v>24317</v>
      </c>
    </row>
    <row r="6921" spans="39:41" ht="12" customHeight="1" x14ac:dyDescent="0.2">
      <c r="AM6921" t="str">
        <f t="shared" si="108"/>
        <v>Kaldu [EEKLD]</v>
      </c>
      <c r="AN6921" t="s">
        <v>34322</v>
      </c>
      <c r="AO6921" t="s">
        <v>34312</v>
      </c>
    </row>
    <row r="6922" spans="39:41" ht="12" customHeight="1" x14ac:dyDescent="0.2">
      <c r="AM6922" t="str">
        <f t="shared" si="108"/>
        <v>Kalevi Jahtklubi [EEKJK]</v>
      </c>
      <c r="AN6922" t="s">
        <v>9176</v>
      </c>
      <c r="AO6922" t="s">
        <v>9177</v>
      </c>
    </row>
    <row r="6923" spans="39:41" ht="12" customHeight="1" x14ac:dyDescent="0.2">
      <c r="AM6923" t="str">
        <f t="shared" si="108"/>
        <v>Kali [HRKAL]</v>
      </c>
      <c r="AN6923" t="s">
        <v>15760</v>
      </c>
      <c r="AO6923" t="s">
        <v>15761</v>
      </c>
    </row>
    <row r="6924" spans="39:41" ht="12" customHeight="1" x14ac:dyDescent="0.2">
      <c r="AM6924" t="str">
        <f t="shared" si="108"/>
        <v>Kalilimenes [GRKLL]</v>
      </c>
      <c r="AN6924" t="s">
        <v>15259</v>
      </c>
      <c r="AO6924" t="s">
        <v>15260</v>
      </c>
    </row>
    <row r="6925" spans="39:41" ht="12" customHeight="1" x14ac:dyDescent="0.2">
      <c r="AM6925" t="str">
        <f t="shared" si="108"/>
        <v>Kaliningrad [RUKGD]</v>
      </c>
      <c r="AN6925" t="s">
        <v>26955</v>
      </c>
      <c r="AO6925" t="s">
        <v>26956</v>
      </c>
    </row>
    <row r="6926" spans="39:41" ht="12" customHeight="1" x14ac:dyDescent="0.2">
      <c r="AM6926" t="str">
        <f t="shared" si="108"/>
        <v>Kalix [SEKAX]</v>
      </c>
      <c r="AN6926" t="s">
        <v>27658</v>
      </c>
      <c r="AO6926" t="s">
        <v>27659</v>
      </c>
    </row>
    <row r="6927" spans="39:41" ht="12" customHeight="1" x14ac:dyDescent="0.2">
      <c r="AM6927" t="str">
        <f t="shared" si="108"/>
        <v>Kallai [INKAL]</v>
      </c>
      <c r="AN6927" t="s">
        <v>17196</v>
      </c>
      <c r="AO6927" t="s">
        <v>17197</v>
      </c>
    </row>
    <row r="6928" spans="39:41" ht="12" customHeight="1" x14ac:dyDescent="0.2">
      <c r="AM6928" t="str">
        <f t="shared" si="108"/>
        <v>Kallaste [EEKLE]</v>
      </c>
      <c r="AN6928" t="s">
        <v>9178</v>
      </c>
      <c r="AO6928" t="s">
        <v>9179</v>
      </c>
    </row>
    <row r="6929" spans="39:41" ht="12" customHeight="1" x14ac:dyDescent="0.2">
      <c r="AM6929" t="str">
        <f t="shared" si="108"/>
        <v>Kallaste [EEKLL]</v>
      </c>
      <c r="AN6929" t="s">
        <v>9180</v>
      </c>
      <c r="AO6929" t="s">
        <v>9179</v>
      </c>
    </row>
    <row r="6930" spans="39:41" ht="12" customHeight="1" x14ac:dyDescent="0.2">
      <c r="AM6930" t="str">
        <f t="shared" si="108"/>
        <v>Kallaste Paadisadam [EEKLP]</v>
      </c>
      <c r="AN6930" t="s">
        <v>34975</v>
      </c>
      <c r="AO6930" t="s">
        <v>34976</v>
      </c>
    </row>
    <row r="6931" spans="39:41" ht="12" customHeight="1" x14ac:dyDescent="0.2">
      <c r="AM6931" t="str">
        <f t="shared" si="108"/>
        <v>Kallaste Rannasadam [EEKLR]</v>
      </c>
      <c r="AN6931" t="s">
        <v>9181</v>
      </c>
      <c r="AO6931" t="s">
        <v>9182</v>
      </c>
    </row>
    <row r="6932" spans="39:41" ht="12" customHeight="1" x14ac:dyDescent="0.2">
      <c r="AM6932" t="str">
        <f t="shared" si="108"/>
        <v>Kallin (Ceallan), Isle of Grimsay [GBKAL]</v>
      </c>
      <c r="AN6932" t="s">
        <v>13507</v>
      </c>
      <c r="AO6932" t="s">
        <v>13508</v>
      </c>
    </row>
    <row r="6933" spans="39:41" ht="12" customHeight="1" x14ac:dyDescent="0.2">
      <c r="AM6933" t="str">
        <f t="shared" si="108"/>
        <v>Kalliola [FIKK5]</v>
      </c>
      <c r="AN6933" t="s">
        <v>10395</v>
      </c>
      <c r="AO6933" t="s">
        <v>10396</v>
      </c>
    </row>
    <row r="6934" spans="39:41" ht="12" customHeight="1" x14ac:dyDescent="0.2">
      <c r="AM6934" t="str">
        <f t="shared" si="108"/>
        <v>Kallo [BEKOU]</v>
      </c>
      <c r="AN6934" t="s">
        <v>2588</v>
      </c>
      <c r="AO6934" t="s">
        <v>2589</v>
      </c>
    </row>
    <row r="6935" spans="39:41" ht="12" customHeight="1" x14ac:dyDescent="0.2">
      <c r="AM6935" t="str">
        <f t="shared" si="108"/>
        <v>Kallstadt [DEKDT]</v>
      </c>
      <c r="AN6935" t="s">
        <v>7671</v>
      </c>
      <c r="AO6935" t="s">
        <v>7672</v>
      </c>
    </row>
    <row r="6936" spans="39:41" ht="12" customHeight="1" x14ac:dyDescent="0.2">
      <c r="AM6936" t="str">
        <f t="shared" si="108"/>
        <v>Kallviken [FIKLV]</v>
      </c>
      <c r="AN6936" t="s">
        <v>10397</v>
      </c>
      <c r="AO6936" t="s">
        <v>10398</v>
      </c>
    </row>
    <row r="6937" spans="39:41" ht="12" customHeight="1" x14ac:dyDescent="0.2">
      <c r="AM6937" t="str">
        <f t="shared" si="108"/>
        <v>Kalmakula Sadam [EEKAM]</v>
      </c>
      <c r="AN6937" t="s">
        <v>33836</v>
      </c>
      <c r="AO6937" t="s">
        <v>33959</v>
      </c>
    </row>
    <row r="6938" spans="39:41" ht="12" customHeight="1" x14ac:dyDescent="0.2">
      <c r="AM6938" t="str">
        <f t="shared" si="108"/>
        <v>Kalmar [SEKLR]</v>
      </c>
      <c r="AN6938" t="s">
        <v>27660</v>
      </c>
      <c r="AO6938" t="s">
        <v>27661</v>
      </c>
    </row>
    <row r="6939" spans="39:41" ht="12" customHeight="1" x14ac:dyDescent="0.2">
      <c r="AM6939" t="str">
        <f t="shared" si="108"/>
        <v>Kalmarsand [SEKAL]</v>
      </c>
      <c r="AN6939" t="s">
        <v>27662</v>
      </c>
      <c r="AO6939" t="s">
        <v>27663</v>
      </c>
    </row>
    <row r="6940" spans="39:41" ht="12" customHeight="1" x14ac:dyDescent="0.2">
      <c r="AM6940" t="str">
        <f t="shared" si="108"/>
        <v>Kalo [PGKLO]</v>
      </c>
      <c r="AN6940" t="s">
        <v>25396</v>
      </c>
      <c r="AO6940" t="s">
        <v>25397</v>
      </c>
    </row>
    <row r="6941" spans="39:41" ht="12" customHeight="1" x14ac:dyDescent="0.2">
      <c r="AM6941" t="str">
        <f t="shared" si="108"/>
        <v>Kalocsa [HUKCO]</v>
      </c>
      <c r="AN6941" t="s">
        <v>16095</v>
      </c>
      <c r="AO6941" t="s">
        <v>16096</v>
      </c>
    </row>
    <row r="6942" spans="39:41" ht="12" customHeight="1" x14ac:dyDescent="0.2">
      <c r="AM6942" t="str">
        <f t="shared" si="108"/>
        <v>Kalpeni Island [INKPI]</v>
      </c>
      <c r="AN6942" t="s">
        <v>17198</v>
      </c>
      <c r="AO6942" t="s">
        <v>17199</v>
      </c>
    </row>
    <row r="6943" spans="39:41" ht="12" customHeight="1" x14ac:dyDescent="0.2">
      <c r="AM6943" t="str">
        <f t="shared" si="108"/>
        <v>Kalpitiya [LKKAL]</v>
      </c>
      <c r="AN6943" t="s">
        <v>21831</v>
      </c>
      <c r="AO6943" t="s">
        <v>21832</v>
      </c>
    </row>
    <row r="6944" spans="39:41" ht="12" customHeight="1" x14ac:dyDescent="0.2">
      <c r="AM6944" t="str">
        <f t="shared" si="108"/>
        <v>Kalundborg [DKKAL]</v>
      </c>
      <c r="AN6944" t="s">
        <v>8760</v>
      </c>
      <c r="AO6944" t="s">
        <v>8761</v>
      </c>
    </row>
    <row r="6945" spans="39:41" ht="12" customHeight="1" x14ac:dyDescent="0.2">
      <c r="AM6945" t="str">
        <f t="shared" si="108"/>
        <v>Kalvag [NOKVG]</v>
      </c>
      <c r="AN6945" t="s">
        <v>24318</v>
      </c>
      <c r="AO6945" t="s">
        <v>36215</v>
      </c>
    </row>
    <row r="6946" spans="39:41" ht="12" customHeight="1" x14ac:dyDescent="0.2">
      <c r="AM6946" t="str">
        <f t="shared" si="108"/>
        <v>Kalvehave [DKKAV]</v>
      </c>
      <c r="AN6946" t="s">
        <v>36866</v>
      </c>
      <c r="AO6946" t="s">
        <v>36867</v>
      </c>
    </row>
    <row r="6947" spans="39:41" ht="12" customHeight="1" x14ac:dyDescent="0.2">
      <c r="AM6947" t="str">
        <f t="shared" si="108"/>
        <v>Kalvneset [NOKAN]</v>
      </c>
      <c r="AN6947" t="s">
        <v>24319</v>
      </c>
      <c r="AO6947" t="s">
        <v>24320</v>
      </c>
    </row>
    <row r="6948" spans="39:41" ht="12" customHeight="1" x14ac:dyDescent="0.2">
      <c r="AM6948" t="str">
        <f t="shared" si="108"/>
        <v>Kalyan [INKLY]</v>
      </c>
      <c r="AN6948" t="s">
        <v>17200</v>
      </c>
      <c r="AO6948" t="s">
        <v>17201</v>
      </c>
    </row>
    <row r="6949" spans="39:41" ht="12" customHeight="1" x14ac:dyDescent="0.2">
      <c r="AM6949" t="str">
        <f t="shared" si="108"/>
        <v>Kalyazin [RUKLY]</v>
      </c>
      <c r="AN6949" t="s">
        <v>26957</v>
      </c>
      <c r="AO6949" t="s">
        <v>26958</v>
      </c>
    </row>
    <row r="6950" spans="39:41" ht="12" customHeight="1" x14ac:dyDescent="0.2">
      <c r="AM6950" t="str">
        <f t="shared" si="108"/>
        <v>Kalymnos [GRKMI]</v>
      </c>
      <c r="AN6950" t="s">
        <v>15261</v>
      </c>
      <c r="AO6950" t="s">
        <v>35908</v>
      </c>
    </row>
    <row r="6951" spans="39:41" ht="12" customHeight="1" x14ac:dyDescent="0.2">
      <c r="AM6951" t="str">
        <f t="shared" si="108"/>
        <v>Kama, Shimane [JPKAJ]</v>
      </c>
      <c r="AN6951" t="s">
        <v>19358</v>
      </c>
      <c r="AO6951" t="s">
        <v>19359</v>
      </c>
    </row>
    <row r="6952" spans="39:41" ht="12" customHeight="1" x14ac:dyDescent="0.2">
      <c r="AM6952" t="str">
        <f t="shared" si="108"/>
        <v>Kamae [JPKME]</v>
      </c>
      <c r="AN6952" t="s">
        <v>19360</v>
      </c>
      <c r="AO6952" t="s">
        <v>19361</v>
      </c>
    </row>
    <row r="6953" spans="39:41" ht="12" customHeight="1" x14ac:dyDescent="0.2">
      <c r="AM6953" t="str">
        <f t="shared" si="108"/>
        <v>Kamagari [JPKGR]</v>
      </c>
      <c r="AN6953" t="s">
        <v>19362</v>
      </c>
      <c r="AO6953" t="s">
        <v>19363</v>
      </c>
    </row>
    <row r="6954" spans="39:41" ht="12" customHeight="1" x14ac:dyDescent="0.2">
      <c r="AM6954" t="str">
        <f t="shared" si="108"/>
        <v>Kamaishi [JPKIS]</v>
      </c>
      <c r="AN6954" t="s">
        <v>19364</v>
      </c>
      <c r="AO6954" t="s">
        <v>19365</v>
      </c>
    </row>
    <row r="6955" spans="39:41" ht="12" customHeight="1" x14ac:dyDescent="0.2">
      <c r="AM6955" t="str">
        <f t="shared" si="108"/>
        <v>Kamares Sifnos [GRKRE]</v>
      </c>
      <c r="AN6955" t="s">
        <v>15262</v>
      </c>
      <c r="AO6955" t="s">
        <v>15263</v>
      </c>
    </row>
    <row r="6956" spans="39:41" ht="12" customHeight="1" x14ac:dyDescent="0.2">
      <c r="AM6956" t="str">
        <f t="shared" si="108"/>
        <v>Kambo [NOKMO]</v>
      </c>
      <c r="AN6956" t="s">
        <v>24321</v>
      </c>
      <c r="AO6956" t="s">
        <v>24322</v>
      </c>
    </row>
    <row r="6957" spans="39:41" ht="12" customHeight="1" x14ac:dyDescent="0.2">
      <c r="AM6957" t="str">
        <f t="shared" si="108"/>
        <v>Kambunong, Celebes [IDKAM]</v>
      </c>
      <c r="AN6957" t="s">
        <v>16309</v>
      </c>
      <c r="AO6957" t="s">
        <v>16310</v>
      </c>
    </row>
    <row r="6958" spans="39:41" ht="12" customHeight="1" x14ac:dyDescent="0.2">
      <c r="AM6958" t="str">
        <f t="shared" si="108"/>
        <v>Kameike [JPKEE]</v>
      </c>
      <c r="AN6958" t="s">
        <v>19366</v>
      </c>
      <c r="AO6958" t="s">
        <v>19367</v>
      </c>
    </row>
    <row r="6959" spans="39:41" ht="12" customHeight="1" x14ac:dyDescent="0.2">
      <c r="AM6959" t="str">
        <f t="shared" si="108"/>
        <v>Kametoku [JPKAM]</v>
      </c>
      <c r="AN6959" t="s">
        <v>19368</v>
      </c>
      <c r="AO6959" t="s">
        <v>19369</v>
      </c>
    </row>
    <row r="6960" spans="39:41" ht="12" customHeight="1" x14ac:dyDescent="0.2">
      <c r="AM6960" t="str">
        <f t="shared" si="108"/>
        <v>Kameura, Kumamoto [JPKJM]</v>
      </c>
      <c r="AN6960" t="s">
        <v>19370</v>
      </c>
      <c r="AO6960" t="s">
        <v>19371</v>
      </c>
    </row>
    <row r="6961" spans="39:41" ht="12" customHeight="1" x14ac:dyDescent="0.2">
      <c r="AM6961" t="str">
        <f t="shared" si="108"/>
        <v>Kameura, Tokushima [JPKMR]</v>
      </c>
      <c r="AN6961" t="s">
        <v>19372</v>
      </c>
      <c r="AO6961" t="s">
        <v>19373</v>
      </c>
    </row>
    <row r="6962" spans="39:41" ht="12" customHeight="1" x14ac:dyDescent="0.2">
      <c r="AM6962" t="str">
        <f t="shared" si="108"/>
        <v>Kamien Pomorski [PLKAO]</v>
      </c>
      <c r="AN6962" t="s">
        <v>26314</v>
      </c>
      <c r="AO6962" t="s">
        <v>26315</v>
      </c>
    </row>
    <row r="6963" spans="39:41" ht="12" customHeight="1" x14ac:dyDescent="0.2">
      <c r="AM6963" t="str">
        <f t="shared" si="108"/>
        <v>Kamihira [JPKAH]</v>
      </c>
      <c r="AN6963" t="s">
        <v>19374</v>
      </c>
      <c r="AO6963" t="s">
        <v>19375</v>
      </c>
    </row>
    <row r="6964" spans="39:41" ht="12" customHeight="1" x14ac:dyDescent="0.2">
      <c r="AM6964" t="str">
        <f t="shared" si="108"/>
        <v>Kamikatetsu [JPKKT]</v>
      </c>
      <c r="AN6964" t="s">
        <v>19376</v>
      </c>
      <c r="AO6964" t="s">
        <v>19377</v>
      </c>
    </row>
    <row r="6965" spans="39:41" ht="12" customHeight="1" x14ac:dyDescent="0.2">
      <c r="AM6965" t="str">
        <f t="shared" si="108"/>
        <v>Kamikawaguchi [JPKMW]</v>
      </c>
      <c r="AN6965" t="s">
        <v>19378</v>
      </c>
      <c r="AO6965" t="s">
        <v>19379</v>
      </c>
    </row>
    <row r="6966" spans="39:41" ht="12" customHeight="1" x14ac:dyDescent="0.2">
      <c r="AM6966" t="str">
        <f t="shared" si="108"/>
        <v>Kaminato [JPKMM]</v>
      </c>
      <c r="AN6966" t="s">
        <v>19380</v>
      </c>
      <c r="AO6966" t="s">
        <v>19381</v>
      </c>
    </row>
    <row r="6967" spans="39:41" ht="12" customHeight="1" x14ac:dyDescent="0.2">
      <c r="AM6967" t="str">
        <f t="shared" si="108"/>
        <v>Kaminofuruta [JPKMF]</v>
      </c>
      <c r="AN6967" t="s">
        <v>19382</v>
      </c>
      <c r="AO6967" t="s">
        <v>19383</v>
      </c>
    </row>
    <row r="6968" spans="39:41" ht="12" customHeight="1" x14ac:dyDescent="0.2">
      <c r="AM6968" t="str">
        <f t="shared" ref="AM6968:AM7031" si="109">AO6968 &amp; " [" &amp; AN6968 &amp; "]"</f>
        <v>Kaminokae [JPKMK]</v>
      </c>
      <c r="AN6968" t="s">
        <v>19384</v>
      </c>
      <c r="AO6968" t="s">
        <v>19385</v>
      </c>
    </row>
    <row r="6969" spans="39:41" ht="12" customHeight="1" x14ac:dyDescent="0.2">
      <c r="AM6969" t="str">
        <f t="shared" si="109"/>
        <v>Kaminoseki [JPKOX]</v>
      </c>
      <c r="AN6969" t="s">
        <v>19386</v>
      </c>
      <c r="AO6969" t="s">
        <v>19387</v>
      </c>
    </row>
    <row r="6970" spans="39:41" ht="12" customHeight="1" x14ac:dyDescent="0.2">
      <c r="AM6970" t="str">
        <f t="shared" si="109"/>
        <v>Kamiros Skala [GRKSK]</v>
      </c>
      <c r="AN6970" t="s">
        <v>34087</v>
      </c>
      <c r="AO6970" t="s">
        <v>34133</v>
      </c>
    </row>
    <row r="6971" spans="39:41" ht="12" customHeight="1" x14ac:dyDescent="0.2">
      <c r="AM6971" t="str">
        <f t="shared" si="109"/>
        <v>Kamiura [JPKMU]</v>
      </c>
      <c r="AN6971" t="s">
        <v>19388</v>
      </c>
      <c r="AO6971" t="s">
        <v>19389</v>
      </c>
    </row>
    <row r="6972" spans="39:41" ht="12" customHeight="1" x14ac:dyDescent="0.2">
      <c r="AM6972" t="str">
        <f t="shared" si="109"/>
        <v>Kamiyakunagata [JPKMY]</v>
      </c>
      <c r="AN6972" t="s">
        <v>19390</v>
      </c>
      <c r="AO6972" t="s">
        <v>19391</v>
      </c>
    </row>
    <row r="6973" spans="39:41" ht="12" customHeight="1" x14ac:dyDescent="0.2">
      <c r="AM6973" t="str">
        <f t="shared" si="109"/>
        <v>Kammern im Liesingtal [ATKAM]</v>
      </c>
      <c r="AN6973" t="s">
        <v>1248</v>
      </c>
      <c r="AO6973" t="s">
        <v>1249</v>
      </c>
    </row>
    <row r="6974" spans="39:41" ht="12" customHeight="1" x14ac:dyDescent="0.2">
      <c r="AM6974" t="str">
        <f t="shared" si="109"/>
        <v>Kamo [JPKMO]</v>
      </c>
      <c r="AN6974" t="s">
        <v>19392</v>
      </c>
      <c r="AO6974" t="s">
        <v>19393</v>
      </c>
    </row>
    <row r="6975" spans="39:41" ht="12" customHeight="1" x14ac:dyDescent="0.2">
      <c r="AM6975" t="str">
        <f t="shared" si="109"/>
        <v>Kamoise [JPKSE]</v>
      </c>
      <c r="AN6975" t="s">
        <v>19394</v>
      </c>
      <c r="AO6975" t="s">
        <v>19395</v>
      </c>
    </row>
    <row r="6976" spans="39:41" ht="12" customHeight="1" x14ac:dyDescent="0.2">
      <c r="AM6976" t="str">
        <f t="shared" si="109"/>
        <v>Kampe [DEKPE]</v>
      </c>
      <c r="AN6976" t="s">
        <v>7673</v>
      </c>
      <c r="AO6976" t="s">
        <v>7674</v>
      </c>
    </row>
    <row r="6977" spans="39:41" ht="12" customHeight="1" x14ac:dyDescent="0.2">
      <c r="AM6977" t="str">
        <f t="shared" si="109"/>
        <v>Kampen [NLKAM]</v>
      </c>
      <c r="AN6977" t="s">
        <v>23302</v>
      </c>
      <c r="AO6977" t="s">
        <v>23303</v>
      </c>
    </row>
    <row r="6978" spans="39:41" ht="12" customHeight="1" x14ac:dyDescent="0.2">
      <c r="AM6978" t="str">
        <f t="shared" si="109"/>
        <v>Kampenhout [BEKMH]</v>
      </c>
      <c r="AN6978" t="s">
        <v>2590</v>
      </c>
      <c r="AO6978" t="s">
        <v>2591</v>
      </c>
    </row>
    <row r="6979" spans="39:41" ht="12" customHeight="1" x14ac:dyDescent="0.2">
      <c r="AM6979" t="str">
        <f t="shared" si="109"/>
        <v>Kamphaeng Phet [THKPT]</v>
      </c>
      <c r="AN6979" t="s">
        <v>28232</v>
      </c>
      <c r="AO6979" t="s">
        <v>28233</v>
      </c>
    </row>
    <row r="6980" spans="39:41" ht="12" customHeight="1" x14ac:dyDescent="0.2">
      <c r="AM6980" t="str">
        <f t="shared" si="109"/>
        <v>Kampong Saom [KHKOS]</v>
      </c>
      <c r="AN6980" t="s">
        <v>21540</v>
      </c>
      <c r="AO6980" t="s">
        <v>36078</v>
      </c>
    </row>
    <row r="6981" spans="39:41" ht="12" customHeight="1" x14ac:dyDescent="0.2">
      <c r="AM6981" t="str">
        <f t="shared" si="109"/>
        <v>Kampong Tanjong Kupang [MYTKP]</v>
      </c>
      <c r="AN6981" t="s">
        <v>22560</v>
      </c>
      <c r="AO6981" t="s">
        <v>22561</v>
      </c>
    </row>
    <row r="6982" spans="39:41" ht="12" customHeight="1" x14ac:dyDescent="0.2">
      <c r="AM6982" t="str">
        <f t="shared" si="109"/>
        <v>Kampung Laut [IDKPL]</v>
      </c>
      <c r="AN6982" t="s">
        <v>16311</v>
      </c>
      <c r="AO6982" t="s">
        <v>16312</v>
      </c>
    </row>
    <row r="6983" spans="39:41" ht="12" customHeight="1" x14ac:dyDescent="0.2">
      <c r="AM6983" t="str">
        <f t="shared" si="109"/>
        <v>Kampung Tanjung Langsat [MYTLA]</v>
      </c>
      <c r="AN6983" t="s">
        <v>22562</v>
      </c>
      <c r="AO6983" t="s">
        <v>22563</v>
      </c>
    </row>
    <row r="6984" spans="39:41" ht="12" customHeight="1" x14ac:dyDescent="0.2">
      <c r="AM6984" t="str">
        <f t="shared" si="109"/>
        <v>Kamskoye Ustye [RUKMU]</v>
      </c>
      <c r="AN6984" t="s">
        <v>26959</v>
      </c>
      <c r="AO6984" t="s">
        <v>26960</v>
      </c>
    </row>
    <row r="6985" spans="39:41" ht="12" customHeight="1" x14ac:dyDescent="0.2">
      <c r="AM6985" t="str">
        <f t="shared" si="109"/>
        <v>Kamyk [PLKYK]</v>
      </c>
      <c r="AN6985" t="s">
        <v>26316</v>
      </c>
      <c r="AO6985" t="s">
        <v>26317</v>
      </c>
    </row>
    <row r="6986" spans="39:41" ht="12" customHeight="1" x14ac:dyDescent="0.2">
      <c r="AM6986" t="str">
        <f t="shared" si="109"/>
        <v>Kanayaki [JPKYK]</v>
      </c>
      <c r="AN6986" t="s">
        <v>19396</v>
      </c>
      <c r="AO6986" t="s">
        <v>19397</v>
      </c>
    </row>
    <row r="6987" spans="39:41" ht="12" customHeight="1" x14ac:dyDescent="0.2">
      <c r="AM6987" t="str">
        <f t="shared" si="109"/>
        <v>Kanazawa [JPKNZ]</v>
      </c>
      <c r="AN6987" t="s">
        <v>19398</v>
      </c>
      <c r="AO6987" t="s">
        <v>19399</v>
      </c>
    </row>
    <row r="6988" spans="39:41" ht="12" customHeight="1" x14ac:dyDescent="0.2">
      <c r="AM6988" t="str">
        <f t="shared" si="109"/>
        <v>Kanda, Fukuoka [JPKND]</v>
      </c>
      <c r="AN6988" t="s">
        <v>19400</v>
      </c>
      <c r="AO6988" t="s">
        <v>19401</v>
      </c>
    </row>
    <row r="6989" spans="39:41" ht="12" customHeight="1" x14ac:dyDescent="0.2">
      <c r="AM6989" t="str">
        <f t="shared" si="109"/>
        <v>Kandalaksha [RUKAN]</v>
      </c>
      <c r="AN6989" t="s">
        <v>26961</v>
      </c>
      <c r="AO6989" t="s">
        <v>26962</v>
      </c>
    </row>
    <row r="6990" spans="39:41" ht="12" customHeight="1" x14ac:dyDescent="0.2">
      <c r="AM6990" t="str">
        <f t="shared" si="109"/>
        <v>Kandla [INIXY]</v>
      </c>
      <c r="AN6990" t="s">
        <v>17202</v>
      </c>
      <c r="AO6990" t="s">
        <v>17203</v>
      </c>
    </row>
    <row r="6991" spans="39:41" ht="12" customHeight="1" x14ac:dyDescent="0.2">
      <c r="AM6991" t="str">
        <f t="shared" si="109"/>
        <v>Kanegusuku [JPKGU]</v>
      </c>
      <c r="AN6991" t="s">
        <v>19402</v>
      </c>
      <c r="AO6991" t="s">
        <v>19403</v>
      </c>
    </row>
    <row r="6992" spans="39:41" ht="12" customHeight="1" x14ac:dyDescent="0.2">
      <c r="AM6992" t="str">
        <f t="shared" si="109"/>
        <v>Kanfanar [HRKFR]</v>
      </c>
      <c r="AN6992" t="s">
        <v>15762</v>
      </c>
      <c r="AO6992" t="s">
        <v>15763</v>
      </c>
    </row>
    <row r="6993" spans="39:41" ht="12" customHeight="1" x14ac:dyDescent="0.2">
      <c r="AM6993" t="str">
        <f t="shared" si="109"/>
        <v>Kangarilla [AUKAN]</v>
      </c>
      <c r="AN6993" t="s">
        <v>1759</v>
      </c>
      <c r="AO6993" t="s">
        <v>1760</v>
      </c>
    </row>
    <row r="6994" spans="39:41" ht="12" customHeight="1" x14ac:dyDescent="0.2">
      <c r="AM6994" t="str">
        <f t="shared" si="109"/>
        <v>Kangerdluarssoruseg (Faringehavn [GLFHN]</v>
      </c>
      <c r="AN6994" t="s">
        <v>14986</v>
      </c>
      <c r="AO6994" t="s">
        <v>35868</v>
      </c>
    </row>
    <row r="6995" spans="39:41" ht="12" customHeight="1" x14ac:dyDescent="0.2">
      <c r="AM6995" t="str">
        <f t="shared" si="109"/>
        <v>Kangerlussuaq Havn [GLKAN]</v>
      </c>
      <c r="AN6995" t="s">
        <v>14987</v>
      </c>
      <c r="AO6995" t="s">
        <v>14988</v>
      </c>
    </row>
    <row r="6996" spans="39:41" ht="12" customHeight="1" x14ac:dyDescent="0.2">
      <c r="AM6996" t="str">
        <f t="shared" si="109"/>
        <v>Kangilinguit (Gronnedal) [GLJGR]</v>
      </c>
      <c r="AN6996" t="s">
        <v>14989</v>
      </c>
      <c r="AO6996" t="s">
        <v>14990</v>
      </c>
    </row>
    <row r="6997" spans="39:41" ht="12" customHeight="1" x14ac:dyDescent="0.2">
      <c r="AM6997" t="str">
        <f t="shared" si="109"/>
        <v>Kangzhou Pt [CNKZG]</v>
      </c>
      <c r="AN6997" t="s">
        <v>5598</v>
      </c>
      <c r="AO6997" t="s">
        <v>5599</v>
      </c>
    </row>
    <row r="6998" spans="39:41" ht="12" customHeight="1" x14ac:dyDescent="0.2">
      <c r="AM6998" t="str">
        <f t="shared" si="109"/>
        <v>Kankesanturai [LKKNK]</v>
      </c>
      <c r="AN6998" t="s">
        <v>21833</v>
      </c>
      <c r="AO6998" t="s">
        <v>21834</v>
      </c>
    </row>
    <row r="6999" spans="39:41" ht="12" customHeight="1" x14ac:dyDescent="0.2">
      <c r="AM6999" t="str">
        <f t="shared" si="109"/>
        <v>Kankudy [INKND]</v>
      </c>
      <c r="AN6999" t="s">
        <v>17204</v>
      </c>
      <c r="AO6999" t="s">
        <v>17205</v>
      </c>
    </row>
    <row r="7000" spans="39:41" ht="12" customHeight="1" x14ac:dyDescent="0.2">
      <c r="AM7000" t="str">
        <f t="shared" si="109"/>
        <v>Kanmen [CNKMN]</v>
      </c>
      <c r="AN7000" t="s">
        <v>5600</v>
      </c>
      <c r="AO7000" t="s">
        <v>5601</v>
      </c>
    </row>
    <row r="7001" spans="39:41" ht="12" customHeight="1" x14ac:dyDescent="0.2">
      <c r="AM7001" t="str">
        <f t="shared" si="109"/>
        <v>Kanmon [JPKNM]</v>
      </c>
      <c r="AN7001" t="s">
        <v>19404</v>
      </c>
      <c r="AO7001" t="s">
        <v>19405</v>
      </c>
    </row>
    <row r="7002" spans="39:41" ht="12" customHeight="1" x14ac:dyDescent="0.2">
      <c r="AM7002" t="str">
        <f t="shared" si="109"/>
        <v>Kannonji [JPKJN]</v>
      </c>
      <c r="AN7002" t="s">
        <v>19406</v>
      </c>
      <c r="AO7002" t="s">
        <v>19407</v>
      </c>
    </row>
    <row r="7003" spans="39:41" ht="12" customHeight="1" x14ac:dyDescent="0.2">
      <c r="AM7003" t="str">
        <f t="shared" si="109"/>
        <v>Kannoura [JPKRA]</v>
      </c>
      <c r="AN7003" t="s">
        <v>19408</v>
      </c>
      <c r="AO7003" t="s">
        <v>19409</v>
      </c>
    </row>
    <row r="7004" spans="39:41" ht="12" customHeight="1" x14ac:dyDescent="0.2">
      <c r="AM7004" t="str">
        <f t="shared" si="109"/>
        <v>Kanokawa [JPKKW]</v>
      </c>
      <c r="AN7004" t="s">
        <v>19410</v>
      </c>
      <c r="AO7004" t="s">
        <v>19411</v>
      </c>
    </row>
    <row r="7005" spans="39:41" ht="12" customHeight="1" x14ac:dyDescent="0.2">
      <c r="AM7005" t="str">
        <f t="shared" si="109"/>
        <v>Kanoya [JPKYA]</v>
      </c>
      <c r="AN7005" t="s">
        <v>19412</v>
      </c>
      <c r="AO7005" t="s">
        <v>19413</v>
      </c>
    </row>
    <row r="7006" spans="39:41" ht="12" customHeight="1" x14ac:dyDescent="0.2">
      <c r="AM7006" t="str">
        <f t="shared" si="109"/>
        <v>Kansas City [USKCK]</v>
      </c>
      <c r="AN7006" t="s">
        <v>30249</v>
      </c>
      <c r="AO7006" t="s">
        <v>30250</v>
      </c>
    </row>
    <row r="7007" spans="39:41" ht="12" customHeight="1" x14ac:dyDescent="0.2">
      <c r="AM7007" t="str">
        <f t="shared" si="109"/>
        <v>Kansas City [USMKC]</v>
      </c>
      <c r="AN7007" t="s">
        <v>30251</v>
      </c>
      <c r="AO7007" t="s">
        <v>30250</v>
      </c>
    </row>
    <row r="7008" spans="39:41" ht="12" customHeight="1" x14ac:dyDescent="0.2">
      <c r="AM7008" t="str">
        <f t="shared" si="109"/>
        <v>Kantang [THKAN]</v>
      </c>
      <c r="AN7008" t="s">
        <v>28234</v>
      </c>
      <c r="AO7008" t="s">
        <v>28235</v>
      </c>
    </row>
    <row r="7009" spans="39:41" ht="12" customHeight="1" x14ac:dyDescent="0.2">
      <c r="AM7009" t="str">
        <f t="shared" si="109"/>
        <v>Kantens [NLKTN]</v>
      </c>
      <c r="AN7009" t="s">
        <v>23304</v>
      </c>
      <c r="AO7009" t="s">
        <v>23305</v>
      </c>
    </row>
    <row r="7010" spans="39:41" ht="12" customHeight="1" x14ac:dyDescent="0.2">
      <c r="AM7010" t="str">
        <f t="shared" si="109"/>
        <v>Kantlax (Kaitalahti) [FIKAN]</v>
      </c>
      <c r="AN7010" t="s">
        <v>10399</v>
      </c>
      <c r="AO7010" t="s">
        <v>10400</v>
      </c>
    </row>
    <row r="7011" spans="39:41" ht="12" customHeight="1" x14ac:dyDescent="0.2">
      <c r="AM7011" t="str">
        <f t="shared" si="109"/>
        <v>Kantvik [FIKNT]</v>
      </c>
      <c r="AN7011" t="s">
        <v>10401</v>
      </c>
      <c r="AO7011" t="s">
        <v>10402</v>
      </c>
    </row>
    <row r="7012" spans="39:41" ht="12" customHeight="1" x14ac:dyDescent="0.2">
      <c r="AM7012" t="str">
        <f t="shared" si="109"/>
        <v>Kanyakumari [INKKM]</v>
      </c>
      <c r="AN7012" t="s">
        <v>17206</v>
      </c>
      <c r="AO7012" t="s">
        <v>17207</v>
      </c>
    </row>
    <row r="7013" spans="39:41" ht="12" customHeight="1" x14ac:dyDescent="0.2">
      <c r="AM7013" t="str">
        <f t="shared" si="109"/>
        <v>Kaohsiung [TWKHH]</v>
      </c>
      <c r="AN7013" t="s">
        <v>28671</v>
      </c>
      <c r="AO7013" t="s">
        <v>28672</v>
      </c>
    </row>
    <row r="7014" spans="39:41" ht="12" customHeight="1" x14ac:dyDescent="0.2">
      <c r="AM7014" t="str">
        <f t="shared" si="109"/>
        <v>Kaolack [SNKLC]</v>
      </c>
      <c r="AN7014" t="s">
        <v>28094</v>
      </c>
      <c r="AO7014" t="s">
        <v>28095</v>
      </c>
    </row>
    <row r="7015" spans="39:41" ht="12" customHeight="1" x14ac:dyDescent="0.2">
      <c r="AM7015" t="str">
        <f t="shared" si="109"/>
        <v>Kapelle-op-den-Bos [BEKPB]</v>
      </c>
      <c r="AN7015" t="s">
        <v>2592</v>
      </c>
      <c r="AO7015" t="s">
        <v>2593</v>
      </c>
    </row>
    <row r="7016" spans="39:41" ht="12" customHeight="1" x14ac:dyDescent="0.2">
      <c r="AM7016" t="str">
        <f t="shared" si="109"/>
        <v>Kapellskar [SEKPS]</v>
      </c>
      <c r="AN7016" t="s">
        <v>27664</v>
      </c>
      <c r="AO7016" t="s">
        <v>36463</v>
      </c>
    </row>
    <row r="7017" spans="39:41" ht="12" customHeight="1" x14ac:dyDescent="0.2">
      <c r="AM7017" t="str">
        <f t="shared" si="109"/>
        <v>Kappeln [DEKAP]</v>
      </c>
      <c r="AN7017" t="s">
        <v>7675</v>
      </c>
      <c r="AO7017" t="s">
        <v>7676</v>
      </c>
    </row>
    <row r="7018" spans="39:41" ht="12" customHeight="1" x14ac:dyDescent="0.2">
      <c r="AM7018" t="str">
        <f t="shared" si="109"/>
        <v>Kappelshamn [SEKPH]</v>
      </c>
      <c r="AN7018" t="s">
        <v>27665</v>
      </c>
      <c r="AO7018" t="s">
        <v>27666</v>
      </c>
    </row>
    <row r="7019" spans="39:41" ht="12" customHeight="1" x14ac:dyDescent="0.2">
      <c r="AM7019" t="str">
        <f t="shared" si="109"/>
        <v>Kaprije [HRKPR]</v>
      </c>
      <c r="AN7019" t="s">
        <v>15764</v>
      </c>
      <c r="AO7019" t="s">
        <v>15765</v>
      </c>
    </row>
    <row r="7020" spans="39:41" ht="12" customHeight="1" x14ac:dyDescent="0.2">
      <c r="AM7020" t="str">
        <f t="shared" si="109"/>
        <v>Kapsalion (Kythira) [GRKAP]</v>
      </c>
      <c r="AN7020" t="s">
        <v>15264</v>
      </c>
      <c r="AO7020" t="s">
        <v>15265</v>
      </c>
    </row>
    <row r="7021" spans="39:41" ht="12" customHeight="1" x14ac:dyDescent="0.2">
      <c r="AM7021" t="str">
        <f t="shared" si="109"/>
        <v>Karabiga [TRKRB]</v>
      </c>
      <c r="AN7021" t="s">
        <v>28517</v>
      </c>
      <c r="AO7021" t="s">
        <v>28518</v>
      </c>
    </row>
    <row r="7022" spans="39:41" ht="12" customHeight="1" x14ac:dyDescent="0.2">
      <c r="AM7022" t="str">
        <f t="shared" si="109"/>
        <v>Karacabey [TRKBY]</v>
      </c>
      <c r="AN7022" t="s">
        <v>28519</v>
      </c>
      <c r="AO7022" t="s">
        <v>28520</v>
      </c>
    </row>
    <row r="7023" spans="39:41" ht="12" customHeight="1" x14ac:dyDescent="0.2">
      <c r="AM7023" t="str">
        <f t="shared" si="109"/>
        <v>Karachi [PKKHI]</v>
      </c>
      <c r="AN7023" t="s">
        <v>26248</v>
      </c>
      <c r="AO7023" t="s">
        <v>26249</v>
      </c>
    </row>
    <row r="7024" spans="39:41" ht="12" customHeight="1" x14ac:dyDescent="0.2">
      <c r="AM7024" t="str">
        <f t="shared" si="109"/>
        <v>Karachi Container Terminal [PKKCT]</v>
      </c>
      <c r="AN7024" t="s">
        <v>26250</v>
      </c>
      <c r="AO7024" t="s">
        <v>26251</v>
      </c>
    </row>
    <row r="7025" spans="39:41" ht="12" customHeight="1" x14ac:dyDescent="0.2">
      <c r="AM7025" t="str">
        <f t="shared" si="109"/>
        <v>Karaikal [INKRK]</v>
      </c>
      <c r="AN7025" t="s">
        <v>17208</v>
      </c>
      <c r="AO7025" t="s">
        <v>17209</v>
      </c>
    </row>
    <row r="7026" spans="39:41" ht="12" customHeight="1" x14ac:dyDescent="0.2">
      <c r="AM7026" t="str">
        <f t="shared" si="109"/>
        <v>Karakizaki [JPKRK]</v>
      </c>
      <c r="AN7026" t="s">
        <v>19414</v>
      </c>
      <c r="AO7026" t="s">
        <v>19415</v>
      </c>
    </row>
    <row r="7027" spans="39:41" ht="12" customHeight="1" x14ac:dyDescent="0.2">
      <c r="AM7027" t="str">
        <f t="shared" si="109"/>
        <v>Karakoy/Istambul [TRKKY]</v>
      </c>
      <c r="AN7027" t="s">
        <v>28521</v>
      </c>
      <c r="AO7027" t="s">
        <v>36577</v>
      </c>
    </row>
    <row r="7028" spans="39:41" ht="12" customHeight="1" x14ac:dyDescent="0.2">
      <c r="AM7028" t="str">
        <f t="shared" si="109"/>
        <v>Karakuma [JPKKA]</v>
      </c>
      <c r="AN7028" t="s">
        <v>19416</v>
      </c>
      <c r="AO7028" t="s">
        <v>19417</v>
      </c>
    </row>
    <row r="7029" spans="39:41" ht="12" customHeight="1" x14ac:dyDescent="0.2">
      <c r="AM7029" t="str">
        <f t="shared" si="109"/>
        <v>Karanja [INKRN]</v>
      </c>
      <c r="AN7029" t="s">
        <v>17210</v>
      </c>
      <c r="AO7029" t="s">
        <v>17211</v>
      </c>
    </row>
    <row r="7030" spans="39:41" ht="12" customHeight="1" x14ac:dyDescent="0.2">
      <c r="AM7030" t="str">
        <f t="shared" si="109"/>
        <v>Karasu [TRKRS]</v>
      </c>
      <c r="AN7030" t="s">
        <v>37174</v>
      </c>
      <c r="AO7030" t="s">
        <v>37175</v>
      </c>
    </row>
    <row r="7031" spans="39:41" ht="12" customHeight="1" x14ac:dyDescent="0.2">
      <c r="AM7031" t="str">
        <f t="shared" si="109"/>
        <v>Karatas [TRKRT]</v>
      </c>
      <c r="AN7031" t="s">
        <v>37176</v>
      </c>
      <c r="AO7031" t="s">
        <v>37177</v>
      </c>
    </row>
    <row r="7032" spans="39:41" ht="12" customHeight="1" x14ac:dyDescent="0.2">
      <c r="AM7032" t="str">
        <f t="shared" ref="AM7032:AM7095" si="110">AO7032 &amp; " [" &amp; AN7032 &amp; "]"</f>
        <v>Karatomari [JPKTM]</v>
      </c>
      <c r="AN7032" t="s">
        <v>19418</v>
      </c>
      <c r="AO7032" t="s">
        <v>19419</v>
      </c>
    </row>
    <row r="7033" spans="39:41" ht="12" customHeight="1" x14ac:dyDescent="0.2">
      <c r="AM7033" t="str">
        <f t="shared" si="110"/>
        <v>Karatsu [JPKAR]</v>
      </c>
      <c r="AN7033" t="s">
        <v>19420</v>
      </c>
      <c r="AO7033" t="s">
        <v>19421</v>
      </c>
    </row>
    <row r="7034" spans="39:41" ht="12" customHeight="1" x14ac:dyDescent="0.2">
      <c r="AM7034" t="str">
        <f t="shared" si="110"/>
        <v>Karavostasi [CYKAR]</v>
      </c>
      <c r="AN7034" t="s">
        <v>6761</v>
      </c>
      <c r="AO7034" t="s">
        <v>6762</v>
      </c>
    </row>
    <row r="7035" spans="39:41" ht="12" customHeight="1" x14ac:dyDescent="0.2">
      <c r="AM7035" t="str">
        <f t="shared" si="110"/>
        <v>Karbala [IQKAR]</v>
      </c>
      <c r="AN7035" t="s">
        <v>17564</v>
      </c>
      <c r="AO7035" t="s">
        <v>17565</v>
      </c>
    </row>
    <row r="7036" spans="39:41" ht="12" customHeight="1" x14ac:dyDescent="0.2">
      <c r="AM7036" t="str">
        <f t="shared" si="110"/>
        <v>Karben [DEKBN]</v>
      </c>
      <c r="AN7036" t="s">
        <v>7677</v>
      </c>
      <c r="AO7036" t="s">
        <v>7678</v>
      </c>
    </row>
    <row r="7037" spans="39:41" ht="12" customHeight="1" x14ac:dyDescent="0.2">
      <c r="AM7037" t="str">
        <f t="shared" si="110"/>
        <v>Karcag [HUKAR]</v>
      </c>
      <c r="AN7037" t="s">
        <v>16097</v>
      </c>
      <c r="AO7037" t="s">
        <v>16098</v>
      </c>
    </row>
    <row r="7038" spans="39:41" ht="12" customHeight="1" x14ac:dyDescent="0.2">
      <c r="AM7038" t="str">
        <f t="shared" si="110"/>
        <v>Kardamaina Kos [GRKRM]</v>
      </c>
      <c r="AN7038" t="s">
        <v>15266</v>
      </c>
      <c r="AO7038" t="s">
        <v>15267</v>
      </c>
    </row>
    <row r="7039" spans="39:41" ht="12" customHeight="1" x14ac:dyDescent="0.2">
      <c r="AM7039" t="str">
        <f t="shared" si="110"/>
        <v>Kardamyla [GRKDM]</v>
      </c>
      <c r="AN7039" t="s">
        <v>15268</v>
      </c>
      <c r="AO7039" t="s">
        <v>35909</v>
      </c>
    </row>
    <row r="7040" spans="39:41" ht="12" customHeight="1" x14ac:dyDescent="0.2">
      <c r="AM7040" t="str">
        <f t="shared" si="110"/>
        <v>Kardla [EEKDL]</v>
      </c>
      <c r="AN7040" t="s">
        <v>9183</v>
      </c>
      <c r="AO7040" t="s">
        <v>35621</v>
      </c>
    </row>
    <row r="7041" spans="39:41" ht="12" customHeight="1" x14ac:dyDescent="0.2">
      <c r="AM7041" t="str">
        <f t="shared" si="110"/>
        <v>Karehamn [SEKRH]</v>
      </c>
      <c r="AN7041" t="s">
        <v>27667</v>
      </c>
      <c r="AO7041" t="s">
        <v>36464</v>
      </c>
    </row>
    <row r="7042" spans="39:41" ht="12" customHeight="1" x14ac:dyDescent="0.2">
      <c r="AM7042" t="str">
        <f t="shared" si="110"/>
        <v>Karepa Sadam [EEKPA]</v>
      </c>
      <c r="AN7042" t="s">
        <v>36703</v>
      </c>
      <c r="AO7042" t="s">
        <v>36704</v>
      </c>
    </row>
    <row r="7043" spans="39:41" ht="12" customHeight="1" x14ac:dyDescent="0.2">
      <c r="AM7043" t="str">
        <f t="shared" si="110"/>
        <v>Karhamn [NOKMN]</v>
      </c>
      <c r="AN7043" t="s">
        <v>24323</v>
      </c>
      <c r="AO7043" t="s">
        <v>36216</v>
      </c>
    </row>
    <row r="7044" spans="39:41" ht="12" customHeight="1" x14ac:dyDescent="0.2">
      <c r="AM7044" t="str">
        <f t="shared" si="110"/>
        <v>Kariangau [IDKRG]</v>
      </c>
      <c r="AN7044" t="s">
        <v>16313</v>
      </c>
      <c r="AO7044" t="s">
        <v>16314</v>
      </c>
    </row>
    <row r="7045" spans="39:41" ht="12" customHeight="1" x14ac:dyDescent="0.2">
      <c r="AM7045" t="str">
        <f t="shared" si="110"/>
        <v>Karimun Besar Off Shore [IDOKA]</v>
      </c>
      <c r="AN7045" t="s">
        <v>16315</v>
      </c>
      <c r="AO7045" t="s">
        <v>36032</v>
      </c>
    </row>
    <row r="7046" spans="39:41" ht="12" customHeight="1" x14ac:dyDescent="0.2">
      <c r="AM7046" t="str">
        <f t="shared" si="110"/>
        <v>Kariya, Saga [JPKRY]</v>
      </c>
      <c r="AN7046" t="s">
        <v>19422</v>
      </c>
      <c r="AO7046" t="s">
        <v>19423</v>
      </c>
    </row>
    <row r="7047" spans="39:41" ht="12" customHeight="1" x14ac:dyDescent="0.2">
      <c r="AM7047" t="str">
        <f t="shared" si="110"/>
        <v>Karkar Is [PGKRX]</v>
      </c>
      <c r="AN7047" t="s">
        <v>25398</v>
      </c>
      <c r="AO7047" t="s">
        <v>25399</v>
      </c>
    </row>
    <row r="7048" spans="39:41" ht="12" customHeight="1" x14ac:dyDescent="0.2">
      <c r="AM7048" t="str">
        <f t="shared" si="110"/>
        <v>Karkinagri Ikarias [GRKAG]</v>
      </c>
      <c r="AN7048" t="s">
        <v>15269</v>
      </c>
      <c r="AO7048" t="s">
        <v>15270</v>
      </c>
    </row>
    <row r="7049" spans="39:41" ht="12" customHeight="1" x14ac:dyDescent="0.2">
      <c r="AM7049" t="str">
        <f t="shared" si="110"/>
        <v>Karleby (Kokkola) [FIKOK]</v>
      </c>
      <c r="AN7049" t="s">
        <v>10403</v>
      </c>
      <c r="AO7049" t="s">
        <v>10404</v>
      </c>
    </row>
    <row r="7050" spans="39:41" ht="12" customHeight="1" x14ac:dyDescent="0.2">
      <c r="AM7050" t="str">
        <f t="shared" si="110"/>
        <v>Karlholmsbruk [SEKBK]</v>
      </c>
      <c r="AN7050" t="s">
        <v>27668</v>
      </c>
      <c r="AO7050" t="s">
        <v>27669</v>
      </c>
    </row>
    <row r="7051" spans="39:41" ht="12" customHeight="1" x14ac:dyDescent="0.2">
      <c r="AM7051" t="str">
        <f t="shared" si="110"/>
        <v>Karlobag [HRKAB]</v>
      </c>
      <c r="AN7051" t="s">
        <v>15766</v>
      </c>
      <c r="AO7051" t="s">
        <v>15767</v>
      </c>
    </row>
    <row r="7052" spans="39:41" ht="12" customHeight="1" x14ac:dyDescent="0.2">
      <c r="AM7052" t="str">
        <f t="shared" si="110"/>
        <v>Karlova Paadisadam [EEKAP]</v>
      </c>
      <c r="AN7052" t="s">
        <v>9184</v>
      </c>
      <c r="AO7052" t="s">
        <v>9185</v>
      </c>
    </row>
    <row r="7053" spans="39:41" ht="12" customHeight="1" x14ac:dyDescent="0.2">
      <c r="AM7053" t="str">
        <f t="shared" si="110"/>
        <v>Karlsborg [SEKBG]</v>
      </c>
      <c r="AN7053" t="s">
        <v>37148</v>
      </c>
      <c r="AO7053" t="s">
        <v>37149</v>
      </c>
    </row>
    <row r="7054" spans="39:41" ht="12" customHeight="1" x14ac:dyDescent="0.2">
      <c r="AM7054" t="str">
        <f t="shared" si="110"/>
        <v>Karlsborg Axelvik [SEKXV]</v>
      </c>
      <c r="AN7054" t="s">
        <v>27670</v>
      </c>
      <c r="AO7054" t="s">
        <v>27671</v>
      </c>
    </row>
    <row r="7055" spans="39:41" ht="12" customHeight="1" x14ac:dyDescent="0.2">
      <c r="AM7055" t="str">
        <f t="shared" si="110"/>
        <v>Karlshamn [SEKAN]</v>
      </c>
      <c r="AN7055" t="s">
        <v>27672</v>
      </c>
      <c r="AO7055" t="s">
        <v>27673</v>
      </c>
    </row>
    <row r="7056" spans="39:41" ht="12" customHeight="1" x14ac:dyDescent="0.2">
      <c r="AM7056" t="str">
        <f t="shared" si="110"/>
        <v>Karlskrona [SEKAA]</v>
      </c>
      <c r="AN7056" t="s">
        <v>27674</v>
      </c>
      <c r="AO7056" t="s">
        <v>27675</v>
      </c>
    </row>
    <row r="7057" spans="39:41" ht="12" customHeight="1" x14ac:dyDescent="0.2">
      <c r="AM7057" t="str">
        <f t="shared" si="110"/>
        <v>Karlslunde [DKKAR]</v>
      </c>
      <c r="AN7057" t="s">
        <v>8762</v>
      </c>
      <c r="AO7057" t="s">
        <v>8763</v>
      </c>
    </row>
    <row r="7058" spans="39:41" ht="12" customHeight="1" x14ac:dyDescent="0.2">
      <c r="AM7058" t="str">
        <f t="shared" si="110"/>
        <v>Karlsoy [NOKAY]</v>
      </c>
      <c r="AN7058" t="s">
        <v>24324</v>
      </c>
      <c r="AO7058" t="s">
        <v>36217</v>
      </c>
    </row>
    <row r="7059" spans="39:41" ht="12" customHeight="1" x14ac:dyDescent="0.2">
      <c r="AM7059" t="str">
        <f t="shared" si="110"/>
        <v>Karlsruhe [DEKAE]</v>
      </c>
      <c r="AN7059" t="s">
        <v>7679</v>
      </c>
      <c r="AO7059" t="s">
        <v>7680</v>
      </c>
    </row>
    <row r="7060" spans="39:41" ht="12" customHeight="1" x14ac:dyDescent="0.2">
      <c r="AM7060" t="str">
        <f t="shared" si="110"/>
        <v>Karlstad [SEKSD]</v>
      </c>
      <c r="AN7060" t="s">
        <v>27676</v>
      </c>
      <c r="AO7060" t="s">
        <v>27677</v>
      </c>
    </row>
    <row r="7061" spans="39:41" ht="12" customHeight="1" x14ac:dyDescent="0.2">
      <c r="AM7061" t="str">
        <f t="shared" si="110"/>
        <v>Karlsvik [SEKAK]</v>
      </c>
      <c r="AN7061" t="s">
        <v>27678</v>
      </c>
      <c r="AO7061" t="s">
        <v>27679</v>
      </c>
    </row>
    <row r="7062" spans="39:41" ht="12" customHeight="1" x14ac:dyDescent="0.2">
      <c r="AM7062" t="str">
        <f t="shared" si="110"/>
        <v>Karmei Yosef [ILKY7]</v>
      </c>
      <c r="AN7062" t="s">
        <v>16970</v>
      </c>
      <c r="AO7062" t="s">
        <v>16971</v>
      </c>
    </row>
    <row r="7063" spans="39:41" ht="12" customHeight="1" x14ac:dyDescent="0.2">
      <c r="AM7063" t="str">
        <f t="shared" si="110"/>
        <v>Karmoy [NOKMY]</v>
      </c>
      <c r="AN7063" t="s">
        <v>24325</v>
      </c>
      <c r="AO7063" t="s">
        <v>36218</v>
      </c>
    </row>
    <row r="7064" spans="39:41" ht="12" customHeight="1" x14ac:dyDescent="0.2">
      <c r="AM7064" t="str">
        <f t="shared" si="110"/>
        <v>Karnin [DEKAR]</v>
      </c>
      <c r="AN7064" t="s">
        <v>7681</v>
      </c>
      <c r="AO7064" t="s">
        <v>7682</v>
      </c>
    </row>
    <row r="7065" spans="39:41" ht="12" customHeight="1" x14ac:dyDescent="0.2">
      <c r="AM7065" t="str">
        <f t="shared" si="110"/>
        <v>Karolinka [CZKUV]</v>
      </c>
      <c r="AN7065" t="s">
        <v>6858</v>
      </c>
      <c r="AO7065" t="s">
        <v>6859</v>
      </c>
    </row>
    <row r="7066" spans="39:41" ht="12" customHeight="1" x14ac:dyDescent="0.2">
      <c r="AM7066" t="str">
        <f t="shared" si="110"/>
        <v>Karomatan/Iligan [PHKAR]</v>
      </c>
      <c r="AN7066" t="s">
        <v>25813</v>
      </c>
      <c r="AO7066" t="s">
        <v>25814</v>
      </c>
    </row>
    <row r="7067" spans="39:41" ht="12" customHeight="1" x14ac:dyDescent="0.2">
      <c r="AM7067" t="str">
        <f t="shared" si="110"/>
        <v>Karosa, Sulawesi [IDKAR]</v>
      </c>
      <c r="AN7067" t="s">
        <v>16316</v>
      </c>
      <c r="AO7067" t="s">
        <v>16317</v>
      </c>
    </row>
    <row r="7068" spans="39:41" ht="12" customHeight="1" x14ac:dyDescent="0.2">
      <c r="AM7068" t="str">
        <f t="shared" si="110"/>
        <v>Karpathos [GRAOK]</v>
      </c>
      <c r="AN7068" t="s">
        <v>15271</v>
      </c>
      <c r="AO7068" t="s">
        <v>35910</v>
      </c>
    </row>
    <row r="7069" spans="39:41" ht="12" customHeight="1" x14ac:dyDescent="0.2">
      <c r="AM7069" t="str">
        <f t="shared" si="110"/>
        <v>Karrebaksminde [DKKBK]</v>
      </c>
      <c r="AN7069" t="s">
        <v>8764</v>
      </c>
      <c r="AO7069" t="s">
        <v>35546</v>
      </c>
    </row>
    <row r="7070" spans="39:41" ht="12" customHeight="1" x14ac:dyDescent="0.2">
      <c r="AM7070" t="str">
        <f t="shared" si="110"/>
        <v>Karsa [EEKSA]</v>
      </c>
      <c r="AN7070" t="s">
        <v>9186</v>
      </c>
      <c r="AO7070" t="s">
        <v>35622</v>
      </c>
    </row>
    <row r="7071" spans="39:41" ht="12" customHeight="1" x14ac:dyDescent="0.2">
      <c r="AM7071" t="str">
        <f t="shared" si="110"/>
        <v>Karsava [LVUTY]</v>
      </c>
      <c r="AN7071" t="s">
        <v>21929</v>
      </c>
      <c r="AO7071" t="s">
        <v>21930</v>
      </c>
    </row>
    <row r="7072" spans="39:41" ht="12" customHeight="1" x14ac:dyDescent="0.2">
      <c r="AM7072" t="str">
        <f t="shared" si="110"/>
        <v>Karsibor [PLSJK]</v>
      </c>
      <c r="AN7072" t="s">
        <v>26318</v>
      </c>
      <c r="AO7072" t="s">
        <v>36367</v>
      </c>
    </row>
    <row r="7073" spans="39:41" ht="12" customHeight="1" x14ac:dyDescent="0.2">
      <c r="AM7073" t="str">
        <f t="shared" si="110"/>
        <v>Karskar [SEKAS]</v>
      </c>
      <c r="AN7073" t="s">
        <v>27680</v>
      </c>
      <c r="AO7073" t="s">
        <v>36465</v>
      </c>
    </row>
    <row r="7074" spans="39:41" ht="12" customHeight="1" x14ac:dyDescent="0.2">
      <c r="AM7074" t="str">
        <f t="shared" si="110"/>
        <v>Karsto [NOKAR]</v>
      </c>
      <c r="AN7074" t="s">
        <v>24326</v>
      </c>
      <c r="AO7074" t="s">
        <v>36219</v>
      </c>
    </row>
    <row r="7075" spans="39:41" ht="12" customHeight="1" x14ac:dyDescent="0.2">
      <c r="AM7075" t="str">
        <f t="shared" si="110"/>
        <v>Kartal [TRKAR]</v>
      </c>
      <c r="AN7075" t="s">
        <v>28522</v>
      </c>
      <c r="AO7075" t="s">
        <v>28523</v>
      </c>
    </row>
    <row r="7076" spans="39:41" ht="12" customHeight="1" x14ac:dyDescent="0.2">
      <c r="AM7076" t="str">
        <f t="shared" si="110"/>
        <v>Kartepe [TRKPE]</v>
      </c>
      <c r="AN7076" t="s">
        <v>28524</v>
      </c>
      <c r="AO7076" t="s">
        <v>28525</v>
      </c>
    </row>
    <row r="7077" spans="39:41" ht="12" customHeight="1" x14ac:dyDescent="0.2">
      <c r="AM7077" t="str">
        <f t="shared" si="110"/>
        <v>Karthaus [DEKHU]</v>
      </c>
      <c r="AN7077" t="s">
        <v>7683</v>
      </c>
      <c r="AO7077" t="s">
        <v>7684</v>
      </c>
    </row>
    <row r="7078" spans="39:41" ht="12" customHeight="1" x14ac:dyDescent="0.2">
      <c r="AM7078" t="str">
        <f t="shared" si="110"/>
        <v>Karubi [JPKRB]</v>
      </c>
      <c r="AN7078" t="s">
        <v>19424</v>
      </c>
      <c r="AO7078" t="s">
        <v>19425</v>
      </c>
    </row>
    <row r="7079" spans="39:41" ht="12" customHeight="1" x14ac:dyDescent="0.2">
      <c r="AM7079" t="str">
        <f t="shared" si="110"/>
        <v>Karumba [AUKRB]</v>
      </c>
      <c r="AN7079" t="s">
        <v>1761</v>
      </c>
      <c r="AO7079" t="s">
        <v>1762</v>
      </c>
    </row>
    <row r="7080" spans="39:41" ht="12" customHeight="1" x14ac:dyDescent="0.2">
      <c r="AM7080" t="str">
        <f t="shared" si="110"/>
        <v>Karuno [JPKAN]</v>
      </c>
      <c r="AN7080" t="s">
        <v>19426</v>
      </c>
      <c r="AO7080" t="s">
        <v>19427</v>
      </c>
    </row>
    <row r="7081" spans="39:41" ht="12" customHeight="1" x14ac:dyDescent="0.2">
      <c r="AM7081" t="str">
        <f t="shared" si="110"/>
        <v>Karur [INKAR]</v>
      </c>
      <c r="AN7081" t="s">
        <v>17212</v>
      </c>
      <c r="AO7081" t="s">
        <v>17213</v>
      </c>
    </row>
    <row r="7082" spans="39:41" ht="12" customHeight="1" x14ac:dyDescent="0.2">
      <c r="AM7082" t="str">
        <f t="shared" si="110"/>
        <v>Karvikhamn [NOKAH]</v>
      </c>
      <c r="AN7082" t="s">
        <v>24327</v>
      </c>
      <c r="AO7082" t="s">
        <v>36220</v>
      </c>
    </row>
    <row r="7083" spans="39:41" ht="12" customHeight="1" x14ac:dyDescent="0.2">
      <c r="AM7083" t="str">
        <f t="shared" si="110"/>
        <v>Karwar [INKRW]</v>
      </c>
      <c r="AN7083" t="s">
        <v>17214</v>
      </c>
      <c r="AO7083" t="s">
        <v>17215</v>
      </c>
    </row>
    <row r="7084" spans="39:41" ht="12" customHeight="1" x14ac:dyDescent="0.2">
      <c r="AM7084" t="str">
        <f t="shared" si="110"/>
        <v>Karystos [GRKST]</v>
      </c>
      <c r="AN7084" t="s">
        <v>15272</v>
      </c>
      <c r="AO7084" t="s">
        <v>15273</v>
      </c>
    </row>
    <row r="7085" spans="39:41" ht="12" customHeight="1" x14ac:dyDescent="0.2">
      <c r="AM7085" t="str">
        <f t="shared" si="110"/>
        <v>Kas [TRKAS]</v>
      </c>
      <c r="AN7085" t="s">
        <v>28526</v>
      </c>
      <c r="AO7085" t="s">
        <v>28527</v>
      </c>
    </row>
    <row r="7086" spans="39:41" ht="12" customHeight="1" x14ac:dyDescent="0.2">
      <c r="AM7086" t="str">
        <f t="shared" si="110"/>
        <v>Kas Kong [KHKKO]</v>
      </c>
      <c r="AN7086" t="s">
        <v>21541</v>
      </c>
      <c r="AO7086" t="s">
        <v>21542</v>
      </c>
    </row>
    <row r="7087" spans="39:41" ht="12" customHeight="1" x14ac:dyDescent="0.2">
      <c r="AM7087" t="str">
        <f t="shared" si="110"/>
        <v>Kasado [JPKSD]</v>
      </c>
      <c r="AN7087" t="s">
        <v>19428</v>
      </c>
      <c r="AO7087" t="s">
        <v>19429</v>
      </c>
    </row>
    <row r="7088" spans="39:41" ht="12" customHeight="1" x14ac:dyDescent="0.2">
      <c r="AM7088" t="str">
        <f t="shared" si="110"/>
        <v>Kasaoka [JPKSA]</v>
      </c>
      <c r="AN7088" t="s">
        <v>19430</v>
      </c>
      <c r="AO7088" t="s">
        <v>19431</v>
      </c>
    </row>
    <row r="7089" spans="39:41" ht="12" customHeight="1" x14ac:dyDescent="0.2">
      <c r="AM7089" t="str">
        <f t="shared" si="110"/>
        <v>Kasargod [INKSG]</v>
      </c>
      <c r="AN7089" t="s">
        <v>17216</v>
      </c>
      <c r="AO7089" t="s">
        <v>17217</v>
      </c>
    </row>
    <row r="7090" spans="39:41" ht="12" customHeight="1" x14ac:dyDescent="0.2">
      <c r="AM7090" t="str">
        <f t="shared" si="110"/>
        <v>Kasasa, Kagoshima [JPKSS]</v>
      </c>
      <c r="AN7090" t="s">
        <v>19432</v>
      </c>
      <c r="AO7090" t="s">
        <v>19433</v>
      </c>
    </row>
    <row r="7091" spans="39:41" ht="12" customHeight="1" x14ac:dyDescent="0.2">
      <c r="AM7091" t="str">
        <f t="shared" si="110"/>
        <v>Kasasa, Yamaguchi [JPKSY]</v>
      </c>
      <c r="AN7091" t="s">
        <v>19434</v>
      </c>
      <c r="AO7091" t="s">
        <v>19435</v>
      </c>
    </row>
    <row r="7092" spans="39:41" ht="12" customHeight="1" x14ac:dyDescent="0.2">
      <c r="AM7092" t="str">
        <f t="shared" si="110"/>
        <v>Kasaura [JPKAC]</v>
      </c>
      <c r="AN7092" t="s">
        <v>19436</v>
      </c>
      <c r="AO7092" t="s">
        <v>19437</v>
      </c>
    </row>
    <row r="7093" spans="39:41" ht="12" customHeight="1" x14ac:dyDescent="0.2">
      <c r="AM7093" t="str">
        <f t="shared" si="110"/>
        <v>Kasedo [JPKDJ]</v>
      </c>
      <c r="AN7093" t="s">
        <v>19438</v>
      </c>
      <c r="AO7093" t="s">
        <v>19439</v>
      </c>
    </row>
    <row r="7094" spans="39:41" ht="12" customHeight="1" x14ac:dyDescent="0.2">
      <c r="AM7094" t="str">
        <f t="shared" si="110"/>
        <v>Kashan [IRKAS]</v>
      </c>
      <c r="AN7094" t="s">
        <v>17631</v>
      </c>
      <c r="AO7094" t="s">
        <v>17632</v>
      </c>
    </row>
    <row r="7095" spans="39:41" ht="12" customHeight="1" x14ac:dyDescent="0.2">
      <c r="AM7095" t="str">
        <f t="shared" si="110"/>
        <v>Kashikojima [JPKKZ]</v>
      </c>
      <c r="AN7095" t="s">
        <v>19440</v>
      </c>
      <c r="AO7095" t="s">
        <v>19441</v>
      </c>
    </row>
    <row r="7096" spans="39:41" ht="12" customHeight="1" x14ac:dyDescent="0.2">
      <c r="AM7096" t="str">
        <f t="shared" ref="AM7096:AM7159" si="111">AO7096 &amp; " [" &amp; AN7096 &amp; "]"</f>
        <v>Kashima, Ibaraki [JPKSM]</v>
      </c>
      <c r="AN7096" t="s">
        <v>19442</v>
      </c>
      <c r="AO7096" t="s">
        <v>19443</v>
      </c>
    </row>
    <row r="7097" spans="39:41" ht="12" customHeight="1" x14ac:dyDescent="0.2">
      <c r="AM7097" t="str">
        <f t="shared" si="111"/>
        <v>Kashima, Saga [JPKSC]</v>
      </c>
      <c r="AN7097" t="s">
        <v>19444</v>
      </c>
      <c r="AO7097" t="s">
        <v>19445</v>
      </c>
    </row>
    <row r="7098" spans="39:41" ht="12" customHeight="1" x14ac:dyDescent="0.2">
      <c r="AM7098" t="str">
        <f t="shared" si="111"/>
        <v>Kashimae [JPKAE]</v>
      </c>
      <c r="AN7098" t="s">
        <v>19446</v>
      </c>
      <c r="AO7098" t="s">
        <v>19447</v>
      </c>
    </row>
    <row r="7099" spans="39:41" ht="12" customHeight="1" x14ac:dyDescent="0.2">
      <c r="AM7099" t="str">
        <f t="shared" si="111"/>
        <v>Kashino [JPKAO]</v>
      </c>
      <c r="AN7099" t="s">
        <v>19448</v>
      </c>
      <c r="AO7099" t="s">
        <v>19449</v>
      </c>
    </row>
    <row r="7100" spans="39:41" ht="12" customHeight="1" x14ac:dyDescent="0.2">
      <c r="AM7100" t="str">
        <f t="shared" si="111"/>
        <v>Kashira [RUKAS]</v>
      </c>
      <c r="AN7100" t="s">
        <v>26963</v>
      </c>
      <c r="AO7100" t="s">
        <v>26964</v>
      </c>
    </row>
    <row r="7101" spans="39:41" ht="12" customHeight="1" x14ac:dyDescent="0.2">
      <c r="AM7101" t="str">
        <f t="shared" si="111"/>
        <v>Kashiwa, Ehime [JPKSW]</v>
      </c>
      <c r="AN7101" t="s">
        <v>19450</v>
      </c>
      <c r="AO7101" t="s">
        <v>19451</v>
      </c>
    </row>
    <row r="7102" spans="39:41" ht="12" customHeight="1" x14ac:dyDescent="0.2">
      <c r="AM7102" t="str">
        <f t="shared" si="111"/>
        <v>Kashiwazaki [JPKWZ]</v>
      </c>
      <c r="AN7102" t="s">
        <v>19452</v>
      </c>
      <c r="AO7102" t="s">
        <v>19453</v>
      </c>
    </row>
    <row r="7103" spans="39:41" ht="12" customHeight="1" x14ac:dyDescent="0.2">
      <c r="AM7103" t="str">
        <f t="shared" si="111"/>
        <v>Kasim, Ij [IDKAS]</v>
      </c>
      <c r="AN7103" t="s">
        <v>16318</v>
      </c>
      <c r="AO7103" t="s">
        <v>16319</v>
      </c>
    </row>
    <row r="7104" spans="39:41" ht="12" customHeight="1" x14ac:dyDescent="0.2">
      <c r="AM7104" t="str">
        <f t="shared" si="111"/>
        <v>Kasimov [RUKSI]</v>
      </c>
      <c r="AN7104" t="s">
        <v>26965</v>
      </c>
      <c r="AO7104" t="s">
        <v>26966</v>
      </c>
    </row>
    <row r="7105" spans="39:41" ht="12" customHeight="1" x14ac:dyDescent="0.2">
      <c r="AM7105" t="str">
        <f t="shared" si="111"/>
        <v>Kaskinen (Kasko) [FIKAS]</v>
      </c>
      <c r="AN7105" t="s">
        <v>10405</v>
      </c>
      <c r="AO7105" t="s">
        <v>35730</v>
      </c>
    </row>
    <row r="7106" spans="39:41" ht="12" customHeight="1" x14ac:dyDescent="0.2">
      <c r="AM7106" t="str">
        <f t="shared" si="111"/>
        <v>Kaslo [CAKLO]</v>
      </c>
      <c r="AN7106" t="s">
        <v>3973</v>
      </c>
      <c r="AO7106" t="s">
        <v>3974</v>
      </c>
    </row>
    <row r="7107" spans="39:41" ht="12" customHeight="1" x14ac:dyDescent="0.2">
      <c r="AM7107" t="str">
        <f t="shared" si="111"/>
        <v>Kasnas [FIKSN]</v>
      </c>
      <c r="AN7107" t="s">
        <v>34977</v>
      </c>
      <c r="AO7107" t="s">
        <v>34978</v>
      </c>
    </row>
    <row r="7108" spans="39:41" ht="12" customHeight="1" x14ac:dyDescent="0.2">
      <c r="AM7108" t="str">
        <f t="shared" si="111"/>
        <v>Kassari Sadam [EEKKS]</v>
      </c>
      <c r="AN7108" t="s">
        <v>34979</v>
      </c>
      <c r="AO7108" t="s">
        <v>34980</v>
      </c>
    </row>
    <row r="7109" spans="39:41" ht="12" customHeight="1" x14ac:dyDescent="0.2">
      <c r="AM7109" t="str">
        <f t="shared" si="111"/>
        <v>Kassiopi Corfu [GRKSP]</v>
      </c>
      <c r="AN7109" t="s">
        <v>15274</v>
      </c>
      <c r="AO7109" t="s">
        <v>15275</v>
      </c>
    </row>
    <row r="7110" spans="39:41" ht="12" customHeight="1" x14ac:dyDescent="0.2">
      <c r="AM7110" t="str">
        <f t="shared" si="111"/>
        <v>Kassos [GRKSJ]</v>
      </c>
      <c r="AN7110" t="s">
        <v>15276</v>
      </c>
      <c r="AO7110" t="s">
        <v>15277</v>
      </c>
    </row>
    <row r="7111" spans="39:41" ht="12" customHeight="1" x14ac:dyDescent="0.2">
      <c r="AM7111" t="str">
        <f t="shared" si="111"/>
        <v>Kassue [IDKSE]</v>
      </c>
      <c r="AN7111" t="s">
        <v>16320</v>
      </c>
      <c r="AO7111" t="s">
        <v>16321</v>
      </c>
    </row>
    <row r="7112" spans="39:41" ht="12" customHeight="1" x14ac:dyDescent="0.2">
      <c r="AM7112" t="str">
        <f t="shared" si="111"/>
        <v>Kastelli Kissamou [GRKIS]</v>
      </c>
      <c r="AN7112" t="s">
        <v>15278</v>
      </c>
      <c r="AO7112" t="s">
        <v>15279</v>
      </c>
    </row>
    <row r="7113" spans="39:41" ht="12" customHeight="1" x14ac:dyDescent="0.2">
      <c r="AM7113" t="str">
        <f t="shared" si="111"/>
        <v>Kastellorizou (ex Megisti) [GRKAS]</v>
      </c>
      <c r="AN7113" t="s">
        <v>15280</v>
      </c>
      <c r="AO7113" t="s">
        <v>35911</v>
      </c>
    </row>
    <row r="7114" spans="39:41" ht="12" customHeight="1" x14ac:dyDescent="0.2">
      <c r="AM7114" t="str">
        <f t="shared" si="111"/>
        <v>Kastna [EEKSN]</v>
      </c>
      <c r="AN7114" t="s">
        <v>9187</v>
      </c>
      <c r="AO7114" t="s">
        <v>9188</v>
      </c>
    </row>
    <row r="7115" spans="39:41" ht="12" customHeight="1" x14ac:dyDescent="0.2">
      <c r="AM7115" t="str">
        <f t="shared" si="111"/>
        <v>Kastos Island [GRKSI]</v>
      </c>
      <c r="AN7115" t="s">
        <v>15281</v>
      </c>
      <c r="AO7115" t="s">
        <v>15282</v>
      </c>
    </row>
    <row r="7116" spans="39:41" ht="12" customHeight="1" x14ac:dyDescent="0.2">
      <c r="AM7116" t="str">
        <f t="shared" si="111"/>
        <v>Kastrup [DKKTP]</v>
      </c>
      <c r="AN7116" t="s">
        <v>8765</v>
      </c>
      <c r="AO7116" t="s">
        <v>8766</v>
      </c>
    </row>
    <row r="7117" spans="39:41" ht="12" customHeight="1" x14ac:dyDescent="0.2">
      <c r="AM7117" t="str">
        <f t="shared" si="111"/>
        <v>Kasulu [ZAKUU]</v>
      </c>
      <c r="AN7117" t="s">
        <v>32692</v>
      </c>
      <c r="AO7117" t="s">
        <v>32693</v>
      </c>
    </row>
    <row r="7118" spans="39:41" ht="12" customHeight="1" x14ac:dyDescent="0.2">
      <c r="AM7118" t="str">
        <f t="shared" si="111"/>
        <v>Kasumi [JPKXS]</v>
      </c>
      <c r="AN7118" t="s">
        <v>19454</v>
      </c>
      <c r="AO7118" t="s">
        <v>19455</v>
      </c>
    </row>
    <row r="7119" spans="39:41" ht="12" customHeight="1" x14ac:dyDescent="0.2">
      <c r="AM7119" t="str">
        <f t="shared" si="111"/>
        <v>Kasumigaura [JPKAU]</v>
      </c>
      <c r="AN7119" t="s">
        <v>19456</v>
      </c>
      <c r="AO7119" t="s">
        <v>19457</v>
      </c>
    </row>
    <row r="7120" spans="39:41" ht="12" customHeight="1" x14ac:dyDescent="0.2">
      <c r="AM7120" t="str">
        <f t="shared" si="111"/>
        <v>Kata [JPKTZ]</v>
      </c>
      <c r="AN7120" t="s">
        <v>19458</v>
      </c>
      <c r="AO7120" t="s">
        <v>19459</v>
      </c>
    </row>
    <row r="7121" spans="39:41" ht="12" customHeight="1" x14ac:dyDescent="0.2">
      <c r="AM7121" t="str">
        <f t="shared" si="111"/>
        <v>Katadomari [JPKDR]</v>
      </c>
      <c r="AN7121" t="s">
        <v>19460</v>
      </c>
      <c r="AO7121" t="s">
        <v>19461</v>
      </c>
    </row>
    <row r="7122" spans="39:41" ht="12" customHeight="1" x14ac:dyDescent="0.2">
      <c r="AM7122" t="str">
        <f t="shared" si="111"/>
        <v>Katakami [JPKKM]</v>
      </c>
      <c r="AN7122" t="s">
        <v>19462</v>
      </c>
      <c r="AO7122" t="s">
        <v>19463</v>
      </c>
    </row>
    <row r="7123" spans="39:41" ht="12" customHeight="1" x14ac:dyDescent="0.2">
      <c r="AM7123" t="str">
        <f t="shared" si="111"/>
        <v>Katakolon [GRKAK]</v>
      </c>
      <c r="AN7123" t="s">
        <v>15283</v>
      </c>
      <c r="AO7123" t="s">
        <v>15284</v>
      </c>
    </row>
    <row r="7124" spans="39:41" ht="12" customHeight="1" x14ac:dyDescent="0.2">
      <c r="AM7124" t="str">
        <f t="shared" si="111"/>
        <v>Kataku [JPKTK]</v>
      </c>
      <c r="AN7124" t="s">
        <v>19464</v>
      </c>
      <c r="AO7124" t="s">
        <v>19465</v>
      </c>
    </row>
    <row r="7125" spans="39:41" ht="12" customHeight="1" x14ac:dyDescent="0.2">
      <c r="AM7125" t="str">
        <f t="shared" si="111"/>
        <v>Katapola [GRKTP]</v>
      </c>
      <c r="AN7125" t="s">
        <v>15285</v>
      </c>
      <c r="AO7125" t="s">
        <v>35912</v>
      </c>
    </row>
    <row r="7126" spans="39:41" ht="12" customHeight="1" x14ac:dyDescent="0.2">
      <c r="AM7126" t="str">
        <f t="shared" si="111"/>
        <v>KATARINA [HRKAT]</v>
      </c>
      <c r="AN7126" t="s">
        <v>36733</v>
      </c>
      <c r="AO7126" t="s">
        <v>36734</v>
      </c>
    </row>
    <row r="7127" spans="39:41" ht="12" customHeight="1" x14ac:dyDescent="0.2">
      <c r="AM7127" t="str">
        <f t="shared" si="111"/>
        <v>Katashima [JPKTS]</v>
      </c>
      <c r="AN7127" t="s">
        <v>19466</v>
      </c>
      <c r="AO7127" t="s">
        <v>19467</v>
      </c>
    </row>
    <row r="7128" spans="39:41" ht="12" customHeight="1" x14ac:dyDescent="0.2">
      <c r="AM7128" t="str">
        <f t="shared" si="111"/>
        <v>Katasoba [JPKBA]</v>
      </c>
      <c r="AN7128" t="s">
        <v>19468</v>
      </c>
      <c r="AO7128" t="s">
        <v>19469</v>
      </c>
    </row>
    <row r="7129" spans="39:41" ht="12" customHeight="1" x14ac:dyDescent="0.2">
      <c r="AM7129" t="str">
        <f t="shared" si="111"/>
        <v>Katerini [GRKEI]</v>
      </c>
      <c r="AN7129" t="s">
        <v>15286</v>
      </c>
      <c r="AO7129" t="s">
        <v>35913</v>
      </c>
    </row>
    <row r="7130" spans="39:41" ht="12" customHeight="1" x14ac:dyDescent="0.2">
      <c r="AM7130" t="str">
        <f t="shared" si="111"/>
        <v>Katerveer [NLKTV]</v>
      </c>
      <c r="AN7130" t="s">
        <v>23306</v>
      </c>
      <c r="AO7130" t="s">
        <v>23307</v>
      </c>
    </row>
    <row r="7131" spans="39:41" ht="12" customHeight="1" x14ac:dyDescent="0.2">
      <c r="AM7131" t="str">
        <f t="shared" si="111"/>
        <v>Katherine [AUKTR]</v>
      </c>
      <c r="AN7131" t="s">
        <v>1763</v>
      </c>
      <c r="AO7131" t="s">
        <v>1764</v>
      </c>
    </row>
    <row r="7132" spans="39:41" ht="12" customHeight="1" x14ac:dyDescent="0.2">
      <c r="AM7132" t="str">
        <f t="shared" si="111"/>
        <v>Katipunan/Ozamis [PHKAT]</v>
      </c>
      <c r="AN7132" t="s">
        <v>25815</v>
      </c>
      <c r="AO7132" t="s">
        <v>25816</v>
      </c>
    </row>
    <row r="7133" spans="39:41" ht="12" customHeight="1" x14ac:dyDescent="0.2">
      <c r="AM7133" t="str">
        <f t="shared" si="111"/>
        <v>Kato Achaia [GRKAH]</v>
      </c>
      <c r="AN7133" t="s">
        <v>15287</v>
      </c>
      <c r="AO7133" t="s">
        <v>35914</v>
      </c>
    </row>
    <row r="7134" spans="39:41" ht="12" customHeight="1" x14ac:dyDescent="0.2">
      <c r="AM7134" t="str">
        <f t="shared" si="111"/>
        <v>Kats [NLKAT]</v>
      </c>
      <c r="AN7134" t="s">
        <v>23308</v>
      </c>
      <c r="AO7134" t="s">
        <v>23309</v>
      </c>
    </row>
    <row r="7135" spans="39:41" ht="12" customHeight="1" x14ac:dyDescent="0.2">
      <c r="AM7135" t="str">
        <f t="shared" si="111"/>
        <v>Katsina [NGKT7]</v>
      </c>
      <c r="AN7135" t="s">
        <v>22947</v>
      </c>
      <c r="AO7135" t="s">
        <v>22948</v>
      </c>
    </row>
    <row r="7136" spans="39:41" ht="12" customHeight="1" x14ac:dyDescent="0.2">
      <c r="AM7136" t="str">
        <f t="shared" si="111"/>
        <v>Katsumoto [JPKSU]</v>
      </c>
      <c r="AN7136" t="s">
        <v>19470</v>
      </c>
      <c r="AO7136" t="s">
        <v>19471</v>
      </c>
    </row>
    <row r="7137" spans="39:41" ht="12" customHeight="1" x14ac:dyDescent="0.2">
      <c r="AM7137" t="str">
        <f t="shared" si="111"/>
        <v>Katsuura, Chiba [JPKUR]</v>
      </c>
      <c r="AN7137" t="s">
        <v>19472</v>
      </c>
      <c r="AO7137" t="s">
        <v>19473</v>
      </c>
    </row>
    <row r="7138" spans="39:41" ht="12" customHeight="1" x14ac:dyDescent="0.2">
      <c r="AM7138" t="str">
        <f t="shared" si="111"/>
        <v>Katsuura, Wakayama [JPKAT]</v>
      </c>
      <c r="AN7138" t="s">
        <v>19474</v>
      </c>
      <c r="AO7138" t="s">
        <v>19475</v>
      </c>
    </row>
    <row r="7139" spans="39:41" ht="12" customHeight="1" x14ac:dyDescent="0.2">
      <c r="AM7139" t="str">
        <f t="shared" si="111"/>
        <v>Katthammarsvik [SEKAT]</v>
      </c>
      <c r="AN7139" t="s">
        <v>27681</v>
      </c>
      <c r="AO7139" t="s">
        <v>27682</v>
      </c>
    </row>
    <row r="7140" spans="39:41" ht="12" customHeight="1" x14ac:dyDescent="0.2">
      <c r="AM7140" t="str">
        <f t="shared" si="111"/>
        <v>Kattupalli [INKAT]</v>
      </c>
      <c r="AN7140" t="s">
        <v>17218</v>
      </c>
      <c r="AO7140" t="s">
        <v>17219</v>
      </c>
    </row>
    <row r="7141" spans="39:41" ht="12" customHeight="1" x14ac:dyDescent="0.2">
      <c r="AM7141" t="str">
        <f t="shared" si="111"/>
        <v>Kattupalli Port [INKTP]</v>
      </c>
      <c r="AN7141" t="s">
        <v>17220</v>
      </c>
      <c r="AO7141" t="s">
        <v>17221</v>
      </c>
    </row>
    <row r="7142" spans="39:41" ht="12" customHeight="1" x14ac:dyDescent="0.2">
      <c r="AM7142" t="str">
        <f t="shared" si="111"/>
        <v>Katwijk aan den Rijn [NLKWR]</v>
      </c>
      <c r="AN7142" t="s">
        <v>23310</v>
      </c>
      <c r="AO7142" t="s">
        <v>23311</v>
      </c>
    </row>
    <row r="7143" spans="39:41" ht="12" customHeight="1" x14ac:dyDescent="0.2">
      <c r="AM7143" t="str">
        <f t="shared" si="111"/>
        <v>Kau [IDKAU]</v>
      </c>
      <c r="AN7143" t="s">
        <v>16322</v>
      </c>
      <c r="AO7143" t="s">
        <v>16323</v>
      </c>
    </row>
    <row r="7144" spans="39:41" ht="12" customHeight="1" x14ac:dyDescent="0.2">
      <c r="AM7144" t="str">
        <f t="shared" si="111"/>
        <v>Kaulille [BEKLE]</v>
      </c>
      <c r="AN7144" t="s">
        <v>2594</v>
      </c>
      <c r="AO7144" t="s">
        <v>2595</v>
      </c>
    </row>
    <row r="7145" spans="39:41" ht="12" customHeight="1" x14ac:dyDescent="0.2">
      <c r="AM7145" t="str">
        <f t="shared" si="111"/>
        <v>Kaunispe [EEKSP]</v>
      </c>
      <c r="AN7145" t="s">
        <v>9189</v>
      </c>
      <c r="AO7145" t="s">
        <v>9190</v>
      </c>
    </row>
    <row r="7146" spans="39:41" ht="12" customHeight="1" x14ac:dyDescent="0.2">
      <c r="AM7146" t="str">
        <f t="shared" si="111"/>
        <v>Kaupanger [NOKPG]</v>
      </c>
      <c r="AN7146" t="s">
        <v>24328</v>
      </c>
      <c r="AO7146" t="s">
        <v>24329</v>
      </c>
    </row>
    <row r="7147" spans="39:41" ht="12" customHeight="1" x14ac:dyDescent="0.2">
      <c r="AM7147" t="str">
        <f t="shared" si="111"/>
        <v>Kauri Point [NZKAU]</v>
      </c>
      <c r="AN7147" t="s">
        <v>25070</v>
      </c>
      <c r="AO7147" t="s">
        <v>25071</v>
      </c>
    </row>
    <row r="7148" spans="39:41" ht="12" customHeight="1" x14ac:dyDescent="0.2">
      <c r="AM7148" t="str">
        <f t="shared" si="111"/>
        <v>Kavala [GRKVA]</v>
      </c>
      <c r="AN7148" t="s">
        <v>15288</v>
      </c>
      <c r="AO7148" t="s">
        <v>35915</v>
      </c>
    </row>
    <row r="7149" spans="39:41" ht="12" customHeight="1" x14ac:dyDescent="0.2">
      <c r="AM7149" t="str">
        <f t="shared" si="111"/>
        <v>Kavaram Is [INKVT]</v>
      </c>
      <c r="AN7149" t="s">
        <v>17222</v>
      </c>
      <c r="AO7149" t="s">
        <v>17223</v>
      </c>
    </row>
    <row r="7150" spans="39:41" ht="12" customHeight="1" x14ac:dyDescent="0.2">
      <c r="AM7150" t="str">
        <f t="shared" si="111"/>
        <v>Kavaru [EEKVR]</v>
      </c>
      <c r="AN7150" t="s">
        <v>9191</v>
      </c>
      <c r="AO7150" t="s">
        <v>9192</v>
      </c>
    </row>
    <row r="7151" spans="39:41" ht="12" customHeight="1" x14ac:dyDescent="0.2">
      <c r="AM7151" t="str">
        <f t="shared" si="111"/>
        <v>Kavi [INKVI]</v>
      </c>
      <c r="AN7151" t="s">
        <v>17224</v>
      </c>
      <c r="AO7151" t="s">
        <v>17225</v>
      </c>
    </row>
    <row r="7152" spans="39:41" ht="12" customHeight="1" x14ac:dyDescent="0.2">
      <c r="AM7152" t="str">
        <f t="shared" si="111"/>
        <v>Kavieng [PGKVG]</v>
      </c>
      <c r="AN7152" t="s">
        <v>25400</v>
      </c>
      <c r="AO7152" t="s">
        <v>25401</v>
      </c>
    </row>
    <row r="7153" spans="39:41" ht="12" customHeight="1" x14ac:dyDescent="0.2">
      <c r="AM7153" t="str">
        <f t="shared" si="111"/>
        <v>Kavkaz [RUKZP]</v>
      </c>
      <c r="AN7153" t="s">
        <v>26967</v>
      </c>
      <c r="AO7153" t="s">
        <v>26968</v>
      </c>
    </row>
    <row r="7154" spans="39:41" ht="12" customHeight="1" x14ac:dyDescent="0.2">
      <c r="AM7154" t="str">
        <f t="shared" si="111"/>
        <v>Kawachi, Kumamoto [JPKCH]</v>
      </c>
      <c r="AN7154" t="s">
        <v>19476</v>
      </c>
      <c r="AO7154" t="s">
        <v>19477</v>
      </c>
    </row>
    <row r="7155" spans="39:41" ht="12" customHeight="1" x14ac:dyDescent="0.2">
      <c r="AM7155" t="str">
        <f t="shared" si="111"/>
        <v>Kawachi, Nagasaki [JPKWC]</v>
      </c>
      <c r="AN7155" t="s">
        <v>19478</v>
      </c>
      <c r="AO7155" t="s">
        <v>19479</v>
      </c>
    </row>
    <row r="7156" spans="39:41" ht="12" customHeight="1" x14ac:dyDescent="0.2">
      <c r="AM7156" t="str">
        <f t="shared" si="111"/>
        <v>Kawajiri, Hiroshima [JPKWJ]</v>
      </c>
      <c r="AN7156" t="s">
        <v>19480</v>
      </c>
      <c r="AO7156" t="s">
        <v>19481</v>
      </c>
    </row>
    <row r="7157" spans="39:41" ht="12" customHeight="1" x14ac:dyDescent="0.2">
      <c r="AM7157" t="str">
        <f t="shared" si="111"/>
        <v>Kawajiri, Ibaraki [JPKWR]</v>
      </c>
      <c r="AN7157" t="s">
        <v>19482</v>
      </c>
      <c r="AO7157" t="s">
        <v>19483</v>
      </c>
    </row>
    <row r="7158" spans="39:41" ht="12" customHeight="1" x14ac:dyDescent="0.2">
      <c r="AM7158" t="str">
        <f t="shared" si="111"/>
        <v>Kawanazu [JPKWA]</v>
      </c>
      <c r="AN7158" t="s">
        <v>19484</v>
      </c>
      <c r="AO7158" t="s">
        <v>19485</v>
      </c>
    </row>
    <row r="7159" spans="39:41" ht="12" customHeight="1" x14ac:dyDescent="0.2">
      <c r="AM7159" t="str">
        <f t="shared" si="111"/>
        <v>Kawanoe [JPKWN]</v>
      </c>
      <c r="AN7159" t="s">
        <v>19486</v>
      </c>
      <c r="AO7159" t="s">
        <v>19487</v>
      </c>
    </row>
    <row r="7160" spans="39:41" ht="12" customHeight="1" x14ac:dyDescent="0.2">
      <c r="AM7160" t="str">
        <f t="shared" ref="AM7160:AM7223" si="112">AO7160 &amp; " [" &amp; AN7160 &amp; "]"</f>
        <v>Kawanoishi [JPKWI]</v>
      </c>
      <c r="AN7160" t="s">
        <v>19488</v>
      </c>
      <c r="AO7160" t="s">
        <v>19489</v>
      </c>
    </row>
    <row r="7161" spans="39:41" ht="12" customHeight="1" x14ac:dyDescent="0.2">
      <c r="AM7161" t="str">
        <f t="shared" si="112"/>
        <v>Kawarago [JPKAG]</v>
      </c>
      <c r="AN7161" t="s">
        <v>19490</v>
      </c>
      <c r="AO7161" t="s">
        <v>19491</v>
      </c>
    </row>
    <row r="7162" spans="39:41" ht="12" customHeight="1" x14ac:dyDescent="0.2">
      <c r="AM7162" t="str">
        <f t="shared" si="112"/>
        <v>Kawasaki [JPKWS]</v>
      </c>
      <c r="AN7162" t="s">
        <v>19492</v>
      </c>
      <c r="AO7162" t="s">
        <v>19493</v>
      </c>
    </row>
    <row r="7163" spans="39:41" ht="12" customHeight="1" x14ac:dyDescent="0.2">
      <c r="AM7163" t="str">
        <f t="shared" si="112"/>
        <v>Kawashimo [JPKWM]</v>
      </c>
      <c r="AN7163" t="s">
        <v>19494</v>
      </c>
      <c r="AO7163" t="s">
        <v>19495</v>
      </c>
    </row>
    <row r="7164" spans="39:41" ht="12" customHeight="1" x14ac:dyDescent="0.2">
      <c r="AM7164" t="str">
        <f t="shared" si="112"/>
        <v>Kawatana [JPKWT]</v>
      </c>
      <c r="AN7164" t="s">
        <v>19496</v>
      </c>
      <c r="AO7164" t="s">
        <v>19497</v>
      </c>
    </row>
    <row r="7165" spans="39:41" ht="12" customHeight="1" x14ac:dyDescent="0.2">
      <c r="AM7165" t="str">
        <f t="shared" si="112"/>
        <v>Kawauchi [JPKAW]</v>
      </c>
      <c r="AN7165" t="s">
        <v>19498</v>
      </c>
      <c r="AO7165" t="s">
        <v>19499</v>
      </c>
    </row>
    <row r="7166" spans="39:41" ht="12" customHeight="1" x14ac:dyDescent="0.2">
      <c r="AM7166" t="str">
        <f t="shared" si="112"/>
        <v>Kawkawlin [USKW7]</v>
      </c>
      <c r="AN7166" t="s">
        <v>30252</v>
      </c>
      <c r="AO7166" t="s">
        <v>30253</v>
      </c>
    </row>
    <row r="7167" spans="39:41" ht="12" customHeight="1" x14ac:dyDescent="0.2">
      <c r="AM7167" t="str">
        <f t="shared" si="112"/>
        <v>Kayena [AUKAY]</v>
      </c>
      <c r="AN7167" t="s">
        <v>1765</v>
      </c>
      <c r="AO7167" t="s">
        <v>1766</v>
      </c>
    </row>
    <row r="7168" spans="39:41" ht="12" customHeight="1" x14ac:dyDescent="0.2">
      <c r="AM7168" t="str">
        <f t="shared" si="112"/>
        <v>Kaysville [USKAY]</v>
      </c>
      <c r="AN7168" t="s">
        <v>30254</v>
      </c>
      <c r="AO7168" t="s">
        <v>30255</v>
      </c>
    </row>
    <row r="7169" spans="39:41" ht="12" customHeight="1" x14ac:dyDescent="0.2">
      <c r="AM7169" t="str">
        <f t="shared" si="112"/>
        <v>Kayts [LKKAY]</v>
      </c>
      <c r="AN7169" t="s">
        <v>21835</v>
      </c>
      <c r="AO7169" t="s">
        <v>21836</v>
      </c>
    </row>
    <row r="7170" spans="39:41" ht="12" customHeight="1" x14ac:dyDescent="0.2">
      <c r="AM7170" t="str">
        <f t="shared" si="112"/>
        <v>Kazuhara [JPKZH]</v>
      </c>
      <c r="AN7170" t="s">
        <v>19500</v>
      </c>
      <c r="AO7170" t="s">
        <v>19501</v>
      </c>
    </row>
    <row r="7171" spans="39:41" ht="12" customHeight="1" x14ac:dyDescent="0.2">
      <c r="AM7171" t="str">
        <f t="shared" si="112"/>
        <v>Kazume [JPKZM]</v>
      </c>
      <c r="AN7171" t="s">
        <v>19502</v>
      </c>
      <c r="AO7171" t="s">
        <v>19503</v>
      </c>
    </row>
    <row r="7172" spans="39:41" ht="12" customHeight="1" x14ac:dyDescent="0.2">
      <c r="AM7172" t="str">
        <f t="shared" si="112"/>
        <v>Kazusaminato [JPKZS]</v>
      </c>
      <c r="AN7172" t="s">
        <v>19504</v>
      </c>
      <c r="AO7172" t="s">
        <v>19505</v>
      </c>
    </row>
    <row r="7173" spans="39:41" ht="12" customHeight="1" x14ac:dyDescent="0.2">
      <c r="AM7173" t="str">
        <f t="shared" si="112"/>
        <v>Kea (Tzia) [GRKEA]</v>
      </c>
      <c r="AN7173" t="s">
        <v>15289</v>
      </c>
      <c r="AO7173" t="s">
        <v>35916</v>
      </c>
    </row>
    <row r="7174" spans="39:41" ht="12" customHeight="1" x14ac:dyDescent="0.2">
      <c r="AM7174" t="str">
        <f t="shared" si="112"/>
        <v>Keadby [GBKEA]</v>
      </c>
      <c r="AN7174" t="s">
        <v>13509</v>
      </c>
      <c r="AO7174" t="s">
        <v>13510</v>
      </c>
    </row>
    <row r="7175" spans="39:41" ht="12" customHeight="1" x14ac:dyDescent="0.2">
      <c r="AM7175" t="str">
        <f t="shared" si="112"/>
        <v>Kebili [TNKEB]</v>
      </c>
      <c r="AN7175" t="s">
        <v>28349</v>
      </c>
      <c r="AO7175" t="s">
        <v>28350</v>
      </c>
    </row>
    <row r="7176" spans="39:41" ht="12" customHeight="1" x14ac:dyDescent="0.2">
      <c r="AM7176" t="str">
        <f t="shared" si="112"/>
        <v>Kebuki [JPKEB]</v>
      </c>
      <c r="AN7176" t="s">
        <v>19506</v>
      </c>
      <c r="AO7176" t="s">
        <v>19507</v>
      </c>
    </row>
    <row r="7177" spans="39:41" ht="12" customHeight="1" x14ac:dyDescent="0.2">
      <c r="AM7177" t="str">
        <f t="shared" si="112"/>
        <v>Kecel [HUXEL]</v>
      </c>
      <c r="AN7177" t="s">
        <v>16099</v>
      </c>
      <c r="AO7177" t="s">
        <v>16100</v>
      </c>
    </row>
    <row r="7178" spans="39:41" ht="12" customHeight="1" x14ac:dyDescent="0.2">
      <c r="AM7178" t="str">
        <f t="shared" si="112"/>
        <v>Kechi [JPKEC]</v>
      </c>
      <c r="AN7178" t="s">
        <v>19508</v>
      </c>
      <c r="AO7178" t="s">
        <v>19509</v>
      </c>
    </row>
    <row r="7179" spans="39:41" ht="12" customHeight="1" x14ac:dyDescent="0.2">
      <c r="AM7179" t="str">
        <f t="shared" si="112"/>
        <v>Keego Harbor [USKHB]</v>
      </c>
      <c r="AN7179" t="s">
        <v>30256</v>
      </c>
      <c r="AO7179" t="s">
        <v>30257</v>
      </c>
    </row>
    <row r="7180" spans="39:41" ht="12" customHeight="1" x14ac:dyDescent="0.2">
      <c r="AM7180" t="str">
        <f t="shared" si="112"/>
        <v>Keelung (Chilung) [TWKEL]</v>
      </c>
      <c r="AN7180" t="s">
        <v>28673</v>
      </c>
      <c r="AO7180" t="s">
        <v>28674</v>
      </c>
    </row>
    <row r="7181" spans="39:41" ht="12" customHeight="1" x14ac:dyDescent="0.2">
      <c r="AM7181" t="str">
        <f t="shared" si="112"/>
        <v>Keene [CAKEE]</v>
      </c>
      <c r="AN7181" t="s">
        <v>3975</v>
      </c>
      <c r="AO7181" t="s">
        <v>3976</v>
      </c>
    </row>
    <row r="7182" spans="39:41" ht="12" customHeight="1" x14ac:dyDescent="0.2">
      <c r="AM7182" t="str">
        <f t="shared" si="112"/>
        <v>Keent [NLKNT]</v>
      </c>
      <c r="AN7182" t="s">
        <v>23312</v>
      </c>
      <c r="AO7182" t="s">
        <v>23313</v>
      </c>
    </row>
    <row r="7183" spans="39:41" ht="12" customHeight="1" x14ac:dyDescent="0.2">
      <c r="AM7183" t="str">
        <f t="shared" si="112"/>
        <v>Kefalos Ko [GRKEF]</v>
      </c>
      <c r="AN7183" t="s">
        <v>15290</v>
      </c>
      <c r="AO7183" t="s">
        <v>15291</v>
      </c>
    </row>
    <row r="7184" spans="39:41" ht="12" customHeight="1" x14ac:dyDescent="0.2">
      <c r="AM7184" t="str">
        <f t="shared" si="112"/>
        <v>Kefken [TRKFK]</v>
      </c>
      <c r="AN7184" t="s">
        <v>28528</v>
      </c>
      <c r="AO7184" t="s">
        <v>28529</v>
      </c>
    </row>
    <row r="7185" spans="39:41" ht="12" customHeight="1" x14ac:dyDescent="0.2">
      <c r="AM7185" t="str">
        <f t="shared" si="112"/>
        <v>Keflavik [ISKEF]</v>
      </c>
      <c r="AN7185" t="s">
        <v>37007</v>
      </c>
      <c r="AO7185" t="s">
        <v>37008</v>
      </c>
    </row>
    <row r="7186" spans="39:41" ht="12" customHeight="1" x14ac:dyDescent="0.2">
      <c r="AM7186" t="str">
        <f t="shared" si="112"/>
        <v>Keflavikurkaupstadur [ISKEV]</v>
      </c>
      <c r="AN7186" t="s">
        <v>17727</v>
      </c>
      <c r="AO7186" t="s">
        <v>17728</v>
      </c>
    </row>
    <row r="7187" spans="39:41" ht="12" customHeight="1" x14ac:dyDescent="0.2">
      <c r="AM7187" t="str">
        <f t="shared" si="112"/>
        <v>Kegoya [JPKEG]</v>
      </c>
      <c r="AN7187" t="s">
        <v>19510</v>
      </c>
      <c r="AO7187" t="s">
        <v>19511</v>
      </c>
    </row>
    <row r="7188" spans="39:41" ht="12" customHeight="1" x14ac:dyDescent="0.2">
      <c r="AM7188" t="str">
        <f t="shared" si="112"/>
        <v>Kehl [DEKEH]</v>
      </c>
      <c r="AN7188" t="s">
        <v>7685</v>
      </c>
      <c r="AO7188" t="s">
        <v>7686</v>
      </c>
    </row>
    <row r="7189" spans="39:41" ht="12" customHeight="1" x14ac:dyDescent="0.2">
      <c r="AM7189" t="str">
        <f t="shared" si="112"/>
        <v>Keighley [GBKEI]</v>
      </c>
      <c r="AN7189" t="s">
        <v>13511</v>
      </c>
      <c r="AO7189" t="s">
        <v>13512</v>
      </c>
    </row>
    <row r="7190" spans="39:41" ht="12" customHeight="1" x14ac:dyDescent="0.2">
      <c r="AM7190" t="str">
        <f t="shared" si="112"/>
        <v>Keiss [GBKES]</v>
      </c>
      <c r="AN7190" t="s">
        <v>13513</v>
      </c>
      <c r="AO7190" t="s">
        <v>13514</v>
      </c>
    </row>
    <row r="7191" spans="39:41" ht="12" customHeight="1" x14ac:dyDescent="0.2">
      <c r="AM7191" t="str">
        <f t="shared" si="112"/>
        <v>Keith [AUKEI]</v>
      </c>
      <c r="AN7191" t="s">
        <v>1767</v>
      </c>
      <c r="AO7191" t="s">
        <v>1768</v>
      </c>
    </row>
    <row r="7192" spans="39:41" ht="12" customHeight="1" x14ac:dyDescent="0.2">
      <c r="AM7192" t="str">
        <f t="shared" si="112"/>
        <v>Keizersveer [NLKZV]</v>
      </c>
      <c r="AN7192" t="s">
        <v>23314</v>
      </c>
      <c r="AO7192" t="s">
        <v>23315</v>
      </c>
    </row>
    <row r="7193" spans="39:41" ht="12" customHeight="1" x14ac:dyDescent="0.2">
      <c r="AM7193" t="str">
        <f t="shared" si="112"/>
        <v>Kejit [MYKES]</v>
      </c>
      <c r="AN7193" t="s">
        <v>22564</v>
      </c>
      <c r="AO7193" t="s">
        <v>22565</v>
      </c>
    </row>
    <row r="7194" spans="39:41" ht="12" customHeight="1" x14ac:dyDescent="0.2">
      <c r="AM7194" t="str">
        <f t="shared" si="112"/>
        <v>Kekkut [HUKKU]</v>
      </c>
      <c r="AN7194" t="s">
        <v>16101</v>
      </c>
      <c r="AO7194" t="s">
        <v>16102</v>
      </c>
    </row>
    <row r="7195" spans="39:41" ht="12" customHeight="1" x14ac:dyDescent="0.2">
      <c r="AM7195" t="str">
        <f t="shared" si="112"/>
        <v>Kelai [MVKEL]</v>
      </c>
      <c r="AN7195" t="s">
        <v>22292</v>
      </c>
      <c r="AO7195" t="s">
        <v>22293</v>
      </c>
    </row>
    <row r="7196" spans="39:41" ht="12" customHeight="1" x14ac:dyDescent="0.2">
      <c r="AM7196" t="str">
        <f t="shared" si="112"/>
        <v>Kelheim [DEKEM]</v>
      </c>
      <c r="AN7196" t="s">
        <v>7687</v>
      </c>
      <c r="AO7196" t="s">
        <v>7688</v>
      </c>
    </row>
    <row r="7197" spans="39:41" ht="12" customHeight="1" x14ac:dyDescent="0.2">
      <c r="AM7197" t="str">
        <f t="shared" si="112"/>
        <v>Kellinghusen [DEKHN]</v>
      </c>
      <c r="AN7197" t="s">
        <v>7689</v>
      </c>
      <c r="AO7197" t="s">
        <v>7690</v>
      </c>
    </row>
    <row r="7198" spans="39:41" ht="12" customHeight="1" x14ac:dyDescent="0.2">
      <c r="AM7198" t="str">
        <f t="shared" si="112"/>
        <v>Kellmunz [DEKEZ]</v>
      </c>
      <c r="AN7198" t="s">
        <v>7691</v>
      </c>
      <c r="AO7198" t="s">
        <v>35453</v>
      </c>
    </row>
    <row r="7199" spans="39:41" ht="12" customHeight="1" x14ac:dyDescent="0.2">
      <c r="AM7199" t="str">
        <f t="shared" si="112"/>
        <v>Kelnase [EEKLN]</v>
      </c>
      <c r="AN7199" t="s">
        <v>9193</v>
      </c>
      <c r="AO7199" t="s">
        <v>9194</v>
      </c>
    </row>
    <row r="7200" spans="39:41" ht="12" customHeight="1" x14ac:dyDescent="0.2">
      <c r="AM7200" t="str">
        <f t="shared" si="112"/>
        <v>Kelpen [NLKPE]</v>
      </c>
      <c r="AN7200" t="s">
        <v>23316</v>
      </c>
      <c r="AO7200" t="s">
        <v>23317</v>
      </c>
    </row>
    <row r="7201" spans="39:41" ht="12" customHeight="1" x14ac:dyDescent="0.2">
      <c r="AM7201" t="str">
        <f t="shared" si="112"/>
        <v>Kelshi [INKSH]</v>
      </c>
      <c r="AN7201" t="s">
        <v>17226</v>
      </c>
      <c r="AO7201" t="s">
        <v>17227</v>
      </c>
    </row>
    <row r="7202" spans="39:41" ht="12" customHeight="1" x14ac:dyDescent="0.2">
      <c r="AM7202" t="str">
        <f t="shared" si="112"/>
        <v>Kelso [USKLS]</v>
      </c>
      <c r="AN7202" t="s">
        <v>30258</v>
      </c>
      <c r="AO7202" t="s">
        <v>30259</v>
      </c>
    </row>
    <row r="7203" spans="39:41" ht="12" customHeight="1" x14ac:dyDescent="0.2">
      <c r="AM7203" t="str">
        <f t="shared" si="112"/>
        <v>Kelsterbach [DEKEB]</v>
      </c>
      <c r="AN7203" t="s">
        <v>7692</v>
      </c>
      <c r="AO7203" t="s">
        <v>7693</v>
      </c>
    </row>
    <row r="7204" spans="39:41" ht="12" customHeight="1" x14ac:dyDescent="0.2">
      <c r="AM7204" t="str">
        <f t="shared" si="112"/>
        <v>Kelvingi [EEKEL]</v>
      </c>
      <c r="AN7204" t="s">
        <v>9195</v>
      </c>
      <c r="AO7204" t="s">
        <v>9196</v>
      </c>
    </row>
    <row r="7205" spans="39:41" ht="12" customHeight="1" x14ac:dyDescent="0.2">
      <c r="AM7205" t="str">
        <f t="shared" si="112"/>
        <v>Kelwa [INKIW]</v>
      </c>
      <c r="AN7205" t="s">
        <v>17228</v>
      </c>
      <c r="AO7205" t="s">
        <v>17229</v>
      </c>
    </row>
    <row r="7206" spans="39:41" ht="12" customHeight="1" x14ac:dyDescent="0.2">
      <c r="AM7206" t="str">
        <f t="shared" si="112"/>
        <v>Kem [RUKEM]</v>
      </c>
      <c r="AN7206" t="s">
        <v>26969</v>
      </c>
      <c r="AO7206" t="s">
        <v>26970</v>
      </c>
    </row>
    <row r="7207" spans="39:41" ht="12" customHeight="1" x14ac:dyDescent="0.2">
      <c r="AM7207" t="str">
        <f t="shared" si="112"/>
        <v>Kemaman [MYKEM]</v>
      </c>
      <c r="AN7207" t="s">
        <v>22566</v>
      </c>
      <c r="AO7207" t="s">
        <v>22567</v>
      </c>
    </row>
    <row r="7208" spans="39:41" ht="12" customHeight="1" x14ac:dyDescent="0.2">
      <c r="AM7208" t="str">
        <f t="shared" si="112"/>
        <v>Kematen in Tirol [ATKTT]</v>
      </c>
      <c r="AN7208" t="s">
        <v>1250</v>
      </c>
      <c r="AO7208" t="s">
        <v>1251</v>
      </c>
    </row>
    <row r="7209" spans="39:41" ht="12" customHeight="1" x14ac:dyDescent="0.2">
      <c r="AM7209" t="str">
        <f t="shared" si="112"/>
        <v>Kemer [TRKMR]</v>
      </c>
      <c r="AN7209" t="s">
        <v>37178</v>
      </c>
      <c r="AO7209" t="s">
        <v>37179</v>
      </c>
    </row>
    <row r="7210" spans="39:41" ht="12" customHeight="1" x14ac:dyDescent="0.2">
      <c r="AM7210" t="str">
        <f t="shared" si="112"/>
        <v>Kemi/Tornea (Kemi/Tornio) [FIKEM]</v>
      </c>
      <c r="AN7210" t="s">
        <v>10406</v>
      </c>
      <c r="AO7210" t="s">
        <v>35731</v>
      </c>
    </row>
    <row r="7211" spans="39:41" ht="12" customHeight="1" x14ac:dyDescent="0.2">
      <c r="AM7211" t="str">
        <f t="shared" si="112"/>
        <v>Kemio (Kimito) [FIKIM]</v>
      </c>
      <c r="AN7211" t="s">
        <v>10407</v>
      </c>
      <c r="AO7211" t="s">
        <v>35732</v>
      </c>
    </row>
    <row r="7212" spans="39:41" ht="12" customHeight="1" x14ac:dyDescent="0.2">
      <c r="AM7212" t="str">
        <f t="shared" si="112"/>
        <v>Kempo, Sb [IDKEM]</v>
      </c>
      <c r="AN7212" t="s">
        <v>16324</v>
      </c>
      <c r="AO7212" t="s">
        <v>16325</v>
      </c>
    </row>
    <row r="7213" spans="39:41" ht="12" customHeight="1" x14ac:dyDescent="0.2">
      <c r="AM7213" t="str">
        <f t="shared" si="112"/>
        <v>Kemsing [GBKMI]</v>
      </c>
      <c r="AN7213" t="s">
        <v>13515</v>
      </c>
      <c r="AO7213" t="s">
        <v>13516</v>
      </c>
    </row>
    <row r="7214" spans="39:41" ht="12" customHeight="1" x14ac:dyDescent="0.2">
      <c r="AM7214" t="str">
        <f t="shared" si="112"/>
        <v>Kendall Park [USKU4]</v>
      </c>
      <c r="AN7214" t="s">
        <v>30260</v>
      </c>
      <c r="AO7214" t="s">
        <v>30261</v>
      </c>
    </row>
    <row r="7215" spans="39:41" ht="12" customHeight="1" x14ac:dyDescent="0.2">
      <c r="AM7215" t="str">
        <f t="shared" si="112"/>
        <v>Kendari, Sulawesi [IDKDI]</v>
      </c>
      <c r="AN7215" t="s">
        <v>16326</v>
      </c>
      <c r="AO7215" t="s">
        <v>16327</v>
      </c>
    </row>
    <row r="7216" spans="39:41" ht="12" customHeight="1" x14ac:dyDescent="0.2">
      <c r="AM7216" t="str">
        <f t="shared" si="112"/>
        <v>Kendawangan [IDKDW]</v>
      </c>
      <c r="AN7216" t="s">
        <v>16328</v>
      </c>
      <c r="AO7216" t="s">
        <v>16329</v>
      </c>
    </row>
    <row r="7217" spans="39:41" ht="12" customHeight="1" x14ac:dyDescent="0.2">
      <c r="AM7217" t="str">
        <f t="shared" si="112"/>
        <v>Kenitra (ex Port Lyautey) [MANNA]</v>
      </c>
      <c r="AN7217" t="s">
        <v>22042</v>
      </c>
      <c r="AO7217" t="s">
        <v>22043</v>
      </c>
    </row>
    <row r="7218" spans="39:41" ht="12" customHeight="1" x14ac:dyDescent="0.2">
      <c r="AM7218" t="str">
        <f t="shared" si="112"/>
        <v>Kenmore [USKMR]</v>
      </c>
      <c r="AN7218" t="s">
        <v>30262</v>
      </c>
      <c r="AO7218" t="s">
        <v>30263</v>
      </c>
    </row>
    <row r="7219" spans="39:41" ht="12" customHeight="1" x14ac:dyDescent="0.2">
      <c r="AM7219" t="str">
        <f t="shared" si="112"/>
        <v>Kenn [DENNP]</v>
      </c>
      <c r="AN7219" t="s">
        <v>7694</v>
      </c>
      <c r="AO7219" t="s">
        <v>7695</v>
      </c>
    </row>
    <row r="7220" spans="39:41" ht="12" customHeight="1" x14ac:dyDescent="0.2">
      <c r="AM7220" t="str">
        <f t="shared" si="112"/>
        <v>Kenna [EGKEN]</v>
      </c>
      <c r="AN7220" t="s">
        <v>9494</v>
      </c>
      <c r="AO7220" t="s">
        <v>9495</v>
      </c>
    </row>
    <row r="7221" spans="39:41" ht="12" customHeight="1" x14ac:dyDescent="0.2">
      <c r="AM7221" t="str">
        <f t="shared" si="112"/>
        <v>Kennacraig [GBKCG]</v>
      </c>
      <c r="AN7221" t="s">
        <v>13517</v>
      </c>
      <c r="AO7221" t="s">
        <v>13518</v>
      </c>
    </row>
    <row r="7222" spans="39:41" ht="12" customHeight="1" x14ac:dyDescent="0.2">
      <c r="AM7222" t="str">
        <f t="shared" si="112"/>
        <v>Kenosha [USENW]</v>
      </c>
      <c r="AN7222" t="s">
        <v>30264</v>
      </c>
      <c r="AO7222" t="s">
        <v>30265</v>
      </c>
    </row>
    <row r="7223" spans="39:41" ht="12" customHeight="1" x14ac:dyDescent="0.2">
      <c r="AM7223" t="str">
        <f t="shared" si="112"/>
        <v>Kensington [USC3A]</v>
      </c>
      <c r="AN7223" t="s">
        <v>30266</v>
      </c>
      <c r="AO7223" t="s">
        <v>30267</v>
      </c>
    </row>
    <row r="7224" spans="39:41" ht="12" customHeight="1" x14ac:dyDescent="0.2">
      <c r="AM7224" t="str">
        <f t="shared" ref="AM7224:AM7287" si="113">AO7224 &amp; " [" &amp; AN7224 &amp; "]"</f>
        <v>Kensington Gardens [AUKNG]</v>
      </c>
      <c r="AN7224" t="s">
        <v>34981</v>
      </c>
      <c r="AO7224" t="s">
        <v>34982</v>
      </c>
    </row>
    <row r="7225" spans="39:41" ht="12" customHeight="1" x14ac:dyDescent="0.2">
      <c r="AM7225" t="str">
        <f t="shared" si="113"/>
        <v>Kenton-on-Sea [ZAKOS]</v>
      </c>
      <c r="AN7225" t="s">
        <v>34232</v>
      </c>
      <c r="AO7225" t="s">
        <v>34300</v>
      </c>
    </row>
    <row r="7226" spans="39:41" ht="12" customHeight="1" x14ac:dyDescent="0.2">
      <c r="AM7226" t="str">
        <f t="shared" si="113"/>
        <v>Kenwood [USKE7]</v>
      </c>
      <c r="AN7226" t="s">
        <v>30268</v>
      </c>
      <c r="AO7226" t="s">
        <v>30269</v>
      </c>
    </row>
    <row r="7227" spans="39:41" ht="12" customHeight="1" x14ac:dyDescent="0.2">
      <c r="AM7227" t="str">
        <f t="shared" si="113"/>
        <v>Keota [USKTZ]</v>
      </c>
      <c r="AN7227" t="s">
        <v>30270</v>
      </c>
      <c r="AO7227" t="s">
        <v>30271</v>
      </c>
    </row>
    <row r="7228" spans="39:41" ht="12" customHeight="1" x14ac:dyDescent="0.2">
      <c r="AM7228" t="str">
        <f t="shared" si="113"/>
        <v>Kepong [MYKPN]</v>
      </c>
      <c r="AN7228" t="s">
        <v>34983</v>
      </c>
      <c r="AO7228" t="s">
        <v>34984</v>
      </c>
    </row>
    <row r="7229" spans="39:41" ht="12" customHeight="1" x14ac:dyDescent="0.2">
      <c r="AM7229" t="str">
        <f t="shared" si="113"/>
        <v>Keppel Wharves [SGKEP]</v>
      </c>
      <c r="AN7229" t="s">
        <v>27965</v>
      </c>
      <c r="AO7229" t="s">
        <v>27966</v>
      </c>
    </row>
    <row r="7230" spans="39:41" ht="12" customHeight="1" x14ac:dyDescent="0.2">
      <c r="AM7230" t="str">
        <f t="shared" si="113"/>
        <v>Keraji [JPKEJ]</v>
      </c>
      <c r="AN7230" t="s">
        <v>19512</v>
      </c>
      <c r="AO7230" t="s">
        <v>19513</v>
      </c>
    </row>
    <row r="7231" spans="39:41" ht="12" customHeight="1" x14ac:dyDescent="0.2">
      <c r="AM7231" t="str">
        <f t="shared" si="113"/>
        <v>Keramoti [GRKER]</v>
      </c>
      <c r="AN7231" t="s">
        <v>15292</v>
      </c>
      <c r="AO7231" t="s">
        <v>15293</v>
      </c>
    </row>
    <row r="7232" spans="39:41" ht="12" customHeight="1" x14ac:dyDescent="0.2">
      <c r="AM7232" t="str">
        <f t="shared" si="113"/>
        <v>Keratsinion [GRKTS]</v>
      </c>
      <c r="AN7232" t="s">
        <v>15294</v>
      </c>
      <c r="AO7232" t="s">
        <v>35917</v>
      </c>
    </row>
    <row r="7233" spans="39:41" ht="12" customHeight="1" x14ac:dyDescent="0.2">
      <c r="AM7233" t="str">
        <f t="shared" si="113"/>
        <v>Kerema [PGKMA]</v>
      </c>
      <c r="AN7233" t="s">
        <v>25402</v>
      </c>
      <c r="AO7233" t="s">
        <v>25403</v>
      </c>
    </row>
    <row r="7234" spans="39:41" ht="12" customHeight="1" x14ac:dyDescent="0.2">
      <c r="AM7234" t="str">
        <f t="shared" si="113"/>
        <v>Keret [RUKER]</v>
      </c>
      <c r="AN7234" t="s">
        <v>26971</v>
      </c>
      <c r="AO7234" t="s">
        <v>26972</v>
      </c>
    </row>
    <row r="7235" spans="39:41" ht="12" customHeight="1" x14ac:dyDescent="0.2">
      <c r="AM7235" t="str">
        <f t="shared" si="113"/>
        <v>Kerkdriel [NLKRD]</v>
      </c>
      <c r="AN7235" t="s">
        <v>23318</v>
      </c>
      <c r="AO7235" t="s">
        <v>23319</v>
      </c>
    </row>
    <row r="7236" spans="39:41" ht="12" customHeight="1" x14ac:dyDescent="0.2">
      <c r="AM7236" t="str">
        <f t="shared" si="113"/>
        <v>Kerkhove [BEKHN]</v>
      </c>
      <c r="AN7236" t="s">
        <v>2596</v>
      </c>
      <c r="AO7236" t="s">
        <v>2597</v>
      </c>
    </row>
    <row r="7237" spans="39:41" ht="12" customHeight="1" x14ac:dyDescent="0.2">
      <c r="AM7237" t="str">
        <f t="shared" si="113"/>
        <v>Kerkira (Corfu) [GRCFU]</v>
      </c>
      <c r="AN7237" t="s">
        <v>15295</v>
      </c>
      <c r="AO7237" t="s">
        <v>35918</v>
      </c>
    </row>
    <row r="7238" spans="39:41" ht="12" customHeight="1" x14ac:dyDescent="0.2">
      <c r="AM7238" t="str">
        <f t="shared" si="113"/>
        <v>Kermanshah (Bakhtaran) [IRKSH]</v>
      </c>
      <c r="AN7238" t="s">
        <v>17633</v>
      </c>
      <c r="AO7238" t="s">
        <v>17634</v>
      </c>
    </row>
    <row r="7239" spans="39:41" ht="12" customHeight="1" x14ac:dyDescent="0.2">
      <c r="AM7239" t="str">
        <f t="shared" si="113"/>
        <v>Kerteminde [DKKTD]</v>
      </c>
      <c r="AN7239" t="s">
        <v>8767</v>
      </c>
      <c r="AO7239" t="s">
        <v>8768</v>
      </c>
    </row>
    <row r="7240" spans="39:41" ht="12" customHeight="1" x14ac:dyDescent="0.2">
      <c r="AM7240" t="str">
        <f t="shared" si="113"/>
        <v>Kertih [MYKET]</v>
      </c>
      <c r="AN7240" t="s">
        <v>22568</v>
      </c>
      <c r="AO7240" t="s">
        <v>22569</v>
      </c>
    </row>
    <row r="7241" spans="39:41" ht="12" customHeight="1" x14ac:dyDescent="0.2">
      <c r="AM7241" t="str">
        <f t="shared" si="113"/>
        <v>Keruma [JPKEM]</v>
      </c>
      <c r="AN7241" t="s">
        <v>19514</v>
      </c>
      <c r="AO7241" t="s">
        <v>19515</v>
      </c>
    </row>
    <row r="7242" spans="39:41" ht="12" customHeight="1" x14ac:dyDescent="0.2">
      <c r="AM7242" t="str">
        <f t="shared" si="113"/>
        <v>Kesalahti [FIKES]</v>
      </c>
      <c r="AN7242" t="s">
        <v>10408</v>
      </c>
      <c r="AO7242" t="s">
        <v>35733</v>
      </c>
    </row>
    <row r="7243" spans="39:41" ht="12" customHeight="1" x14ac:dyDescent="0.2">
      <c r="AM7243" t="str">
        <f t="shared" si="113"/>
        <v>Kesennuma [JPKSN]</v>
      </c>
      <c r="AN7243" t="s">
        <v>19516</v>
      </c>
      <c r="AO7243" t="s">
        <v>19517</v>
      </c>
    </row>
    <row r="7244" spans="39:41" ht="12" customHeight="1" x14ac:dyDescent="0.2">
      <c r="AM7244" t="str">
        <f t="shared" si="113"/>
        <v>Kesse-Jaani [EEKEJ]</v>
      </c>
      <c r="AN7244" t="s">
        <v>9197</v>
      </c>
      <c r="AO7244" t="s">
        <v>9198</v>
      </c>
    </row>
    <row r="7245" spans="39:41" ht="12" customHeight="1" x14ac:dyDescent="0.2">
      <c r="AM7245" t="str">
        <f t="shared" si="113"/>
        <v>Kessel [NLKSL]</v>
      </c>
      <c r="AN7245" t="s">
        <v>34105</v>
      </c>
      <c r="AO7245" t="s">
        <v>34151</v>
      </c>
    </row>
    <row r="7246" spans="39:41" ht="12" customHeight="1" x14ac:dyDescent="0.2">
      <c r="AM7246" t="str">
        <f t="shared" si="113"/>
        <v>Kesselstadt [DEKLS]</v>
      </c>
      <c r="AN7246" t="s">
        <v>7696</v>
      </c>
      <c r="AO7246" t="s">
        <v>7697</v>
      </c>
    </row>
    <row r="7247" spans="39:41" ht="12" customHeight="1" x14ac:dyDescent="0.2">
      <c r="AM7247" t="str">
        <f t="shared" si="113"/>
        <v>Kessenich [BEKSN]</v>
      </c>
      <c r="AN7247" t="s">
        <v>2598</v>
      </c>
      <c r="AO7247" t="s">
        <v>2599</v>
      </c>
    </row>
    <row r="7248" spans="39:41" ht="12" customHeight="1" x14ac:dyDescent="0.2">
      <c r="AM7248" t="str">
        <f t="shared" si="113"/>
        <v>Kesteren [NLKST]</v>
      </c>
      <c r="AN7248" t="s">
        <v>33902</v>
      </c>
      <c r="AO7248" t="s">
        <v>34024</v>
      </c>
    </row>
    <row r="7249" spans="39:41" ht="12" customHeight="1" x14ac:dyDescent="0.2">
      <c r="AM7249" t="str">
        <f t="shared" si="113"/>
        <v>Keswick [USQKK]</v>
      </c>
      <c r="AN7249" t="s">
        <v>30272</v>
      </c>
      <c r="AO7249" t="s">
        <v>30273</v>
      </c>
    </row>
    <row r="7250" spans="39:41" ht="12" customHeight="1" x14ac:dyDescent="0.2">
      <c r="AM7250" t="str">
        <f t="shared" si="113"/>
        <v>Keta [GHKIT]</v>
      </c>
      <c r="AN7250" t="s">
        <v>14960</v>
      </c>
      <c r="AO7250" t="s">
        <v>14961</v>
      </c>
    </row>
    <row r="7251" spans="39:41" ht="12" customHeight="1" x14ac:dyDescent="0.2">
      <c r="AM7251" t="str">
        <f t="shared" si="113"/>
        <v>Ketapang, Kl [IDKTG]</v>
      </c>
      <c r="AN7251" t="s">
        <v>16330</v>
      </c>
      <c r="AO7251" t="s">
        <v>16331</v>
      </c>
    </row>
    <row r="7252" spans="39:41" ht="12" customHeight="1" x14ac:dyDescent="0.2">
      <c r="AM7252" t="str">
        <f t="shared" si="113"/>
        <v>Ketchikan [USKTN]</v>
      </c>
      <c r="AN7252" t="s">
        <v>30274</v>
      </c>
      <c r="AO7252" t="s">
        <v>30275</v>
      </c>
    </row>
    <row r="7253" spans="39:41" ht="12" customHeight="1" x14ac:dyDescent="0.2">
      <c r="AM7253" t="str">
        <f t="shared" si="113"/>
        <v>Ketchum [USQKM]</v>
      </c>
      <c r="AN7253" t="s">
        <v>30276</v>
      </c>
      <c r="AO7253" t="s">
        <v>30277</v>
      </c>
    </row>
    <row r="7254" spans="39:41" ht="12" customHeight="1" x14ac:dyDescent="0.2">
      <c r="AM7254" t="str">
        <f t="shared" si="113"/>
        <v>Ketegyhaza [HUKET]</v>
      </c>
      <c r="AN7254" t="s">
        <v>16103</v>
      </c>
      <c r="AO7254" t="s">
        <v>16104</v>
      </c>
    </row>
    <row r="7255" spans="39:41" ht="12" customHeight="1" x14ac:dyDescent="0.2">
      <c r="AM7255" t="str">
        <f t="shared" si="113"/>
        <v>Ketelhaven [NLKHV]</v>
      </c>
      <c r="AN7255" t="s">
        <v>23320</v>
      </c>
      <c r="AO7255" t="s">
        <v>23321</v>
      </c>
    </row>
    <row r="7256" spans="39:41" ht="12" customHeight="1" x14ac:dyDescent="0.2">
      <c r="AM7256" t="str">
        <f t="shared" si="113"/>
        <v>Keti Bandar [PKKBA]</v>
      </c>
      <c r="AN7256" t="s">
        <v>26252</v>
      </c>
      <c r="AO7256" t="s">
        <v>26253</v>
      </c>
    </row>
    <row r="7257" spans="39:41" ht="12" customHeight="1" x14ac:dyDescent="0.2">
      <c r="AM7257" t="str">
        <f t="shared" si="113"/>
        <v>Keti Bunder [PKKBU]</v>
      </c>
      <c r="AN7257" t="s">
        <v>26254</v>
      </c>
      <c r="AO7257" t="s">
        <v>26255</v>
      </c>
    </row>
    <row r="7258" spans="39:41" ht="12" customHeight="1" x14ac:dyDescent="0.2">
      <c r="AM7258" t="str">
        <f t="shared" si="113"/>
        <v>Kettenheim [DEJIV]</v>
      </c>
      <c r="AN7258" t="s">
        <v>7698</v>
      </c>
      <c r="AO7258" t="s">
        <v>7699</v>
      </c>
    </row>
    <row r="7259" spans="39:41" ht="12" customHeight="1" x14ac:dyDescent="0.2">
      <c r="AM7259" t="str">
        <f t="shared" si="113"/>
        <v>Ketteringham [GBKTT]</v>
      </c>
      <c r="AN7259" t="s">
        <v>13519</v>
      </c>
      <c r="AO7259" t="s">
        <v>13520</v>
      </c>
    </row>
    <row r="7260" spans="39:41" ht="12" customHeight="1" x14ac:dyDescent="0.2">
      <c r="AM7260" t="str">
        <f t="shared" si="113"/>
        <v>Kettinge [DKKT4]</v>
      </c>
      <c r="AN7260" t="s">
        <v>8769</v>
      </c>
      <c r="AO7260" t="s">
        <v>8770</v>
      </c>
    </row>
    <row r="7261" spans="39:41" ht="12" customHeight="1" x14ac:dyDescent="0.2">
      <c r="AM7261" t="str">
        <f t="shared" si="113"/>
        <v>Kettletoft, Sanday [GBKET]</v>
      </c>
      <c r="AN7261" t="s">
        <v>13521</v>
      </c>
      <c r="AO7261" t="s">
        <v>13522</v>
      </c>
    </row>
    <row r="7262" spans="39:41" ht="12" customHeight="1" x14ac:dyDescent="0.2">
      <c r="AM7262" t="str">
        <f t="shared" si="113"/>
        <v>Ketzelsdorf [ATZRF]</v>
      </c>
      <c r="AN7262" t="s">
        <v>1252</v>
      </c>
      <c r="AO7262" t="s">
        <v>1253</v>
      </c>
    </row>
    <row r="7263" spans="39:41" ht="12" customHeight="1" x14ac:dyDescent="0.2">
      <c r="AM7263" t="str">
        <f t="shared" si="113"/>
        <v>Kewaunee [USKWU]</v>
      </c>
      <c r="AN7263" t="s">
        <v>30278</v>
      </c>
      <c r="AO7263" t="s">
        <v>30279</v>
      </c>
    </row>
    <row r="7264" spans="39:41" ht="12" customHeight="1" x14ac:dyDescent="0.2">
      <c r="AM7264" t="str">
        <f t="shared" si="113"/>
        <v>Key Harbour [CAKHO]</v>
      </c>
      <c r="AN7264" t="s">
        <v>3977</v>
      </c>
      <c r="AO7264" t="s">
        <v>3978</v>
      </c>
    </row>
    <row r="7265" spans="39:41" ht="12" customHeight="1" x14ac:dyDescent="0.2">
      <c r="AM7265" t="str">
        <f t="shared" si="113"/>
        <v>Key West [USEYW]</v>
      </c>
      <c r="AN7265" t="s">
        <v>30280</v>
      </c>
      <c r="AO7265" t="s">
        <v>30281</v>
      </c>
    </row>
    <row r="7266" spans="39:41" ht="12" customHeight="1" x14ac:dyDescent="0.2">
      <c r="AM7266" t="str">
        <f t="shared" si="113"/>
        <v>Keyes [USYEJ]</v>
      </c>
      <c r="AN7266" t="s">
        <v>30282</v>
      </c>
      <c r="AO7266" t="s">
        <v>30283</v>
      </c>
    </row>
    <row r="7267" spans="39:41" ht="12" customHeight="1" x14ac:dyDescent="0.2">
      <c r="AM7267" t="str">
        <f t="shared" si="113"/>
        <v>Keyhaven [GBKEV]</v>
      </c>
      <c r="AN7267" t="s">
        <v>13523</v>
      </c>
      <c r="AO7267" t="s">
        <v>13524</v>
      </c>
    </row>
    <row r="7268" spans="39:41" ht="12" customHeight="1" x14ac:dyDescent="0.2">
      <c r="AM7268" t="str">
        <f t="shared" si="113"/>
        <v>Keyneton [AUKEY]</v>
      </c>
      <c r="AN7268" t="s">
        <v>1769</v>
      </c>
      <c r="AO7268" t="s">
        <v>1770</v>
      </c>
    </row>
    <row r="7269" spans="39:41" ht="12" customHeight="1" x14ac:dyDescent="0.2">
      <c r="AM7269" t="str">
        <f t="shared" si="113"/>
        <v>Keyport [USKYP]</v>
      </c>
      <c r="AN7269" t="s">
        <v>30284</v>
      </c>
      <c r="AO7269" t="s">
        <v>30285</v>
      </c>
    </row>
    <row r="7270" spans="39:41" ht="12" customHeight="1" x14ac:dyDescent="0.2">
      <c r="AM7270" t="str">
        <f t="shared" si="113"/>
        <v>Keysville [USZYK]</v>
      </c>
      <c r="AN7270" t="s">
        <v>30286</v>
      </c>
      <c r="AO7270" t="s">
        <v>30287</v>
      </c>
    </row>
    <row r="7271" spans="39:41" ht="12" customHeight="1" x14ac:dyDescent="0.2">
      <c r="AM7271" t="str">
        <f t="shared" si="113"/>
        <v>Kfar Vitkin [ILKFV]</v>
      </c>
      <c r="AN7271" t="s">
        <v>33852</v>
      </c>
      <c r="AO7271" t="s">
        <v>33974</v>
      </c>
    </row>
    <row r="7272" spans="39:41" ht="12" customHeight="1" x14ac:dyDescent="0.2">
      <c r="AM7272" t="str">
        <f t="shared" si="113"/>
        <v>Khabarovsk [RUKHV]</v>
      </c>
      <c r="AN7272" t="s">
        <v>26973</v>
      </c>
      <c r="AO7272" t="s">
        <v>26974</v>
      </c>
    </row>
    <row r="7273" spans="39:41" ht="12" customHeight="1" x14ac:dyDescent="0.2">
      <c r="AM7273" t="str">
        <f t="shared" si="113"/>
        <v>Khachmaz [AZKMZ]</v>
      </c>
      <c r="AN7273" t="s">
        <v>2156</v>
      </c>
      <c r="AO7273" t="s">
        <v>2157</v>
      </c>
    </row>
    <row r="7274" spans="39:41" ht="12" customHeight="1" x14ac:dyDescent="0.2">
      <c r="AM7274" t="str">
        <f t="shared" si="113"/>
        <v>Khalde [LBKHA]</v>
      </c>
      <c r="AN7274" t="s">
        <v>21796</v>
      </c>
      <c r="AO7274" t="s">
        <v>21797</v>
      </c>
    </row>
    <row r="7275" spans="39:41" ht="12" customHeight="1" x14ac:dyDescent="0.2">
      <c r="AM7275" t="str">
        <f t="shared" si="113"/>
        <v>Khalifa Bin Salman Port [BHKBS]</v>
      </c>
      <c r="AN7275" t="s">
        <v>3181</v>
      </c>
      <c r="AO7275" t="s">
        <v>3182</v>
      </c>
    </row>
    <row r="7276" spans="39:41" ht="12" customHeight="1" x14ac:dyDescent="0.2">
      <c r="AM7276" t="str">
        <f t="shared" si="113"/>
        <v>Khambhat [INKBT]</v>
      </c>
      <c r="AN7276" t="s">
        <v>17230</v>
      </c>
      <c r="AO7276" t="s">
        <v>17231</v>
      </c>
    </row>
    <row r="7277" spans="39:41" ht="12" customHeight="1" x14ac:dyDescent="0.2">
      <c r="AM7277" t="str">
        <f t="shared" si="113"/>
        <v>Khanom [THKHA]</v>
      </c>
      <c r="AN7277" t="s">
        <v>34985</v>
      </c>
      <c r="AO7277" t="s">
        <v>34986</v>
      </c>
    </row>
    <row r="7278" spans="39:41" ht="12" customHeight="1" x14ac:dyDescent="0.2">
      <c r="AM7278" t="str">
        <f t="shared" si="113"/>
        <v>Kharasavey [RUKSA]</v>
      </c>
      <c r="AN7278" t="s">
        <v>26975</v>
      </c>
      <c r="AO7278" t="s">
        <v>26976</v>
      </c>
    </row>
    <row r="7279" spans="39:41" ht="12" customHeight="1" x14ac:dyDescent="0.2">
      <c r="AM7279" t="str">
        <f t="shared" si="113"/>
        <v>Khark Island [IRKHK]</v>
      </c>
      <c r="AN7279" t="s">
        <v>17635</v>
      </c>
      <c r="AO7279" t="s">
        <v>17636</v>
      </c>
    </row>
    <row r="7280" spans="39:41" ht="12" customHeight="1" x14ac:dyDescent="0.2">
      <c r="AM7280" t="str">
        <f t="shared" si="113"/>
        <v>Khashmi [GEIES]</v>
      </c>
      <c r="AN7280" t="s">
        <v>14930</v>
      </c>
      <c r="AO7280" t="s">
        <v>14931</v>
      </c>
    </row>
    <row r="7281" spans="39:41" ht="12" customHeight="1" x14ac:dyDescent="0.2">
      <c r="AM7281" t="str">
        <f t="shared" si="113"/>
        <v>Khatyrka [RUKTY]</v>
      </c>
      <c r="AN7281" t="s">
        <v>26977</v>
      </c>
      <c r="AO7281" t="s">
        <v>26978</v>
      </c>
    </row>
    <row r="7282" spans="39:41" ht="12" customHeight="1" x14ac:dyDescent="0.2">
      <c r="AM7282" t="str">
        <f t="shared" si="113"/>
        <v>Kherrata [DZKHE]</v>
      </c>
      <c r="AN7282" t="s">
        <v>9062</v>
      </c>
      <c r="AO7282" t="s">
        <v>9063</v>
      </c>
    </row>
    <row r="7283" spans="39:41" ht="12" customHeight="1" x14ac:dyDescent="0.2">
      <c r="AM7283" t="str">
        <f t="shared" si="113"/>
        <v>Kherson [UAKHE]</v>
      </c>
      <c r="AN7283" t="s">
        <v>28749</v>
      </c>
      <c r="AO7283" t="s">
        <v>28750</v>
      </c>
    </row>
    <row r="7284" spans="39:41" ht="12" customHeight="1" x14ac:dyDescent="0.2">
      <c r="AM7284" t="str">
        <f t="shared" si="113"/>
        <v>Khlong Yai [THKLY]</v>
      </c>
      <c r="AN7284" t="s">
        <v>28236</v>
      </c>
      <c r="AO7284" t="s">
        <v>28237</v>
      </c>
    </row>
    <row r="7285" spans="39:41" ht="12" customHeight="1" x14ac:dyDescent="0.2">
      <c r="AM7285" t="str">
        <f t="shared" si="113"/>
        <v>Khodiyar [INKHO]</v>
      </c>
      <c r="AN7285" t="s">
        <v>17232</v>
      </c>
      <c r="AO7285" t="s">
        <v>17233</v>
      </c>
    </row>
    <row r="7286" spans="39:41" ht="12" customHeight="1" x14ac:dyDescent="0.2">
      <c r="AM7286" t="str">
        <f t="shared" si="113"/>
        <v>Khokha [YEKHO]</v>
      </c>
      <c r="AN7286" t="s">
        <v>32640</v>
      </c>
      <c r="AO7286" t="s">
        <v>32641</v>
      </c>
    </row>
    <row r="7287" spans="39:41" ht="12" customHeight="1" x14ac:dyDescent="0.2">
      <c r="AM7287" t="str">
        <f t="shared" si="113"/>
        <v>Kholmsk [RUKHO]</v>
      </c>
      <c r="AN7287" t="s">
        <v>26979</v>
      </c>
      <c r="AO7287" t="s">
        <v>26980</v>
      </c>
    </row>
    <row r="7288" spans="39:41" ht="12" customHeight="1" x14ac:dyDescent="0.2">
      <c r="AM7288" t="str">
        <f t="shared" ref="AM7288:AM7351" si="114">AO7288 &amp; " [" &amp; AN7288 &amp; "]"</f>
        <v>Khonh Hung [VNKHU]</v>
      </c>
      <c r="AN7288" t="s">
        <v>32402</v>
      </c>
      <c r="AO7288" t="s">
        <v>32403</v>
      </c>
    </row>
    <row r="7289" spans="39:41" ht="12" customHeight="1" x14ac:dyDescent="0.2">
      <c r="AM7289" t="str">
        <f t="shared" si="114"/>
        <v>Khor Al Amaya [IQKHA]</v>
      </c>
      <c r="AN7289" t="s">
        <v>17566</v>
      </c>
      <c r="AO7289" t="s">
        <v>17567</v>
      </c>
    </row>
    <row r="7290" spans="39:41" ht="12" customHeight="1" x14ac:dyDescent="0.2">
      <c r="AM7290" t="str">
        <f t="shared" si="114"/>
        <v>Khor al Fakkan [AEKLF]</v>
      </c>
      <c r="AN7290" t="s">
        <v>743</v>
      </c>
      <c r="AO7290" t="s">
        <v>744</v>
      </c>
    </row>
    <row r="7291" spans="39:41" ht="12" customHeight="1" x14ac:dyDescent="0.2">
      <c r="AM7291" t="str">
        <f t="shared" si="114"/>
        <v>Khor al Mufatta [KWKWM]</v>
      </c>
      <c r="AN7291" t="s">
        <v>21758</v>
      </c>
      <c r="AO7291" t="s">
        <v>21759</v>
      </c>
    </row>
    <row r="7292" spans="39:41" ht="12" customHeight="1" x14ac:dyDescent="0.2">
      <c r="AM7292" t="str">
        <f t="shared" si="114"/>
        <v>Khor al Zubair [IQKAZ]</v>
      </c>
      <c r="AN7292" t="s">
        <v>17568</v>
      </c>
      <c r="AO7292" t="s">
        <v>17569</v>
      </c>
    </row>
    <row r="7293" spans="39:41" ht="12" customHeight="1" x14ac:dyDescent="0.2">
      <c r="AM7293" t="str">
        <f t="shared" si="114"/>
        <v>Khora Sfakion [GRCSF]</v>
      </c>
      <c r="AN7293" t="s">
        <v>15296</v>
      </c>
      <c r="AO7293" t="s">
        <v>35919</v>
      </c>
    </row>
    <row r="7294" spans="39:41" ht="12" customHeight="1" x14ac:dyDescent="0.2">
      <c r="AM7294" t="str">
        <f t="shared" si="114"/>
        <v>Khorramshahr [IRKHO]</v>
      </c>
      <c r="AN7294" t="s">
        <v>17637</v>
      </c>
      <c r="AO7294" t="s">
        <v>17638</v>
      </c>
    </row>
    <row r="7295" spans="39:41" ht="12" customHeight="1" x14ac:dyDescent="0.2">
      <c r="AM7295" t="str">
        <f t="shared" si="114"/>
        <v>Khulna [BDKHL]</v>
      </c>
      <c r="AN7295" t="s">
        <v>2198</v>
      </c>
      <c r="AO7295" t="s">
        <v>2199</v>
      </c>
    </row>
    <row r="7296" spans="39:41" ht="12" customHeight="1" x14ac:dyDescent="0.2">
      <c r="AM7296" t="str">
        <f t="shared" si="114"/>
        <v>Khvalynsk [RUKNY]</v>
      </c>
      <c r="AN7296" t="s">
        <v>26981</v>
      </c>
      <c r="AO7296" t="s">
        <v>26982</v>
      </c>
    </row>
    <row r="7297" spans="39:41" ht="12" customHeight="1" x14ac:dyDescent="0.2">
      <c r="AM7297" t="str">
        <f t="shared" si="114"/>
        <v>Kiamari [PKKIA]</v>
      </c>
      <c r="AN7297" t="s">
        <v>26256</v>
      </c>
      <c r="AO7297" t="s">
        <v>26257</v>
      </c>
    </row>
    <row r="7298" spans="39:41" ht="12" customHeight="1" x14ac:dyDescent="0.2">
      <c r="AM7298" t="str">
        <f t="shared" si="114"/>
        <v>Kiamba/Dadiangas [PHKIA]</v>
      </c>
      <c r="AN7298" t="s">
        <v>25817</v>
      </c>
      <c r="AO7298" t="s">
        <v>25818</v>
      </c>
    </row>
    <row r="7299" spans="39:41" ht="12" customHeight="1" x14ac:dyDescent="0.2">
      <c r="AM7299" t="str">
        <f t="shared" si="114"/>
        <v>Kiame Terminal [AOKTI]</v>
      </c>
      <c r="AN7299" t="s">
        <v>859</v>
      </c>
      <c r="AO7299" t="s">
        <v>860</v>
      </c>
    </row>
    <row r="7300" spans="39:41" ht="12" customHeight="1" x14ac:dyDescent="0.2">
      <c r="AM7300" t="str">
        <f t="shared" si="114"/>
        <v>Kiami [JPKIA]</v>
      </c>
      <c r="AN7300" t="s">
        <v>19518</v>
      </c>
      <c r="AO7300" t="s">
        <v>19519</v>
      </c>
    </row>
    <row r="7301" spans="39:41" ht="12" customHeight="1" x14ac:dyDescent="0.2">
      <c r="AM7301" t="str">
        <f t="shared" si="114"/>
        <v>Kiato [GRKIO]</v>
      </c>
      <c r="AN7301" t="s">
        <v>15297</v>
      </c>
      <c r="AO7301" t="s">
        <v>15298</v>
      </c>
    </row>
    <row r="7302" spans="39:41" ht="12" customHeight="1" x14ac:dyDescent="0.2">
      <c r="AM7302" t="str">
        <f t="shared" si="114"/>
        <v>Kibe [JPKIB]</v>
      </c>
      <c r="AN7302" t="s">
        <v>19520</v>
      </c>
      <c r="AO7302" t="s">
        <v>19521</v>
      </c>
    </row>
    <row r="7303" spans="39:41" ht="12" customHeight="1" x14ac:dyDescent="0.2">
      <c r="AM7303" t="str">
        <f t="shared" si="114"/>
        <v>Kidjang, Bintan [IDKID]</v>
      </c>
      <c r="AN7303" t="s">
        <v>16332</v>
      </c>
      <c r="AO7303" t="s">
        <v>16333</v>
      </c>
    </row>
    <row r="7304" spans="39:41" ht="12" customHeight="1" x14ac:dyDescent="0.2">
      <c r="AM7304" t="str">
        <f t="shared" si="114"/>
        <v>Kiel [DEKEL]</v>
      </c>
      <c r="AN7304" t="s">
        <v>7700</v>
      </c>
      <c r="AO7304" t="s">
        <v>7701</v>
      </c>
    </row>
    <row r="7305" spans="39:41" ht="12" customHeight="1" x14ac:dyDescent="0.2">
      <c r="AM7305" t="str">
        <f t="shared" si="114"/>
        <v>Kieldrecht [BEKDE]</v>
      </c>
      <c r="AN7305" t="s">
        <v>2600</v>
      </c>
      <c r="AO7305" t="s">
        <v>2601</v>
      </c>
    </row>
    <row r="7306" spans="39:41" ht="12" customHeight="1" x14ac:dyDescent="0.2">
      <c r="AM7306" t="str">
        <f t="shared" si="114"/>
        <v>Kieta [PGKIE]</v>
      </c>
      <c r="AN7306" t="s">
        <v>25404</v>
      </c>
      <c r="AO7306" t="s">
        <v>25405</v>
      </c>
    </row>
    <row r="7307" spans="39:41" ht="12" customHeight="1" x14ac:dyDescent="0.2">
      <c r="AM7307" t="str">
        <f t="shared" si="114"/>
        <v>Kietz [DEKIE]</v>
      </c>
      <c r="AN7307" t="s">
        <v>7702</v>
      </c>
      <c r="AO7307" t="s">
        <v>7703</v>
      </c>
    </row>
    <row r="7308" spans="39:41" ht="12" customHeight="1" x14ac:dyDescent="0.2">
      <c r="AM7308" t="str">
        <f t="shared" si="114"/>
        <v>Kigasajima [JPKGJ]</v>
      </c>
      <c r="AN7308" t="s">
        <v>19522</v>
      </c>
      <c r="AO7308" t="s">
        <v>19523</v>
      </c>
    </row>
    <row r="7309" spans="39:41" ht="12" customHeight="1" x14ac:dyDescent="0.2">
      <c r="AM7309" t="str">
        <f t="shared" si="114"/>
        <v>Kigoma [TZTKQ]</v>
      </c>
      <c r="AN7309" t="s">
        <v>28709</v>
      </c>
      <c r="AO7309" t="s">
        <v>28710</v>
      </c>
    </row>
    <row r="7310" spans="39:41" ht="12" customHeight="1" x14ac:dyDescent="0.2">
      <c r="AM7310" t="str">
        <f t="shared" si="114"/>
        <v>Kihara [JPKHR]</v>
      </c>
      <c r="AN7310" t="s">
        <v>19524</v>
      </c>
      <c r="AO7310" t="s">
        <v>19525</v>
      </c>
    </row>
    <row r="7311" spans="39:41" ht="12" customHeight="1" x14ac:dyDescent="0.2">
      <c r="AM7311" t="str">
        <f t="shared" si="114"/>
        <v>Kihei [USKIH]</v>
      </c>
      <c r="AN7311" t="s">
        <v>30288</v>
      </c>
      <c r="AO7311" t="s">
        <v>30289</v>
      </c>
    </row>
    <row r="7312" spans="39:41" ht="12" customHeight="1" x14ac:dyDescent="0.2">
      <c r="AM7312" t="str">
        <f t="shared" si="114"/>
        <v>Kihnu [EEKHN]</v>
      </c>
      <c r="AN7312" t="s">
        <v>9199</v>
      </c>
      <c r="AO7312" t="s">
        <v>9200</v>
      </c>
    </row>
    <row r="7313" spans="39:41" ht="12" customHeight="1" x14ac:dyDescent="0.2">
      <c r="AM7313" t="str">
        <f t="shared" si="114"/>
        <v>Kiire [JPKII]</v>
      </c>
      <c r="AN7313" t="s">
        <v>19526</v>
      </c>
      <c r="AO7313" t="s">
        <v>19527</v>
      </c>
    </row>
    <row r="7314" spans="39:41" ht="12" customHeight="1" x14ac:dyDescent="0.2">
      <c r="AM7314" t="str">
        <f t="shared" si="114"/>
        <v>Kijal [MYKIJ]</v>
      </c>
      <c r="AN7314" t="s">
        <v>22570</v>
      </c>
      <c r="AO7314" t="s">
        <v>22571</v>
      </c>
    </row>
    <row r="7315" spans="39:41" ht="12" customHeight="1" x14ac:dyDescent="0.2">
      <c r="AM7315" t="str">
        <f t="shared" si="114"/>
        <v>Kijevo [HRKJV]</v>
      </c>
      <c r="AN7315" t="s">
        <v>15768</v>
      </c>
      <c r="AO7315" t="s">
        <v>15769</v>
      </c>
    </row>
    <row r="7316" spans="39:41" ht="12" customHeight="1" x14ac:dyDescent="0.2">
      <c r="AM7316" t="str">
        <f t="shared" si="114"/>
        <v>Kijima [JPKZI]</v>
      </c>
      <c r="AN7316" t="s">
        <v>19528</v>
      </c>
      <c r="AO7316" t="s">
        <v>19529</v>
      </c>
    </row>
    <row r="7317" spans="39:41" ht="12" customHeight="1" x14ac:dyDescent="0.2">
      <c r="AM7317" t="str">
        <f t="shared" si="114"/>
        <v>Kikaishima [JPKKX]</v>
      </c>
      <c r="AN7317" t="s">
        <v>19530</v>
      </c>
      <c r="AO7317" t="s">
        <v>19531</v>
      </c>
    </row>
    <row r="7318" spans="39:41" ht="12" customHeight="1" x14ac:dyDescent="0.2">
      <c r="AM7318" t="str">
        <f t="shared" si="114"/>
        <v>Kikeh [MYKIK]</v>
      </c>
      <c r="AN7318" t="s">
        <v>22572</v>
      </c>
      <c r="AO7318" t="s">
        <v>22573</v>
      </c>
    </row>
    <row r="7319" spans="39:41" ht="12" customHeight="1" x14ac:dyDescent="0.2">
      <c r="AM7319" t="str">
        <f t="shared" si="114"/>
        <v>Kikuma [JPKIK]</v>
      </c>
      <c r="AN7319" t="s">
        <v>19532</v>
      </c>
      <c r="AO7319" t="s">
        <v>19533</v>
      </c>
    </row>
    <row r="7320" spans="39:41" ht="12" customHeight="1" x14ac:dyDescent="0.2">
      <c r="AM7320" t="str">
        <f t="shared" si="114"/>
        <v>Kilakari [INKKR]</v>
      </c>
      <c r="AN7320" t="s">
        <v>17234</v>
      </c>
      <c r="AO7320" t="s">
        <v>17235</v>
      </c>
    </row>
    <row r="7321" spans="39:41" ht="12" customHeight="1" x14ac:dyDescent="0.2">
      <c r="AM7321" t="str">
        <f t="shared" si="114"/>
        <v>Kilbay Point/Jose Panganiban [PHKIL]</v>
      </c>
      <c r="AN7321" t="s">
        <v>25819</v>
      </c>
      <c r="AO7321" t="s">
        <v>25820</v>
      </c>
    </row>
    <row r="7322" spans="39:41" ht="12" customHeight="1" x14ac:dyDescent="0.2">
      <c r="AM7322" t="str">
        <f t="shared" si="114"/>
        <v>Kilchoan [GBKOA]</v>
      </c>
      <c r="AN7322" t="s">
        <v>13525</v>
      </c>
      <c r="AO7322" t="s">
        <v>13526</v>
      </c>
    </row>
    <row r="7323" spans="39:41" ht="12" customHeight="1" x14ac:dyDescent="0.2">
      <c r="AM7323" t="str">
        <f t="shared" si="114"/>
        <v>Kilcoole [IEKIC]</v>
      </c>
      <c r="AN7323" t="s">
        <v>16843</v>
      </c>
      <c r="AO7323" t="s">
        <v>16844</v>
      </c>
    </row>
    <row r="7324" spans="39:41" ht="12" customHeight="1" x14ac:dyDescent="0.2">
      <c r="AM7324" t="str">
        <f t="shared" si="114"/>
        <v>Kilcreggan [GBKIC]</v>
      </c>
      <c r="AN7324" t="s">
        <v>13527</v>
      </c>
      <c r="AO7324" t="s">
        <v>13528</v>
      </c>
    </row>
    <row r="7325" spans="39:41" ht="12" customHeight="1" x14ac:dyDescent="0.2">
      <c r="AM7325" t="str">
        <f t="shared" si="114"/>
        <v>Kildin [RUKDN]</v>
      </c>
      <c r="AN7325" t="s">
        <v>26983</v>
      </c>
      <c r="AO7325" t="s">
        <v>26984</v>
      </c>
    </row>
    <row r="7326" spans="39:41" ht="12" customHeight="1" x14ac:dyDescent="0.2">
      <c r="AM7326" t="str">
        <f t="shared" si="114"/>
        <v>Kildorrery [IERRR]</v>
      </c>
      <c r="AN7326" t="s">
        <v>16845</v>
      </c>
      <c r="AO7326" t="s">
        <v>16846</v>
      </c>
    </row>
    <row r="7327" spans="39:41" ht="12" customHeight="1" x14ac:dyDescent="0.2">
      <c r="AM7327" t="str">
        <f t="shared" si="114"/>
        <v>Kilgetty [GBKLY]</v>
      </c>
      <c r="AN7327" t="s">
        <v>13529</v>
      </c>
      <c r="AO7327" t="s">
        <v>13530</v>
      </c>
    </row>
    <row r="7328" spans="39:41" ht="12" customHeight="1" x14ac:dyDescent="0.2">
      <c r="AM7328" t="str">
        <f t="shared" si="114"/>
        <v>Kilindini [KEKIL]</v>
      </c>
      <c r="AN7328" t="s">
        <v>21526</v>
      </c>
      <c r="AO7328" t="s">
        <v>21527</v>
      </c>
    </row>
    <row r="7329" spans="39:41" ht="12" customHeight="1" x14ac:dyDescent="0.2">
      <c r="AM7329" t="str">
        <f t="shared" si="114"/>
        <v>Kiliya [UAKIA]</v>
      </c>
      <c r="AN7329" t="s">
        <v>28751</v>
      </c>
      <c r="AO7329" t="s">
        <v>28752</v>
      </c>
    </row>
    <row r="7330" spans="39:41" ht="12" customHeight="1" x14ac:dyDescent="0.2">
      <c r="AM7330" t="str">
        <f t="shared" si="114"/>
        <v>Kilkeel [GBKLK]</v>
      </c>
      <c r="AN7330" t="s">
        <v>13531</v>
      </c>
      <c r="AO7330" t="s">
        <v>13532</v>
      </c>
    </row>
    <row r="7331" spans="39:41" ht="12" customHeight="1" x14ac:dyDescent="0.2">
      <c r="AM7331" t="str">
        <f t="shared" si="114"/>
        <v>Killala [IEKLA]</v>
      </c>
      <c r="AN7331" t="s">
        <v>16847</v>
      </c>
      <c r="AO7331" t="s">
        <v>16848</v>
      </c>
    </row>
    <row r="7332" spans="39:41" ht="12" customHeight="1" x14ac:dyDescent="0.2">
      <c r="AM7332" t="str">
        <f t="shared" si="114"/>
        <v>Killarney [CAKLY]</v>
      </c>
      <c r="AN7332" t="s">
        <v>3979</v>
      </c>
      <c r="AO7332" t="s">
        <v>3980</v>
      </c>
    </row>
    <row r="7333" spans="39:41" ht="12" customHeight="1" x14ac:dyDescent="0.2">
      <c r="AM7333" t="str">
        <f t="shared" si="114"/>
        <v>Killingholme [GBKGH]</v>
      </c>
      <c r="AN7333" t="s">
        <v>13533</v>
      </c>
      <c r="AO7333" t="s">
        <v>13534</v>
      </c>
    </row>
    <row r="7334" spans="39:41" ht="12" customHeight="1" x14ac:dyDescent="0.2">
      <c r="AM7334" t="str">
        <f t="shared" si="114"/>
        <v>Killough [GBKIO]</v>
      </c>
      <c r="AN7334" t="s">
        <v>13535</v>
      </c>
      <c r="AO7334" t="s">
        <v>13536</v>
      </c>
    </row>
    <row r="7335" spans="39:41" ht="12" customHeight="1" x14ac:dyDescent="0.2">
      <c r="AM7335" t="str">
        <f t="shared" si="114"/>
        <v>Killroot Power Station Jetty [GBKPS]</v>
      </c>
      <c r="AN7335" t="s">
        <v>13537</v>
      </c>
      <c r="AO7335" t="s">
        <v>13538</v>
      </c>
    </row>
    <row r="7336" spans="39:41" ht="12" customHeight="1" x14ac:dyDescent="0.2">
      <c r="AM7336" t="str">
        <f t="shared" si="114"/>
        <v>Killybegs [IEKBS]</v>
      </c>
      <c r="AN7336" t="s">
        <v>16849</v>
      </c>
      <c r="AO7336" t="s">
        <v>16850</v>
      </c>
    </row>
    <row r="7337" spans="39:41" ht="12" customHeight="1" x14ac:dyDescent="0.2">
      <c r="AM7337" t="str">
        <f t="shared" si="114"/>
        <v>Killyleagh [GBKYH]</v>
      </c>
      <c r="AN7337" t="s">
        <v>13539</v>
      </c>
      <c r="AO7337" t="s">
        <v>13540</v>
      </c>
    </row>
    <row r="7338" spans="39:41" ht="12" customHeight="1" x14ac:dyDescent="0.2">
      <c r="AM7338" t="str">
        <f t="shared" si="114"/>
        <v>Kilmokea [IEKKA]</v>
      </c>
      <c r="AN7338" t="s">
        <v>16851</v>
      </c>
      <c r="AO7338" t="s">
        <v>16852</v>
      </c>
    </row>
    <row r="7339" spans="39:41" ht="12" customHeight="1" x14ac:dyDescent="0.2">
      <c r="AM7339" t="str">
        <f t="shared" si="114"/>
        <v>Kilpilahti (Skoldvik) [FISKV]</v>
      </c>
      <c r="AN7339" t="s">
        <v>10409</v>
      </c>
      <c r="AO7339" t="s">
        <v>35734</v>
      </c>
    </row>
    <row r="7340" spans="39:41" ht="12" customHeight="1" x14ac:dyDescent="0.2">
      <c r="AM7340" t="str">
        <f t="shared" si="114"/>
        <v>Kilroot [GBKLR]</v>
      </c>
      <c r="AN7340" t="s">
        <v>13541</v>
      </c>
      <c r="AO7340" t="s">
        <v>13542</v>
      </c>
    </row>
    <row r="7341" spans="39:41" ht="12" customHeight="1" x14ac:dyDescent="0.2">
      <c r="AM7341" t="str">
        <f t="shared" si="114"/>
        <v>Kilrush [IEKLR]</v>
      </c>
      <c r="AN7341" t="s">
        <v>16853</v>
      </c>
      <c r="AO7341" t="s">
        <v>16854</v>
      </c>
    </row>
    <row r="7342" spans="39:41" ht="12" customHeight="1" x14ac:dyDescent="0.2">
      <c r="AM7342" t="str">
        <f t="shared" si="114"/>
        <v>Kiltan Is [INKTI]</v>
      </c>
      <c r="AN7342" t="s">
        <v>17236</v>
      </c>
      <c r="AO7342" t="s">
        <v>17237</v>
      </c>
    </row>
    <row r="7343" spans="39:41" ht="12" customHeight="1" x14ac:dyDescent="0.2">
      <c r="AM7343" t="str">
        <f t="shared" si="114"/>
        <v>Kilvik [NOKIL]</v>
      </c>
      <c r="AN7343" t="s">
        <v>24330</v>
      </c>
      <c r="AO7343" t="s">
        <v>24331</v>
      </c>
    </row>
    <row r="7344" spans="39:41" ht="12" customHeight="1" x14ac:dyDescent="0.2">
      <c r="AM7344" t="str">
        <f t="shared" si="114"/>
        <v>Kilwa Kivinje [TZKIK]</v>
      </c>
      <c r="AN7344" t="s">
        <v>28711</v>
      </c>
      <c r="AO7344" t="s">
        <v>28712</v>
      </c>
    </row>
    <row r="7345" spans="39:41" ht="12" customHeight="1" x14ac:dyDescent="0.2">
      <c r="AM7345" t="str">
        <f t="shared" si="114"/>
        <v>Kilwa Masoko [TZKIM]</v>
      </c>
      <c r="AN7345" t="s">
        <v>28713</v>
      </c>
      <c r="AO7345" t="s">
        <v>28714</v>
      </c>
    </row>
    <row r="7346" spans="39:41" ht="12" customHeight="1" x14ac:dyDescent="0.2">
      <c r="AM7346" t="str">
        <f t="shared" si="114"/>
        <v>Kimanis, Sabah [MYKIM]</v>
      </c>
      <c r="AN7346" t="s">
        <v>22574</v>
      </c>
      <c r="AO7346" t="s">
        <v>22575</v>
      </c>
    </row>
    <row r="7347" spans="39:41" ht="12" customHeight="1" x14ac:dyDescent="0.2">
      <c r="AM7347" t="str">
        <f t="shared" si="114"/>
        <v>Kimasi [GRKYM]</v>
      </c>
      <c r="AN7347" t="s">
        <v>15299</v>
      </c>
      <c r="AO7347" t="s">
        <v>35920</v>
      </c>
    </row>
    <row r="7348" spans="39:41" ht="12" customHeight="1" x14ac:dyDescent="0.2">
      <c r="AM7348" t="str">
        <f t="shared" si="114"/>
        <v>Kimbe [PGKIM]</v>
      </c>
      <c r="AN7348" t="s">
        <v>25406</v>
      </c>
      <c r="AO7348" t="s">
        <v>25407</v>
      </c>
    </row>
    <row r="7349" spans="39:41" ht="12" customHeight="1" x14ac:dyDescent="0.2">
      <c r="AM7349" t="str">
        <f t="shared" si="114"/>
        <v>Kimberling City [USQKC]</v>
      </c>
      <c r="AN7349" t="s">
        <v>30290</v>
      </c>
      <c r="AO7349" t="s">
        <v>30291</v>
      </c>
    </row>
    <row r="7350" spans="39:41" ht="12" customHeight="1" x14ac:dyDescent="0.2">
      <c r="AM7350" t="str">
        <f t="shared" si="114"/>
        <v>Kimi (Kymi) [GRKIM]</v>
      </c>
      <c r="AN7350" t="s">
        <v>15300</v>
      </c>
      <c r="AO7350" t="s">
        <v>35921</v>
      </c>
    </row>
    <row r="7351" spans="39:41" ht="12" customHeight="1" x14ac:dyDescent="0.2">
      <c r="AM7351" t="str">
        <f t="shared" si="114"/>
        <v>Kimitsu [JPKMT]</v>
      </c>
      <c r="AN7351" t="s">
        <v>19534</v>
      </c>
      <c r="AO7351" t="s">
        <v>19535</v>
      </c>
    </row>
    <row r="7352" spans="39:41" ht="12" customHeight="1" x14ac:dyDescent="0.2">
      <c r="AM7352" t="str">
        <f t="shared" ref="AM7352:AM7415" si="115">AO7352 &amp; " [" &amp; AN7352 &amp; "]"</f>
        <v>Kimmeridge [GBKIM]</v>
      </c>
      <c r="AN7352" t="s">
        <v>13543</v>
      </c>
      <c r="AO7352" t="s">
        <v>13544</v>
      </c>
    </row>
    <row r="7353" spans="39:41" ht="12" customHeight="1" x14ac:dyDescent="0.2">
      <c r="AM7353" t="str">
        <f t="shared" si="115"/>
        <v>Kimolos [GRKMS]</v>
      </c>
      <c r="AN7353" t="s">
        <v>15301</v>
      </c>
      <c r="AO7353" t="s">
        <v>35922</v>
      </c>
    </row>
    <row r="7354" spans="39:41" ht="12" customHeight="1" x14ac:dyDescent="0.2">
      <c r="AM7354" t="str">
        <f t="shared" si="115"/>
        <v>Kimry [RUKIM]</v>
      </c>
      <c r="AN7354" t="s">
        <v>26985</v>
      </c>
      <c r="AO7354" t="s">
        <v>26986</v>
      </c>
    </row>
    <row r="7355" spans="39:41" ht="12" customHeight="1" x14ac:dyDescent="0.2">
      <c r="AM7355" t="str">
        <f t="shared" si="115"/>
        <v>Kin [JPKNN]</v>
      </c>
      <c r="AN7355" t="s">
        <v>19536</v>
      </c>
      <c r="AO7355" t="s">
        <v>19537</v>
      </c>
    </row>
    <row r="7356" spans="39:41" ht="12" customHeight="1" x14ac:dyDescent="0.2">
      <c r="AM7356" t="str">
        <f t="shared" si="115"/>
        <v>Kincardine [GBKDE]</v>
      </c>
      <c r="AN7356" t="s">
        <v>13545</v>
      </c>
      <c r="AO7356" t="s">
        <v>13546</v>
      </c>
    </row>
    <row r="7357" spans="39:41" ht="12" customHeight="1" x14ac:dyDescent="0.2">
      <c r="AM7357" t="str">
        <f t="shared" si="115"/>
        <v>Kinderbeuern [DEKBR]</v>
      </c>
      <c r="AN7357" t="s">
        <v>7704</v>
      </c>
      <c r="AO7357" t="s">
        <v>7705</v>
      </c>
    </row>
    <row r="7358" spans="39:41" ht="12" customHeight="1" x14ac:dyDescent="0.2">
      <c r="AM7358" t="str">
        <f t="shared" si="115"/>
        <v>Kineshima [JPKIM]</v>
      </c>
      <c r="AN7358" t="s">
        <v>19538</v>
      </c>
      <c r="AO7358" t="s">
        <v>19539</v>
      </c>
    </row>
    <row r="7359" spans="39:41" ht="12" customHeight="1" x14ac:dyDescent="0.2">
      <c r="AM7359" t="str">
        <f t="shared" si="115"/>
        <v>Kineshma [RUKIN]</v>
      </c>
      <c r="AN7359" t="s">
        <v>26987</v>
      </c>
      <c r="AO7359" t="s">
        <v>26988</v>
      </c>
    </row>
    <row r="7360" spans="39:41" ht="12" customHeight="1" x14ac:dyDescent="0.2">
      <c r="AM7360" t="str">
        <f t="shared" si="115"/>
        <v>King Abdullah City [SAKAC]</v>
      </c>
      <c r="AN7360" t="s">
        <v>27396</v>
      </c>
      <c r="AO7360" t="s">
        <v>27397</v>
      </c>
    </row>
    <row r="7361" spans="39:41" ht="12" customHeight="1" x14ac:dyDescent="0.2">
      <c r="AM7361" t="str">
        <f t="shared" si="115"/>
        <v>King Bay [AUKIB]</v>
      </c>
      <c r="AN7361" t="s">
        <v>1771</v>
      </c>
      <c r="AO7361" t="s">
        <v>1772</v>
      </c>
    </row>
    <row r="7362" spans="39:41" ht="12" customHeight="1" x14ac:dyDescent="0.2">
      <c r="AM7362" t="str">
        <f t="shared" si="115"/>
        <v>King Sejong [AQKSG]</v>
      </c>
      <c r="AN7362" t="s">
        <v>938</v>
      </c>
      <c r="AO7362" t="s">
        <v>939</v>
      </c>
    </row>
    <row r="7363" spans="39:41" ht="12" customHeight="1" x14ac:dyDescent="0.2">
      <c r="AM7363" t="str">
        <f t="shared" si="115"/>
        <v>King William [USKWM]</v>
      </c>
      <c r="AN7363" t="s">
        <v>30292</v>
      </c>
      <c r="AO7363" t="s">
        <v>30293</v>
      </c>
    </row>
    <row r="7364" spans="39:41" ht="12" customHeight="1" x14ac:dyDescent="0.2">
      <c r="AM7364" t="str">
        <f t="shared" si="115"/>
        <v>King William Is [CAKWI]</v>
      </c>
      <c r="AN7364" t="s">
        <v>3981</v>
      </c>
      <c r="AO7364" t="s">
        <v>3982</v>
      </c>
    </row>
    <row r="7365" spans="39:41" ht="12" customHeight="1" x14ac:dyDescent="0.2">
      <c r="AM7365" t="str">
        <f t="shared" si="115"/>
        <v>Kinghorn [GBKHN]</v>
      </c>
      <c r="AN7365" t="s">
        <v>13547</v>
      </c>
      <c r="AO7365" t="s">
        <v>13548</v>
      </c>
    </row>
    <row r="7366" spans="39:41" ht="12" customHeight="1" x14ac:dyDescent="0.2">
      <c r="AM7366" t="str">
        <f t="shared" si="115"/>
        <v>King's Lynn [GBKLN]</v>
      </c>
      <c r="AN7366" t="s">
        <v>13549</v>
      </c>
      <c r="AO7366" t="s">
        <v>13550</v>
      </c>
    </row>
    <row r="7367" spans="39:41" ht="12" customHeight="1" x14ac:dyDescent="0.2">
      <c r="AM7367" t="str">
        <f t="shared" si="115"/>
        <v>Kings Mills [USKGM]</v>
      </c>
      <c r="AN7367" t="s">
        <v>30294</v>
      </c>
      <c r="AO7367" t="s">
        <v>30295</v>
      </c>
    </row>
    <row r="7368" spans="39:41" ht="12" customHeight="1" x14ac:dyDescent="0.2">
      <c r="AM7368" t="str">
        <f t="shared" si="115"/>
        <v>Kings Wharf [BMKWF]</v>
      </c>
      <c r="AN7368" t="s">
        <v>3204</v>
      </c>
      <c r="AO7368" t="s">
        <v>3205</v>
      </c>
    </row>
    <row r="7369" spans="39:41" ht="12" customHeight="1" x14ac:dyDescent="0.2">
      <c r="AM7369" t="str">
        <f t="shared" si="115"/>
        <v>Kingsbridge [GBKIB]</v>
      </c>
      <c r="AN7369" t="s">
        <v>13551</v>
      </c>
      <c r="AO7369" t="s">
        <v>13552</v>
      </c>
    </row>
    <row r="7370" spans="39:41" ht="12" customHeight="1" x14ac:dyDescent="0.2">
      <c r="AM7370" t="str">
        <f t="shared" si="115"/>
        <v>Kingscote [AUKGC]</v>
      </c>
      <c r="AN7370" t="s">
        <v>1773</v>
      </c>
      <c r="AO7370" t="s">
        <v>1774</v>
      </c>
    </row>
    <row r="7371" spans="39:41" ht="12" customHeight="1" x14ac:dyDescent="0.2">
      <c r="AM7371" t="str">
        <f t="shared" si="115"/>
        <v>Kingsford [AUGTY]</v>
      </c>
      <c r="AN7371" t="s">
        <v>1775</v>
      </c>
      <c r="AO7371" t="s">
        <v>1776</v>
      </c>
    </row>
    <row r="7372" spans="39:41" ht="12" customHeight="1" x14ac:dyDescent="0.2">
      <c r="AM7372" t="str">
        <f t="shared" si="115"/>
        <v>Kingsford [ZABGR]</v>
      </c>
      <c r="AN7372" t="s">
        <v>32694</v>
      </c>
      <c r="AO7372" t="s">
        <v>1776</v>
      </c>
    </row>
    <row r="7373" spans="39:41" ht="12" customHeight="1" x14ac:dyDescent="0.2">
      <c r="AM7373" t="str">
        <f t="shared" si="115"/>
        <v>Kingsnorth [GBKNK]</v>
      </c>
      <c r="AN7373" t="s">
        <v>13553</v>
      </c>
      <c r="AO7373" t="s">
        <v>13554</v>
      </c>
    </row>
    <row r="7374" spans="39:41" ht="12" customHeight="1" x14ac:dyDescent="0.2">
      <c r="AM7374" t="str">
        <f t="shared" si="115"/>
        <v>Kingston [AUKIT]</v>
      </c>
      <c r="AN7374" t="s">
        <v>1777</v>
      </c>
      <c r="AO7374" t="s">
        <v>1778</v>
      </c>
    </row>
    <row r="7375" spans="39:41" ht="12" customHeight="1" x14ac:dyDescent="0.2">
      <c r="AM7375" t="str">
        <f t="shared" si="115"/>
        <v>Kingston [CAKIN]</v>
      </c>
      <c r="AN7375" t="s">
        <v>3983</v>
      </c>
      <c r="AO7375" t="s">
        <v>1778</v>
      </c>
    </row>
    <row r="7376" spans="39:41" ht="12" customHeight="1" x14ac:dyDescent="0.2">
      <c r="AM7376" t="str">
        <f t="shared" si="115"/>
        <v>Kingston [JMKIN]</v>
      </c>
      <c r="AN7376" t="s">
        <v>18429</v>
      </c>
      <c r="AO7376" t="s">
        <v>1778</v>
      </c>
    </row>
    <row r="7377" spans="39:41" ht="12" customHeight="1" x14ac:dyDescent="0.2">
      <c r="AM7377" t="str">
        <f t="shared" si="115"/>
        <v>Kingstown [VCKTN]</v>
      </c>
      <c r="AN7377" t="s">
        <v>32138</v>
      </c>
      <c r="AO7377" t="s">
        <v>32139</v>
      </c>
    </row>
    <row r="7378" spans="39:41" ht="12" customHeight="1" x14ac:dyDescent="0.2">
      <c r="AM7378" t="str">
        <f t="shared" si="115"/>
        <v>Kingsville [CAKVL]</v>
      </c>
      <c r="AN7378" t="s">
        <v>3984</v>
      </c>
      <c r="AO7378" t="s">
        <v>3985</v>
      </c>
    </row>
    <row r="7379" spans="39:41" ht="12" customHeight="1" x14ac:dyDescent="0.2">
      <c r="AM7379" t="str">
        <f t="shared" si="115"/>
        <v>Kingswear [GBKWE]</v>
      </c>
      <c r="AN7379" t="s">
        <v>13555</v>
      </c>
      <c r="AO7379" t="s">
        <v>13556</v>
      </c>
    </row>
    <row r="7380" spans="39:41" ht="12" customHeight="1" x14ac:dyDescent="0.2">
      <c r="AM7380" t="str">
        <f t="shared" si="115"/>
        <v>Kinjo [JPKJO]</v>
      </c>
      <c r="AN7380" t="s">
        <v>19540</v>
      </c>
      <c r="AO7380" t="s">
        <v>19541</v>
      </c>
    </row>
    <row r="7381" spans="39:41" ht="12" customHeight="1" x14ac:dyDescent="0.2">
      <c r="AM7381" t="str">
        <f t="shared" si="115"/>
        <v>Kinkasan [JPKNK]</v>
      </c>
      <c r="AN7381" t="s">
        <v>19542</v>
      </c>
      <c r="AO7381" t="s">
        <v>19543</v>
      </c>
    </row>
    <row r="7382" spans="39:41" ht="12" customHeight="1" x14ac:dyDescent="0.2">
      <c r="AM7382" t="str">
        <f t="shared" si="115"/>
        <v>Kinkora [CAKKR]</v>
      </c>
      <c r="AN7382" t="s">
        <v>3986</v>
      </c>
      <c r="AO7382" t="s">
        <v>3987</v>
      </c>
    </row>
    <row r="7383" spans="39:41" ht="12" customHeight="1" x14ac:dyDescent="0.2">
      <c r="AM7383" t="str">
        <f t="shared" si="115"/>
        <v>Kinloch, Rum [GBKOH]</v>
      </c>
      <c r="AN7383" t="s">
        <v>13557</v>
      </c>
      <c r="AO7383" t="s">
        <v>13558</v>
      </c>
    </row>
    <row r="7384" spans="39:41" ht="12" customHeight="1" x14ac:dyDescent="0.2">
      <c r="AM7384" t="str">
        <f t="shared" si="115"/>
        <v>Kinlochbervie [GBKBE]</v>
      </c>
      <c r="AN7384" t="s">
        <v>13559</v>
      </c>
      <c r="AO7384" t="s">
        <v>13560</v>
      </c>
    </row>
    <row r="7385" spans="39:41" ht="12" customHeight="1" x14ac:dyDescent="0.2">
      <c r="AM7385" t="str">
        <f t="shared" si="115"/>
        <v>Kinlochleven [GBKNC]</v>
      </c>
      <c r="AN7385" t="s">
        <v>13561</v>
      </c>
      <c r="AO7385" t="s">
        <v>13562</v>
      </c>
    </row>
    <row r="7386" spans="39:41" ht="12" customHeight="1" x14ac:dyDescent="0.2">
      <c r="AM7386" t="str">
        <f t="shared" si="115"/>
        <v>KinNakagusuku [JPKNX]</v>
      </c>
      <c r="AN7386" t="s">
        <v>19544</v>
      </c>
      <c r="AO7386" t="s">
        <v>19545</v>
      </c>
    </row>
    <row r="7387" spans="39:41" ht="12" customHeight="1" x14ac:dyDescent="0.2">
      <c r="AM7387" t="str">
        <f t="shared" si="115"/>
        <v>Kinnear's Mills [CAKNE]</v>
      </c>
      <c r="AN7387" t="s">
        <v>3988</v>
      </c>
      <c r="AO7387" t="s">
        <v>3989</v>
      </c>
    </row>
    <row r="7388" spans="39:41" ht="12" customHeight="1" x14ac:dyDescent="0.2">
      <c r="AM7388" t="str">
        <f t="shared" si="115"/>
        <v>Kinnegad [IEKNG]</v>
      </c>
      <c r="AN7388" t="s">
        <v>16855</v>
      </c>
      <c r="AO7388" t="s">
        <v>16856</v>
      </c>
    </row>
    <row r="7389" spans="39:41" ht="12" customHeight="1" x14ac:dyDescent="0.2">
      <c r="AM7389" t="str">
        <f t="shared" si="115"/>
        <v>Kinoe [JPKNE]</v>
      </c>
      <c r="AN7389" t="s">
        <v>19546</v>
      </c>
      <c r="AO7389" t="s">
        <v>19547</v>
      </c>
    </row>
    <row r="7390" spans="39:41" ht="12" customHeight="1" x14ac:dyDescent="0.2">
      <c r="AM7390" t="str">
        <f t="shared" si="115"/>
        <v>Kinogitan/Iligan [PHKIN]</v>
      </c>
      <c r="AN7390" t="s">
        <v>25821</v>
      </c>
      <c r="AO7390" t="s">
        <v>25822</v>
      </c>
    </row>
    <row r="7391" spans="39:41" ht="12" customHeight="1" x14ac:dyDescent="0.2">
      <c r="AM7391" t="str">
        <f t="shared" si="115"/>
        <v>Kinomoto [JPKNT]</v>
      </c>
      <c r="AN7391" t="s">
        <v>19548</v>
      </c>
      <c r="AO7391" t="s">
        <v>19549</v>
      </c>
    </row>
    <row r="7392" spans="39:41" ht="12" customHeight="1" x14ac:dyDescent="0.2">
      <c r="AM7392" t="str">
        <f t="shared" si="115"/>
        <v>Kinrooi [BEKRO]</v>
      </c>
      <c r="AN7392" t="s">
        <v>2602</v>
      </c>
      <c r="AO7392" t="s">
        <v>2603</v>
      </c>
    </row>
    <row r="7393" spans="39:41" ht="12" customHeight="1" x14ac:dyDescent="0.2">
      <c r="AM7393" t="str">
        <f t="shared" si="115"/>
        <v>Kinsale [IEKLN]</v>
      </c>
      <c r="AN7393" t="s">
        <v>16857</v>
      </c>
      <c r="AO7393" t="s">
        <v>16858</v>
      </c>
    </row>
    <row r="7394" spans="39:41" ht="12" customHeight="1" x14ac:dyDescent="0.2">
      <c r="AM7394" t="str">
        <f t="shared" si="115"/>
        <v>Kinsarvik [NOKIV]</v>
      </c>
      <c r="AN7394" t="s">
        <v>24332</v>
      </c>
      <c r="AO7394" t="s">
        <v>24333</v>
      </c>
    </row>
    <row r="7395" spans="39:41" ht="12" customHeight="1" x14ac:dyDescent="0.2">
      <c r="AM7395" t="str">
        <f t="shared" si="115"/>
        <v>Kinshasa [CDFIH]</v>
      </c>
      <c r="AN7395" t="s">
        <v>4621</v>
      </c>
      <c r="AO7395" t="s">
        <v>4622</v>
      </c>
    </row>
    <row r="7396" spans="39:41" ht="12" customHeight="1" x14ac:dyDescent="0.2">
      <c r="AM7396" t="str">
        <f t="shared" si="115"/>
        <v>Kinuura [JPKNU]</v>
      </c>
      <c r="AN7396" t="s">
        <v>19550</v>
      </c>
      <c r="AO7396" t="s">
        <v>19551</v>
      </c>
    </row>
    <row r="7397" spans="39:41" ht="12" customHeight="1" x14ac:dyDescent="0.2">
      <c r="AM7397" t="str">
        <f t="shared" si="115"/>
        <v>Kinwan [JPKIN]</v>
      </c>
      <c r="AN7397" t="s">
        <v>19552</v>
      </c>
      <c r="AO7397" t="s">
        <v>19553</v>
      </c>
    </row>
    <row r="7398" spans="39:41" ht="12" customHeight="1" x14ac:dyDescent="0.2">
      <c r="AM7398" t="str">
        <f t="shared" si="115"/>
        <v>Kiparissia [GRKIP]</v>
      </c>
      <c r="AN7398" t="s">
        <v>15302</v>
      </c>
      <c r="AO7398" t="s">
        <v>15303</v>
      </c>
    </row>
    <row r="7399" spans="39:41" ht="12" customHeight="1" x14ac:dyDescent="0.2">
      <c r="AM7399" t="str">
        <f t="shared" si="115"/>
        <v>Kipfenberg [DEKPF]</v>
      </c>
      <c r="AN7399" t="s">
        <v>7706</v>
      </c>
      <c r="AO7399" t="s">
        <v>7707</v>
      </c>
    </row>
    <row r="7400" spans="39:41" ht="12" customHeight="1" x14ac:dyDescent="0.2">
      <c r="AM7400" t="str">
        <f t="shared" si="115"/>
        <v>Kipit/Ozamis [PHKIP]</v>
      </c>
      <c r="AN7400" t="s">
        <v>25823</v>
      </c>
      <c r="AO7400" t="s">
        <v>25824</v>
      </c>
    </row>
    <row r="7401" spans="39:41" ht="12" customHeight="1" x14ac:dyDescent="0.2">
      <c r="AM7401" t="str">
        <f t="shared" si="115"/>
        <v>Kippford [GBKIP]</v>
      </c>
      <c r="AN7401" t="s">
        <v>13563</v>
      </c>
      <c r="AO7401" t="s">
        <v>13564</v>
      </c>
    </row>
    <row r="7402" spans="39:41" ht="12" customHeight="1" x14ac:dyDescent="0.2">
      <c r="AM7402" t="str">
        <f t="shared" si="115"/>
        <v>Kirakira, San Cristobal Is [SBIRA]</v>
      </c>
      <c r="AN7402" t="s">
        <v>27443</v>
      </c>
      <c r="AO7402" t="s">
        <v>27444</v>
      </c>
    </row>
    <row r="7403" spans="39:41" ht="12" customHeight="1" x14ac:dyDescent="0.2">
      <c r="AM7403" t="str">
        <f t="shared" si="115"/>
        <v>Kiranpani [INKRP]</v>
      </c>
      <c r="AN7403" t="s">
        <v>17238</v>
      </c>
      <c r="AO7403" t="s">
        <v>17239</v>
      </c>
    </row>
    <row r="7404" spans="39:41" ht="12" customHeight="1" x14ac:dyDescent="0.2">
      <c r="AM7404" t="str">
        <f t="shared" si="115"/>
        <v>Kirchhellen [DENWC]</v>
      </c>
      <c r="AN7404" t="s">
        <v>7708</v>
      </c>
      <c r="AO7404" t="s">
        <v>7709</v>
      </c>
    </row>
    <row r="7405" spans="39:41" ht="12" customHeight="1" x14ac:dyDescent="0.2">
      <c r="AM7405" t="str">
        <f t="shared" si="115"/>
        <v>Kirchmoser [DEKCO]</v>
      </c>
      <c r="AN7405" t="s">
        <v>7710</v>
      </c>
      <c r="AO7405" t="s">
        <v>35454</v>
      </c>
    </row>
    <row r="7406" spans="39:41" ht="12" customHeight="1" x14ac:dyDescent="0.2">
      <c r="AM7406" t="str">
        <f t="shared" si="115"/>
        <v>Kircubbin [GBKCN]</v>
      </c>
      <c r="AN7406" t="s">
        <v>13565</v>
      </c>
      <c r="AO7406" t="s">
        <v>13566</v>
      </c>
    </row>
    <row r="7407" spans="39:41" ht="12" customHeight="1" x14ac:dyDescent="0.2">
      <c r="AM7407" t="str">
        <f t="shared" si="115"/>
        <v>Kirensk [RUKIK]</v>
      </c>
      <c r="AN7407" t="s">
        <v>26989</v>
      </c>
      <c r="AO7407" t="s">
        <v>26990</v>
      </c>
    </row>
    <row r="7408" spans="39:41" ht="12" customHeight="1" x14ac:dyDescent="0.2">
      <c r="AM7408" t="str">
        <f t="shared" si="115"/>
        <v>Kireyevskoye [RUKYK]</v>
      </c>
      <c r="AN7408" t="s">
        <v>26991</v>
      </c>
      <c r="AO7408" t="s">
        <v>26992</v>
      </c>
    </row>
    <row r="7409" spans="39:41" ht="12" customHeight="1" x14ac:dyDescent="0.2">
      <c r="AM7409" t="str">
        <f t="shared" si="115"/>
        <v>Kiriishi [JPKJR]</v>
      </c>
      <c r="AN7409" t="s">
        <v>19554</v>
      </c>
      <c r="AO7409" t="s">
        <v>19555</v>
      </c>
    </row>
    <row r="7410" spans="39:41" ht="12" customHeight="1" x14ac:dyDescent="0.2">
      <c r="AM7410" t="str">
        <f t="shared" si="115"/>
        <v>Kirikakiri [NGKIR]</v>
      </c>
      <c r="AN7410" t="s">
        <v>22949</v>
      </c>
      <c r="AO7410" t="s">
        <v>22950</v>
      </c>
    </row>
    <row r="7411" spans="39:41" ht="12" customHeight="1" x14ac:dyDescent="0.2">
      <c r="AM7411" t="str">
        <f t="shared" si="115"/>
        <v>Kiritappu [JPKRT]</v>
      </c>
      <c r="AN7411" t="s">
        <v>19556</v>
      </c>
      <c r="AO7411" t="s">
        <v>19557</v>
      </c>
    </row>
    <row r="7412" spans="39:41" ht="12" customHeight="1" x14ac:dyDescent="0.2">
      <c r="AM7412" t="str">
        <f t="shared" si="115"/>
        <v>Kirkby Lonsdale [GBKKL]</v>
      </c>
      <c r="AN7412" t="s">
        <v>13567</v>
      </c>
      <c r="AO7412" t="s">
        <v>13568</v>
      </c>
    </row>
    <row r="7413" spans="39:41" ht="12" customHeight="1" x14ac:dyDescent="0.2">
      <c r="AM7413" t="str">
        <f t="shared" si="115"/>
        <v>Kirkcaldy [GBKKD]</v>
      </c>
      <c r="AN7413" t="s">
        <v>13569</v>
      </c>
      <c r="AO7413" t="s">
        <v>13570</v>
      </c>
    </row>
    <row r="7414" spans="39:41" ht="12" customHeight="1" x14ac:dyDescent="0.2">
      <c r="AM7414" t="str">
        <f t="shared" si="115"/>
        <v>Kirkconnel [GBKKN]</v>
      </c>
      <c r="AN7414" t="s">
        <v>13571</v>
      </c>
      <c r="AO7414" t="s">
        <v>13572</v>
      </c>
    </row>
    <row r="7415" spans="39:41" ht="12" customHeight="1" x14ac:dyDescent="0.2">
      <c r="AM7415" t="str">
        <f t="shared" si="115"/>
        <v>Kirkcudbright [GBKBT]</v>
      </c>
      <c r="AN7415" t="s">
        <v>13573</v>
      </c>
      <c r="AO7415" t="s">
        <v>13574</v>
      </c>
    </row>
    <row r="7416" spans="39:41" ht="12" customHeight="1" x14ac:dyDescent="0.2">
      <c r="AM7416" t="str">
        <f t="shared" ref="AM7416:AM7479" si="116">AO7416 &amp; " [" &amp; AN7416 &amp; "]"</f>
        <v>Kirkehamn [NOKIR]</v>
      </c>
      <c r="AN7416" t="s">
        <v>24334</v>
      </c>
      <c r="AO7416" t="s">
        <v>24335</v>
      </c>
    </row>
    <row r="7417" spans="39:41" ht="12" customHeight="1" x14ac:dyDescent="0.2">
      <c r="AM7417" t="str">
        <f t="shared" si="116"/>
        <v>Kirkenes [NOKKN]</v>
      </c>
      <c r="AN7417" t="s">
        <v>24336</v>
      </c>
      <c r="AO7417" t="s">
        <v>24337</v>
      </c>
    </row>
    <row r="7418" spans="39:41" ht="12" customHeight="1" x14ac:dyDescent="0.2">
      <c r="AM7418" t="str">
        <f t="shared" si="116"/>
        <v>Kirkham [GBKIH]</v>
      </c>
      <c r="AN7418" t="s">
        <v>13575</v>
      </c>
      <c r="AO7418" t="s">
        <v>13576</v>
      </c>
    </row>
    <row r="7419" spans="39:41" ht="12" customHeight="1" x14ac:dyDescent="0.2">
      <c r="AM7419" t="str">
        <f t="shared" si="116"/>
        <v>Kirkheaton [GBKKH]</v>
      </c>
      <c r="AN7419" t="s">
        <v>13577</v>
      </c>
      <c r="AO7419" t="s">
        <v>13578</v>
      </c>
    </row>
    <row r="7420" spans="39:41" ht="12" customHeight="1" x14ac:dyDescent="0.2">
      <c r="AM7420" t="str">
        <f t="shared" si="116"/>
        <v>Kirkniemi [FIKIR]</v>
      </c>
      <c r="AN7420" t="s">
        <v>10410</v>
      </c>
      <c r="AO7420" t="s">
        <v>10411</v>
      </c>
    </row>
    <row r="7421" spans="39:41" ht="12" customHeight="1" x14ac:dyDescent="0.2">
      <c r="AM7421" t="str">
        <f t="shared" si="116"/>
        <v>Kirkop [MTKIR]</v>
      </c>
      <c r="AN7421" t="s">
        <v>22258</v>
      </c>
      <c r="AO7421" t="s">
        <v>22259</v>
      </c>
    </row>
    <row r="7422" spans="39:41" ht="12" customHeight="1" x14ac:dyDescent="0.2">
      <c r="AM7422" t="str">
        <f t="shared" si="116"/>
        <v>Kirkuk [IQKIK]</v>
      </c>
      <c r="AN7422" t="s">
        <v>17570</v>
      </c>
      <c r="AO7422" t="s">
        <v>17571</v>
      </c>
    </row>
    <row r="7423" spans="39:41" ht="12" customHeight="1" x14ac:dyDescent="0.2">
      <c r="AM7423" t="str">
        <f t="shared" si="116"/>
        <v>Kirkwall [GBKWL]</v>
      </c>
      <c r="AN7423" t="s">
        <v>13579</v>
      </c>
      <c r="AO7423" t="s">
        <v>13580</v>
      </c>
    </row>
    <row r="7424" spans="39:41" ht="12" customHeight="1" x14ac:dyDescent="0.2">
      <c r="AM7424" t="str">
        <f t="shared" si="116"/>
        <v>Kirkwood [USXKW]</v>
      </c>
      <c r="AN7424" t="s">
        <v>30296</v>
      </c>
      <c r="AO7424" t="s">
        <v>30297</v>
      </c>
    </row>
    <row r="7425" spans="39:41" ht="12" customHeight="1" x14ac:dyDescent="0.2">
      <c r="AM7425" t="str">
        <f t="shared" si="116"/>
        <v>Kirovskiy [RUKIY]</v>
      </c>
      <c r="AN7425" t="s">
        <v>26993</v>
      </c>
      <c r="AO7425" t="s">
        <v>26994</v>
      </c>
    </row>
    <row r="7426" spans="39:41" ht="12" customHeight="1" x14ac:dyDescent="0.2">
      <c r="AM7426" t="str">
        <f t="shared" si="116"/>
        <v>Kirschfurt [DERFT]</v>
      </c>
      <c r="AN7426" t="s">
        <v>7711</v>
      </c>
      <c r="AO7426" t="s">
        <v>7712</v>
      </c>
    </row>
    <row r="7427" spans="39:41" ht="12" customHeight="1" x14ac:dyDescent="0.2">
      <c r="AM7427" t="str">
        <f t="shared" si="116"/>
        <v>Kirtomy [GBKRM]</v>
      </c>
      <c r="AN7427" t="s">
        <v>13581</v>
      </c>
      <c r="AO7427" t="s">
        <v>13582</v>
      </c>
    </row>
    <row r="7428" spans="39:41" ht="12" customHeight="1" x14ac:dyDescent="0.2">
      <c r="AM7428" t="str">
        <f t="shared" si="116"/>
        <v>Kisakata [JPKST]</v>
      </c>
      <c r="AN7428" t="s">
        <v>19558</v>
      </c>
      <c r="AO7428" t="s">
        <v>19559</v>
      </c>
    </row>
    <row r="7429" spans="39:41" ht="12" customHeight="1" x14ac:dyDescent="0.2">
      <c r="AM7429" t="str">
        <f t="shared" si="116"/>
        <v>Kisane [JPKNJ]</v>
      </c>
      <c r="AN7429" t="s">
        <v>19560</v>
      </c>
      <c r="AO7429" t="s">
        <v>19561</v>
      </c>
    </row>
    <row r="7430" spans="39:41" ht="12" customHeight="1" x14ac:dyDescent="0.2">
      <c r="AM7430" t="str">
        <f t="shared" si="116"/>
        <v>Kisarazu [JPKZU]</v>
      </c>
      <c r="AN7430" t="s">
        <v>19562</v>
      </c>
      <c r="AO7430" t="s">
        <v>19563</v>
      </c>
    </row>
    <row r="7431" spans="39:41" ht="12" customHeight="1" x14ac:dyDescent="0.2">
      <c r="AM7431" t="str">
        <f t="shared" si="116"/>
        <v>Kisawa [JPKIW]</v>
      </c>
      <c r="AN7431" t="s">
        <v>19564</v>
      </c>
      <c r="AO7431" t="s">
        <v>19565</v>
      </c>
    </row>
    <row r="7432" spans="39:41" ht="12" customHeight="1" x14ac:dyDescent="0.2">
      <c r="AM7432" t="str">
        <f t="shared" si="116"/>
        <v>Kishiku [JPKSH]</v>
      </c>
      <c r="AN7432" t="s">
        <v>19566</v>
      </c>
      <c r="AO7432" t="s">
        <v>19567</v>
      </c>
    </row>
    <row r="7433" spans="39:41" ht="12" customHeight="1" x14ac:dyDescent="0.2">
      <c r="AM7433" t="str">
        <f t="shared" si="116"/>
        <v>Kishira [JPKSR]</v>
      </c>
      <c r="AN7433" t="s">
        <v>19568</v>
      </c>
      <c r="AO7433" t="s">
        <v>19569</v>
      </c>
    </row>
    <row r="7434" spans="39:41" ht="12" customHeight="1" x14ac:dyDescent="0.2">
      <c r="AM7434" t="str">
        <f t="shared" si="116"/>
        <v>Kishiwada [JPKDA]</v>
      </c>
      <c r="AN7434" t="s">
        <v>19570</v>
      </c>
      <c r="AO7434" t="s">
        <v>19571</v>
      </c>
    </row>
    <row r="7435" spans="39:41" ht="12" customHeight="1" x14ac:dyDescent="0.2">
      <c r="AM7435" t="str">
        <f t="shared" si="116"/>
        <v>Kishorn [GBKIS]</v>
      </c>
      <c r="AN7435" t="s">
        <v>13583</v>
      </c>
      <c r="AO7435" t="s">
        <v>13584</v>
      </c>
    </row>
    <row r="7436" spans="39:41" ht="12" customHeight="1" x14ac:dyDescent="0.2">
      <c r="AM7436" t="str">
        <f t="shared" si="116"/>
        <v>Kiska Harbour [USKAB]</v>
      </c>
      <c r="AN7436" t="s">
        <v>30298</v>
      </c>
      <c r="AO7436" t="s">
        <v>30299</v>
      </c>
    </row>
    <row r="7437" spans="39:41" ht="12" customHeight="1" x14ac:dyDescent="0.2">
      <c r="AM7437" t="str">
        <f t="shared" si="116"/>
        <v>Kiska Island [USKIS]</v>
      </c>
      <c r="AN7437" t="s">
        <v>30300</v>
      </c>
      <c r="AO7437" t="s">
        <v>30301</v>
      </c>
    </row>
    <row r="7438" spans="39:41" ht="12" customHeight="1" x14ac:dyDescent="0.2">
      <c r="AM7438" t="str">
        <f t="shared" si="116"/>
        <v>Kislaya Guba [RUKSL]</v>
      </c>
      <c r="AN7438" t="s">
        <v>26995</v>
      </c>
      <c r="AO7438" t="s">
        <v>26996</v>
      </c>
    </row>
    <row r="7439" spans="39:41" ht="12" customHeight="1" x14ac:dyDescent="0.2">
      <c r="AM7439" t="str">
        <f t="shared" si="116"/>
        <v>Kismayu [SOKMU]</v>
      </c>
      <c r="AN7439" t="s">
        <v>28110</v>
      </c>
      <c r="AO7439" t="s">
        <v>28111</v>
      </c>
    </row>
    <row r="7440" spans="39:41" ht="12" customHeight="1" x14ac:dyDescent="0.2">
      <c r="AM7440" t="str">
        <f t="shared" si="116"/>
        <v>Kisumu [KEKIS]</v>
      </c>
      <c r="AN7440" t="s">
        <v>21528</v>
      </c>
      <c r="AO7440" t="s">
        <v>21529</v>
      </c>
    </row>
    <row r="7441" spans="39:41" ht="12" customHeight="1" x14ac:dyDescent="0.2">
      <c r="AM7441" t="str">
        <f t="shared" si="116"/>
        <v>Kisvarda [HUKIA]</v>
      </c>
      <c r="AN7441" t="s">
        <v>16105</v>
      </c>
      <c r="AO7441" t="s">
        <v>36017</v>
      </c>
    </row>
    <row r="7442" spans="39:41" ht="12" customHeight="1" x14ac:dyDescent="0.2">
      <c r="AM7442" t="str">
        <f t="shared" si="116"/>
        <v>Kita/Kitadaito [JPKTX]</v>
      </c>
      <c r="AN7442" t="s">
        <v>19572</v>
      </c>
      <c r="AO7442" t="s">
        <v>19573</v>
      </c>
    </row>
    <row r="7443" spans="39:41" ht="12" customHeight="1" x14ac:dyDescent="0.2">
      <c r="AM7443" t="str">
        <f t="shared" si="116"/>
        <v>Kita/Minamidaito [JPKDX]</v>
      </c>
      <c r="AN7443" t="s">
        <v>19574</v>
      </c>
      <c r="AO7443" t="s">
        <v>19575</v>
      </c>
    </row>
    <row r="7444" spans="39:41" ht="12" customHeight="1" x14ac:dyDescent="0.2">
      <c r="AM7444" t="str">
        <f t="shared" si="116"/>
        <v>Kitakami [JPKTN]</v>
      </c>
      <c r="AN7444" t="s">
        <v>19576</v>
      </c>
      <c r="AO7444" t="s">
        <v>19577</v>
      </c>
    </row>
    <row r="7445" spans="39:41" ht="12" customHeight="1" x14ac:dyDescent="0.2">
      <c r="AM7445" t="str">
        <f t="shared" si="116"/>
        <v>Kitakijima [JPKTL]</v>
      </c>
      <c r="AN7445" t="s">
        <v>19578</v>
      </c>
      <c r="AO7445" t="s">
        <v>19579</v>
      </c>
    </row>
    <row r="7446" spans="39:41" ht="12" customHeight="1" x14ac:dyDescent="0.2">
      <c r="AM7446" t="str">
        <f t="shared" si="116"/>
        <v>Kitakyushu [JPKKJ]</v>
      </c>
      <c r="AN7446" t="s">
        <v>19580</v>
      </c>
      <c r="AO7446" t="s">
        <v>19581</v>
      </c>
    </row>
    <row r="7447" spans="39:41" ht="12" customHeight="1" x14ac:dyDescent="0.2">
      <c r="AM7447" t="str">
        <f t="shared" si="116"/>
        <v>Kitan FPSO [AUKTN]</v>
      </c>
      <c r="AN7447" t="s">
        <v>1779</v>
      </c>
      <c r="AO7447" t="s">
        <v>1780</v>
      </c>
    </row>
    <row r="7448" spans="39:41" ht="12" customHeight="1" x14ac:dyDescent="0.2">
      <c r="AM7448" t="str">
        <f t="shared" si="116"/>
        <v>Kitanada [JPKTA]</v>
      </c>
      <c r="AN7448" t="s">
        <v>19582</v>
      </c>
      <c r="AO7448" t="s">
        <v>19583</v>
      </c>
    </row>
    <row r="7449" spans="39:41" ht="12" customHeight="1" x14ac:dyDescent="0.2">
      <c r="AM7449" t="str">
        <f t="shared" si="116"/>
        <v>Kitaura, Akita [JPKJT]</v>
      </c>
      <c r="AN7449" t="s">
        <v>19584</v>
      </c>
      <c r="AO7449" t="s">
        <v>19585</v>
      </c>
    </row>
    <row r="7450" spans="39:41" ht="12" customHeight="1" x14ac:dyDescent="0.2">
      <c r="AM7450" t="str">
        <f t="shared" si="116"/>
        <v>Kitaura, Ehime [JPKIR]</v>
      </c>
      <c r="AN7450" t="s">
        <v>19586</v>
      </c>
      <c r="AO7450" t="s">
        <v>19587</v>
      </c>
    </row>
    <row r="7451" spans="39:41" ht="12" customHeight="1" x14ac:dyDescent="0.2">
      <c r="AM7451" t="str">
        <f t="shared" si="116"/>
        <v>Kitaura, Kagawa [JPKTR]</v>
      </c>
      <c r="AN7451" t="s">
        <v>19588</v>
      </c>
      <c r="AO7451" t="s">
        <v>19589</v>
      </c>
    </row>
    <row r="7452" spans="39:41" ht="12" customHeight="1" x14ac:dyDescent="0.2">
      <c r="AM7452" t="str">
        <f t="shared" si="116"/>
        <v>Kitaura, Miyazaki [JPKIT]</v>
      </c>
      <c r="AN7452" t="s">
        <v>19590</v>
      </c>
      <c r="AO7452" t="s">
        <v>19591</v>
      </c>
    </row>
    <row r="7453" spans="39:41" ht="12" customHeight="1" x14ac:dyDescent="0.2">
      <c r="AM7453" t="str">
        <f t="shared" si="116"/>
        <v>Kitee [FIKTQ]</v>
      </c>
      <c r="AN7453" t="s">
        <v>10412</v>
      </c>
      <c r="AO7453" t="s">
        <v>10413</v>
      </c>
    </row>
    <row r="7454" spans="39:41" ht="12" customHeight="1" x14ac:dyDescent="0.2">
      <c r="AM7454" t="str">
        <f t="shared" si="116"/>
        <v>Kitimat [CAKTM]</v>
      </c>
      <c r="AN7454" t="s">
        <v>3990</v>
      </c>
      <c r="AO7454" t="s">
        <v>3991</v>
      </c>
    </row>
    <row r="7455" spans="39:41" ht="12" customHeight="1" x14ac:dyDescent="0.2">
      <c r="AM7455" t="str">
        <f t="shared" si="116"/>
        <v>Kitsuki [JPKSF]</v>
      </c>
      <c r="AN7455" t="s">
        <v>34987</v>
      </c>
      <c r="AO7455" t="s">
        <v>34988</v>
      </c>
    </row>
    <row r="7456" spans="39:41" ht="12" customHeight="1" x14ac:dyDescent="0.2">
      <c r="AM7456" t="str">
        <f t="shared" si="116"/>
        <v>Kittery [USKXK]</v>
      </c>
      <c r="AN7456" t="s">
        <v>30302</v>
      </c>
      <c r="AO7456" t="s">
        <v>30303</v>
      </c>
    </row>
    <row r="7457" spans="39:41" ht="12" customHeight="1" x14ac:dyDescent="0.2">
      <c r="AM7457" t="str">
        <f t="shared" si="116"/>
        <v>Kitty Hawk [USKTT]</v>
      </c>
      <c r="AN7457" t="s">
        <v>30304</v>
      </c>
      <c r="AO7457" t="s">
        <v>30305</v>
      </c>
    </row>
    <row r="7458" spans="39:41" ht="12" customHeight="1" x14ac:dyDescent="0.2">
      <c r="AM7458" t="str">
        <f t="shared" si="116"/>
        <v>Kitzingen [DEKIT]</v>
      </c>
      <c r="AN7458" t="s">
        <v>7713</v>
      </c>
      <c r="AO7458" t="s">
        <v>7714</v>
      </c>
    </row>
    <row r="7459" spans="39:41" ht="12" customHeight="1" x14ac:dyDescent="0.2">
      <c r="AM7459" t="str">
        <f t="shared" si="116"/>
        <v>Kiunga [PGUNG]</v>
      </c>
      <c r="AN7459" t="s">
        <v>25408</v>
      </c>
      <c r="AO7459" t="s">
        <v>25409</v>
      </c>
    </row>
    <row r="7460" spans="39:41" ht="12" customHeight="1" x14ac:dyDescent="0.2">
      <c r="AM7460" t="str">
        <f t="shared" si="116"/>
        <v>Kiwalan/Iligan [PHKIW]</v>
      </c>
      <c r="AN7460" t="s">
        <v>25825</v>
      </c>
      <c r="AO7460" t="s">
        <v>25826</v>
      </c>
    </row>
    <row r="7461" spans="39:41" ht="12" customHeight="1" x14ac:dyDescent="0.2">
      <c r="AM7461" t="str">
        <f t="shared" si="116"/>
        <v>Kjerringoy [NOKJE]</v>
      </c>
      <c r="AN7461" t="s">
        <v>24338</v>
      </c>
      <c r="AO7461" t="s">
        <v>36221</v>
      </c>
    </row>
    <row r="7462" spans="39:41" ht="12" customHeight="1" x14ac:dyDescent="0.2">
      <c r="AM7462" t="str">
        <f t="shared" si="116"/>
        <v>Kjollefjord [NOKJF]</v>
      </c>
      <c r="AN7462" t="s">
        <v>24339</v>
      </c>
      <c r="AO7462" t="s">
        <v>36222</v>
      </c>
    </row>
    <row r="7463" spans="39:41" ht="12" customHeight="1" x14ac:dyDescent="0.2">
      <c r="AM7463" t="str">
        <f t="shared" si="116"/>
        <v>Kjopmannskjar [NOKMS]</v>
      </c>
      <c r="AN7463" t="s">
        <v>24340</v>
      </c>
      <c r="AO7463" t="s">
        <v>36223</v>
      </c>
    </row>
    <row r="7464" spans="39:41" ht="12" customHeight="1" x14ac:dyDescent="0.2">
      <c r="AM7464" t="str">
        <f t="shared" si="116"/>
        <v>Kjopsvik [NOKJK]</v>
      </c>
      <c r="AN7464" t="s">
        <v>24341</v>
      </c>
      <c r="AO7464" t="s">
        <v>36224</v>
      </c>
    </row>
    <row r="7465" spans="39:41" ht="12" customHeight="1" x14ac:dyDescent="0.2">
      <c r="AM7465" t="str">
        <f t="shared" si="116"/>
        <v>Kjorebonn [NOKJB]</v>
      </c>
      <c r="AN7465" t="s">
        <v>24342</v>
      </c>
      <c r="AO7465" t="s">
        <v>36225</v>
      </c>
    </row>
    <row r="7466" spans="39:41" ht="12" customHeight="1" x14ac:dyDescent="0.2">
      <c r="AM7466" t="str">
        <f t="shared" si="116"/>
        <v>Kladesholmen [SEKLD]</v>
      </c>
      <c r="AN7466" t="s">
        <v>27683</v>
      </c>
      <c r="AO7466" t="s">
        <v>36466</v>
      </c>
    </row>
    <row r="7467" spans="39:41" ht="12" customHeight="1" x14ac:dyDescent="0.2">
      <c r="AM7467" t="str">
        <f t="shared" si="116"/>
        <v>Klagshamn [SEKGM]</v>
      </c>
      <c r="AN7467" t="s">
        <v>27684</v>
      </c>
      <c r="AO7467" t="s">
        <v>27685</v>
      </c>
    </row>
    <row r="7468" spans="39:41" ht="12" customHeight="1" x14ac:dyDescent="0.2">
      <c r="AM7468" t="str">
        <f t="shared" si="116"/>
        <v>Klaipeda [LTKLJ]</v>
      </c>
      <c r="AN7468" t="s">
        <v>21892</v>
      </c>
      <c r="AO7468" t="s">
        <v>21893</v>
      </c>
    </row>
    <row r="7469" spans="39:41" ht="12" customHeight="1" x14ac:dyDescent="0.2">
      <c r="AM7469" t="str">
        <f t="shared" si="116"/>
        <v>Klaj [PLMA9]</v>
      </c>
      <c r="AN7469" t="s">
        <v>26319</v>
      </c>
      <c r="AO7469" t="s">
        <v>26320</v>
      </c>
    </row>
    <row r="7470" spans="39:41" ht="12" customHeight="1" x14ac:dyDescent="0.2">
      <c r="AM7470" t="str">
        <f t="shared" si="116"/>
        <v>Klaksvik [FOKVI]</v>
      </c>
      <c r="AN7470" t="s">
        <v>10678</v>
      </c>
      <c r="AO7470" t="s">
        <v>10679</v>
      </c>
    </row>
    <row r="7471" spans="39:41" ht="12" customHeight="1" x14ac:dyDescent="0.2">
      <c r="AM7471" t="str">
        <f t="shared" si="116"/>
        <v>Klamila [FIKLA]</v>
      </c>
      <c r="AN7471" t="s">
        <v>10414</v>
      </c>
      <c r="AO7471" t="s">
        <v>10415</v>
      </c>
    </row>
    <row r="7472" spans="39:41" ht="12" customHeight="1" x14ac:dyDescent="0.2">
      <c r="AM7472" t="str">
        <f t="shared" si="116"/>
        <v>Klavrestrom [SEKLA]</v>
      </c>
      <c r="AN7472" t="s">
        <v>27686</v>
      </c>
      <c r="AO7472" t="s">
        <v>36467</v>
      </c>
    </row>
    <row r="7473" spans="39:41" ht="12" customHeight="1" x14ac:dyDescent="0.2">
      <c r="AM7473" t="str">
        <f t="shared" si="116"/>
        <v>Klazienaveen [NLKLZ]</v>
      </c>
      <c r="AN7473" t="s">
        <v>23322</v>
      </c>
      <c r="AO7473" t="s">
        <v>23323</v>
      </c>
    </row>
    <row r="7474" spans="39:41" ht="12" customHeight="1" x14ac:dyDescent="0.2">
      <c r="AM7474" t="str">
        <f t="shared" si="116"/>
        <v>Klein Point [AUKLP]</v>
      </c>
      <c r="AN7474" t="s">
        <v>1781</v>
      </c>
      <c r="AO7474" t="s">
        <v>1782</v>
      </c>
    </row>
    <row r="7475" spans="39:41" ht="12" customHeight="1" x14ac:dyDescent="0.2">
      <c r="AM7475" t="str">
        <f t="shared" si="116"/>
        <v>Klein Veerle [BEKVE]</v>
      </c>
      <c r="AN7475" t="s">
        <v>2604</v>
      </c>
      <c r="AO7475" t="s">
        <v>2605</v>
      </c>
    </row>
    <row r="7476" spans="39:41" ht="12" customHeight="1" x14ac:dyDescent="0.2">
      <c r="AM7476" t="str">
        <f t="shared" si="116"/>
        <v>Klein Willebroek [BEKWB]</v>
      </c>
      <c r="AN7476" t="s">
        <v>36779</v>
      </c>
      <c r="AO7476" t="s">
        <v>36780</v>
      </c>
    </row>
    <row r="7477" spans="39:41" ht="12" customHeight="1" x14ac:dyDescent="0.2">
      <c r="AM7477" t="str">
        <f t="shared" si="116"/>
        <v>Klek [HRKLK]</v>
      </c>
      <c r="AN7477" t="s">
        <v>15770</v>
      </c>
      <c r="AO7477" t="s">
        <v>15771</v>
      </c>
    </row>
    <row r="7478" spans="39:41" ht="12" customHeight="1" x14ac:dyDescent="0.2">
      <c r="AM7478" t="str">
        <f t="shared" si="116"/>
        <v>Kleppen [DKKLP]</v>
      </c>
      <c r="AN7478" t="s">
        <v>8771</v>
      </c>
      <c r="AO7478" t="s">
        <v>8772</v>
      </c>
    </row>
    <row r="7479" spans="39:41" ht="12" customHeight="1" x14ac:dyDescent="0.2">
      <c r="AM7479" t="str">
        <f t="shared" si="116"/>
        <v>Kleppesto [NOKLE]</v>
      </c>
      <c r="AN7479" t="s">
        <v>24343</v>
      </c>
      <c r="AO7479" t="s">
        <v>36226</v>
      </c>
    </row>
    <row r="7480" spans="39:41" ht="12" customHeight="1" x14ac:dyDescent="0.2">
      <c r="AM7480" t="str">
        <f t="shared" ref="AM7480:AM7543" si="117">AO7480 &amp; " [" &amp; AN7480 &amp; "]"</f>
        <v>Kletsk [BYKLK]</v>
      </c>
      <c r="AN7480" t="s">
        <v>3490</v>
      </c>
      <c r="AO7480" t="s">
        <v>3491</v>
      </c>
    </row>
    <row r="7481" spans="39:41" ht="12" customHeight="1" x14ac:dyDescent="0.2">
      <c r="AM7481" t="str">
        <f t="shared" si="117"/>
        <v>Klima [GRKLI]</v>
      </c>
      <c r="AN7481" t="s">
        <v>15304</v>
      </c>
      <c r="AO7481" t="s">
        <v>15305</v>
      </c>
    </row>
    <row r="7482" spans="39:41" ht="12" customHeight="1" x14ac:dyDescent="0.2">
      <c r="AM7482" t="str">
        <f t="shared" si="117"/>
        <v>Klimno [HRKMN]</v>
      </c>
      <c r="AN7482" t="s">
        <v>15772</v>
      </c>
      <c r="AO7482" t="s">
        <v>15773</v>
      </c>
    </row>
    <row r="7483" spans="39:41" ht="12" customHeight="1" x14ac:dyDescent="0.2">
      <c r="AM7483" t="str">
        <f t="shared" si="117"/>
        <v>Klingnau [CHRGU]</v>
      </c>
      <c r="AN7483" t="s">
        <v>4701</v>
      </c>
      <c r="AO7483" t="s">
        <v>4702</v>
      </c>
    </row>
    <row r="7484" spans="39:41" ht="12" customHeight="1" x14ac:dyDescent="0.2">
      <c r="AM7484" t="str">
        <f t="shared" si="117"/>
        <v>Klinsky Rayon [RUKLR]</v>
      </c>
      <c r="AN7484" t="s">
        <v>26997</v>
      </c>
      <c r="AO7484" t="s">
        <v>26998</v>
      </c>
    </row>
    <row r="7485" spans="39:41" ht="12" customHeight="1" x14ac:dyDescent="0.2">
      <c r="AM7485" t="str">
        <f t="shared" si="117"/>
        <v>Klintebjerg [DKKBG]</v>
      </c>
      <c r="AN7485" t="s">
        <v>8773</v>
      </c>
      <c r="AO7485" t="s">
        <v>8774</v>
      </c>
    </row>
    <row r="7486" spans="39:41" ht="12" customHeight="1" x14ac:dyDescent="0.2">
      <c r="AM7486" t="str">
        <f t="shared" si="117"/>
        <v>Klintehamn [SEKLI]</v>
      </c>
      <c r="AN7486" t="s">
        <v>27687</v>
      </c>
      <c r="AO7486" t="s">
        <v>27688</v>
      </c>
    </row>
    <row r="7487" spans="39:41" ht="12" customHeight="1" x14ac:dyDescent="0.2">
      <c r="AM7487" t="str">
        <f t="shared" si="117"/>
        <v>Klintholm Havn [DKKLH]</v>
      </c>
      <c r="AN7487" t="s">
        <v>34989</v>
      </c>
      <c r="AO7487" t="s">
        <v>36748</v>
      </c>
    </row>
    <row r="7488" spans="39:41" ht="12" customHeight="1" x14ac:dyDescent="0.2">
      <c r="AM7488" t="str">
        <f t="shared" si="117"/>
        <v>Klipheuwel [ZA2WC]</v>
      </c>
      <c r="AN7488" t="s">
        <v>34233</v>
      </c>
      <c r="AO7488" t="s">
        <v>34301</v>
      </c>
    </row>
    <row r="7489" spans="39:41" ht="12" customHeight="1" x14ac:dyDescent="0.2">
      <c r="AM7489" t="str">
        <f t="shared" si="117"/>
        <v>Kloosterveen [NLKLV]</v>
      </c>
      <c r="AN7489" t="s">
        <v>23324</v>
      </c>
      <c r="AO7489" t="s">
        <v>23325</v>
      </c>
    </row>
    <row r="7490" spans="39:41" ht="12" customHeight="1" x14ac:dyDescent="0.2">
      <c r="AM7490" t="str">
        <f t="shared" si="117"/>
        <v>Kluisbergen [BEKSR]</v>
      </c>
      <c r="AN7490" t="s">
        <v>2606</v>
      </c>
      <c r="AO7490" t="s">
        <v>2607</v>
      </c>
    </row>
    <row r="7491" spans="39:41" ht="12" customHeight="1" x14ac:dyDescent="0.2">
      <c r="AM7491" t="str">
        <f t="shared" si="117"/>
        <v>Klundert [NLKLU]</v>
      </c>
      <c r="AN7491" t="s">
        <v>23326</v>
      </c>
      <c r="AO7491" t="s">
        <v>23327</v>
      </c>
    </row>
    <row r="7492" spans="39:41" ht="12" customHeight="1" x14ac:dyDescent="0.2">
      <c r="AM7492" t="str">
        <f t="shared" si="117"/>
        <v>Klusserath [DEKLX]</v>
      </c>
      <c r="AN7492" t="s">
        <v>7715</v>
      </c>
      <c r="AO7492" t="s">
        <v>7716</v>
      </c>
    </row>
    <row r="7493" spans="39:41" ht="12" customHeight="1" x14ac:dyDescent="0.2">
      <c r="AM7493" t="str">
        <f t="shared" si="117"/>
        <v>Knarrevik [NOKRV]</v>
      </c>
      <c r="AN7493" t="s">
        <v>24344</v>
      </c>
      <c r="AO7493" t="s">
        <v>24345</v>
      </c>
    </row>
    <row r="7494" spans="39:41" ht="12" customHeight="1" x14ac:dyDescent="0.2">
      <c r="AM7494" t="str">
        <f t="shared" si="117"/>
        <v>Knesselaere [BEKNS]</v>
      </c>
      <c r="AN7494" t="s">
        <v>2608</v>
      </c>
      <c r="AO7494" t="s">
        <v>2609</v>
      </c>
    </row>
    <row r="7495" spans="39:41" ht="12" customHeight="1" x14ac:dyDescent="0.2">
      <c r="AM7495" t="str">
        <f t="shared" si="117"/>
        <v>Kneza [HRKZA]</v>
      </c>
      <c r="AN7495" t="s">
        <v>15774</v>
      </c>
      <c r="AO7495" t="s">
        <v>15775</v>
      </c>
    </row>
    <row r="7496" spans="39:41" ht="12" customHeight="1" x14ac:dyDescent="0.2">
      <c r="AM7496" t="str">
        <f t="shared" si="117"/>
        <v>Knittelfeld [ATKFD]</v>
      </c>
      <c r="AN7496" t="s">
        <v>1254</v>
      </c>
      <c r="AO7496" t="s">
        <v>1255</v>
      </c>
    </row>
    <row r="7497" spans="39:41" ht="12" customHeight="1" x14ac:dyDescent="0.2">
      <c r="AM7497" t="str">
        <f t="shared" si="117"/>
        <v>Knob Noster [USK99]</v>
      </c>
      <c r="AN7497" t="s">
        <v>30306</v>
      </c>
      <c r="AO7497" t="s">
        <v>30307</v>
      </c>
    </row>
    <row r="7498" spans="39:41" ht="12" customHeight="1" x14ac:dyDescent="0.2">
      <c r="AM7498" t="str">
        <f t="shared" si="117"/>
        <v>Knudshoved [DKKHV]</v>
      </c>
      <c r="AN7498" t="s">
        <v>8775</v>
      </c>
      <c r="AO7498" t="s">
        <v>8776</v>
      </c>
    </row>
    <row r="7499" spans="39:41" ht="12" customHeight="1" x14ac:dyDescent="0.2">
      <c r="AM7499" t="str">
        <f t="shared" si="117"/>
        <v>Knutsford [GBKSF]</v>
      </c>
      <c r="AN7499" t="s">
        <v>13585</v>
      </c>
      <c r="AO7499" t="s">
        <v>13586</v>
      </c>
    </row>
    <row r="7500" spans="39:41" ht="12" customHeight="1" x14ac:dyDescent="0.2">
      <c r="AM7500" t="str">
        <f t="shared" si="117"/>
        <v>Ko Samui [THKSM]</v>
      </c>
      <c r="AN7500" t="s">
        <v>34217</v>
      </c>
      <c r="AO7500" t="s">
        <v>34289</v>
      </c>
    </row>
    <row r="7501" spans="39:41" ht="12" customHeight="1" x14ac:dyDescent="0.2">
      <c r="AM7501" t="str">
        <f t="shared" si="117"/>
        <v>Kobato [JPKBT]</v>
      </c>
      <c r="AN7501" t="s">
        <v>19592</v>
      </c>
      <c r="AO7501" t="s">
        <v>19593</v>
      </c>
    </row>
    <row r="7502" spans="39:41" ht="12" customHeight="1" x14ac:dyDescent="0.2">
      <c r="AM7502" t="str">
        <f t="shared" si="117"/>
        <v>Kobbvagen [NOKBV]</v>
      </c>
      <c r="AN7502" t="s">
        <v>24346</v>
      </c>
      <c r="AO7502" t="s">
        <v>36227</v>
      </c>
    </row>
    <row r="7503" spans="39:41" ht="12" customHeight="1" x14ac:dyDescent="0.2">
      <c r="AM7503" t="str">
        <f t="shared" si="117"/>
        <v>Kobe [JPUKB]</v>
      </c>
      <c r="AN7503" t="s">
        <v>19594</v>
      </c>
      <c r="AO7503" t="s">
        <v>19595</v>
      </c>
    </row>
    <row r="7504" spans="39:41" ht="12" customHeight="1" x14ac:dyDescent="0.2">
      <c r="AM7504" t="str">
        <f t="shared" si="117"/>
        <v>Kobenhavn [DKCPH]</v>
      </c>
      <c r="AN7504" t="s">
        <v>8777</v>
      </c>
      <c r="AO7504" t="s">
        <v>35547</v>
      </c>
    </row>
    <row r="7505" spans="39:41" ht="12" customHeight="1" x14ac:dyDescent="0.2">
      <c r="AM7505" t="str">
        <f t="shared" si="117"/>
        <v>Kobishima [JPKBS]</v>
      </c>
      <c r="AN7505" t="s">
        <v>19596</v>
      </c>
      <c r="AO7505" t="s">
        <v>19597</v>
      </c>
    </row>
    <row r="7506" spans="39:41" ht="12" customHeight="1" x14ac:dyDescent="0.2">
      <c r="AM7506" t="str">
        <f t="shared" si="117"/>
        <v>Koblenz am Rhein [DEKOB]</v>
      </c>
      <c r="AN7506" t="s">
        <v>7717</v>
      </c>
      <c r="AO7506" t="s">
        <v>7718</v>
      </c>
    </row>
    <row r="7507" spans="39:41" ht="12" customHeight="1" x14ac:dyDescent="0.2">
      <c r="AM7507" t="str">
        <f t="shared" si="117"/>
        <v>Koblu [NOKOB]</v>
      </c>
      <c r="AN7507" t="s">
        <v>37086</v>
      </c>
      <c r="AO7507" t="s">
        <v>37087</v>
      </c>
    </row>
    <row r="7508" spans="39:41" ht="12" customHeight="1" x14ac:dyDescent="0.2">
      <c r="AM7508" t="str">
        <f t="shared" si="117"/>
        <v>Kobui [JPKBI]</v>
      </c>
      <c r="AN7508" t="s">
        <v>19598</v>
      </c>
      <c r="AO7508" t="s">
        <v>19599</v>
      </c>
    </row>
    <row r="7509" spans="39:41" ht="12" customHeight="1" x14ac:dyDescent="0.2">
      <c r="AM7509" t="str">
        <f t="shared" si="117"/>
        <v>Kochendorf [DEKHO]</v>
      </c>
      <c r="AN7509" t="s">
        <v>7719</v>
      </c>
      <c r="AO7509" t="s">
        <v>7720</v>
      </c>
    </row>
    <row r="7510" spans="39:41" ht="12" customHeight="1" x14ac:dyDescent="0.2">
      <c r="AM7510" t="str">
        <f t="shared" si="117"/>
        <v>Kochi [JPKCZ]</v>
      </c>
      <c r="AN7510" t="s">
        <v>19600</v>
      </c>
      <c r="AO7510" t="s">
        <v>19601</v>
      </c>
    </row>
    <row r="7511" spans="39:41" ht="12" customHeight="1" x14ac:dyDescent="0.2">
      <c r="AM7511" t="str">
        <f t="shared" si="117"/>
        <v>Kodai [JPKDI]</v>
      </c>
      <c r="AN7511" t="s">
        <v>19602</v>
      </c>
      <c r="AO7511" t="s">
        <v>19603</v>
      </c>
    </row>
    <row r="7512" spans="39:41" ht="12" customHeight="1" x14ac:dyDescent="0.2">
      <c r="AM7512" t="str">
        <f t="shared" si="117"/>
        <v>Kodakashima [JPKDK]</v>
      </c>
      <c r="AN7512" t="s">
        <v>19604</v>
      </c>
      <c r="AO7512" t="s">
        <v>19605</v>
      </c>
    </row>
    <row r="7513" spans="39:41" ht="12" customHeight="1" x14ac:dyDescent="0.2">
      <c r="AM7513" t="str">
        <f t="shared" si="117"/>
        <v>Kodinar [INKOD]</v>
      </c>
      <c r="AN7513" t="s">
        <v>17240</v>
      </c>
      <c r="AO7513" t="s">
        <v>17241</v>
      </c>
    </row>
    <row r="7514" spans="39:41" ht="12" customHeight="1" x14ac:dyDescent="0.2">
      <c r="AM7514" t="str">
        <f t="shared" si="117"/>
        <v>Kodomari, Aomori [JPKOD]</v>
      </c>
      <c r="AN7514" t="s">
        <v>19606</v>
      </c>
      <c r="AO7514" t="s">
        <v>19607</v>
      </c>
    </row>
    <row r="7515" spans="39:41" ht="12" customHeight="1" x14ac:dyDescent="0.2">
      <c r="AM7515" t="str">
        <f t="shared" si="117"/>
        <v>Kodomari, Kumamoto [JPKDM]</v>
      </c>
      <c r="AN7515" t="s">
        <v>19608</v>
      </c>
      <c r="AO7515" t="s">
        <v>19609</v>
      </c>
    </row>
    <row r="7516" spans="39:41" ht="12" customHeight="1" x14ac:dyDescent="0.2">
      <c r="AM7516" t="str">
        <f t="shared" si="117"/>
        <v>Kofu [JPKUF]</v>
      </c>
      <c r="AN7516" t="s">
        <v>19610</v>
      </c>
      <c r="AO7516" t="s">
        <v>19611</v>
      </c>
    </row>
    <row r="7517" spans="39:41" ht="12" customHeight="1" x14ac:dyDescent="0.2">
      <c r="AM7517" t="str">
        <f t="shared" si="117"/>
        <v>Koge [DKKOG]</v>
      </c>
      <c r="AN7517" t="s">
        <v>8778</v>
      </c>
      <c r="AO7517" t="s">
        <v>35548</v>
      </c>
    </row>
    <row r="7518" spans="39:41" ht="12" customHeight="1" x14ac:dyDescent="0.2">
      <c r="AM7518" t="str">
        <f t="shared" si="117"/>
        <v>Koggala [LKKCT]</v>
      </c>
      <c r="AN7518" t="s">
        <v>21837</v>
      </c>
      <c r="AO7518" t="s">
        <v>21838</v>
      </c>
    </row>
    <row r="7519" spans="39:41" ht="12" customHeight="1" x14ac:dyDescent="0.2">
      <c r="AM7519" t="str">
        <f t="shared" si="117"/>
        <v>Koguchi [JPKGC]</v>
      </c>
      <c r="AN7519" t="s">
        <v>19612</v>
      </c>
      <c r="AO7519" t="s">
        <v>19613</v>
      </c>
    </row>
    <row r="7520" spans="39:41" ht="12" customHeight="1" x14ac:dyDescent="0.2">
      <c r="AM7520" t="str">
        <f t="shared" si="117"/>
        <v>Kogushi, Okayama [JPKOG]</v>
      </c>
      <c r="AN7520" t="s">
        <v>19614</v>
      </c>
      <c r="AO7520" t="s">
        <v>19615</v>
      </c>
    </row>
    <row r="7521" spans="39:41" ht="12" customHeight="1" x14ac:dyDescent="0.2">
      <c r="AM7521" t="str">
        <f t="shared" si="117"/>
        <v>Kogushi, Yamaguchi [JPKGS]</v>
      </c>
      <c r="AN7521" t="s">
        <v>19616</v>
      </c>
      <c r="AO7521" t="s">
        <v>19617</v>
      </c>
    </row>
    <row r="7522" spans="39:41" ht="12" customHeight="1" x14ac:dyDescent="0.2">
      <c r="AM7522" t="str">
        <f t="shared" si="117"/>
        <v>Koguva [EEKGV]</v>
      </c>
      <c r="AN7522" t="s">
        <v>9201</v>
      </c>
      <c r="AO7522" t="s">
        <v>9202</v>
      </c>
    </row>
    <row r="7523" spans="39:41" ht="12" customHeight="1" x14ac:dyDescent="0.2">
      <c r="AM7523" t="str">
        <f t="shared" si="117"/>
        <v>Koh Lanta [THKLA]</v>
      </c>
      <c r="AN7523" t="s">
        <v>28238</v>
      </c>
      <c r="AO7523" t="s">
        <v>28239</v>
      </c>
    </row>
    <row r="7524" spans="39:41" ht="12" customHeight="1" x14ac:dyDescent="0.2">
      <c r="AM7524" t="str">
        <f t="shared" si="117"/>
        <v>Koh Nok [THKNO]</v>
      </c>
      <c r="AN7524" t="s">
        <v>28240</v>
      </c>
      <c r="AO7524" t="s">
        <v>28241</v>
      </c>
    </row>
    <row r="7525" spans="39:41" ht="12" customHeight="1" x14ac:dyDescent="0.2">
      <c r="AM7525" t="str">
        <f t="shared" si="117"/>
        <v>Koh Sichang [THKSI]</v>
      </c>
      <c r="AN7525" t="s">
        <v>28242</v>
      </c>
      <c r="AO7525" t="s">
        <v>28243</v>
      </c>
    </row>
    <row r="7526" spans="39:41" ht="12" customHeight="1" x14ac:dyDescent="0.2">
      <c r="AM7526" t="str">
        <f t="shared" si="117"/>
        <v>Koh Yao [THKYO]</v>
      </c>
      <c r="AN7526" t="s">
        <v>28244</v>
      </c>
      <c r="AO7526" t="s">
        <v>28245</v>
      </c>
    </row>
    <row r="7527" spans="39:41" ht="12" customHeight="1" x14ac:dyDescent="0.2">
      <c r="AM7527" t="str">
        <f t="shared" si="117"/>
        <v>Kohama [JPKOH]</v>
      </c>
      <c r="AN7527" t="s">
        <v>19618</v>
      </c>
      <c r="AO7527" t="s">
        <v>19619</v>
      </c>
    </row>
    <row r="7528" spans="39:41" ht="12" customHeight="1" x14ac:dyDescent="0.2">
      <c r="AM7528" t="str">
        <f t="shared" si="117"/>
        <v>Koheshwar [INKTW]</v>
      </c>
      <c r="AN7528" t="s">
        <v>17242</v>
      </c>
      <c r="AO7528" t="s">
        <v>17243</v>
      </c>
    </row>
    <row r="7529" spans="39:41" ht="12" customHeight="1" x14ac:dyDescent="0.2">
      <c r="AM7529" t="str">
        <f t="shared" si="117"/>
        <v>Kohjima [JPKJA]</v>
      </c>
      <c r="AN7529" t="s">
        <v>19620</v>
      </c>
      <c r="AO7529" t="s">
        <v>19621</v>
      </c>
    </row>
    <row r="7530" spans="39:41" ht="12" customHeight="1" x14ac:dyDescent="0.2">
      <c r="AM7530" t="str">
        <f t="shared" si="117"/>
        <v>Kohjiro [JPKZR]</v>
      </c>
      <c r="AN7530" t="s">
        <v>19622</v>
      </c>
      <c r="AO7530" t="s">
        <v>19623</v>
      </c>
    </row>
    <row r="7531" spans="39:41" ht="12" customHeight="1" x14ac:dyDescent="0.2">
      <c r="AM7531" t="str">
        <f t="shared" si="117"/>
        <v>Kohmen [JPKOO]</v>
      </c>
      <c r="AN7531" t="s">
        <v>19624</v>
      </c>
      <c r="AO7531" t="s">
        <v>19625</v>
      </c>
    </row>
    <row r="7532" spans="39:41" ht="12" customHeight="1" x14ac:dyDescent="0.2">
      <c r="AM7532" t="str">
        <f t="shared" si="117"/>
        <v>Kohnen [AQKHN]</v>
      </c>
      <c r="AN7532" t="s">
        <v>940</v>
      </c>
      <c r="AO7532" t="s">
        <v>941</v>
      </c>
    </row>
    <row r="7533" spans="39:41" ht="12" customHeight="1" x14ac:dyDescent="0.2">
      <c r="AM7533" t="str">
        <f t="shared" si="117"/>
        <v>Kohnoura [JPKNR]</v>
      </c>
      <c r="AN7533" t="s">
        <v>19626</v>
      </c>
      <c r="AO7533" t="s">
        <v>19627</v>
      </c>
    </row>
    <row r="7534" spans="39:41" ht="12" customHeight="1" x14ac:dyDescent="0.2">
      <c r="AM7534" t="str">
        <f t="shared" si="117"/>
        <v>Kohtsufukae [JPKFU]</v>
      </c>
      <c r="AN7534" t="s">
        <v>19628</v>
      </c>
      <c r="AO7534" t="s">
        <v>19629</v>
      </c>
    </row>
    <row r="7535" spans="39:41" ht="12" customHeight="1" x14ac:dyDescent="0.2">
      <c r="AM7535" t="str">
        <f t="shared" si="117"/>
        <v>Kohtsuura [JPKTU]</v>
      </c>
      <c r="AN7535" t="s">
        <v>19630</v>
      </c>
      <c r="AO7535" t="s">
        <v>19631</v>
      </c>
    </row>
    <row r="7536" spans="39:41" ht="12" customHeight="1" x14ac:dyDescent="0.2">
      <c r="AM7536" t="str">
        <f t="shared" si="117"/>
        <v>Kohzaki [JPKKL]</v>
      </c>
      <c r="AN7536" t="s">
        <v>19632</v>
      </c>
      <c r="AO7536" t="s">
        <v>19633</v>
      </c>
    </row>
    <row r="7537" spans="39:41" ht="12" customHeight="1" x14ac:dyDescent="0.2">
      <c r="AM7537" t="str">
        <f t="shared" si="117"/>
        <v>Kohzujima [JPKOU]</v>
      </c>
      <c r="AN7537" t="s">
        <v>19634</v>
      </c>
      <c r="AO7537" t="s">
        <v>19635</v>
      </c>
    </row>
    <row r="7538" spans="39:41" ht="12" customHeight="1" x14ac:dyDescent="0.2">
      <c r="AM7538" t="str">
        <f t="shared" si="117"/>
        <v>Koiguste [EEKGS]</v>
      </c>
      <c r="AN7538" t="s">
        <v>9203</v>
      </c>
      <c r="AO7538" t="s">
        <v>35623</v>
      </c>
    </row>
    <row r="7539" spans="39:41" ht="12" customHeight="1" x14ac:dyDescent="0.2">
      <c r="AM7539" t="str">
        <f t="shared" si="117"/>
        <v>Koike/Uwajima [JPKOI]</v>
      </c>
      <c r="AN7539" t="s">
        <v>19636</v>
      </c>
      <c r="AO7539" t="s">
        <v>19637</v>
      </c>
    </row>
    <row r="7540" spans="39:41" ht="12" customHeight="1" x14ac:dyDescent="0.2">
      <c r="AM7540" t="str">
        <f t="shared" si="117"/>
        <v>Koilas Ermionidos [GRKIN]</v>
      </c>
      <c r="AN7540" t="s">
        <v>15306</v>
      </c>
      <c r="AO7540" t="s">
        <v>15307</v>
      </c>
    </row>
    <row r="7541" spans="39:41" ht="12" customHeight="1" x14ac:dyDescent="0.2">
      <c r="AM7541" t="str">
        <f t="shared" si="117"/>
        <v>Koilthottum [INKOI]</v>
      </c>
      <c r="AN7541" t="s">
        <v>17244</v>
      </c>
      <c r="AO7541" t="s">
        <v>17245</v>
      </c>
    </row>
    <row r="7542" spans="39:41" ht="12" customHeight="1" x14ac:dyDescent="0.2">
      <c r="AM7542" t="str">
        <f t="shared" si="117"/>
        <v>Koja [IDKOJ]</v>
      </c>
      <c r="AN7542" t="s">
        <v>16334</v>
      </c>
      <c r="AO7542" t="s">
        <v>16335</v>
      </c>
    </row>
    <row r="7543" spans="39:41" ht="12" customHeight="1" x14ac:dyDescent="0.2">
      <c r="AM7543" t="str">
        <f t="shared" si="117"/>
        <v>Kojonkulma [FIKOJ]</v>
      </c>
      <c r="AN7543" t="s">
        <v>10416</v>
      </c>
      <c r="AO7543" t="s">
        <v>10417</v>
      </c>
    </row>
    <row r="7544" spans="39:41" ht="12" customHeight="1" x14ac:dyDescent="0.2">
      <c r="AM7544" t="str">
        <f t="shared" ref="AM7544:AM7607" si="118">AO7544 &amp; " [" &amp; AN7544 &amp; "]"</f>
        <v>Koka [INKOK]</v>
      </c>
      <c r="AN7544" t="s">
        <v>17246</v>
      </c>
      <c r="AO7544" t="s">
        <v>17247</v>
      </c>
    </row>
    <row r="7545" spans="39:41" ht="12" customHeight="1" x14ac:dyDescent="0.2">
      <c r="AM7545" t="str">
        <f t="shared" si="118"/>
        <v>Kokar [FIKKR]</v>
      </c>
      <c r="AN7545" t="s">
        <v>10418</v>
      </c>
      <c r="AO7545" t="s">
        <v>35735</v>
      </c>
    </row>
    <row r="7546" spans="39:41" ht="12" customHeight="1" x14ac:dyDescent="0.2">
      <c r="AM7546" t="str">
        <f t="shared" si="118"/>
        <v>Kokas [IDKOK]</v>
      </c>
      <c r="AN7546" t="s">
        <v>16336</v>
      </c>
      <c r="AO7546" t="s">
        <v>16337</v>
      </c>
    </row>
    <row r="7547" spans="39:41" ht="12" customHeight="1" x14ac:dyDescent="0.2">
      <c r="AM7547" t="str">
        <f t="shared" si="118"/>
        <v>Koko [NGKOK]</v>
      </c>
      <c r="AN7547" t="s">
        <v>22951</v>
      </c>
      <c r="AO7547" t="s">
        <v>22952</v>
      </c>
    </row>
    <row r="7548" spans="39:41" ht="12" customHeight="1" x14ac:dyDescent="0.2">
      <c r="AM7548" t="str">
        <f t="shared" si="118"/>
        <v>Kokubo [JPKKB]</v>
      </c>
      <c r="AN7548" t="s">
        <v>19638</v>
      </c>
      <c r="AO7548" t="s">
        <v>19639</v>
      </c>
    </row>
    <row r="7549" spans="39:41" ht="12" customHeight="1" x14ac:dyDescent="0.2">
      <c r="AM7549" t="str">
        <f t="shared" si="118"/>
        <v>Kokura [JPKOK]</v>
      </c>
      <c r="AN7549" t="s">
        <v>19640</v>
      </c>
      <c r="AO7549" t="s">
        <v>19641</v>
      </c>
    </row>
    <row r="7550" spans="39:41" ht="12" customHeight="1" x14ac:dyDescent="0.2">
      <c r="AM7550" t="str">
        <f t="shared" si="118"/>
        <v>Kolaka [IDKOL]</v>
      </c>
      <c r="AN7550" t="s">
        <v>16338</v>
      </c>
      <c r="AO7550" t="s">
        <v>16339</v>
      </c>
    </row>
    <row r="7551" spans="39:41" ht="12" customHeight="1" x14ac:dyDescent="0.2">
      <c r="AM7551" t="str">
        <f t="shared" si="118"/>
        <v>Kolambugan/Iligan [PHKOL]</v>
      </c>
      <c r="AN7551" t="s">
        <v>25827</v>
      </c>
      <c r="AO7551" t="s">
        <v>25828</v>
      </c>
    </row>
    <row r="7552" spans="39:41" ht="12" customHeight="1" x14ac:dyDescent="0.2">
      <c r="AM7552" t="str">
        <f t="shared" si="118"/>
        <v>Kolarovo [SKKAO]</v>
      </c>
      <c r="AN7552" t="s">
        <v>28043</v>
      </c>
      <c r="AO7552" t="s">
        <v>36550</v>
      </c>
    </row>
    <row r="7553" spans="39:41" ht="12" customHeight="1" x14ac:dyDescent="0.2">
      <c r="AM7553" t="str">
        <f t="shared" si="118"/>
        <v>Kolby Kas [DKKOK]</v>
      </c>
      <c r="AN7553" t="s">
        <v>8779</v>
      </c>
      <c r="AO7553" t="s">
        <v>35549</v>
      </c>
    </row>
    <row r="7554" spans="39:41" ht="12" customHeight="1" x14ac:dyDescent="0.2">
      <c r="AM7554" t="str">
        <f t="shared" si="118"/>
        <v>Kolding [DKKOL]</v>
      </c>
      <c r="AN7554" t="s">
        <v>8780</v>
      </c>
      <c r="AO7554" t="s">
        <v>8781</v>
      </c>
    </row>
    <row r="7555" spans="39:41" ht="12" customHeight="1" x14ac:dyDescent="0.2">
      <c r="AM7555" t="str">
        <f t="shared" si="118"/>
        <v>Kole Terminal [CMKOL]</v>
      </c>
      <c r="AN7555" t="s">
        <v>5000</v>
      </c>
      <c r="AO7555" t="s">
        <v>5001</v>
      </c>
    </row>
    <row r="7556" spans="39:41" ht="12" customHeight="1" x14ac:dyDescent="0.2">
      <c r="AM7556" t="str">
        <f t="shared" si="118"/>
        <v>Kolenfeld [DEKOF]</v>
      </c>
      <c r="AN7556" t="s">
        <v>7721</v>
      </c>
      <c r="AO7556" t="s">
        <v>7722</v>
      </c>
    </row>
    <row r="7557" spans="39:41" ht="12" customHeight="1" x14ac:dyDescent="0.2">
      <c r="AM7557" t="str">
        <f t="shared" si="118"/>
        <v>Kolguyev Island [RUKYI]</v>
      </c>
      <c r="AN7557" t="s">
        <v>26999</v>
      </c>
      <c r="AO7557" t="s">
        <v>27000</v>
      </c>
    </row>
    <row r="7558" spans="39:41" ht="12" customHeight="1" x14ac:dyDescent="0.2">
      <c r="AM7558" t="str">
        <f t="shared" si="118"/>
        <v>Kolhorn [NLKHR]</v>
      </c>
      <c r="AN7558" t="s">
        <v>23328</v>
      </c>
      <c r="AO7558" t="s">
        <v>23329</v>
      </c>
    </row>
    <row r="7559" spans="39:41" ht="12" customHeight="1" x14ac:dyDescent="0.2">
      <c r="AM7559" t="str">
        <f t="shared" si="118"/>
        <v>Koljunuki [EEKLK]</v>
      </c>
      <c r="AN7559" t="s">
        <v>9204</v>
      </c>
      <c r="AO7559" t="s">
        <v>9205</v>
      </c>
    </row>
    <row r="7560" spans="39:41" ht="12" customHeight="1" x14ac:dyDescent="0.2">
      <c r="AM7560" t="str">
        <f t="shared" si="118"/>
        <v>Kolkata (ex Calcutta) [INCCU]</v>
      </c>
      <c r="AN7560" t="s">
        <v>17248</v>
      </c>
      <c r="AO7560" t="s">
        <v>17249</v>
      </c>
    </row>
    <row r="7561" spans="39:41" ht="12" customHeight="1" x14ac:dyDescent="0.2">
      <c r="AM7561" t="str">
        <f t="shared" si="118"/>
        <v>Kolkja [EEKOL]</v>
      </c>
      <c r="AN7561" t="s">
        <v>9206</v>
      </c>
      <c r="AO7561" t="s">
        <v>9207</v>
      </c>
    </row>
    <row r="7562" spans="39:41" ht="12" customHeight="1" x14ac:dyDescent="0.2">
      <c r="AM7562" t="str">
        <f t="shared" si="118"/>
        <v>Kollafjordur [FOKOL]</v>
      </c>
      <c r="AN7562" t="s">
        <v>10680</v>
      </c>
      <c r="AO7562" t="s">
        <v>35763</v>
      </c>
    </row>
    <row r="7563" spans="39:41" ht="12" customHeight="1" x14ac:dyDescent="0.2">
      <c r="AM7563" t="str">
        <f t="shared" si="118"/>
        <v>Kollbrunn [CHK3L]</v>
      </c>
      <c r="AN7563" t="s">
        <v>4703</v>
      </c>
      <c r="AO7563" t="s">
        <v>4704</v>
      </c>
    </row>
    <row r="7564" spans="39:41" ht="12" customHeight="1" x14ac:dyDescent="0.2">
      <c r="AM7564" t="str">
        <f t="shared" si="118"/>
        <v>Kollmar [DEKOL]</v>
      </c>
      <c r="AN7564" t="s">
        <v>7723</v>
      </c>
      <c r="AO7564" t="s">
        <v>7724</v>
      </c>
    </row>
    <row r="7565" spans="39:41" ht="12" customHeight="1" x14ac:dyDescent="0.2">
      <c r="AM7565" t="str">
        <f t="shared" si="118"/>
        <v>Kollsnes [NOKON]</v>
      </c>
      <c r="AN7565" t="s">
        <v>24347</v>
      </c>
      <c r="AO7565" t="s">
        <v>24348</v>
      </c>
    </row>
    <row r="7566" spans="39:41" ht="12" customHeight="1" x14ac:dyDescent="0.2">
      <c r="AM7566" t="str">
        <f t="shared" si="118"/>
        <v>Kollsnes Ost [NOKOL]</v>
      </c>
      <c r="AN7566" t="s">
        <v>24349</v>
      </c>
      <c r="AO7566" t="s">
        <v>36228</v>
      </c>
    </row>
    <row r="7567" spans="39:41" ht="12" customHeight="1" x14ac:dyDescent="0.2">
      <c r="AM7567" t="str">
        <f t="shared" si="118"/>
        <v>Kollum [NLKLM]</v>
      </c>
      <c r="AN7567" t="s">
        <v>23330</v>
      </c>
      <c r="AO7567" t="s">
        <v>23331</v>
      </c>
    </row>
    <row r="7568" spans="39:41" ht="12" customHeight="1" x14ac:dyDescent="0.2">
      <c r="AM7568" t="str">
        <f t="shared" si="118"/>
        <v>Kollund Mole [DKKDM]</v>
      </c>
      <c r="AN7568" t="s">
        <v>8782</v>
      </c>
      <c r="AO7568" t="s">
        <v>8783</v>
      </c>
    </row>
    <row r="7569" spans="39:41" ht="12" customHeight="1" x14ac:dyDescent="0.2">
      <c r="AM7569" t="str">
        <f t="shared" si="118"/>
        <v>Koln [DECGN]</v>
      </c>
      <c r="AN7569" t="s">
        <v>7725</v>
      </c>
      <c r="AO7569" t="s">
        <v>35455</v>
      </c>
    </row>
    <row r="7570" spans="39:41" ht="12" customHeight="1" x14ac:dyDescent="0.2">
      <c r="AM7570" t="str">
        <f t="shared" si="118"/>
        <v>Kolobrzeg [PLKOL]</v>
      </c>
      <c r="AN7570" t="s">
        <v>26321</v>
      </c>
      <c r="AO7570" t="s">
        <v>26322</v>
      </c>
    </row>
    <row r="7571" spans="39:41" ht="12" customHeight="1" x14ac:dyDescent="0.2">
      <c r="AM7571" t="str">
        <f t="shared" si="118"/>
        <v>Kolpashevo [RUKVO]</v>
      </c>
      <c r="AN7571" t="s">
        <v>27001</v>
      </c>
      <c r="AO7571" t="s">
        <v>27002</v>
      </c>
    </row>
    <row r="7572" spans="39:41" ht="12" customHeight="1" x14ac:dyDescent="0.2">
      <c r="AM7572" t="str">
        <f t="shared" si="118"/>
        <v>Koltogorskiye [RUKLT]</v>
      </c>
      <c r="AN7572" t="s">
        <v>27003</v>
      </c>
      <c r="AO7572" t="s">
        <v>27004</v>
      </c>
    </row>
    <row r="7573" spans="39:41" ht="12" customHeight="1" x14ac:dyDescent="0.2">
      <c r="AM7573" t="str">
        <f t="shared" si="118"/>
        <v>Kolvereid [NOKLD]</v>
      </c>
      <c r="AN7573" t="s">
        <v>34190</v>
      </c>
      <c r="AO7573" t="s">
        <v>24350</v>
      </c>
    </row>
    <row r="7574" spans="39:41" ht="12" customHeight="1" x14ac:dyDescent="0.2">
      <c r="AM7574" t="str">
        <f t="shared" si="118"/>
        <v>Komarno Port [SKKNP]</v>
      </c>
      <c r="AN7574" t="s">
        <v>28044</v>
      </c>
      <c r="AO7574" t="s">
        <v>28045</v>
      </c>
    </row>
    <row r="7575" spans="39:41" ht="12" customHeight="1" x14ac:dyDescent="0.2">
      <c r="AM7575" t="str">
        <f t="shared" si="118"/>
        <v>Komarom [HUKOM]</v>
      </c>
      <c r="AN7575" t="s">
        <v>16106</v>
      </c>
      <c r="AO7575" t="s">
        <v>36018</v>
      </c>
    </row>
    <row r="7576" spans="39:41" ht="12" customHeight="1" x14ac:dyDescent="0.2">
      <c r="AM7576" t="str">
        <f t="shared" si="118"/>
        <v>Komatsu, Ishikawa [JPKMQ]</v>
      </c>
      <c r="AN7576" t="s">
        <v>37013</v>
      </c>
      <c r="AO7576" t="s">
        <v>37014</v>
      </c>
    </row>
    <row r="7577" spans="39:41" ht="12" customHeight="1" x14ac:dyDescent="0.2">
      <c r="AM7577" t="str">
        <f t="shared" si="118"/>
        <v>Komatsu, Yamaguchi [JPKMX]</v>
      </c>
      <c r="AN7577" t="s">
        <v>19642</v>
      </c>
      <c r="AO7577" t="s">
        <v>19643</v>
      </c>
    </row>
    <row r="7578" spans="39:41" ht="12" customHeight="1" x14ac:dyDescent="0.2">
      <c r="AM7578" t="str">
        <f t="shared" si="118"/>
        <v>Komatsushima [JPKOM]</v>
      </c>
      <c r="AN7578" t="s">
        <v>19644</v>
      </c>
      <c r="AO7578" t="s">
        <v>19645</v>
      </c>
    </row>
    <row r="7579" spans="39:41" ht="12" customHeight="1" x14ac:dyDescent="0.2">
      <c r="AM7579" t="str">
        <f t="shared" si="118"/>
        <v>Komenotsu [JPKKO]</v>
      </c>
      <c r="AN7579" t="s">
        <v>19646</v>
      </c>
      <c r="AO7579" t="s">
        <v>19647</v>
      </c>
    </row>
    <row r="7580" spans="39:41" ht="12" customHeight="1" x14ac:dyDescent="0.2">
      <c r="AM7580" t="str">
        <f t="shared" si="118"/>
        <v>Kominato [JPKMN]</v>
      </c>
      <c r="AN7580" t="s">
        <v>19648</v>
      </c>
      <c r="AO7580" t="s">
        <v>19649</v>
      </c>
    </row>
    <row r="7581" spans="39:41" ht="12" customHeight="1" x14ac:dyDescent="0.2">
      <c r="AM7581" t="str">
        <f t="shared" si="118"/>
        <v>Komiza [HRKMZ]</v>
      </c>
      <c r="AN7581" t="s">
        <v>15776</v>
      </c>
      <c r="AO7581" t="s">
        <v>15777</v>
      </c>
    </row>
    <row r="7582" spans="39:41" ht="12" customHeight="1" x14ac:dyDescent="0.2">
      <c r="AM7582" t="str">
        <f t="shared" si="118"/>
        <v>Komkans [ZAKKN]</v>
      </c>
      <c r="AN7582" t="s">
        <v>32695</v>
      </c>
      <c r="AO7582" t="s">
        <v>32696</v>
      </c>
    </row>
    <row r="7583" spans="39:41" ht="12" customHeight="1" x14ac:dyDescent="0.2">
      <c r="AM7583" t="str">
        <f t="shared" si="118"/>
        <v>Kommetjie [ZAKOM]</v>
      </c>
      <c r="AN7583" t="s">
        <v>32697</v>
      </c>
      <c r="AO7583" t="s">
        <v>32698</v>
      </c>
    </row>
    <row r="7584" spans="39:41" ht="12" customHeight="1" x14ac:dyDescent="0.2">
      <c r="AM7584" t="str">
        <f t="shared" si="118"/>
        <v>Komoda [JPKMD]</v>
      </c>
      <c r="AN7584" t="s">
        <v>19650</v>
      </c>
      <c r="AO7584" t="s">
        <v>19651</v>
      </c>
    </row>
    <row r="7585" spans="39:41" ht="12" customHeight="1" x14ac:dyDescent="0.2">
      <c r="AM7585" t="str">
        <f t="shared" si="118"/>
        <v>Komodo [IDKMD]</v>
      </c>
      <c r="AN7585" t="s">
        <v>16340</v>
      </c>
      <c r="AO7585" t="s">
        <v>16341</v>
      </c>
    </row>
    <row r="7586" spans="39:41" ht="12" customHeight="1" x14ac:dyDescent="0.2">
      <c r="AM7586" t="str">
        <f t="shared" si="118"/>
        <v>Komoe [JPKAX]</v>
      </c>
      <c r="AN7586" t="s">
        <v>19652</v>
      </c>
      <c r="AO7586" t="s">
        <v>19653</v>
      </c>
    </row>
    <row r="7587" spans="39:41" ht="12" customHeight="1" x14ac:dyDescent="0.2">
      <c r="AM7587" t="str">
        <f t="shared" si="118"/>
        <v>Komukae [JPKKE]</v>
      </c>
      <c r="AN7587" t="s">
        <v>19654</v>
      </c>
      <c r="AO7587" t="s">
        <v>19655</v>
      </c>
    </row>
    <row r="7588" spans="39:41" ht="12" customHeight="1" x14ac:dyDescent="0.2">
      <c r="AM7588" t="str">
        <f t="shared" si="118"/>
        <v>Konagai [JPKNI]</v>
      </c>
      <c r="AN7588" t="s">
        <v>19656</v>
      </c>
      <c r="AO7588" t="s">
        <v>19657</v>
      </c>
    </row>
    <row r="7589" spans="39:41" ht="12" customHeight="1" x14ac:dyDescent="0.2">
      <c r="AM7589" t="str">
        <f t="shared" si="118"/>
        <v>Konak [TRKN2]</v>
      </c>
      <c r="AN7589" t="s">
        <v>34990</v>
      </c>
      <c r="AO7589" t="s">
        <v>34991</v>
      </c>
    </row>
    <row r="7590" spans="39:41" ht="12" customHeight="1" x14ac:dyDescent="0.2">
      <c r="AM7590" t="str">
        <f t="shared" si="118"/>
        <v>Konakovo [RUKOK]</v>
      </c>
      <c r="AN7590" t="s">
        <v>27005</v>
      </c>
      <c r="AO7590" t="s">
        <v>27006</v>
      </c>
    </row>
    <row r="7591" spans="39:41" ht="12" customHeight="1" x14ac:dyDescent="0.2">
      <c r="AM7591" t="str">
        <f t="shared" si="118"/>
        <v>Konan [JPKOF]</v>
      </c>
      <c r="AN7591" t="s">
        <v>19658</v>
      </c>
      <c r="AO7591" t="s">
        <v>19659</v>
      </c>
    </row>
    <row r="7592" spans="39:41" ht="12" customHeight="1" x14ac:dyDescent="0.2">
      <c r="AM7592" t="str">
        <f t="shared" si="118"/>
        <v>Konarak [INKON]</v>
      </c>
      <c r="AN7592" t="s">
        <v>17250</v>
      </c>
      <c r="AO7592" t="s">
        <v>17251</v>
      </c>
    </row>
    <row r="7593" spans="39:41" ht="12" customHeight="1" x14ac:dyDescent="0.2">
      <c r="AM7593" t="str">
        <f t="shared" si="118"/>
        <v>Konawa [USKW2]</v>
      </c>
      <c r="AN7593" t="s">
        <v>30308</v>
      </c>
      <c r="AO7593" t="s">
        <v>30309</v>
      </c>
    </row>
    <row r="7594" spans="39:41" ht="12" customHeight="1" x14ac:dyDescent="0.2">
      <c r="AM7594" t="str">
        <f t="shared" si="118"/>
        <v>Konbukariishi [JPKNB]</v>
      </c>
      <c r="AN7594" t="s">
        <v>19660</v>
      </c>
      <c r="AO7594" t="s">
        <v>19661</v>
      </c>
    </row>
    <row r="7595" spans="39:41" ht="12" customHeight="1" x14ac:dyDescent="0.2">
      <c r="AM7595" t="str">
        <f t="shared" si="118"/>
        <v>Kondavattavan [LKKON]</v>
      </c>
      <c r="AN7595" t="s">
        <v>21839</v>
      </c>
      <c r="AO7595" t="s">
        <v>21840</v>
      </c>
    </row>
    <row r="7596" spans="39:41" ht="12" customHeight="1" x14ac:dyDescent="0.2">
      <c r="AM7596" t="str">
        <f t="shared" si="118"/>
        <v>Kondiapetnam [INKDP]</v>
      </c>
      <c r="AN7596" t="s">
        <v>17252</v>
      </c>
      <c r="AO7596" t="s">
        <v>17253</v>
      </c>
    </row>
    <row r="7597" spans="39:41" ht="12" customHeight="1" x14ac:dyDescent="0.2">
      <c r="AM7597" t="str">
        <f t="shared" si="118"/>
        <v>Kondopoga [RUKPA]</v>
      </c>
      <c r="AN7597" t="s">
        <v>27007</v>
      </c>
      <c r="AO7597" t="s">
        <v>27008</v>
      </c>
    </row>
    <row r="7598" spans="39:41" ht="12" customHeight="1" x14ac:dyDescent="0.2">
      <c r="AM7598" t="str">
        <f t="shared" si="118"/>
        <v>Konets Lug [RUKNL]</v>
      </c>
      <c r="AN7598" t="s">
        <v>27009</v>
      </c>
      <c r="AO7598" t="s">
        <v>27010</v>
      </c>
    </row>
    <row r="7599" spans="39:41" ht="12" customHeight="1" x14ac:dyDescent="0.2">
      <c r="AM7599" t="str">
        <f t="shared" si="118"/>
        <v>Kongsdal Harbour [DKKGL]</v>
      </c>
      <c r="AN7599" t="s">
        <v>8784</v>
      </c>
      <c r="AO7599" t="s">
        <v>8785</v>
      </c>
    </row>
    <row r="7600" spans="39:41" ht="12" customHeight="1" x14ac:dyDescent="0.2">
      <c r="AM7600" t="str">
        <f t="shared" si="118"/>
        <v>Kongsfjord [NOKGF]</v>
      </c>
      <c r="AN7600" t="s">
        <v>24351</v>
      </c>
      <c r="AO7600" t="s">
        <v>24352</v>
      </c>
    </row>
    <row r="7601" spans="39:41" ht="12" customHeight="1" x14ac:dyDescent="0.2">
      <c r="AM7601" t="str">
        <f t="shared" si="118"/>
        <v>Konigs Wusterhausen [DEKWH]</v>
      </c>
      <c r="AN7601" t="s">
        <v>7726</v>
      </c>
      <c r="AO7601" t="s">
        <v>35456</v>
      </c>
    </row>
    <row r="7602" spans="39:41" ht="12" customHeight="1" x14ac:dyDescent="0.2">
      <c r="AM7602" t="str">
        <f t="shared" si="118"/>
        <v>Konigsmoor [DEKGM]</v>
      </c>
      <c r="AN7602" t="s">
        <v>7727</v>
      </c>
      <c r="AO7602" t="s">
        <v>35457</v>
      </c>
    </row>
    <row r="7603" spans="39:41" ht="12" customHeight="1" x14ac:dyDescent="0.2">
      <c r="AM7603" t="str">
        <f t="shared" si="118"/>
        <v>Konigswinter [DEKOW]</v>
      </c>
      <c r="AN7603" t="s">
        <v>7728</v>
      </c>
      <c r="AO7603" t="s">
        <v>35458</v>
      </c>
    </row>
    <row r="7604" spans="39:41" ht="12" customHeight="1" x14ac:dyDescent="0.2">
      <c r="AM7604" t="str">
        <f t="shared" si="118"/>
        <v>Koniya [JPKNY]</v>
      </c>
      <c r="AN7604" t="s">
        <v>19662</v>
      </c>
      <c r="AO7604" t="s">
        <v>19663</v>
      </c>
    </row>
    <row r="7605" spans="39:41" ht="12" customHeight="1" x14ac:dyDescent="0.2">
      <c r="AM7605" t="str">
        <f t="shared" si="118"/>
        <v>Konoshima [JPKON]</v>
      </c>
      <c r="AN7605" t="s">
        <v>19664</v>
      </c>
      <c r="AO7605" t="s">
        <v>19665</v>
      </c>
    </row>
    <row r="7606" spans="39:41" ht="12" customHeight="1" x14ac:dyDescent="0.2">
      <c r="AM7606" t="str">
        <f t="shared" si="118"/>
        <v>Konotopa [PLMK9]</v>
      </c>
      <c r="AN7606" t="s">
        <v>26323</v>
      </c>
      <c r="AO7606" t="s">
        <v>26324</v>
      </c>
    </row>
    <row r="7607" spans="39:41" ht="12" customHeight="1" x14ac:dyDescent="0.2">
      <c r="AM7607" t="str">
        <f t="shared" si="118"/>
        <v>Konoura [JPKNO]</v>
      </c>
      <c r="AN7607" t="s">
        <v>19666</v>
      </c>
      <c r="AO7607" t="s">
        <v>19667</v>
      </c>
    </row>
    <row r="7608" spans="39:41" ht="12" customHeight="1" x14ac:dyDescent="0.2">
      <c r="AM7608" t="str">
        <f t="shared" ref="AM7608:AM7671" si="119">AO7608 &amp; " [" &amp; AN7608 &amp; "]"</f>
        <v>Konstanz [DEKON]</v>
      </c>
      <c r="AN7608" t="s">
        <v>7729</v>
      </c>
      <c r="AO7608" t="s">
        <v>7730</v>
      </c>
    </row>
    <row r="7609" spans="39:41" ht="12" customHeight="1" x14ac:dyDescent="0.2">
      <c r="AM7609" t="str">
        <f t="shared" si="119"/>
        <v>Kontias Limnou [GRKNS]</v>
      </c>
      <c r="AN7609" t="s">
        <v>15308</v>
      </c>
      <c r="AO7609" t="s">
        <v>15309</v>
      </c>
    </row>
    <row r="7610" spans="39:41" ht="12" customHeight="1" x14ac:dyDescent="0.2">
      <c r="AM7610" t="str">
        <f t="shared" si="119"/>
        <v>Koolan Island [AUKOI]</v>
      </c>
      <c r="AN7610" t="s">
        <v>1783</v>
      </c>
      <c r="AO7610" t="s">
        <v>1784</v>
      </c>
    </row>
    <row r="7611" spans="39:41" ht="12" customHeight="1" x14ac:dyDescent="0.2">
      <c r="AM7611" t="str">
        <f t="shared" si="119"/>
        <v>Kopanos [GRKPS]</v>
      </c>
      <c r="AN7611" t="s">
        <v>15310</v>
      </c>
      <c r="AO7611" t="s">
        <v>35923</v>
      </c>
    </row>
    <row r="7612" spans="39:41" ht="12" customHeight="1" x14ac:dyDescent="0.2">
      <c r="AM7612" t="str">
        <f t="shared" si="119"/>
        <v>Kopasker - hofn [ISKOP]</v>
      </c>
      <c r="AN7612" t="s">
        <v>17729</v>
      </c>
      <c r="AO7612" t="s">
        <v>36053</v>
      </c>
    </row>
    <row r="7613" spans="39:41" ht="12" customHeight="1" x14ac:dyDescent="0.2">
      <c r="AM7613" t="str">
        <f t="shared" si="119"/>
        <v>Kopavogur [ISKOV]</v>
      </c>
      <c r="AN7613" t="s">
        <v>17730</v>
      </c>
      <c r="AO7613" t="s">
        <v>36054</v>
      </c>
    </row>
    <row r="7614" spans="39:41" ht="12" customHeight="1" x14ac:dyDescent="0.2">
      <c r="AM7614" t="str">
        <f t="shared" si="119"/>
        <v>Koper [SIKOP]</v>
      </c>
      <c r="AN7614" t="s">
        <v>28006</v>
      </c>
      <c r="AO7614" t="s">
        <v>28007</v>
      </c>
    </row>
    <row r="7615" spans="39:41" ht="12" customHeight="1" x14ac:dyDescent="0.2">
      <c r="AM7615" t="str">
        <f t="shared" si="119"/>
        <v>Kopervik [NOKOP]</v>
      </c>
      <c r="AN7615" t="s">
        <v>24353</v>
      </c>
      <c r="AO7615" t="s">
        <v>24354</v>
      </c>
    </row>
    <row r="7616" spans="39:41" ht="12" customHeight="1" x14ac:dyDescent="0.2">
      <c r="AM7616" t="str">
        <f t="shared" si="119"/>
        <v>Kopi [PGKOP]</v>
      </c>
      <c r="AN7616" t="s">
        <v>25410</v>
      </c>
      <c r="AO7616" t="s">
        <v>25411</v>
      </c>
    </row>
    <row r="7617" spans="39:41" ht="12" customHeight="1" x14ac:dyDescent="0.2">
      <c r="AM7617" t="str">
        <f t="shared" si="119"/>
        <v>Koping [SEKOG]</v>
      </c>
      <c r="AN7617" t="s">
        <v>27689</v>
      </c>
      <c r="AO7617" t="s">
        <v>36468</v>
      </c>
    </row>
    <row r="7618" spans="39:41" ht="12" customHeight="1" x14ac:dyDescent="0.2">
      <c r="AM7618" t="str">
        <f t="shared" si="119"/>
        <v>Kopmanholmen [SEKMH]</v>
      </c>
      <c r="AN7618" t="s">
        <v>27690</v>
      </c>
      <c r="AO7618" t="s">
        <v>36469</v>
      </c>
    </row>
    <row r="7619" spans="39:41" ht="12" customHeight="1" x14ac:dyDescent="0.2">
      <c r="AM7619" t="str">
        <f t="shared" si="119"/>
        <v>Kopparverkshamnen [SEKVH]</v>
      </c>
      <c r="AN7619" t="s">
        <v>27691</v>
      </c>
      <c r="AO7619" t="s">
        <v>27692</v>
      </c>
    </row>
    <row r="7620" spans="39:41" ht="12" customHeight="1" x14ac:dyDescent="0.2">
      <c r="AM7620" t="str">
        <f t="shared" si="119"/>
        <v>Koppel [USKPP]</v>
      </c>
      <c r="AN7620" t="s">
        <v>30310</v>
      </c>
      <c r="AO7620" t="s">
        <v>30311</v>
      </c>
    </row>
    <row r="7621" spans="39:41" ht="12" customHeight="1" x14ac:dyDescent="0.2">
      <c r="AM7621" t="str">
        <f t="shared" si="119"/>
        <v>Koppigen [CHKPP]</v>
      </c>
      <c r="AN7621" t="s">
        <v>4705</v>
      </c>
      <c r="AO7621" t="s">
        <v>4706</v>
      </c>
    </row>
    <row r="7622" spans="39:41" ht="12" customHeight="1" x14ac:dyDescent="0.2">
      <c r="AM7622" t="str">
        <f t="shared" si="119"/>
        <v>Korcula [HRKOR]</v>
      </c>
      <c r="AN7622" t="s">
        <v>15778</v>
      </c>
      <c r="AO7622" t="s">
        <v>15779</v>
      </c>
    </row>
    <row r="7623" spans="39:41" ht="12" customHeight="1" x14ac:dyDescent="0.2">
      <c r="AM7623" t="str">
        <f t="shared" si="119"/>
        <v>Korf [RUKRF]</v>
      </c>
      <c r="AN7623" t="s">
        <v>27011</v>
      </c>
      <c r="AO7623" t="s">
        <v>27012</v>
      </c>
    </row>
    <row r="7624" spans="39:41" ht="12" customHeight="1" x14ac:dyDescent="0.2">
      <c r="AM7624" t="str">
        <f t="shared" si="119"/>
        <v>Korfez [TRKFZ]</v>
      </c>
      <c r="AN7624" t="s">
        <v>28530</v>
      </c>
      <c r="AO7624" t="s">
        <v>36578</v>
      </c>
    </row>
    <row r="7625" spans="39:41" ht="12" customHeight="1" x14ac:dyDescent="0.2">
      <c r="AM7625" t="str">
        <f t="shared" si="119"/>
        <v>Korgessaare [EEKRG]</v>
      </c>
      <c r="AN7625" t="s">
        <v>9208</v>
      </c>
      <c r="AO7625" t="s">
        <v>35624</v>
      </c>
    </row>
    <row r="7626" spans="39:41" ht="12" customHeight="1" x14ac:dyDescent="0.2">
      <c r="AM7626" t="str">
        <f t="shared" si="119"/>
        <v>Korinthos [GRKRT]</v>
      </c>
      <c r="AN7626" t="s">
        <v>15311</v>
      </c>
      <c r="AO7626" t="s">
        <v>35924</v>
      </c>
    </row>
    <row r="7627" spans="39:41" ht="12" customHeight="1" x14ac:dyDescent="0.2">
      <c r="AM7627" t="str">
        <f t="shared" si="119"/>
        <v>Kormend [HUKOR]</v>
      </c>
      <c r="AN7627" t="s">
        <v>16107</v>
      </c>
      <c r="AO7627" t="s">
        <v>36019</v>
      </c>
    </row>
    <row r="7628" spans="39:41" ht="12" customHeight="1" x14ac:dyDescent="0.2">
      <c r="AM7628" t="str">
        <f t="shared" si="119"/>
        <v>Koromacno [HRKRM]</v>
      </c>
      <c r="AN7628" t="s">
        <v>15780</v>
      </c>
      <c r="AO7628" t="s">
        <v>15781</v>
      </c>
    </row>
    <row r="7629" spans="39:41" ht="12" customHeight="1" x14ac:dyDescent="0.2">
      <c r="AM7629" t="str">
        <f t="shared" si="119"/>
        <v>Koror [PWROR]</v>
      </c>
      <c r="AN7629" t="s">
        <v>26655</v>
      </c>
      <c r="AO7629" t="s">
        <v>26656</v>
      </c>
    </row>
    <row r="7630" spans="39:41" ht="12" customHeight="1" x14ac:dyDescent="0.2">
      <c r="AM7630" t="str">
        <f t="shared" si="119"/>
        <v>Korpo (Korppoo) [FIKOR]</v>
      </c>
      <c r="AN7630" t="s">
        <v>10419</v>
      </c>
      <c r="AO7630" t="s">
        <v>10420</v>
      </c>
    </row>
    <row r="7631" spans="39:41" ht="12" customHeight="1" x14ac:dyDescent="0.2">
      <c r="AM7631" t="str">
        <f t="shared" si="119"/>
        <v>Korsakov [RUKOR]</v>
      </c>
      <c r="AN7631" t="s">
        <v>27013</v>
      </c>
      <c r="AO7631" t="s">
        <v>27014</v>
      </c>
    </row>
    <row r="7632" spans="39:41" ht="12" customHeight="1" x14ac:dyDescent="0.2">
      <c r="AM7632" t="str">
        <f t="shared" si="119"/>
        <v>Korsnas [SEKOS]</v>
      </c>
      <c r="AN7632" t="s">
        <v>37150</v>
      </c>
      <c r="AO7632" t="s">
        <v>37151</v>
      </c>
    </row>
    <row r="7633" spans="39:41" ht="12" customHeight="1" x14ac:dyDescent="0.2">
      <c r="AM7633" t="str">
        <f t="shared" si="119"/>
        <v>Korsor [DKKRR]</v>
      </c>
      <c r="AN7633" t="s">
        <v>8786</v>
      </c>
      <c r="AO7633" t="s">
        <v>35550</v>
      </c>
    </row>
    <row r="7634" spans="39:41" ht="12" customHeight="1" x14ac:dyDescent="0.2">
      <c r="AM7634" t="str">
        <f t="shared" si="119"/>
        <v>Kortrijk [BEKJK]</v>
      </c>
      <c r="AN7634" t="s">
        <v>2610</v>
      </c>
      <c r="AO7634" t="s">
        <v>2611</v>
      </c>
    </row>
    <row r="7635" spans="39:41" ht="12" customHeight="1" x14ac:dyDescent="0.2">
      <c r="AM7635" t="str">
        <f t="shared" si="119"/>
        <v>Korycany [CZKOR]</v>
      </c>
      <c r="AN7635" t="s">
        <v>6860</v>
      </c>
      <c r="AO7635" t="s">
        <v>6861</v>
      </c>
    </row>
    <row r="7636" spans="39:41" ht="12" customHeight="1" x14ac:dyDescent="0.2">
      <c r="AM7636" t="str">
        <f t="shared" si="119"/>
        <v>Korzenna [PLKZ4]</v>
      </c>
      <c r="AN7636" t="s">
        <v>26325</v>
      </c>
      <c r="AO7636" t="s">
        <v>26326</v>
      </c>
    </row>
    <row r="7637" spans="39:41" ht="12" customHeight="1" x14ac:dyDescent="0.2">
      <c r="AM7637" t="str">
        <f t="shared" si="119"/>
        <v>Kos [GRKGS]</v>
      </c>
      <c r="AN7637" t="s">
        <v>15312</v>
      </c>
      <c r="AO7637" t="s">
        <v>15313</v>
      </c>
    </row>
    <row r="7638" spans="39:41" ht="12" customHeight="1" x14ac:dyDescent="0.2">
      <c r="AM7638" t="str">
        <f t="shared" si="119"/>
        <v>Kosagi [CIKOS]</v>
      </c>
      <c r="AN7638" t="s">
        <v>4791</v>
      </c>
      <c r="AO7638" t="s">
        <v>4792</v>
      </c>
    </row>
    <row r="7639" spans="39:41" ht="12" customHeight="1" x14ac:dyDescent="0.2">
      <c r="AM7639" t="str">
        <f t="shared" si="119"/>
        <v>Kosbach [DEKB6]</v>
      </c>
      <c r="AN7639" t="s">
        <v>7731</v>
      </c>
      <c r="AO7639" t="s">
        <v>7732</v>
      </c>
    </row>
    <row r="7640" spans="39:41" ht="12" customHeight="1" x14ac:dyDescent="0.2">
      <c r="AM7640" t="str">
        <f t="shared" si="119"/>
        <v>Kose [JPKOS]</v>
      </c>
      <c r="AN7640" t="s">
        <v>19668</v>
      </c>
      <c r="AO7640" t="s">
        <v>19669</v>
      </c>
    </row>
    <row r="7641" spans="39:41" ht="12" customHeight="1" x14ac:dyDescent="0.2">
      <c r="AM7641" t="str">
        <f t="shared" si="119"/>
        <v>Koshi [JPAPP]</v>
      </c>
      <c r="AN7641" t="s">
        <v>19670</v>
      </c>
      <c r="AO7641" t="s">
        <v>19671</v>
      </c>
    </row>
    <row r="7642" spans="39:41" ht="12" customHeight="1" x14ac:dyDescent="0.2">
      <c r="AM7642" t="str">
        <f t="shared" si="119"/>
        <v>Koshima [JPKJJ]</v>
      </c>
      <c r="AN7642" t="s">
        <v>19672</v>
      </c>
      <c r="AO7642" t="s">
        <v>19673</v>
      </c>
    </row>
    <row r="7643" spans="39:41" ht="12" customHeight="1" x14ac:dyDescent="0.2">
      <c r="AM7643" t="str">
        <f t="shared" si="119"/>
        <v>Koskenkorva [FIKKV]</v>
      </c>
      <c r="AN7643" t="s">
        <v>10421</v>
      </c>
      <c r="AO7643" t="s">
        <v>10422</v>
      </c>
    </row>
    <row r="7644" spans="39:41" ht="12" customHeight="1" x14ac:dyDescent="0.2">
      <c r="AM7644" t="str">
        <f t="shared" si="119"/>
        <v>Kosor [CZKOQ]</v>
      </c>
      <c r="AN7644" t="s">
        <v>6862</v>
      </c>
      <c r="AO7644" t="s">
        <v>6863</v>
      </c>
    </row>
    <row r="7645" spans="39:41" ht="12" customHeight="1" x14ac:dyDescent="0.2">
      <c r="AM7645" t="str">
        <f t="shared" si="119"/>
        <v>Kosrae (ex Kusaie) [FMKSA]</v>
      </c>
      <c r="AN7645" t="s">
        <v>10651</v>
      </c>
      <c r="AO7645" t="s">
        <v>10652</v>
      </c>
    </row>
    <row r="7646" spans="39:41" ht="12" customHeight="1" x14ac:dyDescent="0.2">
      <c r="AM7646" t="str">
        <f t="shared" si="119"/>
        <v>Kosta Ermionidas [GRKEM]</v>
      </c>
      <c r="AN7646" t="s">
        <v>15314</v>
      </c>
      <c r="AO7646" t="s">
        <v>15315</v>
      </c>
    </row>
    <row r="7647" spans="39:41" ht="12" customHeight="1" x14ac:dyDescent="0.2">
      <c r="AM7647" t="str">
        <f t="shared" si="119"/>
        <v>Kostelec nad Labem [CZKSL]</v>
      </c>
      <c r="AN7647" t="s">
        <v>6864</v>
      </c>
      <c r="AO7647" t="s">
        <v>6865</v>
      </c>
    </row>
    <row r="7648" spans="39:41" ht="12" customHeight="1" x14ac:dyDescent="0.2">
      <c r="AM7648" t="str">
        <f t="shared" si="119"/>
        <v>Kosten [DEKTN]</v>
      </c>
      <c r="AN7648" t="s">
        <v>7733</v>
      </c>
      <c r="AO7648" t="s">
        <v>35459</v>
      </c>
    </row>
    <row r="7649" spans="39:41" ht="12" customHeight="1" x14ac:dyDescent="0.2">
      <c r="AM7649" t="str">
        <f t="shared" si="119"/>
        <v>Kostomloty [PLKLY]</v>
      </c>
      <c r="AN7649" t="s">
        <v>26327</v>
      </c>
      <c r="AO7649" t="s">
        <v>26328</v>
      </c>
    </row>
    <row r="7650" spans="39:41" ht="12" customHeight="1" x14ac:dyDescent="0.2">
      <c r="AM7650" t="str">
        <f t="shared" si="119"/>
        <v>Kostomuksha [RUKMA]</v>
      </c>
      <c r="AN7650" t="s">
        <v>27015</v>
      </c>
      <c r="AO7650" t="s">
        <v>27016</v>
      </c>
    </row>
    <row r="7651" spans="39:41" ht="12" customHeight="1" x14ac:dyDescent="0.2">
      <c r="AM7651" t="str">
        <f t="shared" si="119"/>
        <v>Kostrena [HRKOS]</v>
      </c>
      <c r="AN7651" t="s">
        <v>15782</v>
      </c>
      <c r="AO7651" t="s">
        <v>15783</v>
      </c>
    </row>
    <row r="7652" spans="39:41" ht="12" customHeight="1" x14ac:dyDescent="0.2">
      <c r="AM7652" t="str">
        <f t="shared" si="119"/>
        <v>Kostyukovichi [BYKYC]</v>
      </c>
      <c r="AN7652" t="s">
        <v>3492</v>
      </c>
      <c r="AO7652" t="s">
        <v>3493</v>
      </c>
    </row>
    <row r="7653" spans="39:41" ht="12" customHeight="1" x14ac:dyDescent="0.2">
      <c r="AM7653" t="str">
        <f t="shared" si="119"/>
        <v>Kosuki [JPKSX]</v>
      </c>
      <c r="AN7653" t="s">
        <v>19674</v>
      </c>
      <c r="AO7653" t="s">
        <v>19675</v>
      </c>
    </row>
    <row r="7654" spans="39:41" ht="12" customHeight="1" x14ac:dyDescent="0.2">
      <c r="AM7654" t="str">
        <f t="shared" si="119"/>
        <v>Kota Belud, Sabah [MYKBD]</v>
      </c>
      <c r="AN7654" t="s">
        <v>22576</v>
      </c>
      <c r="AO7654" t="s">
        <v>22577</v>
      </c>
    </row>
    <row r="7655" spans="39:41" ht="12" customHeight="1" x14ac:dyDescent="0.2">
      <c r="AM7655" t="str">
        <f t="shared" si="119"/>
        <v>Kota Bharu [MYKBR]</v>
      </c>
      <c r="AN7655" t="s">
        <v>22578</v>
      </c>
      <c r="AO7655" t="s">
        <v>22579</v>
      </c>
    </row>
    <row r="7656" spans="39:41" ht="12" customHeight="1" x14ac:dyDescent="0.2">
      <c r="AM7656" t="str">
        <f t="shared" si="119"/>
        <v>Kota Kinabalu, Sabah [MYBKI]</v>
      </c>
      <c r="AN7656" t="s">
        <v>22580</v>
      </c>
      <c r="AO7656" t="s">
        <v>22581</v>
      </c>
    </row>
    <row r="7657" spans="39:41" ht="12" customHeight="1" x14ac:dyDescent="0.2">
      <c r="AM7657" t="str">
        <f t="shared" si="119"/>
        <v>Kota Sarang Semut [MYKSS]</v>
      </c>
      <c r="AN7657" t="s">
        <v>22582</v>
      </c>
      <c r="AO7657" t="s">
        <v>22583</v>
      </c>
    </row>
    <row r="7658" spans="39:41" ht="12" customHeight="1" x14ac:dyDescent="0.2">
      <c r="AM7658" t="str">
        <f t="shared" si="119"/>
        <v>Kota Tinggi [MYKTI]</v>
      </c>
      <c r="AN7658" t="s">
        <v>22584</v>
      </c>
      <c r="AO7658" t="s">
        <v>22585</v>
      </c>
    </row>
    <row r="7659" spans="39:41" ht="12" customHeight="1" x14ac:dyDescent="0.2">
      <c r="AM7659" t="str">
        <f t="shared" si="119"/>
        <v>Kotakarajima [JPKTJ]</v>
      </c>
      <c r="AN7659" t="s">
        <v>19676</v>
      </c>
      <c r="AO7659" t="s">
        <v>19677</v>
      </c>
    </row>
    <row r="7660" spans="39:41" ht="12" customHeight="1" x14ac:dyDescent="0.2">
      <c r="AM7660" t="str">
        <f t="shared" si="119"/>
        <v>Kotapinang, Baru [IDKPN]</v>
      </c>
      <c r="AN7660" t="s">
        <v>16342</v>
      </c>
      <c r="AO7660" t="s">
        <v>16343</v>
      </c>
    </row>
    <row r="7661" spans="39:41" ht="12" customHeight="1" x14ac:dyDescent="0.2">
      <c r="AM7661" t="str">
        <f t="shared" si="119"/>
        <v>Kotda [INKTD]</v>
      </c>
      <c r="AN7661" t="s">
        <v>17254</v>
      </c>
      <c r="AO7661" t="s">
        <v>17255</v>
      </c>
    </row>
    <row r="7662" spans="39:41" ht="12" customHeight="1" x14ac:dyDescent="0.2">
      <c r="AM7662" t="str">
        <f t="shared" si="119"/>
        <v>Kotel'niki [RUXC2]</v>
      </c>
      <c r="AN7662" t="s">
        <v>27017</v>
      </c>
      <c r="AO7662" t="s">
        <v>27018</v>
      </c>
    </row>
    <row r="7663" spans="39:41" ht="12" customHeight="1" x14ac:dyDescent="0.2">
      <c r="AM7663" t="str">
        <f t="shared" si="119"/>
        <v>Kotel'nyy [RUKOT]</v>
      </c>
      <c r="AN7663" t="s">
        <v>27019</v>
      </c>
      <c r="AO7663" t="s">
        <v>27020</v>
      </c>
    </row>
    <row r="7664" spans="39:41" ht="12" customHeight="1" x14ac:dyDescent="0.2">
      <c r="AM7664" t="str">
        <f t="shared" si="119"/>
        <v>Kotka [FIKTK]</v>
      </c>
      <c r="AN7664" t="s">
        <v>10423</v>
      </c>
      <c r="AO7664" t="s">
        <v>10424</v>
      </c>
    </row>
    <row r="7665" spans="39:41" ht="12" customHeight="1" x14ac:dyDescent="0.2">
      <c r="AM7665" t="str">
        <f t="shared" si="119"/>
        <v>Kotor [MEKOT]</v>
      </c>
      <c r="AN7665" t="s">
        <v>22086</v>
      </c>
      <c r="AO7665" t="s">
        <v>22087</v>
      </c>
    </row>
    <row r="7666" spans="39:41" ht="12" customHeight="1" x14ac:dyDescent="0.2">
      <c r="AM7666" t="str">
        <f t="shared" si="119"/>
        <v>Kotoura [JPJKT]</v>
      </c>
      <c r="AN7666" t="s">
        <v>19678</v>
      </c>
      <c r="AO7666" t="s">
        <v>19679</v>
      </c>
    </row>
    <row r="7667" spans="39:41" ht="12" customHeight="1" x14ac:dyDescent="0.2">
      <c r="AM7667" t="str">
        <f t="shared" si="119"/>
        <v>Kottoi [JPKTO]</v>
      </c>
      <c r="AN7667" t="s">
        <v>19680</v>
      </c>
      <c r="AO7667" t="s">
        <v>19681</v>
      </c>
    </row>
    <row r="7668" spans="39:41" ht="12" customHeight="1" x14ac:dyDescent="0.2">
      <c r="AM7668" t="str">
        <f t="shared" si="119"/>
        <v>Kouaoua [NCKOU]</v>
      </c>
      <c r="AN7668" t="s">
        <v>22881</v>
      </c>
      <c r="AO7668" t="s">
        <v>22882</v>
      </c>
    </row>
    <row r="7669" spans="39:41" ht="12" customHeight="1" x14ac:dyDescent="0.2">
      <c r="AM7669" t="str">
        <f t="shared" si="119"/>
        <v>Koufonissia Kykladon [GRKOF]</v>
      </c>
      <c r="AN7669" t="s">
        <v>15316</v>
      </c>
      <c r="AO7669" t="s">
        <v>15317</v>
      </c>
    </row>
    <row r="7670" spans="39:41" ht="12" customHeight="1" x14ac:dyDescent="0.2">
      <c r="AM7670" t="str">
        <f t="shared" si="119"/>
        <v>Koura, Kagawa [JPKOR]</v>
      </c>
      <c r="AN7670" t="s">
        <v>19682</v>
      </c>
      <c r="AO7670" t="s">
        <v>19683</v>
      </c>
    </row>
    <row r="7671" spans="39:41" ht="12" customHeight="1" x14ac:dyDescent="0.2">
      <c r="AM7671" t="str">
        <f t="shared" si="119"/>
        <v>Koura, Kagoshima [JPKJU]</v>
      </c>
      <c r="AN7671" t="s">
        <v>19684</v>
      </c>
      <c r="AO7671" t="s">
        <v>19685</v>
      </c>
    </row>
    <row r="7672" spans="39:41" ht="12" customHeight="1" x14ac:dyDescent="0.2">
      <c r="AM7672" t="str">
        <f t="shared" ref="AM7672:AM7735" si="120">AO7672 &amp; " [" &amp; AN7672 &amp; "]"</f>
        <v>Kouri [JPKKR]</v>
      </c>
      <c r="AN7672" t="s">
        <v>19686</v>
      </c>
      <c r="AO7672" t="s">
        <v>19687</v>
      </c>
    </row>
    <row r="7673" spans="39:41" ht="12" customHeight="1" x14ac:dyDescent="0.2">
      <c r="AM7673" t="str">
        <f t="shared" si="120"/>
        <v>Kourou [GFQKR]</v>
      </c>
      <c r="AN7673" t="s">
        <v>14943</v>
      </c>
      <c r="AO7673" t="s">
        <v>14944</v>
      </c>
    </row>
    <row r="7674" spans="39:41" ht="12" customHeight="1" x14ac:dyDescent="0.2">
      <c r="AM7674" t="str">
        <f t="shared" si="120"/>
        <v>Kovalam [INKVL]</v>
      </c>
      <c r="AN7674" t="s">
        <v>17256</v>
      </c>
      <c r="AO7674" t="s">
        <v>17257</v>
      </c>
    </row>
    <row r="7675" spans="39:41" ht="12" customHeight="1" x14ac:dyDescent="0.2">
      <c r="AM7675" t="str">
        <f t="shared" si="120"/>
        <v>Kovenig [DEKVG]</v>
      </c>
      <c r="AN7675" t="s">
        <v>7734</v>
      </c>
      <c r="AO7675" t="s">
        <v>35460</v>
      </c>
    </row>
    <row r="7676" spans="39:41" ht="12" customHeight="1" x14ac:dyDescent="0.2">
      <c r="AM7676" t="str">
        <f t="shared" si="120"/>
        <v>Koverhaara (Koverhar) [FIKVH]</v>
      </c>
      <c r="AN7676" t="s">
        <v>10425</v>
      </c>
      <c r="AO7676" t="s">
        <v>10426</v>
      </c>
    </row>
    <row r="7677" spans="39:41" ht="12" customHeight="1" x14ac:dyDescent="0.2">
      <c r="AM7677" t="str">
        <f t="shared" si="120"/>
        <v>Kovik Bay [CAKOV]</v>
      </c>
      <c r="AN7677" t="s">
        <v>3992</v>
      </c>
      <c r="AO7677" t="s">
        <v>3993</v>
      </c>
    </row>
    <row r="7678" spans="39:41" ht="12" customHeight="1" x14ac:dyDescent="0.2">
      <c r="AM7678" t="str">
        <f t="shared" si="120"/>
        <v>Kowa [JPKWX]</v>
      </c>
      <c r="AN7678" t="s">
        <v>19688</v>
      </c>
      <c r="AO7678" t="s">
        <v>19689</v>
      </c>
    </row>
    <row r="7679" spans="39:41" ht="12" customHeight="1" x14ac:dyDescent="0.2">
      <c r="AM7679" t="str">
        <f t="shared" si="120"/>
        <v>Kowloon [HKKWN]</v>
      </c>
      <c r="AN7679" t="s">
        <v>15652</v>
      </c>
      <c r="AO7679" t="s">
        <v>15653</v>
      </c>
    </row>
    <row r="7680" spans="39:41" ht="12" customHeight="1" x14ac:dyDescent="0.2">
      <c r="AM7680" t="str">
        <f t="shared" si="120"/>
        <v>Koyoh/Etajima [JPKOY]</v>
      </c>
      <c r="AN7680" t="s">
        <v>19690</v>
      </c>
      <c r="AO7680" t="s">
        <v>19691</v>
      </c>
    </row>
    <row r="7681" spans="39:41" ht="12" customHeight="1" x14ac:dyDescent="0.2">
      <c r="AM7681" t="str">
        <f t="shared" si="120"/>
        <v>Koyoh/Kawajiri [JPKYO]</v>
      </c>
      <c r="AN7681" t="s">
        <v>19692</v>
      </c>
      <c r="AO7681" t="s">
        <v>19693</v>
      </c>
    </row>
    <row r="7682" spans="39:41" ht="12" customHeight="1" x14ac:dyDescent="0.2">
      <c r="AM7682" t="str">
        <f t="shared" si="120"/>
        <v>Koza [JPKOB]</v>
      </c>
      <c r="AN7682" t="s">
        <v>19694</v>
      </c>
      <c r="AO7682" t="s">
        <v>19695</v>
      </c>
    </row>
    <row r="7683" spans="39:41" ht="12" customHeight="1" x14ac:dyDescent="0.2">
      <c r="AM7683" t="str">
        <f t="shared" si="120"/>
        <v>Kozai [JPKZJ]</v>
      </c>
      <c r="AN7683" t="s">
        <v>19696</v>
      </c>
      <c r="AO7683" t="s">
        <v>19697</v>
      </c>
    </row>
    <row r="7684" spans="39:41" ht="12" customHeight="1" x14ac:dyDescent="0.2">
      <c r="AM7684" t="str">
        <f t="shared" si="120"/>
        <v>Kozera [JPKZE]</v>
      </c>
      <c r="AN7684" t="s">
        <v>19698</v>
      </c>
      <c r="AO7684" t="s">
        <v>19699</v>
      </c>
    </row>
    <row r="7685" spans="39:41" ht="12" customHeight="1" x14ac:dyDescent="0.2">
      <c r="AM7685" t="str">
        <f t="shared" si="120"/>
        <v>Kozhevnikovo [RUKZH]</v>
      </c>
      <c r="AN7685" t="s">
        <v>27021</v>
      </c>
      <c r="AO7685" t="s">
        <v>27022</v>
      </c>
    </row>
    <row r="7686" spans="39:41" ht="12" customHeight="1" x14ac:dyDescent="0.2">
      <c r="AM7686" t="str">
        <f t="shared" si="120"/>
        <v>Kozhikode (ex Calicut) [INCCJ]</v>
      </c>
      <c r="AN7686" t="s">
        <v>17258</v>
      </c>
      <c r="AO7686" t="s">
        <v>17259</v>
      </c>
    </row>
    <row r="7687" spans="39:41" ht="12" customHeight="1" x14ac:dyDescent="0.2">
      <c r="AM7687" t="str">
        <f t="shared" si="120"/>
        <v>Kozmino Port [RUKZM]</v>
      </c>
      <c r="AN7687" t="s">
        <v>27023</v>
      </c>
      <c r="AO7687" t="s">
        <v>27024</v>
      </c>
    </row>
    <row r="7688" spans="39:41" ht="12" customHeight="1" x14ac:dyDescent="0.2">
      <c r="AM7688" t="str">
        <f t="shared" si="120"/>
        <v>Kozukushi [JPKZK]</v>
      </c>
      <c r="AN7688" t="s">
        <v>19700</v>
      </c>
      <c r="AO7688" t="s">
        <v>19701</v>
      </c>
    </row>
    <row r="7689" spans="39:41" ht="12" customHeight="1" x14ac:dyDescent="0.2">
      <c r="AM7689" t="str">
        <f t="shared" si="120"/>
        <v>Kozuna [JPKOZ]</v>
      </c>
      <c r="AN7689" t="s">
        <v>19702</v>
      </c>
      <c r="AO7689" t="s">
        <v>19703</v>
      </c>
    </row>
    <row r="7690" spans="39:41" ht="12" customHeight="1" x14ac:dyDescent="0.2">
      <c r="AM7690" t="str">
        <f t="shared" si="120"/>
        <v>Kpeme [TGKPE]</v>
      </c>
      <c r="AN7690" t="s">
        <v>28196</v>
      </c>
      <c r="AO7690" t="s">
        <v>28197</v>
      </c>
    </row>
    <row r="7691" spans="39:41" ht="12" customHeight="1" x14ac:dyDescent="0.2">
      <c r="AM7691" t="str">
        <f t="shared" si="120"/>
        <v>Krabbendijke [NLIJK]</v>
      </c>
      <c r="AN7691" t="s">
        <v>23332</v>
      </c>
      <c r="AO7691" t="s">
        <v>23333</v>
      </c>
    </row>
    <row r="7692" spans="39:41" ht="12" customHeight="1" x14ac:dyDescent="0.2">
      <c r="AM7692" t="str">
        <f t="shared" si="120"/>
        <v>Kragenas [DKKRA]</v>
      </c>
      <c r="AN7692" t="s">
        <v>8787</v>
      </c>
      <c r="AO7692" t="s">
        <v>35551</v>
      </c>
    </row>
    <row r="7693" spans="39:41" ht="12" customHeight="1" x14ac:dyDescent="0.2">
      <c r="AM7693" t="str">
        <f t="shared" si="120"/>
        <v>Kragero [NOKRA]</v>
      </c>
      <c r="AN7693" t="s">
        <v>24355</v>
      </c>
      <c r="AO7693" t="s">
        <v>36229</v>
      </c>
    </row>
    <row r="7694" spans="39:41" ht="12" customHeight="1" x14ac:dyDescent="0.2">
      <c r="AM7694" t="str">
        <f t="shared" si="120"/>
        <v>Kralendijk [BQKRA]</v>
      </c>
      <c r="AN7694" t="s">
        <v>3242</v>
      </c>
      <c r="AO7694" t="s">
        <v>3243</v>
      </c>
    </row>
    <row r="7695" spans="39:41" ht="12" customHeight="1" x14ac:dyDescent="0.2">
      <c r="AM7695" t="str">
        <f t="shared" si="120"/>
        <v>Kralice na Hane [CZRNH]</v>
      </c>
      <c r="AN7695" t="s">
        <v>6866</v>
      </c>
      <c r="AO7695" t="s">
        <v>35403</v>
      </c>
    </row>
    <row r="7696" spans="39:41" ht="12" customHeight="1" x14ac:dyDescent="0.2">
      <c r="AM7696" t="str">
        <f t="shared" si="120"/>
        <v>Kraljevica [HRKRA]</v>
      </c>
      <c r="AN7696" t="s">
        <v>15784</v>
      </c>
      <c r="AO7696" t="s">
        <v>15785</v>
      </c>
    </row>
    <row r="7697" spans="39:41" ht="12" customHeight="1" x14ac:dyDescent="0.2">
      <c r="AM7697" t="str">
        <f t="shared" si="120"/>
        <v>Kralupy nad Vltavou [CZKNV]</v>
      </c>
      <c r="AN7697" t="s">
        <v>6867</v>
      </c>
      <c r="AO7697" t="s">
        <v>6868</v>
      </c>
    </row>
    <row r="7698" spans="39:41" ht="12" customHeight="1" x14ac:dyDescent="0.2">
      <c r="AM7698" t="str">
        <f t="shared" si="120"/>
        <v>Kramfors [SEKRF]</v>
      </c>
      <c r="AN7698" t="s">
        <v>27693</v>
      </c>
      <c r="AO7698" t="s">
        <v>27694</v>
      </c>
    </row>
    <row r="7699" spans="39:41" ht="12" customHeight="1" x14ac:dyDescent="0.2">
      <c r="AM7699" t="str">
        <f t="shared" si="120"/>
        <v>Krammersluizen [NLKMS]</v>
      </c>
      <c r="AN7699" t="s">
        <v>23334</v>
      </c>
      <c r="AO7699" t="s">
        <v>23335</v>
      </c>
    </row>
    <row r="7700" spans="39:41" ht="12" customHeight="1" x14ac:dyDescent="0.2">
      <c r="AM7700" t="str">
        <f t="shared" si="120"/>
        <v>Kranzberg [DEKZB]</v>
      </c>
      <c r="AN7700" t="s">
        <v>7735</v>
      </c>
      <c r="AO7700" t="s">
        <v>7736</v>
      </c>
    </row>
    <row r="7701" spans="39:41" ht="12" customHeight="1" x14ac:dyDescent="0.2">
      <c r="AM7701" t="str">
        <f t="shared" si="120"/>
        <v>Kraplewo [PLKPW]</v>
      </c>
      <c r="AN7701" t="s">
        <v>26329</v>
      </c>
      <c r="AO7701" t="s">
        <v>26330</v>
      </c>
    </row>
    <row r="7702" spans="39:41" ht="12" customHeight="1" x14ac:dyDescent="0.2">
      <c r="AM7702" t="str">
        <f t="shared" si="120"/>
        <v>Krasno [SKFD3]</v>
      </c>
      <c r="AN7702" t="s">
        <v>28046</v>
      </c>
      <c r="AO7702" t="s">
        <v>36551</v>
      </c>
    </row>
    <row r="7703" spans="39:41" ht="12" customHeight="1" x14ac:dyDescent="0.2">
      <c r="AM7703" t="str">
        <f t="shared" si="120"/>
        <v>Krasnodar [RUKRR]</v>
      </c>
      <c r="AN7703" t="s">
        <v>27025</v>
      </c>
      <c r="AO7703" t="s">
        <v>27026</v>
      </c>
    </row>
    <row r="7704" spans="39:41" ht="12" customHeight="1" x14ac:dyDescent="0.2">
      <c r="AM7704" t="str">
        <f t="shared" si="120"/>
        <v>Krasnojarsk [RUKJA]</v>
      </c>
      <c r="AN7704" t="s">
        <v>27027</v>
      </c>
      <c r="AO7704" t="s">
        <v>27028</v>
      </c>
    </row>
    <row r="7705" spans="39:41" ht="12" customHeight="1" x14ac:dyDescent="0.2">
      <c r="AM7705" t="str">
        <f t="shared" si="120"/>
        <v>Krasnoturansk [RURYK]</v>
      </c>
      <c r="AN7705" t="s">
        <v>27029</v>
      </c>
      <c r="AO7705" t="s">
        <v>27030</v>
      </c>
    </row>
    <row r="7706" spans="39:41" ht="12" customHeight="1" x14ac:dyDescent="0.2">
      <c r="AM7706" t="str">
        <f t="shared" si="120"/>
        <v>Krasnotur'insk [RUKSO]</v>
      </c>
      <c r="AN7706" t="s">
        <v>27031</v>
      </c>
      <c r="AO7706" t="s">
        <v>27032</v>
      </c>
    </row>
    <row r="7707" spans="39:41" ht="12" customHeight="1" x14ac:dyDescent="0.2">
      <c r="AM7707" t="str">
        <f t="shared" si="120"/>
        <v>Krasnovodsk [RUKNV]</v>
      </c>
      <c r="AN7707" t="s">
        <v>27033</v>
      </c>
      <c r="AO7707" t="s">
        <v>27034</v>
      </c>
    </row>
    <row r="7708" spans="39:41" ht="12" customHeight="1" x14ac:dyDescent="0.2">
      <c r="AM7708" t="str">
        <f t="shared" si="120"/>
        <v>Krasnovodsk [TMKRA]</v>
      </c>
      <c r="AN7708" t="s">
        <v>28322</v>
      </c>
      <c r="AO7708" t="s">
        <v>27034</v>
      </c>
    </row>
    <row r="7709" spans="39:41" ht="12" customHeight="1" x14ac:dyDescent="0.2">
      <c r="AM7709" t="str">
        <f t="shared" si="120"/>
        <v>Krasnoyarsk [RUKRA]</v>
      </c>
      <c r="AN7709" t="s">
        <v>27035</v>
      </c>
      <c r="AO7709" t="s">
        <v>27036</v>
      </c>
    </row>
    <row r="7710" spans="39:41" ht="12" customHeight="1" x14ac:dyDescent="0.2">
      <c r="AM7710" t="str">
        <f t="shared" si="120"/>
        <v>Krasnyy Yar [RUKRY]</v>
      </c>
      <c r="AN7710" t="s">
        <v>27037</v>
      </c>
      <c r="AO7710" t="s">
        <v>27038</v>
      </c>
    </row>
    <row r="7711" spans="39:41" ht="12" customHeight="1" x14ac:dyDescent="0.2">
      <c r="AM7711" t="str">
        <f t="shared" si="120"/>
        <v>Krasnyye Barrikady [RUKYB]</v>
      </c>
      <c r="AN7711" t="s">
        <v>27039</v>
      </c>
      <c r="AO7711" t="s">
        <v>27040</v>
      </c>
    </row>
    <row r="7712" spans="39:41" ht="12" customHeight="1" x14ac:dyDescent="0.2">
      <c r="AM7712" t="str">
        <f t="shared" si="120"/>
        <v>Krautsand [DEKRA]</v>
      </c>
      <c r="AN7712" t="s">
        <v>7737</v>
      </c>
      <c r="AO7712" t="s">
        <v>7738</v>
      </c>
    </row>
    <row r="7713" spans="39:41" ht="12" customHeight="1" x14ac:dyDescent="0.2">
      <c r="AM7713" t="str">
        <f t="shared" si="120"/>
        <v>Krefeld [DEKRE]</v>
      </c>
      <c r="AN7713" t="s">
        <v>7739</v>
      </c>
      <c r="AO7713" t="s">
        <v>7740</v>
      </c>
    </row>
    <row r="7714" spans="39:41" ht="12" customHeight="1" x14ac:dyDescent="0.2">
      <c r="AM7714" t="str">
        <f t="shared" si="120"/>
        <v>Kreil [NLKRE]</v>
      </c>
      <c r="AN7714" t="s">
        <v>23336</v>
      </c>
      <c r="AO7714" t="s">
        <v>23337</v>
      </c>
    </row>
    <row r="7715" spans="39:41" ht="12" customHeight="1" x14ac:dyDescent="0.2">
      <c r="AM7715" t="str">
        <f t="shared" si="120"/>
        <v>Kreinitz [DEKNT]</v>
      </c>
      <c r="AN7715" t="s">
        <v>7741</v>
      </c>
      <c r="AO7715" t="s">
        <v>7742</v>
      </c>
    </row>
    <row r="7716" spans="39:41" ht="12" customHeight="1" x14ac:dyDescent="0.2">
      <c r="AM7716" t="str">
        <f t="shared" si="120"/>
        <v>Krety [MYKRE]</v>
      </c>
      <c r="AN7716" t="s">
        <v>22586</v>
      </c>
      <c r="AO7716" t="s">
        <v>22587</v>
      </c>
    </row>
    <row r="7717" spans="39:41" ht="12" customHeight="1" x14ac:dyDescent="0.2">
      <c r="AM7717" t="str">
        <f t="shared" si="120"/>
        <v>Kreuzlingen [CHKRZ]</v>
      </c>
      <c r="AN7717" t="s">
        <v>4707</v>
      </c>
      <c r="AO7717" t="s">
        <v>4708</v>
      </c>
    </row>
    <row r="7718" spans="39:41" ht="12" customHeight="1" x14ac:dyDescent="0.2">
      <c r="AM7718" t="str">
        <f t="shared" si="120"/>
        <v>Kribi [CMKBI]</v>
      </c>
      <c r="AN7718" t="s">
        <v>5002</v>
      </c>
      <c r="AO7718" t="s">
        <v>5003</v>
      </c>
    </row>
    <row r="7719" spans="39:41" ht="12" customHeight="1" x14ac:dyDescent="0.2">
      <c r="AM7719" t="str">
        <f t="shared" si="120"/>
        <v>Kriegenbrunn [DEKGU]</v>
      </c>
      <c r="AN7719" t="s">
        <v>7743</v>
      </c>
      <c r="AO7719" t="s">
        <v>7744</v>
      </c>
    </row>
    <row r="7720" spans="39:41" ht="12" customHeight="1" x14ac:dyDescent="0.2">
      <c r="AM7720" t="str">
        <f t="shared" si="120"/>
        <v>Krimpen aan den IJssel [NLKAI]</v>
      </c>
      <c r="AN7720" t="s">
        <v>37047</v>
      </c>
      <c r="AO7720" t="s">
        <v>37048</v>
      </c>
    </row>
    <row r="7721" spans="39:41" ht="12" customHeight="1" x14ac:dyDescent="0.2">
      <c r="AM7721" t="str">
        <f t="shared" si="120"/>
        <v>Krishnapatnam [INKRI]</v>
      </c>
      <c r="AN7721" t="s">
        <v>17260</v>
      </c>
      <c r="AO7721" t="s">
        <v>17261</v>
      </c>
    </row>
    <row r="7722" spans="39:41" ht="12" customHeight="1" x14ac:dyDescent="0.2">
      <c r="AM7722" t="str">
        <f t="shared" si="120"/>
        <v>Kristiansand [NOKRS]</v>
      </c>
      <c r="AN7722" t="s">
        <v>24356</v>
      </c>
      <c r="AO7722" t="s">
        <v>24357</v>
      </c>
    </row>
    <row r="7723" spans="39:41" ht="12" customHeight="1" x14ac:dyDescent="0.2">
      <c r="AM7723" t="str">
        <f t="shared" si="120"/>
        <v>Kristianstad [SEKID]</v>
      </c>
      <c r="AN7723" t="s">
        <v>27695</v>
      </c>
      <c r="AO7723" t="s">
        <v>27696</v>
      </c>
    </row>
    <row r="7724" spans="39:41" ht="12" customHeight="1" x14ac:dyDescent="0.2">
      <c r="AM7724" t="str">
        <f t="shared" si="120"/>
        <v>Kristiansund [NOKSU]</v>
      </c>
      <c r="AN7724" t="s">
        <v>24358</v>
      </c>
      <c r="AO7724" t="s">
        <v>24359</v>
      </c>
    </row>
    <row r="7725" spans="39:41" ht="12" customHeight="1" x14ac:dyDescent="0.2">
      <c r="AM7725" t="str">
        <f t="shared" si="120"/>
        <v>Kristiinankaupunki (Kristinestad) [FIKRS]</v>
      </c>
      <c r="AN7725" t="s">
        <v>10427</v>
      </c>
      <c r="AO7725" t="s">
        <v>10428</v>
      </c>
    </row>
    <row r="7726" spans="39:41" ht="12" customHeight="1" x14ac:dyDescent="0.2">
      <c r="AM7726" t="str">
        <f t="shared" si="120"/>
        <v>Kristin [XZKRI]</v>
      </c>
      <c r="AN7726" t="s">
        <v>32579</v>
      </c>
      <c r="AO7726" t="s">
        <v>32580</v>
      </c>
    </row>
    <row r="7727" spans="39:41" ht="12" customHeight="1" x14ac:dyDescent="0.2">
      <c r="AM7727" t="str">
        <f t="shared" si="120"/>
        <v>Kristinehamn [SEKHN]</v>
      </c>
      <c r="AN7727" t="s">
        <v>27697</v>
      </c>
      <c r="AO7727" t="s">
        <v>27698</v>
      </c>
    </row>
    <row r="7728" spans="39:41" ht="12" customHeight="1" x14ac:dyDescent="0.2">
      <c r="AM7728" t="str">
        <f t="shared" si="120"/>
        <v>Kristoffervalen [NOKVL]</v>
      </c>
      <c r="AN7728" t="s">
        <v>24360</v>
      </c>
      <c r="AO7728" t="s">
        <v>24361</v>
      </c>
    </row>
    <row r="7729" spans="39:41" ht="12" customHeight="1" x14ac:dyDescent="0.2">
      <c r="AM7729" t="str">
        <f t="shared" si="120"/>
        <v>Krivosheino [RUKRI]</v>
      </c>
      <c r="AN7729" t="s">
        <v>27041</v>
      </c>
      <c r="AO7729" t="s">
        <v>27042</v>
      </c>
    </row>
    <row r="7730" spans="39:41" ht="12" customHeight="1" x14ac:dyDescent="0.2">
      <c r="AM7730" t="str">
        <f t="shared" si="120"/>
        <v>Krk [HRKRK]</v>
      </c>
      <c r="AN7730" t="s">
        <v>15786</v>
      </c>
      <c r="AO7730" t="s">
        <v>15787</v>
      </c>
    </row>
    <row r="7731" spans="39:41" ht="12" customHeight="1" x14ac:dyDescent="0.2">
      <c r="AM7731" t="str">
        <f t="shared" si="120"/>
        <v>Krokfjardarnes [ISKRO]</v>
      </c>
      <c r="AN7731" t="s">
        <v>17731</v>
      </c>
      <c r="AO7731" t="s">
        <v>17732</v>
      </c>
    </row>
    <row r="7732" spans="39:41" ht="12" customHeight="1" x14ac:dyDescent="0.2">
      <c r="AM7732" t="str">
        <f t="shared" si="120"/>
        <v>Krokvag [SEKRO]</v>
      </c>
      <c r="AN7732" t="s">
        <v>37152</v>
      </c>
      <c r="AO7732" t="s">
        <v>37153</v>
      </c>
    </row>
    <row r="7733" spans="39:41" ht="12" customHeight="1" x14ac:dyDescent="0.2">
      <c r="AM7733" t="str">
        <f t="shared" si="120"/>
        <v>Kronshtadt [RUKDT]</v>
      </c>
      <c r="AN7733" t="s">
        <v>27043</v>
      </c>
      <c r="AO7733" t="s">
        <v>27044</v>
      </c>
    </row>
    <row r="7734" spans="39:41" ht="12" customHeight="1" x14ac:dyDescent="0.2">
      <c r="AM7734" t="str">
        <f t="shared" si="120"/>
        <v>Kronskamp [DEKR9]</v>
      </c>
      <c r="AN7734" t="s">
        <v>7745</v>
      </c>
      <c r="AO7734" t="s">
        <v>7746</v>
      </c>
    </row>
    <row r="7735" spans="39:41" ht="12" customHeight="1" x14ac:dyDescent="0.2">
      <c r="AM7735" t="str">
        <f t="shared" si="120"/>
        <v>Kronvik [FIKRO]</v>
      </c>
      <c r="AN7735" t="s">
        <v>10429</v>
      </c>
      <c r="AO7735" t="s">
        <v>10430</v>
      </c>
    </row>
    <row r="7736" spans="39:41" ht="12" customHeight="1" x14ac:dyDescent="0.2">
      <c r="AM7736" t="str">
        <f t="shared" ref="AM7736:AM7799" si="121">AO7736 &amp; " [" &amp; AN7736 &amp; "]"</f>
        <v>Krosno Odrzanskie [PLKOD]</v>
      </c>
      <c r="AN7736" t="s">
        <v>26331</v>
      </c>
      <c r="AO7736" t="s">
        <v>26332</v>
      </c>
    </row>
    <row r="7737" spans="39:41" ht="12" customHeight="1" x14ac:dyDescent="0.2">
      <c r="AM7737" t="str">
        <f t="shared" si="121"/>
        <v>Krov [DEKRV]</v>
      </c>
      <c r="AN7737" t="s">
        <v>7747</v>
      </c>
      <c r="AO7737" t="s">
        <v>35461</v>
      </c>
    </row>
    <row r="7738" spans="39:41" ht="12" customHeight="1" x14ac:dyDescent="0.2">
      <c r="AM7738" t="str">
        <f t="shared" si="121"/>
        <v>Krueng Geukueh [IDKGH]</v>
      </c>
      <c r="AN7738" t="s">
        <v>16344</v>
      </c>
      <c r="AO7738" t="s">
        <v>16345</v>
      </c>
    </row>
    <row r="7739" spans="39:41" ht="12" customHeight="1" x14ac:dyDescent="0.2">
      <c r="AM7739" t="str">
        <f t="shared" si="121"/>
        <v>Kruibeke [BEKEK]</v>
      </c>
      <c r="AN7739" t="s">
        <v>2612</v>
      </c>
      <c r="AO7739" t="s">
        <v>2613</v>
      </c>
    </row>
    <row r="7740" spans="39:41" ht="12" customHeight="1" x14ac:dyDescent="0.2">
      <c r="AM7740" t="str">
        <f t="shared" si="121"/>
        <v>Krummnussbaum [ATKMB]</v>
      </c>
      <c r="AN7740" t="s">
        <v>1256</v>
      </c>
      <c r="AO7740" t="s">
        <v>1257</v>
      </c>
    </row>
    <row r="7741" spans="39:41" ht="12" customHeight="1" x14ac:dyDescent="0.2">
      <c r="AM7741" t="str">
        <f t="shared" si="121"/>
        <v>Krustetten [ATGHJ]</v>
      </c>
      <c r="AN7741" t="s">
        <v>1258</v>
      </c>
      <c r="AO7741" t="s">
        <v>1259</v>
      </c>
    </row>
    <row r="7742" spans="39:41" ht="12" customHeight="1" x14ac:dyDescent="0.2">
      <c r="AM7742" t="str">
        <f t="shared" si="121"/>
        <v>Krynica Morska [PLKRM]</v>
      </c>
      <c r="AN7742" t="s">
        <v>26333</v>
      </c>
      <c r="AO7742" t="s">
        <v>26334</v>
      </c>
    </row>
    <row r="7743" spans="39:41" ht="12" customHeight="1" x14ac:dyDescent="0.2">
      <c r="AM7743" t="str">
        <f t="shared" si="121"/>
        <v>Krynica Morska [PLKMR]</v>
      </c>
      <c r="AN7743" t="s">
        <v>26335</v>
      </c>
      <c r="AO7743" t="s">
        <v>26334</v>
      </c>
    </row>
    <row r="7744" spans="39:41" ht="12" customHeight="1" x14ac:dyDescent="0.2">
      <c r="AM7744" t="str">
        <f t="shared" si="121"/>
        <v>Ksibet el Mediouni [TNKEM]</v>
      </c>
      <c r="AN7744" t="s">
        <v>28351</v>
      </c>
      <c r="AO7744" t="s">
        <v>36560</v>
      </c>
    </row>
    <row r="7745" spans="39:41" ht="12" customHeight="1" x14ac:dyDescent="0.2">
      <c r="AM7745" t="str">
        <f t="shared" si="121"/>
        <v>Kuala Baram [MYKBA]</v>
      </c>
      <c r="AN7745" t="s">
        <v>22588</v>
      </c>
      <c r="AO7745" t="s">
        <v>22589</v>
      </c>
    </row>
    <row r="7746" spans="39:41" ht="12" customHeight="1" x14ac:dyDescent="0.2">
      <c r="AM7746" t="str">
        <f t="shared" si="121"/>
        <v>Kuala Belait [BNKUB]</v>
      </c>
      <c r="AN7746" t="s">
        <v>3212</v>
      </c>
      <c r="AO7746" t="s">
        <v>3213</v>
      </c>
    </row>
    <row r="7747" spans="39:41" ht="12" customHeight="1" x14ac:dyDescent="0.2">
      <c r="AM7747" t="str">
        <f t="shared" si="121"/>
        <v>Kuala Belud, Sabah [MYKBE]</v>
      </c>
      <c r="AN7747" t="s">
        <v>22590</v>
      </c>
      <c r="AO7747" t="s">
        <v>22591</v>
      </c>
    </row>
    <row r="7748" spans="39:41" ht="12" customHeight="1" x14ac:dyDescent="0.2">
      <c r="AM7748" t="str">
        <f t="shared" si="121"/>
        <v>Kuala Besar [MYKBS]</v>
      </c>
      <c r="AN7748" t="s">
        <v>22592</v>
      </c>
      <c r="AO7748" t="s">
        <v>22593</v>
      </c>
    </row>
    <row r="7749" spans="39:41" ht="12" customHeight="1" x14ac:dyDescent="0.2">
      <c r="AM7749" t="str">
        <f t="shared" si="121"/>
        <v>Kuala Besut [MYBST]</v>
      </c>
      <c r="AN7749" t="s">
        <v>22594</v>
      </c>
      <c r="AO7749" t="s">
        <v>22595</v>
      </c>
    </row>
    <row r="7750" spans="39:41" ht="12" customHeight="1" x14ac:dyDescent="0.2">
      <c r="AM7750" t="str">
        <f t="shared" si="121"/>
        <v>Kuala Dungun [MYDGN]</v>
      </c>
      <c r="AN7750" t="s">
        <v>22596</v>
      </c>
      <c r="AO7750" t="s">
        <v>22597</v>
      </c>
    </row>
    <row r="7751" spans="39:41" ht="12" customHeight="1" x14ac:dyDescent="0.2">
      <c r="AM7751" t="str">
        <f t="shared" si="121"/>
        <v>Kuala Enok [IDENO]</v>
      </c>
      <c r="AN7751" t="s">
        <v>16346</v>
      </c>
      <c r="AO7751" t="s">
        <v>16347</v>
      </c>
    </row>
    <row r="7752" spans="39:41" ht="12" customHeight="1" x14ac:dyDescent="0.2">
      <c r="AM7752" t="str">
        <f t="shared" si="121"/>
        <v>Kuala Gula [MYKUG]</v>
      </c>
      <c r="AN7752" t="s">
        <v>22598</v>
      </c>
      <c r="AO7752" t="s">
        <v>22599</v>
      </c>
    </row>
    <row r="7753" spans="39:41" ht="12" customHeight="1" x14ac:dyDescent="0.2">
      <c r="AM7753" t="str">
        <f t="shared" si="121"/>
        <v>Kuala Kapuas, Kl [IDKKA]</v>
      </c>
      <c r="AN7753" t="s">
        <v>16348</v>
      </c>
      <c r="AO7753" t="s">
        <v>16349</v>
      </c>
    </row>
    <row r="7754" spans="39:41" ht="12" customHeight="1" x14ac:dyDescent="0.2">
      <c r="AM7754" t="str">
        <f t="shared" si="121"/>
        <v>Kuala Kedah [MYKKH]</v>
      </c>
      <c r="AN7754" t="s">
        <v>22600</v>
      </c>
      <c r="AO7754" t="s">
        <v>22601</v>
      </c>
    </row>
    <row r="7755" spans="39:41" ht="12" customHeight="1" x14ac:dyDescent="0.2">
      <c r="AM7755" t="str">
        <f t="shared" si="121"/>
        <v>Kuala Penyu, Sabah [MYKPU]</v>
      </c>
      <c r="AN7755" t="s">
        <v>22602</v>
      </c>
      <c r="AO7755" t="s">
        <v>22603</v>
      </c>
    </row>
    <row r="7756" spans="39:41" ht="12" customHeight="1" x14ac:dyDescent="0.2">
      <c r="AM7756" t="str">
        <f t="shared" si="121"/>
        <v>Kuala Perlis [MYKPS]</v>
      </c>
      <c r="AN7756" t="s">
        <v>22604</v>
      </c>
      <c r="AO7756" t="s">
        <v>22605</v>
      </c>
    </row>
    <row r="7757" spans="39:41" ht="12" customHeight="1" x14ac:dyDescent="0.2">
      <c r="AM7757" t="str">
        <f t="shared" si="121"/>
        <v>Kuala Rompin [MYPRN]</v>
      </c>
      <c r="AN7757" t="s">
        <v>22606</v>
      </c>
      <c r="AO7757" t="s">
        <v>22607</v>
      </c>
    </row>
    <row r="7758" spans="39:41" ht="12" customHeight="1" x14ac:dyDescent="0.2">
      <c r="AM7758" t="str">
        <f t="shared" si="121"/>
        <v>Kuala Sedili [MYKSD]</v>
      </c>
      <c r="AN7758" t="s">
        <v>22608</v>
      </c>
      <c r="AO7758" t="s">
        <v>22609</v>
      </c>
    </row>
    <row r="7759" spans="39:41" ht="12" customHeight="1" x14ac:dyDescent="0.2">
      <c r="AM7759" t="str">
        <f t="shared" si="121"/>
        <v>Kuala Segama, Sabah [MYKSG]</v>
      </c>
      <c r="AN7759" t="s">
        <v>22610</v>
      </c>
      <c r="AO7759" t="s">
        <v>22611</v>
      </c>
    </row>
    <row r="7760" spans="39:41" ht="12" customHeight="1" x14ac:dyDescent="0.2">
      <c r="AM7760" t="str">
        <f t="shared" si="121"/>
        <v>Kuala Selangor [MYKSL]</v>
      </c>
      <c r="AN7760" t="s">
        <v>22612</v>
      </c>
      <c r="AO7760" t="s">
        <v>22613</v>
      </c>
    </row>
    <row r="7761" spans="39:41" ht="12" customHeight="1" x14ac:dyDescent="0.2">
      <c r="AM7761" t="str">
        <f t="shared" si="121"/>
        <v>Kuala Terengganu [MYTGG]</v>
      </c>
      <c r="AN7761" t="s">
        <v>22614</v>
      </c>
      <c r="AO7761" t="s">
        <v>22615</v>
      </c>
    </row>
    <row r="7762" spans="39:41" ht="12" customHeight="1" x14ac:dyDescent="0.2">
      <c r="AM7762" t="str">
        <f t="shared" si="121"/>
        <v>Kualalangsa [IDKUA]</v>
      </c>
      <c r="AN7762" t="s">
        <v>16350</v>
      </c>
      <c r="AO7762" t="s">
        <v>16351</v>
      </c>
    </row>
    <row r="7763" spans="39:41" ht="12" customHeight="1" x14ac:dyDescent="0.2">
      <c r="AM7763" t="str">
        <f t="shared" si="121"/>
        <v>Kualatanjung [IDKTJ]</v>
      </c>
      <c r="AN7763" t="s">
        <v>16352</v>
      </c>
      <c r="AO7763" t="s">
        <v>16353</v>
      </c>
    </row>
    <row r="7764" spans="39:41" ht="12" customHeight="1" x14ac:dyDescent="0.2">
      <c r="AM7764" t="str">
        <f t="shared" si="121"/>
        <v>Kuantan (Tanjong Gelang) [MYKUA]</v>
      </c>
      <c r="AN7764" t="s">
        <v>22616</v>
      </c>
      <c r="AO7764" t="s">
        <v>22617</v>
      </c>
    </row>
    <row r="7765" spans="39:41" ht="12" customHeight="1" x14ac:dyDescent="0.2">
      <c r="AM7765" t="str">
        <f t="shared" si="121"/>
        <v>Kubekovo [RUKUB]</v>
      </c>
      <c r="AN7765" t="s">
        <v>27045</v>
      </c>
      <c r="AO7765" t="s">
        <v>27046</v>
      </c>
    </row>
    <row r="7766" spans="39:41" ht="12" customHeight="1" x14ac:dyDescent="0.2">
      <c r="AM7766" t="str">
        <f t="shared" si="121"/>
        <v>Kubikenborg [SEKUB]</v>
      </c>
      <c r="AN7766" t="s">
        <v>27699</v>
      </c>
      <c r="AO7766" t="s">
        <v>27700</v>
      </c>
    </row>
    <row r="7767" spans="39:41" ht="12" customHeight="1" x14ac:dyDescent="0.2">
      <c r="AM7767" t="str">
        <f t="shared" si="121"/>
        <v>Kubuki [JPKBU]</v>
      </c>
      <c r="AN7767" t="s">
        <v>19704</v>
      </c>
      <c r="AO7767" t="s">
        <v>19705</v>
      </c>
    </row>
    <row r="7768" spans="39:41" ht="12" customHeight="1" x14ac:dyDescent="0.2">
      <c r="AM7768" t="str">
        <f t="shared" si="121"/>
        <v>Kubura [JPKBR]</v>
      </c>
      <c r="AN7768" t="s">
        <v>19706</v>
      </c>
      <c r="AO7768" t="s">
        <v>19707</v>
      </c>
    </row>
    <row r="7769" spans="39:41" ht="12" customHeight="1" x14ac:dyDescent="0.2">
      <c r="AM7769" t="str">
        <f t="shared" si="121"/>
        <v>Kuching, Sarawak [MYKCH]</v>
      </c>
      <c r="AN7769" t="s">
        <v>22618</v>
      </c>
      <c r="AO7769" t="s">
        <v>22619</v>
      </c>
    </row>
    <row r="7770" spans="39:41" ht="12" customHeight="1" x14ac:dyDescent="0.2">
      <c r="AM7770" t="str">
        <f t="shared" si="121"/>
        <v>Kuchinofukuura [JPKCF]</v>
      </c>
      <c r="AN7770" t="s">
        <v>19708</v>
      </c>
      <c r="AO7770" t="s">
        <v>19709</v>
      </c>
    </row>
    <row r="7771" spans="39:41" ht="12" customHeight="1" x14ac:dyDescent="0.2">
      <c r="AM7771" t="str">
        <f t="shared" si="121"/>
        <v>Kuchinotsu [JPKUC]</v>
      </c>
      <c r="AN7771" t="s">
        <v>19710</v>
      </c>
      <c r="AO7771" t="s">
        <v>19711</v>
      </c>
    </row>
    <row r="7772" spans="39:41" ht="12" customHeight="1" x14ac:dyDescent="0.2">
      <c r="AM7772" t="str">
        <f t="shared" si="121"/>
        <v>Kudadon [JPKJD]</v>
      </c>
      <c r="AN7772" t="s">
        <v>19712</v>
      </c>
      <c r="AO7772" t="s">
        <v>19713</v>
      </c>
    </row>
    <row r="7773" spans="39:41" ht="12" customHeight="1" x14ac:dyDescent="0.2">
      <c r="AM7773" t="str">
        <f t="shared" si="121"/>
        <v>Kudamatsu [JPKUD]</v>
      </c>
      <c r="AN7773" t="s">
        <v>19714</v>
      </c>
      <c r="AO7773" t="s">
        <v>19715</v>
      </c>
    </row>
    <row r="7774" spans="39:41" ht="12" customHeight="1" x14ac:dyDescent="0.2">
      <c r="AM7774" t="str">
        <f t="shared" si="121"/>
        <v>Kudat, Sabah [MYKUD]</v>
      </c>
      <c r="AN7774" t="s">
        <v>22620</v>
      </c>
      <c r="AO7774" t="s">
        <v>22621</v>
      </c>
    </row>
    <row r="7775" spans="39:41" ht="12" customHeight="1" x14ac:dyDescent="0.2">
      <c r="AM7775" t="str">
        <f t="shared" si="121"/>
        <v>Kudrukula Sadam [EEKDR]</v>
      </c>
      <c r="AN7775" t="s">
        <v>36705</v>
      </c>
      <c r="AO7775" t="s">
        <v>36706</v>
      </c>
    </row>
    <row r="7776" spans="39:41" ht="12" customHeight="1" x14ac:dyDescent="0.2">
      <c r="AM7776" t="str">
        <f t="shared" si="121"/>
        <v>Kugui [JPKUG]</v>
      </c>
      <c r="AN7776" t="s">
        <v>19716</v>
      </c>
      <c r="AO7776" t="s">
        <v>19717</v>
      </c>
    </row>
    <row r="7777" spans="39:41" ht="12" customHeight="1" x14ac:dyDescent="0.2">
      <c r="AM7777" t="str">
        <f t="shared" si="121"/>
        <v>Kuikhorne [NLKHO]</v>
      </c>
      <c r="AN7777" t="s">
        <v>23338</v>
      </c>
      <c r="AO7777" t="s">
        <v>23339</v>
      </c>
    </row>
    <row r="7778" spans="39:41" ht="12" customHeight="1" x14ac:dyDescent="0.2">
      <c r="AM7778" t="str">
        <f t="shared" si="121"/>
        <v>Kuito Terminal [AOKOT]</v>
      </c>
      <c r="AN7778" t="s">
        <v>861</v>
      </c>
      <c r="AO7778" t="s">
        <v>862</v>
      </c>
    </row>
    <row r="7779" spans="39:41" ht="12" customHeight="1" x14ac:dyDescent="0.2">
      <c r="AM7779" t="str">
        <f t="shared" si="121"/>
        <v>Kuivastu [EEKUI]</v>
      </c>
      <c r="AN7779" t="s">
        <v>9209</v>
      </c>
      <c r="AO7779" t="s">
        <v>9210</v>
      </c>
    </row>
    <row r="7780" spans="39:41" ht="12" customHeight="1" x14ac:dyDescent="0.2">
      <c r="AM7780" t="str">
        <f t="shared" si="121"/>
        <v>Kuji, Iwate [JPKJI]</v>
      </c>
      <c r="AN7780" t="s">
        <v>19718</v>
      </c>
      <c r="AO7780" t="s">
        <v>19719</v>
      </c>
    </row>
    <row r="7781" spans="39:41" ht="12" customHeight="1" x14ac:dyDescent="0.2">
      <c r="AM7781" t="str">
        <f t="shared" si="121"/>
        <v>Kuji, Kagoshima [JPKKU]</v>
      </c>
      <c r="AN7781" t="s">
        <v>19720</v>
      </c>
      <c r="AO7781" t="s">
        <v>19721</v>
      </c>
    </row>
    <row r="7782" spans="39:41" ht="12" customHeight="1" x14ac:dyDescent="0.2">
      <c r="AM7782" t="str">
        <f t="shared" si="121"/>
        <v>Kujiragaura [JPKRR]</v>
      </c>
      <c r="AN7782" t="s">
        <v>19722</v>
      </c>
      <c r="AO7782" t="s">
        <v>19723</v>
      </c>
    </row>
    <row r="7783" spans="39:41" ht="12" customHeight="1" x14ac:dyDescent="0.2">
      <c r="AM7783" t="str">
        <f t="shared" si="121"/>
        <v>Kuka [JPKGB]</v>
      </c>
      <c r="AN7783" t="s">
        <v>19724</v>
      </c>
      <c r="AO7783" t="s">
        <v>19725</v>
      </c>
    </row>
    <row r="7784" spans="39:41" ht="12" customHeight="1" x14ac:dyDescent="0.2">
      <c r="AM7784" t="str">
        <f t="shared" si="121"/>
        <v>Kukdo [KRKDO]</v>
      </c>
      <c r="AN7784" t="s">
        <v>21682</v>
      </c>
      <c r="AO7784" t="s">
        <v>21683</v>
      </c>
    </row>
    <row r="7785" spans="39:41" ht="12" customHeight="1" x14ac:dyDescent="0.2">
      <c r="AM7785" t="str">
        <f t="shared" si="121"/>
        <v>Kuklen [BGKUK]</v>
      </c>
      <c r="AN7785" t="s">
        <v>3146</v>
      </c>
      <c r="AO7785" t="s">
        <v>3147</v>
      </c>
    </row>
    <row r="7786" spans="39:41" ht="12" customHeight="1" x14ac:dyDescent="0.2">
      <c r="AM7786" t="str">
        <f t="shared" si="121"/>
        <v>Kukljica [HRKUK]</v>
      </c>
      <c r="AN7786" t="s">
        <v>15788</v>
      </c>
      <c r="AO7786" t="s">
        <v>15789</v>
      </c>
    </row>
    <row r="7787" spans="39:41" ht="12" customHeight="1" x14ac:dyDescent="0.2">
      <c r="AM7787" t="str">
        <f t="shared" si="121"/>
        <v>Kukup [MYKKP]</v>
      </c>
      <c r="AN7787" t="s">
        <v>22622</v>
      </c>
      <c r="AO7787" t="s">
        <v>22623</v>
      </c>
    </row>
    <row r="7788" spans="39:41" ht="12" customHeight="1" x14ac:dyDescent="0.2">
      <c r="AM7788" t="str">
        <f t="shared" si="121"/>
        <v>Kula [NGKUL]</v>
      </c>
      <c r="AN7788" t="s">
        <v>22953</v>
      </c>
      <c r="AO7788" t="s">
        <v>22954</v>
      </c>
    </row>
    <row r="7789" spans="39:41" ht="12" customHeight="1" x14ac:dyDescent="0.2">
      <c r="AM7789" t="str">
        <f t="shared" si="121"/>
        <v>Kulakovo [RUKLK]</v>
      </c>
      <c r="AN7789" t="s">
        <v>27047</v>
      </c>
      <c r="AO7789" t="s">
        <v>27048</v>
      </c>
    </row>
    <row r="7790" spans="39:41" ht="12" customHeight="1" x14ac:dyDescent="0.2">
      <c r="AM7790" t="str">
        <f t="shared" si="121"/>
        <v>Kulasekarapanam [INKSP]</v>
      </c>
      <c r="AN7790" t="s">
        <v>17262</v>
      </c>
      <c r="AO7790" t="s">
        <v>17263</v>
      </c>
    </row>
    <row r="7791" spans="39:41" ht="12" customHeight="1" x14ac:dyDescent="0.2">
      <c r="AM7791" t="str">
        <f t="shared" si="121"/>
        <v>Kulevi [GEKUL]</v>
      </c>
      <c r="AN7791" t="s">
        <v>14932</v>
      </c>
      <c r="AO7791" t="s">
        <v>14933</v>
      </c>
    </row>
    <row r="7792" spans="39:41" ht="12" customHeight="1" x14ac:dyDescent="0.2">
      <c r="AM7792" t="str">
        <f t="shared" si="121"/>
        <v>Kulgu [EEKUG]</v>
      </c>
      <c r="AN7792" t="s">
        <v>9211</v>
      </c>
      <c r="AO7792" t="s">
        <v>9212</v>
      </c>
    </row>
    <row r="7793" spans="39:41" ht="12" customHeight="1" x14ac:dyDescent="0.2">
      <c r="AM7793" t="str">
        <f t="shared" si="121"/>
        <v>Kulhudhuffushi [MVKUL]</v>
      </c>
      <c r="AN7793" t="s">
        <v>34992</v>
      </c>
      <c r="AO7793" t="s">
        <v>34993</v>
      </c>
    </row>
    <row r="7794" spans="39:41" ht="12" customHeight="1" x14ac:dyDescent="0.2">
      <c r="AM7794" t="str">
        <f t="shared" si="121"/>
        <v>Kullorsuaq [GLKUL]</v>
      </c>
      <c r="AN7794" t="s">
        <v>14991</v>
      </c>
      <c r="AO7794" t="s">
        <v>14992</v>
      </c>
    </row>
    <row r="7795" spans="39:41" ht="12" customHeight="1" x14ac:dyDescent="0.2">
      <c r="AM7795" t="str">
        <f t="shared" si="121"/>
        <v>Kuluk Bay [USKUB]</v>
      </c>
      <c r="AN7795" t="s">
        <v>30312</v>
      </c>
      <c r="AO7795" t="s">
        <v>30313</v>
      </c>
    </row>
    <row r="7796" spans="39:41" ht="12" customHeight="1" x14ac:dyDescent="0.2">
      <c r="AM7796" t="str">
        <f t="shared" si="121"/>
        <v>Kulusuk [GLKUS]</v>
      </c>
      <c r="AN7796" t="s">
        <v>14993</v>
      </c>
      <c r="AO7796" t="s">
        <v>14994</v>
      </c>
    </row>
    <row r="7797" spans="39:41" ht="12" customHeight="1" x14ac:dyDescent="0.2">
      <c r="AM7797" t="str">
        <f t="shared" si="121"/>
        <v>Kumage [JPKGE]</v>
      </c>
      <c r="AN7797" t="s">
        <v>19726</v>
      </c>
      <c r="AO7797" t="s">
        <v>19727</v>
      </c>
    </row>
    <row r="7798" spans="39:41" ht="12" customHeight="1" x14ac:dyDescent="0.2">
      <c r="AM7798" t="str">
        <f t="shared" si="121"/>
        <v>Kumago [JPKGO]</v>
      </c>
      <c r="AN7798" t="s">
        <v>19728</v>
      </c>
      <c r="AO7798" t="s">
        <v>19729</v>
      </c>
    </row>
    <row r="7799" spans="39:41" ht="12" customHeight="1" x14ac:dyDescent="0.2">
      <c r="AM7799" t="str">
        <f t="shared" si="121"/>
        <v>Kumai [IDKUM]</v>
      </c>
      <c r="AN7799" t="s">
        <v>16354</v>
      </c>
      <c r="AO7799" t="s">
        <v>16355</v>
      </c>
    </row>
    <row r="7800" spans="39:41" ht="12" customHeight="1" x14ac:dyDescent="0.2">
      <c r="AM7800" t="str">
        <f t="shared" ref="AM7800:AM7862" si="122">AO7800 &amp; " [" &amp; AN7800 &amp; "]"</f>
        <v>Kumalarang/Zamboanga [PHKUM]</v>
      </c>
      <c r="AN7800" t="s">
        <v>25829</v>
      </c>
      <c r="AO7800" t="s">
        <v>25830</v>
      </c>
    </row>
    <row r="7801" spans="39:41" ht="12" customHeight="1" x14ac:dyDescent="0.2">
      <c r="AM7801" t="str">
        <f t="shared" si="122"/>
        <v>Kumamoto [JPKMJ]</v>
      </c>
      <c r="AN7801" t="s">
        <v>19730</v>
      </c>
      <c r="AO7801" t="s">
        <v>19731</v>
      </c>
    </row>
    <row r="7802" spans="39:41" ht="12" customHeight="1" x14ac:dyDescent="0.2">
      <c r="AM7802" t="str">
        <f t="shared" si="122"/>
        <v>Kumanoe [JPKUU]</v>
      </c>
      <c r="AN7802" t="s">
        <v>19732</v>
      </c>
      <c r="AO7802" t="s">
        <v>19733</v>
      </c>
    </row>
    <row r="7803" spans="39:41" ht="12" customHeight="1" x14ac:dyDescent="0.2">
      <c r="AM7803" t="str">
        <f t="shared" si="122"/>
        <v>Kumba [CMKUM]</v>
      </c>
      <c r="AN7803" t="s">
        <v>5004</v>
      </c>
      <c r="AO7803" t="s">
        <v>5005</v>
      </c>
    </row>
    <row r="7804" spans="39:41" ht="12" customHeight="1" x14ac:dyDescent="0.2">
      <c r="AM7804" t="str">
        <f t="shared" si="122"/>
        <v>Kumbharu [INKMB]</v>
      </c>
      <c r="AN7804" t="s">
        <v>17264</v>
      </c>
      <c r="AO7804" t="s">
        <v>17265</v>
      </c>
    </row>
    <row r="7805" spans="39:41" ht="12" customHeight="1" x14ac:dyDescent="0.2">
      <c r="AM7805" t="str">
        <f t="shared" si="122"/>
        <v>Kumeshima [JPKMS]</v>
      </c>
      <c r="AN7805" t="s">
        <v>19734</v>
      </c>
      <c r="AO7805" t="s">
        <v>19735</v>
      </c>
    </row>
    <row r="7806" spans="39:41" ht="12" customHeight="1" x14ac:dyDescent="0.2">
      <c r="AM7806" t="str">
        <f t="shared" si="122"/>
        <v>Kumihama [JPKMH]</v>
      </c>
      <c r="AN7806" t="s">
        <v>19736</v>
      </c>
      <c r="AO7806" t="s">
        <v>19737</v>
      </c>
    </row>
    <row r="7807" spans="39:41" ht="12" customHeight="1" x14ac:dyDescent="0.2">
      <c r="AM7807" t="str">
        <f t="shared" si="122"/>
        <v>Kumlinge [FIKUM]</v>
      </c>
      <c r="AN7807" t="s">
        <v>10431</v>
      </c>
      <c r="AO7807" t="s">
        <v>10432</v>
      </c>
    </row>
    <row r="7808" spans="39:41" ht="12" customHeight="1" x14ac:dyDescent="0.2">
      <c r="AM7808" t="str">
        <f t="shared" si="122"/>
        <v>Kumport [TRKMX]</v>
      </c>
      <c r="AN7808" t="s">
        <v>28531</v>
      </c>
      <c r="AO7808" t="s">
        <v>28532</v>
      </c>
    </row>
    <row r="7809" spans="39:41" ht="12" customHeight="1" x14ac:dyDescent="0.2">
      <c r="AM7809" t="str">
        <f t="shared" si="122"/>
        <v>Kumul [PGKUL]</v>
      </c>
      <c r="AN7809" t="s">
        <v>25412</v>
      </c>
      <c r="AO7809" t="s">
        <v>25413</v>
      </c>
    </row>
    <row r="7810" spans="39:41" ht="12" customHeight="1" x14ac:dyDescent="0.2">
      <c r="AM7810" t="str">
        <f t="shared" si="122"/>
        <v>Kunak, Borneo [IDKKB]</v>
      </c>
      <c r="AN7810" t="s">
        <v>16356</v>
      </c>
      <c r="AO7810" t="s">
        <v>16357</v>
      </c>
    </row>
    <row r="7811" spans="39:41" ht="12" customHeight="1" x14ac:dyDescent="0.2">
      <c r="AM7811" t="str">
        <f t="shared" si="122"/>
        <v>Kunak, Sabah [MYKUN]</v>
      </c>
      <c r="AN7811" t="s">
        <v>22624</v>
      </c>
      <c r="AO7811" t="s">
        <v>22625</v>
      </c>
    </row>
    <row r="7812" spans="39:41" ht="12" customHeight="1" x14ac:dyDescent="0.2">
      <c r="AM7812" t="str">
        <f t="shared" si="122"/>
        <v>Kunda [EEKND]</v>
      </c>
      <c r="AN7812" t="s">
        <v>9213</v>
      </c>
      <c r="AO7812" t="s">
        <v>9214</v>
      </c>
    </row>
    <row r="7813" spans="39:41" ht="12" customHeight="1" x14ac:dyDescent="0.2">
      <c r="AM7813" t="str">
        <f t="shared" si="122"/>
        <v>Kunehama [JPKNH]</v>
      </c>
      <c r="AN7813" t="s">
        <v>19738</v>
      </c>
      <c r="AO7813" t="s">
        <v>19739</v>
      </c>
    </row>
    <row r="7814" spans="39:41" ht="12" customHeight="1" x14ac:dyDescent="0.2">
      <c r="AM7814" t="str">
        <f t="shared" si="122"/>
        <v>Kungalv [SEKUV]</v>
      </c>
      <c r="AN7814" t="s">
        <v>27701</v>
      </c>
      <c r="AO7814" t="s">
        <v>36470</v>
      </c>
    </row>
    <row r="7815" spans="39:41" ht="12" customHeight="1" x14ac:dyDescent="0.2">
      <c r="AM7815" t="str">
        <f t="shared" si="122"/>
        <v>Kungla [EEKNG]</v>
      </c>
      <c r="AN7815" t="s">
        <v>9215</v>
      </c>
      <c r="AO7815" t="s">
        <v>9216</v>
      </c>
    </row>
    <row r="7816" spans="39:41" ht="12" customHeight="1" x14ac:dyDescent="0.2">
      <c r="AM7816" t="str">
        <f t="shared" si="122"/>
        <v>Kungsbacka [SEKUA]</v>
      </c>
      <c r="AN7816" t="s">
        <v>27702</v>
      </c>
      <c r="AO7816" t="s">
        <v>27703</v>
      </c>
    </row>
    <row r="7817" spans="39:41" ht="12" customHeight="1" x14ac:dyDescent="0.2">
      <c r="AM7817" t="str">
        <f t="shared" si="122"/>
        <v>Kungshamn [SEKUN]</v>
      </c>
      <c r="AN7817" t="s">
        <v>27704</v>
      </c>
      <c r="AO7817" t="s">
        <v>27705</v>
      </c>
    </row>
    <row r="7818" spans="39:41" ht="12" customHeight="1" x14ac:dyDescent="0.2">
      <c r="AM7818" t="str">
        <f t="shared" si="122"/>
        <v>Kungsor [SEKGR]</v>
      </c>
      <c r="AN7818" t="s">
        <v>27706</v>
      </c>
      <c r="AO7818" t="s">
        <v>36471</v>
      </c>
    </row>
    <row r="7819" spans="39:41" ht="12" customHeight="1" x14ac:dyDescent="0.2">
      <c r="AM7819" t="str">
        <f t="shared" si="122"/>
        <v>Kuniga [JPKNG]</v>
      </c>
      <c r="AN7819" t="s">
        <v>19740</v>
      </c>
      <c r="AO7819" t="s">
        <v>19741</v>
      </c>
    </row>
    <row r="7820" spans="39:41" ht="12" customHeight="1" x14ac:dyDescent="0.2">
      <c r="AM7820" t="str">
        <f t="shared" si="122"/>
        <v>Kunisaki [JPKNS]</v>
      </c>
      <c r="AN7820" t="s">
        <v>19742</v>
      </c>
      <c r="AO7820" t="s">
        <v>19743</v>
      </c>
    </row>
    <row r="7821" spans="39:41" ht="12" customHeight="1" x14ac:dyDescent="0.2">
      <c r="AM7821" t="str">
        <f t="shared" si="122"/>
        <v>Kunkemuhle [DEKKU]</v>
      </c>
      <c r="AN7821" t="s">
        <v>7748</v>
      </c>
      <c r="AO7821" t="s">
        <v>35462</v>
      </c>
    </row>
    <row r="7822" spans="39:41" ht="12" customHeight="1" x14ac:dyDescent="0.2">
      <c r="AM7822" t="str">
        <f t="shared" si="122"/>
        <v>Kuopio [FIKUO]</v>
      </c>
      <c r="AN7822" t="s">
        <v>10433</v>
      </c>
      <c r="AO7822" t="s">
        <v>10434</v>
      </c>
    </row>
    <row r="7823" spans="39:41" ht="12" customHeight="1" x14ac:dyDescent="0.2">
      <c r="AM7823" t="str">
        <f t="shared" si="122"/>
        <v>Kupang, Timor [IDKOE]</v>
      </c>
      <c r="AN7823" t="s">
        <v>16358</v>
      </c>
      <c r="AO7823" t="s">
        <v>16359</v>
      </c>
    </row>
    <row r="7824" spans="39:41" ht="12" customHeight="1" x14ac:dyDescent="0.2">
      <c r="AM7824" t="str">
        <f t="shared" si="122"/>
        <v>Kuppenheim [DEKUP]</v>
      </c>
      <c r="AN7824" t="s">
        <v>7749</v>
      </c>
      <c r="AO7824" t="s">
        <v>7750</v>
      </c>
    </row>
    <row r="7825" spans="39:41" ht="12" customHeight="1" x14ac:dyDescent="0.2">
      <c r="AM7825" t="str">
        <f t="shared" si="122"/>
        <v>Kurahashi [JPKHS]</v>
      </c>
      <c r="AN7825" t="s">
        <v>19744</v>
      </c>
      <c r="AO7825" t="s">
        <v>19745</v>
      </c>
    </row>
    <row r="7826" spans="39:41" ht="12" customHeight="1" x14ac:dyDescent="0.2">
      <c r="AM7826" t="str">
        <f t="shared" si="122"/>
        <v>Kuramai [JPKRC]</v>
      </c>
      <c r="AN7826" t="s">
        <v>19746</v>
      </c>
      <c r="AO7826" t="s">
        <v>19747</v>
      </c>
    </row>
    <row r="7827" spans="39:41" ht="12" customHeight="1" x14ac:dyDescent="0.2">
      <c r="AM7827" t="str">
        <f t="shared" si="122"/>
        <v>Kuranotani [JPKRN]</v>
      </c>
      <c r="AN7827" t="s">
        <v>19748</v>
      </c>
      <c r="AO7827" t="s">
        <v>19749</v>
      </c>
    </row>
    <row r="7828" spans="39:41" ht="12" customHeight="1" x14ac:dyDescent="0.2">
      <c r="AM7828" t="str">
        <f t="shared" si="122"/>
        <v>Kure, Hiroshima [JPKRE]</v>
      </c>
      <c r="AN7828" t="s">
        <v>19750</v>
      </c>
      <c r="AO7828" t="s">
        <v>19751</v>
      </c>
    </row>
    <row r="7829" spans="39:41" ht="12" customHeight="1" x14ac:dyDescent="0.2">
      <c r="AM7829" t="str">
        <f t="shared" si="122"/>
        <v>Kure, Kochi [JPKUE]</v>
      </c>
      <c r="AN7829" t="s">
        <v>19752</v>
      </c>
      <c r="AO7829" t="s">
        <v>19753</v>
      </c>
    </row>
    <row r="7830" spans="39:41" ht="12" customHeight="1" x14ac:dyDescent="0.2">
      <c r="AM7830" t="str">
        <f t="shared" si="122"/>
        <v>Kuressaare [EEURE]</v>
      </c>
      <c r="AN7830" t="s">
        <v>9217</v>
      </c>
      <c r="AO7830" t="s">
        <v>9218</v>
      </c>
    </row>
    <row r="7831" spans="39:41" ht="12" customHeight="1" x14ac:dyDescent="0.2">
      <c r="AM7831" t="str">
        <f t="shared" si="122"/>
        <v>Kuressaare sadam [EEKUR]</v>
      </c>
      <c r="AN7831" t="s">
        <v>9219</v>
      </c>
      <c r="AO7831" t="s">
        <v>9220</v>
      </c>
    </row>
    <row r="7832" spans="39:41" ht="12" customHeight="1" x14ac:dyDescent="0.2">
      <c r="AM7832" t="str">
        <f t="shared" si="122"/>
        <v>Kureysk [RUKUR]</v>
      </c>
      <c r="AN7832" t="s">
        <v>27049</v>
      </c>
      <c r="AO7832" t="s">
        <v>27050</v>
      </c>
    </row>
    <row r="7833" spans="39:41" ht="12" customHeight="1" x14ac:dyDescent="0.2">
      <c r="AM7833" t="str">
        <f t="shared" si="122"/>
        <v>Kurihama [JPKRH]</v>
      </c>
      <c r="AN7833" t="s">
        <v>19754</v>
      </c>
      <c r="AO7833" t="s">
        <v>19755</v>
      </c>
    </row>
    <row r="7834" spans="39:41" ht="12" customHeight="1" x14ac:dyDescent="0.2">
      <c r="AM7834" t="str">
        <f t="shared" si="122"/>
        <v>Kurii [JPKRU]</v>
      </c>
      <c r="AN7834" t="s">
        <v>19756</v>
      </c>
      <c r="AO7834" t="s">
        <v>19757</v>
      </c>
    </row>
    <row r="7835" spans="39:41" ht="12" customHeight="1" x14ac:dyDescent="0.2">
      <c r="AM7835" t="str">
        <f t="shared" si="122"/>
        <v>Kuril'skiy Burevestnik AFB (Burevestnik AFB) [RUBVV]</v>
      </c>
      <c r="AN7835" t="s">
        <v>27051</v>
      </c>
      <c r="AO7835" t="s">
        <v>27052</v>
      </c>
    </row>
    <row r="7836" spans="39:41" ht="12" customHeight="1" x14ac:dyDescent="0.2">
      <c r="AM7836" t="str">
        <f t="shared" si="122"/>
        <v>Kurimamaehama [JPKHJ]</v>
      </c>
      <c r="AN7836" t="s">
        <v>19758</v>
      </c>
      <c r="AO7836" t="s">
        <v>19759</v>
      </c>
    </row>
    <row r="7837" spans="39:41" ht="12" customHeight="1" x14ac:dyDescent="0.2">
      <c r="AM7837" t="str">
        <f t="shared" si="122"/>
        <v>Kuringen [BEKRN]</v>
      </c>
      <c r="AN7837" t="s">
        <v>2614</v>
      </c>
      <c r="AO7837" t="s">
        <v>2615</v>
      </c>
    </row>
    <row r="7838" spans="39:41" ht="12" customHeight="1" x14ac:dyDescent="0.2">
      <c r="AM7838" t="str">
        <f t="shared" si="122"/>
        <v>Kurio [JPKRI]</v>
      </c>
      <c r="AN7838" t="s">
        <v>19760</v>
      </c>
      <c r="AO7838" t="s">
        <v>19761</v>
      </c>
    </row>
    <row r="7839" spans="39:41" ht="12" customHeight="1" x14ac:dyDescent="0.2">
      <c r="AM7839" t="str">
        <f t="shared" si="122"/>
        <v>Kurkse [EEKKE]</v>
      </c>
      <c r="AN7839" t="s">
        <v>9221</v>
      </c>
      <c r="AO7839" t="s">
        <v>9222</v>
      </c>
    </row>
    <row r="7840" spans="39:41" ht="12" customHeight="1" x14ac:dyDescent="0.2">
      <c r="AM7840" t="str">
        <f t="shared" si="122"/>
        <v>Kurnell [AUKUR]</v>
      </c>
      <c r="AN7840" t="s">
        <v>1785</v>
      </c>
      <c r="AO7840" t="s">
        <v>1786</v>
      </c>
    </row>
    <row r="7841" spans="39:41" ht="12" customHeight="1" x14ac:dyDescent="0.2">
      <c r="AM7841" t="str">
        <f t="shared" si="122"/>
        <v>Kuroda [JPKRD]</v>
      </c>
      <c r="AN7841" t="s">
        <v>19762</v>
      </c>
      <c r="AO7841" t="s">
        <v>19763</v>
      </c>
    </row>
    <row r="7842" spans="39:41" ht="12" customHeight="1" x14ac:dyDescent="0.2">
      <c r="AM7842" t="str">
        <f t="shared" si="122"/>
        <v>Kuroi [JPKRX]</v>
      </c>
      <c r="AN7842" t="s">
        <v>19764</v>
      </c>
      <c r="AO7842" t="s">
        <v>19765</v>
      </c>
    </row>
    <row r="7843" spans="39:41" ht="12" customHeight="1" x14ac:dyDescent="0.2">
      <c r="AM7843" t="str">
        <f t="shared" si="122"/>
        <v>Kurokami [JPKRM]</v>
      </c>
      <c r="AN7843" t="s">
        <v>19766</v>
      </c>
      <c r="AO7843" t="s">
        <v>19767</v>
      </c>
    </row>
    <row r="7844" spans="39:41" ht="12" customHeight="1" x14ac:dyDescent="0.2">
      <c r="AM7844" t="str">
        <f t="shared" si="122"/>
        <v>Kuronohama [JPKUX]</v>
      </c>
      <c r="AN7844" t="s">
        <v>19768</v>
      </c>
      <c r="AO7844" t="s">
        <v>19769</v>
      </c>
    </row>
    <row r="7845" spans="39:41" ht="12" customHeight="1" x14ac:dyDescent="0.2">
      <c r="AM7845" t="str">
        <f t="shared" si="122"/>
        <v>Kurosaki [JPKSK]</v>
      </c>
      <c r="AN7845" t="s">
        <v>19770</v>
      </c>
      <c r="AO7845" t="s">
        <v>19771</v>
      </c>
    </row>
    <row r="7846" spans="39:41" ht="12" customHeight="1" x14ac:dyDescent="0.2">
      <c r="AM7846" t="str">
        <f t="shared" si="122"/>
        <v>Kuroshima, Okinawa [JPKRJ]</v>
      </c>
      <c r="AN7846" t="s">
        <v>19772</v>
      </c>
      <c r="AO7846" t="s">
        <v>19773</v>
      </c>
    </row>
    <row r="7847" spans="39:41" ht="12" customHeight="1" x14ac:dyDescent="0.2">
      <c r="AM7847" t="str">
        <f t="shared" si="122"/>
        <v>Kursumlija [RSKMA]</v>
      </c>
      <c r="AN7847" t="s">
        <v>26844</v>
      </c>
      <c r="AO7847" t="s">
        <v>26845</v>
      </c>
    </row>
    <row r="7848" spans="39:41" ht="12" customHeight="1" x14ac:dyDescent="0.2">
      <c r="AM7848" t="str">
        <f t="shared" si="122"/>
        <v>Kurten [DEKUT]</v>
      </c>
      <c r="AN7848" t="s">
        <v>7751</v>
      </c>
      <c r="AO7848" t="s">
        <v>7752</v>
      </c>
    </row>
    <row r="7849" spans="39:41" ht="12" customHeight="1" x14ac:dyDescent="0.2">
      <c r="AM7849" t="str">
        <f t="shared" si="122"/>
        <v>Kuru [FIKUR]</v>
      </c>
      <c r="AN7849" t="s">
        <v>10435</v>
      </c>
      <c r="AO7849" t="s">
        <v>10436</v>
      </c>
    </row>
    <row r="7850" spans="39:41" ht="12" customHeight="1" x14ac:dyDescent="0.2">
      <c r="AM7850" t="str">
        <f t="shared" si="122"/>
        <v>Kurushima [JPKRS]</v>
      </c>
      <c r="AN7850" t="s">
        <v>19774</v>
      </c>
      <c r="AO7850" t="s">
        <v>19775</v>
      </c>
    </row>
    <row r="7851" spans="39:41" ht="12" customHeight="1" x14ac:dyDescent="0.2">
      <c r="AM7851" t="str">
        <f t="shared" si="122"/>
        <v>Kuryk [KZKUR]</v>
      </c>
      <c r="AN7851" t="s">
        <v>37023</v>
      </c>
      <c r="AO7851" t="s">
        <v>37024</v>
      </c>
    </row>
    <row r="7852" spans="39:41" ht="12" customHeight="1" x14ac:dyDescent="0.2">
      <c r="AM7852" t="str">
        <f t="shared" si="122"/>
        <v>Kusadasi [TRKUS]</v>
      </c>
      <c r="AN7852" t="s">
        <v>28533</v>
      </c>
      <c r="AO7852" t="s">
        <v>28534</v>
      </c>
    </row>
    <row r="7853" spans="39:41" ht="12" customHeight="1" x14ac:dyDescent="0.2">
      <c r="AM7853" t="str">
        <f t="shared" si="122"/>
        <v>Kushiku [JPKKK]</v>
      </c>
      <c r="AN7853" t="s">
        <v>19776</v>
      </c>
      <c r="AO7853" t="s">
        <v>19777</v>
      </c>
    </row>
    <row r="7854" spans="39:41" ht="12" customHeight="1" x14ac:dyDescent="0.2">
      <c r="AM7854" t="str">
        <f t="shared" si="122"/>
        <v>Kushiro [JPKUH]</v>
      </c>
      <c r="AN7854" t="s">
        <v>19778</v>
      </c>
      <c r="AO7854" t="s">
        <v>19779</v>
      </c>
    </row>
    <row r="7855" spans="39:41" ht="12" customHeight="1" x14ac:dyDescent="0.2">
      <c r="AM7855" t="str">
        <f t="shared" si="122"/>
        <v>Kussnacht [CHKSS]</v>
      </c>
      <c r="AN7855" t="s">
        <v>4709</v>
      </c>
      <c r="AO7855" t="s">
        <v>4710</v>
      </c>
    </row>
    <row r="7856" spans="39:41" ht="12" customHeight="1" x14ac:dyDescent="0.2">
      <c r="AM7856" t="str">
        <f t="shared" si="122"/>
        <v>Kusubo [JPKSB]</v>
      </c>
      <c r="AN7856" t="s">
        <v>19780</v>
      </c>
      <c r="AO7856" t="s">
        <v>19781</v>
      </c>
    </row>
    <row r="7857" spans="39:41" ht="12" customHeight="1" x14ac:dyDescent="0.2">
      <c r="AM7857" t="str">
        <f t="shared" si="122"/>
        <v>Kusukawa [JPKXK]</v>
      </c>
      <c r="AN7857" t="s">
        <v>19782</v>
      </c>
      <c r="AO7857" t="s">
        <v>19783</v>
      </c>
    </row>
    <row r="7858" spans="39:41" ht="12" customHeight="1" x14ac:dyDescent="0.2">
      <c r="AM7858" t="str">
        <f t="shared" si="122"/>
        <v>Kusukkuyu [TRKOC]</v>
      </c>
      <c r="AN7858" t="s">
        <v>28535</v>
      </c>
      <c r="AO7858" t="s">
        <v>28536</v>
      </c>
    </row>
    <row r="7859" spans="39:41" ht="12" customHeight="1" x14ac:dyDescent="0.2">
      <c r="AM7859" t="str">
        <f t="shared" si="122"/>
        <v>Kute [JPKUT]</v>
      </c>
      <c r="AN7859" t="s">
        <v>19784</v>
      </c>
      <c r="AO7859" t="s">
        <v>19785</v>
      </c>
    </row>
    <row r="7860" spans="39:41" ht="12" customHeight="1" x14ac:dyDescent="0.2">
      <c r="AM7860" t="str">
        <f t="shared" si="122"/>
        <v>Kutsugata [JPKTG]</v>
      </c>
      <c r="AN7860" t="s">
        <v>19786</v>
      </c>
      <c r="AO7860" t="s">
        <v>19787</v>
      </c>
    </row>
    <row r="7861" spans="39:41" ht="12" customHeight="1" x14ac:dyDescent="0.2">
      <c r="AM7861" t="str">
        <f t="shared" si="122"/>
        <v>Kuujjuaq [CAFCM]</v>
      </c>
      <c r="AN7861" t="s">
        <v>3994</v>
      </c>
      <c r="AO7861" t="s">
        <v>3995</v>
      </c>
    </row>
    <row r="7862" spans="39:41" ht="12" customHeight="1" x14ac:dyDescent="0.2">
      <c r="AM7862" t="str">
        <f t="shared" si="122"/>
        <v>Kuummiut [GLKUN]</v>
      </c>
      <c r="AN7862" t="s">
        <v>14995</v>
      </c>
      <c r="AO7862" t="s">
        <v>14996</v>
      </c>
    </row>
    <row r="7863" spans="39:41" ht="12" customHeight="1" x14ac:dyDescent="0.2">
      <c r="AM7863" t="str">
        <f t="shared" ref="AM7863:AM7925" si="123">AO7863 &amp; " [" &amp; AN7863 &amp; "]"</f>
        <v>Kuurne [BEKUU]</v>
      </c>
      <c r="AN7863" t="s">
        <v>2616</v>
      </c>
      <c r="AO7863" t="s">
        <v>2617</v>
      </c>
    </row>
    <row r="7864" spans="39:41" ht="12" customHeight="1" x14ac:dyDescent="0.2">
      <c r="AM7864" t="str">
        <f t="shared" si="123"/>
        <v>Kuvika [NOKUV]</v>
      </c>
      <c r="AN7864" t="s">
        <v>24362</v>
      </c>
      <c r="AO7864" t="s">
        <v>24363</v>
      </c>
    </row>
    <row r="7865" spans="39:41" ht="12" customHeight="1" x14ac:dyDescent="0.2">
      <c r="AM7865" t="str">
        <f t="shared" si="123"/>
        <v>Kuwait [KWKWI]</v>
      </c>
      <c r="AN7865" t="s">
        <v>21760</v>
      </c>
      <c r="AO7865" t="s">
        <v>21761</v>
      </c>
    </row>
    <row r="7866" spans="39:41" ht="12" customHeight="1" x14ac:dyDescent="0.2">
      <c r="AM7866" t="str">
        <f t="shared" si="123"/>
        <v>Kuwana [JPKNA]</v>
      </c>
      <c r="AN7866" t="s">
        <v>19788</v>
      </c>
      <c r="AO7866" t="s">
        <v>19789</v>
      </c>
    </row>
    <row r="7867" spans="39:41" ht="12" customHeight="1" x14ac:dyDescent="0.2">
      <c r="AM7867" t="str">
        <f t="shared" si="123"/>
        <v>Kuwanoura [JPKUW]</v>
      </c>
      <c r="AN7867" t="s">
        <v>19790</v>
      </c>
      <c r="AO7867" t="s">
        <v>19791</v>
      </c>
    </row>
    <row r="7868" spans="39:41" ht="12" customHeight="1" x14ac:dyDescent="0.2">
      <c r="AM7868" t="str">
        <f t="shared" si="123"/>
        <v>Kuyama [JPKYM]</v>
      </c>
      <c r="AN7868" t="s">
        <v>19792</v>
      </c>
      <c r="AO7868" t="s">
        <v>19793</v>
      </c>
    </row>
    <row r="7869" spans="39:41" ht="12" customHeight="1" x14ac:dyDescent="0.2">
      <c r="AM7869" t="str">
        <f t="shared" si="123"/>
        <v>Kuzu [JPKUZ]</v>
      </c>
      <c r="AN7869" t="s">
        <v>19794</v>
      </c>
      <c r="AO7869" t="s">
        <v>19795</v>
      </c>
    </row>
    <row r="7870" spans="39:41" ht="12" customHeight="1" x14ac:dyDescent="0.2">
      <c r="AM7870" t="str">
        <f t="shared" si="123"/>
        <v>Kvafjord [NOKVR]</v>
      </c>
      <c r="AN7870" t="s">
        <v>24364</v>
      </c>
      <c r="AO7870" t="s">
        <v>36230</v>
      </c>
    </row>
    <row r="7871" spans="39:41" ht="12" customHeight="1" x14ac:dyDescent="0.2">
      <c r="AM7871" t="str">
        <f t="shared" si="123"/>
        <v>Kvafjord [NOKVF]</v>
      </c>
      <c r="AN7871" t="s">
        <v>24365</v>
      </c>
      <c r="AO7871" t="s">
        <v>36230</v>
      </c>
    </row>
    <row r="7872" spans="39:41" ht="12" customHeight="1" x14ac:dyDescent="0.2">
      <c r="AM7872" t="str">
        <f t="shared" si="123"/>
        <v>Kvalsund [NOKVS]</v>
      </c>
      <c r="AN7872" t="s">
        <v>24366</v>
      </c>
      <c r="AO7872" t="s">
        <v>24367</v>
      </c>
    </row>
    <row r="7873" spans="39:41" ht="12" customHeight="1" x14ac:dyDescent="0.2">
      <c r="AM7873" t="str">
        <f t="shared" si="123"/>
        <v>Kvalvika [NOKVV]</v>
      </c>
      <c r="AN7873" t="s">
        <v>24368</v>
      </c>
      <c r="AO7873" t="s">
        <v>24369</v>
      </c>
    </row>
    <row r="7874" spans="39:41" ht="12" customHeight="1" x14ac:dyDescent="0.2">
      <c r="AM7874" t="str">
        <f t="shared" si="123"/>
        <v>Kvam [NOKVM]</v>
      </c>
      <c r="AN7874" t="s">
        <v>24370</v>
      </c>
      <c r="AO7874" t="s">
        <v>24371</v>
      </c>
    </row>
    <row r="7875" spans="39:41" ht="12" customHeight="1" x14ac:dyDescent="0.2">
      <c r="AM7875" t="str">
        <f t="shared" si="123"/>
        <v>Kvanangen [NOKVN]</v>
      </c>
      <c r="AN7875" t="s">
        <v>24372</v>
      </c>
      <c r="AO7875" t="s">
        <v>36231</v>
      </c>
    </row>
    <row r="7876" spans="39:41" ht="12" customHeight="1" x14ac:dyDescent="0.2">
      <c r="AM7876" t="str">
        <f t="shared" si="123"/>
        <v>Kvanndal [NOKDL]</v>
      </c>
      <c r="AN7876" t="s">
        <v>24373</v>
      </c>
      <c r="AO7876" t="s">
        <v>24374</v>
      </c>
    </row>
    <row r="7877" spans="39:41" ht="12" customHeight="1" x14ac:dyDescent="0.2">
      <c r="AM7877" t="str">
        <f t="shared" si="123"/>
        <v>Kvarndrup [DKKVR]</v>
      </c>
      <c r="AN7877" t="s">
        <v>8788</v>
      </c>
      <c r="AO7877" t="s">
        <v>35552</v>
      </c>
    </row>
    <row r="7878" spans="39:41" ht="12" customHeight="1" x14ac:dyDescent="0.2">
      <c r="AM7878" t="str">
        <f t="shared" si="123"/>
        <v>Kvarnholmen [SEKVA]</v>
      </c>
      <c r="AN7878" t="s">
        <v>27707</v>
      </c>
      <c r="AO7878" t="s">
        <v>27708</v>
      </c>
    </row>
    <row r="7879" spans="39:41" ht="12" customHeight="1" x14ac:dyDescent="0.2">
      <c r="AM7879" t="str">
        <f t="shared" si="123"/>
        <v>Kvasice [CZZLY]</v>
      </c>
      <c r="AN7879" t="s">
        <v>6869</v>
      </c>
      <c r="AO7879" t="s">
        <v>6870</v>
      </c>
    </row>
    <row r="7880" spans="39:41" ht="12" customHeight="1" x14ac:dyDescent="0.2">
      <c r="AM7880" t="str">
        <f t="shared" si="123"/>
        <v>Kvetoslavov [SKKVE]</v>
      </c>
      <c r="AN7880" t="s">
        <v>28047</v>
      </c>
      <c r="AO7880" t="s">
        <v>28048</v>
      </c>
    </row>
    <row r="7881" spans="39:41" ht="12" customHeight="1" x14ac:dyDescent="0.2">
      <c r="AM7881" t="str">
        <f t="shared" si="123"/>
        <v>Kvinesdal [NOKVD]</v>
      </c>
      <c r="AN7881" t="s">
        <v>37088</v>
      </c>
      <c r="AO7881" t="s">
        <v>37089</v>
      </c>
    </row>
    <row r="7882" spans="39:41" ht="12" customHeight="1" x14ac:dyDescent="0.2">
      <c r="AM7882" t="str">
        <f t="shared" si="123"/>
        <v>Kvinnherad [NOKVH]</v>
      </c>
      <c r="AN7882" t="s">
        <v>24375</v>
      </c>
      <c r="AO7882" t="s">
        <v>24376</v>
      </c>
    </row>
    <row r="7883" spans="39:41" ht="12" customHeight="1" x14ac:dyDescent="0.2">
      <c r="AM7883" t="str">
        <f t="shared" si="123"/>
        <v>Kvitebjorn [XZKBJ]</v>
      </c>
      <c r="AN7883" t="s">
        <v>32581</v>
      </c>
      <c r="AO7883" t="s">
        <v>32582</v>
      </c>
    </row>
    <row r="7884" spans="39:41" ht="12" customHeight="1" x14ac:dyDescent="0.2">
      <c r="AM7884" t="str">
        <f t="shared" si="123"/>
        <v>Kvithylla [NOKIA]</v>
      </c>
      <c r="AN7884" t="s">
        <v>24377</v>
      </c>
      <c r="AO7884" t="s">
        <v>24378</v>
      </c>
    </row>
    <row r="7885" spans="39:41" ht="12" customHeight="1" x14ac:dyDescent="0.2">
      <c r="AM7885" t="str">
        <f t="shared" si="123"/>
        <v>Kvitsoy [NOKSY]</v>
      </c>
      <c r="AN7885" t="s">
        <v>24379</v>
      </c>
      <c r="AO7885" t="s">
        <v>36232</v>
      </c>
    </row>
    <row r="7886" spans="39:41" ht="12" customHeight="1" x14ac:dyDescent="0.2">
      <c r="AM7886" t="str">
        <f t="shared" si="123"/>
        <v>Kwaadmechelen [BEKWA]</v>
      </c>
      <c r="AN7886" t="s">
        <v>2618</v>
      </c>
      <c r="AO7886" t="s">
        <v>2619</v>
      </c>
    </row>
    <row r="7887" spans="39:41" ht="12" customHeight="1" x14ac:dyDescent="0.2">
      <c r="AM7887" t="str">
        <f t="shared" si="123"/>
        <v>Kwangyang [KRKWA]</v>
      </c>
      <c r="AN7887" t="s">
        <v>21684</v>
      </c>
      <c r="AO7887" t="s">
        <v>21685</v>
      </c>
    </row>
    <row r="7888" spans="39:41" ht="12" customHeight="1" x14ac:dyDescent="0.2">
      <c r="AM7888" t="str">
        <f t="shared" si="123"/>
        <v>Kwinana [AUKWI]</v>
      </c>
      <c r="AN7888" t="s">
        <v>1787</v>
      </c>
      <c r="AO7888" t="s">
        <v>1788</v>
      </c>
    </row>
    <row r="7889" spans="39:41" ht="12" customHeight="1" x14ac:dyDescent="0.2">
      <c r="AM7889" t="str">
        <f t="shared" si="123"/>
        <v>Ky Ha Quang Nam Terminal [VNKYQ]</v>
      </c>
      <c r="AN7889" t="s">
        <v>32404</v>
      </c>
      <c r="AO7889" t="s">
        <v>32405</v>
      </c>
    </row>
    <row r="7890" spans="39:41" ht="12" customHeight="1" x14ac:dyDescent="0.2">
      <c r="AM7890" t="str">
        <f t="shared" si="123"/>
        <v>Ky Ha Terminal [VNKYH]</v>
      </c>
      <c r="AN7890" t="s">
        <v>32406</v>
      </c>
      <c r="AO7890" t="s">
        <v>32407</v>
      </c>
    </row>
    <row r="7891" spans="39:41" ht="12" customHeight="1" x14ac:dyDescent="0.2">
      <c r="AM7891" t="str">
        <f t="shared" si="123"/>
        <v>Kyaiklat [MMKYA]</v>
      </c>
      <c r="AN7891" t="s">
        <v>22188</v>
      </c>
      <c r="AO7891" t="s">
        <v>22189</v>
      </c>
    </row>
    <row r="7892" spans="39:41" ht="12" customHeight="1" x14ac:dyDescent="0.2">
      <c r="AM7892" t="str">
        <f t="shared" si="123"/>
        <v>Kyalami [ZAKYA]</v>
      </c>
      <c r="AN7892" t="s">
        <v>32699</v>
      </c>
      <c r="AO7892" t="s">
        <v>32700</v>
      </c>
    </row>
    <row r="7893" spans="39:41" ht="12" customHeight="1" x14ac:dyDescent="0.2">
      <c r="AM7893" t="str">
        <f t="shared" si="123"/>
        <v>Kyaukpyu [MMKYP]</v>
      </c>
      <c r="AN7893" t="s">
        <v>22190</v>
      </c>
      <c r="AO7893" t="s">
        <v>22191</v>
      </c>
    </row>
    <row r="7894" spans="39:41" ht="12" customHeight="1" x14ac:dyDescent="0.2">
      <c r="AM7894" t="str">
        <f t="shared" si="123"/>
        <v>Kyle of Lochalsh [GBKYL]</v>
      </c>
      <c r="AN7894" t="s">
        <v>13587</v>
      </c>
      <c r="AO7894" t="s">
        <v>13588</v>
      </c>
    </row>
    <row r="7895" spans="39:41" ht="12" customHeight="1" x14ac:dyDescent="0.2">
      <c r="AM7895" t="str">
        <f t="shared" si="123"/>
        <v>Kyleakin [GBKYN]</v>
      </c>
      <c r="AN7895" t="s">
        <v>13589</v>
      </c>
      <c r="AO7895" t="s">
        <v>13590</v>
      </c>
    </row>
    <row r="7896" spans="39:41" ht="12" customHeight="1" x14ac:dyDescent="0.2">
      <c r="AM7896" t="str">
        <f t="shared" si="123"/>
        <v>Kyles of Bute [GBKYE]</v>
      </c>
      <c r="AN7896" t="s">
        <v>13591</v>
      </c>
      <c r="AO7896" t="s">
        <v>13592</v>
      </c>
    </row>
    <row r="7897" spans="39:41" ht="12" customHeight="1" x14ac:dyDescent="0.2">
      <c r="AM7897" t="str">
        <f t="shared" si="123"/>
        <v>Kylesku [GBKYU]</v>
      </c>
      <c r="AN7897" t="s">
        <v>13593</v>
      </c>
      <c r="AO7897" t="s">
        <v>13594</v>
      </c>
    </row>
    <row r="7898" spans="39:41" ht="12" customHeight="1" x14ac:dyDescent="0.2">
      <c r="AM7898" t="str">
        <f t="shared" si="123"/>
        <v>Kyllini [GRKYL]</v>
      </c>
      <c r="AN7898" t="s">
        <v>15318</v>
      </c>
      <c r="AO7898" t="s">
        <v>35925</v>
      </c>
    </row>
    <row r="7899" spans="39:41" ht="12" customHeight="1" x14ac:dyDescent="0.2">
      <c r="AM7899" t="str">
        <f t="shared" si="123"/>
        <v>Kyndbyvaerkets Havn [DKKBY]</v>
      </c>
      <c r="AN7899" t="s">
        <v>8789</v>
      </c>
      <c r="AO7899" t="s">
        <v>8790</v>
      </c>
    </row>
    <row r="7900" spans="39:41" ht="12" customHeight="1" x14ac:dyDescent="0.2">
      <c r="AM7900" t="str">
        <f t="shared" si="123"/>
        <v>Kyrenia [CYKYR]</v>
      </c>
      <c r="AN7900" t="s">
        <v>6763</v>
      </c>
      <c r="AO7900" t="s">
        <v>6764</v>
      </c>
    </row>
    <row r="7901" spans="39:41" ht="12" customHeight="1" x14ac:dyDescent="0.2">
      <c r="AM7901" t="str">
        <f t="shared" si="123"/>
        <v>Kyrkebyn [SEKYR]</v>
      </c>
      <c r="AN7901" t="s">
        <v>27709</v>
      </c>
      <c r="AO7901" t="s">
        <v>27710</v>
      </c>
    </row>
    <row r="7902" spans="39:41" ht="12" customHeight="1" x14ac:dyDescent="0.2">
      <c r="AM7902" t="str">
        <f t="shared" si="123"/>
        <v>Kyrkesund [SEKKS]</v>
      </c>
      <c r="AN7902" t="s">
        <v>27711</v>
      </c>
      <c r="AO7902" t="s">
        <v>27712</v>
      </c>
    </row>
    <row r="7903" spans="39:41" ht="12" customHeight="1" x14ac:dyDescent="0.2">
      <c r="AM7903" t="str">
        <f t="shared" si="123"/>
        <v>Kyrksaterora [NOKYR]</v>
      </c>
      <c r="AN7903" t="s">
        <v>24380</v>
      </c>
      <c r="AO7903" t="s">
        <v>36233</v>
      </c>
    </row>
    <row r="7904" spans="39:41" ht="12" customHeight="1" x14ac:dyDescent="0.2">
      <c r="AM7904" t="str">
        <f t="shared" si="123"/>
        <v>Kyselka [CZKKA]</v>
      </c>
      <c r="AN7904" t="s">
        <v>6871</v>
      </c>
      <c r="AO7904" t="s">
        <v>6872</v>
      </c>
    </row>
    <row r="7905" spans="39:41" ht="12" customHeight="1" x14ac:dyDescent="0.2">
      <c r="AM7905" t="str">
        <f t="shared" si="123"/>
        <v>Kythnos [GRKYT]</v>
      </c>
      <c r="AN7905" t="s">
        <v>15319</v>
      </c>
      <c r="AO7905" t="s">
        <v>15320</v>
      </c>
    </row>
    <row r="7906" spans="39:41" ht="12" customHeight="1" x14ac:dyDescent="0.2">
      <c r="AM7906" t="str">
        <f t="shared" si="123"/>
        <v>La Ametlla de Mar [ESKLL]</v>
      </c>
      <c r="AN7906" t="s">
        <v>9852</v>
      </c>
      <c r="AO7906" t="s">
        <v>9853</v>
      </c>
    </row>
    <row r="7907" spans="39:41" ht="12" customHeight="1" x14ac:dyDescent="0.2">
      <c r="AM7907" t="str">
        <f t="shared" si="123"/>
        <v>La Aurora [GTLAA]</v>
      </c>
      <c r="AN7907" t="s">
        <v>15596</v>
      </c>
      <c r="AO7907" t="s">
        <v>15597</v>
      </c>
    </row>
    <row r="7908" spans="39:41" ht="12" customHeight="1" x14ac:dyDescent="0.2">
      <c r="AM7908" t="str">
        <f t="shared" si="123"/>
        <v>La Barbotiere [FRBR5]</v>
      </c>
      <c r="AN7908" t="s">
        <v>11429</v>
      </c>
      <c r="AO7908" t="s">
        <v>35805</v>
      </c>
    </row>
    <row r="7909" spans="39:41" ht="12" customHeight="1" x14ac:dyDescent="0.2">
      <c r="AM7909" t="str">
        <f t="shared" si="123"/>
        <v>La Bassee [FRLBD]</v>
      </c>
      <c r="AN7909" t="s">
        <v>11430</v>
      </c>
      <c r="AO7909" t="s">
        <v>35806</v>
      </c>
    </row>
    <row r="7910" spans="39:41" ht="12" customHeight="1" x14ac:dyDescent="0.2">
      <c r="AM7910" t="str">
        <f t="shared" si="123"/>
        <v>La Batlloria [ESBAT]</v>
      </c>
      <c r="AN7910" t="s">
        <v>9854</v>
      </c>
      <c r="AO7910" t="s">
        <v>9855</v>
      </c>
    </row>
    <row r="7911" spans="39:41" ht="12" customHeight="1" x14ac:dyDescent="0.2">
      <c r="AM7911" t="str">
        <f t="shared" si="123"/>
        <v>La Beaumette [FRBM3]</v>
      </c>
      <c r="AN7911" t="s">
        <v>11431</v>
      </c>
      <c r="AO7911" t="s">
        <v>11432</v>
      </c>
    </row>
    <row r="7912" spans="39:41" ht="12" customHeight="1" x14ac:dyDescent="0.2">
      <c r="AM7912" t="str">
        <f t="shared" si="123"/>
        <v>La Brea (Brighton) [TTLAB]</v>
      </c>
      <c r="AN7912" t="s">
        <v>28641</v>
      </c>
      <c r="AO7912" t="s">
        <v>28642</v>
      </c>
    </row>
    <row r="7913" spans="39:41" ht="12" customHeight="1" x14ac:dyDescent="0.2">
      <c r="AM7913" t="str">
        <f t="shared" si="123"/>
        <v>La Bussiere-sur-Ouche [FRBQH]</v>
      </c>
      <c r="AN7913" t="s">
        <v>11433</v>
      </c>
      <c r="AO7913" t="s">
        <v>35807</v>
      </c>
    </row>
    <row r="7914" spans="39:41" ht="12" customHeight="1" x14ac:dyDescent="0.2">
      <c r="AM7914" t="str">
        <f t="shared" si="123"/>
        <v>La Ceiba [HNLCE]</v>
      </c>
      <c r="AN7914" t="s">
        <v>15675</v>
      </c>
      <c r="AO7914" t="s">
        <v>15676</v>
      </c>
    </row>
    <row r="7915" spans="39:41" ht="12" customHeight="1" x14ac:dyDescent="0.2">
      <c r="AM7915" t="str">
        <f t="shared" si="123"/>
        <v>La Ceiba/Maracaibo L [VELCV]</v>
      </c>
      <c r="AN7915" t="s">
        <v>32192</v>
      </c>
      <c r="AO7915" t="s">
        <v>32193</v>
      </c>
    </row>
    <row r="7916" spans="39:41" ht="12" customHeight="1" x14ac:dyDescent="0.2">
      <c r="AM7916" t="str">
        <f t="shared" si="123"/>
        <v>La Cerlangue [FRCL2]</v>
      </c>
      <c r="AN7916" t="s">
        <v>11434</v>
      </c>
      <c r="AO7916" t="s">
        <v>11435</v>
      </c>
    </row>
    <row r="7917" spans="39:41" ht="12" customHeight="1" x14ac:dyDescent="0.2">
      <c r="AM7917" t="str">
        <f t="shared" si="123"/>
        <v>La Chapelle [FRM2S]</v>
      </c>
      <c r="AN7917" t="s">
        <v>11436</v>
      </c>
      <c r="AO7917" t="s">
        <v>11437</v>
      </c>
    </row>
    <row r="7918" spans="39:41" ht="12" customHeight="1" x14ac:dyDescent="0.2">
      <c r="AM7918" t="str">
        <f t="shared" si="123"/>
        <v>La Chapelle-Saint-Sauveur [FRCS2]</v>
      </c>
      <c r="AN7918" t="s">
        <v>11438</v>
      </c>
      <c r="AO7918" t="s">
        <v>11439</v>
      </c>
    </row>
    <row r="7919" spans="39:41" ht="12" customHeight="1" x14ac:dyDescent="0.2">
      <c r="AM7919" t="str">
        <f t="shared" si="123"/>
        <v>La Chapelle-Veille-Foret [FRPVF]</v>
      </c>
      <c r="AN7919" t="s">
        <v>11440</v>
      </c>
      <c r="AO7919" t="s">
        <v>11441</v>
      </c>
    </row>
    <row r="7920" spans="39:41" ht="12" customHeight="1" x14ac:dyDescent="0.2">
      <c r="AM7920" t="str">
        <f t="shared" si="123"/>
        <v>La Ciotat [FRLCT]</v>
      </c>
      <c r="AN7920" t="s">
        <v>11442</v>
      </c>
      <c r="AO7920" t="s">
        <v>11443</v>
      </c>
    </row>
    <row r="7921" spans="39:41" ht="12" customHeight="1" x14ac:dyDescent="0.2">
      <c r="AM7921" t="str">
        <f t="shared" si="123"/>
        <v>La Coruna (A Coruna) [ESLCG]</v>
      </c>
      <c r="AN7921" t="s">
        <v>9856</v>
      </c>
      <c r="AO7921" t="s">
        <v>35675</v>
      </c>
    </row>
    <row r="7922" spans="39:41" ht="12" customHeight="1" x14ac:dyDescent="0.2">
      <c r="AM7922" t="str">
        <f t="shared" si="123"/>
        <v>La Couarde-sur-Mer [FRRDM]</v>
      </c>
      <c r="AN7922" t="s">
        <v>11444</v>
      </c>
      <c r="AO7922" t="s">
        <v>11445</v>
      </c>
    </row>
    <row r="7923" spans="39:41" ht="12" customHeight="1" x14ac:dyDescent="0.2">
      <c r="AM7923" t="str">
        <f t="shared" si="123"/>
        <v>La Escala (L'Escala) [ESGLE]</v>
      </c>
      <c r="AN7923" t="s">
        <v>9857</v>
      </c>
      <c r="AO7923" t="s">
        <v>9858</v>
      </c>
    </row>
    <row r="7924" spans="39:41" ht="12" customHeight="1" x14ac:dyDescent="0.2">
      <c r="AM7924" t="str">
        <f t="shared" si="123"/>
        <v>La Estaca [ESLES]</v>
      </c>
      <c r="AN7924" t="s">
        <v>9859</v>
      </c>
      <c r="AO7924" t="s">
        <v>9860</v>
      </c>
    </row>
    <row r="7925" spans="39:41" ht="12" customHeight="1" x14ac:dyDescent="0.2">
      <c r="AM7925" t="str">
        <f t="shared" si="123"/>
        <v>La Estacada [VELEC]</v>
      </c>
      <c r="AN7925" t="s">
        <v>32194</v>
      </c>
      <c r="AO7925" t="s">
        <v>32195</v>
      </c>
    </row>
    <row r="7926" spans="39:41" ht="12" customHeight="1" x14ac:dyDescent="0.2">
      <c r="AM7926" t="str">
        <f t="shared" ref="AM7926:AM7989" si="124">AO7926 &amp; " [" &amp; AN7926 &amp; "]"</f>
        <v>La Font den Carros [ESFNC]</v>
      </c>
      <c r="AN7926" t="s">
        <v>9861</v>
      </c>
      <c r="AO7926" t="s">
        <v>9862</v>
      </c>
    </row>
    <row r="7927" spans="39:41" ht="12" customHeight="1" x14ac:dyDescent="0.2">
      <c r="AM7927" t="str">
        <f t="shared" si="124"/>
        <v>La Foret-Fouesnant [FRLZF]</v>
      </c>
      <c r="AN7927" t="s">
        <v>11446</v>
      </c>
      <c r="AO7927" t="s">
        <v>35808</v>
      </c>
    </row>
    <row r="7928" spans="39:41" ht="12" customHeight="1" x14ac:dyDescent="0.2">
      <c r="AM7928" t="str">
        <f t="shared" si="124"/>
        <v>La Fortuna [CRLAF]</v>
      </c>
      <c r="AN7928" t="s">
        <v>6589</v>
      </c>
      <c r="AO7928" t="s">
        <v>6590</v>
      </c>
    </row>
    <row r="7929" spans="39:41" ht="12" customHeight="1" x14ac:dyDescent="0.2">
      <c r="AM7929" t="str">
        <f t="shared" si="124"/>
        <v>La Goulette Nord (Halqueloued) [TNLGN]</v>
      </c>
      <c r="AN7929" t="s">
        <v>28352</v>
      </c>
      <c r="AO7929" t="s">
        <v>28353</v>
      </c>
    </row>
    <row r="7930" spans="39:41" ht="12" customHeight="1" x14ac:dyDescent="0.2">
      <c r="AM7930" t="str">
        <f t="shared" si="124"/>
        <v>La Graciosa [ESLGC]</v>
      </c>
      <c r="AN7930" t="s">
        <v>9863</v>
      </c>
      <c r="AO7930" t="s">
        <v>9864</v>
      </c>
    </row>
    <row r="7931" spans="39:41" ht="12" customHeight="1" x14ac:dyDescent="0.2">
      <c r="AM7931" t="str">
        <f t="shared" si="124"/>
        <v>La Grande-Motte [FRGDM]</v>
      </c>
      <c r="AN7931" t="s">
        <v>11447</v>
      </c>
      <c r="AO7931" t="s">
        <v>11448</v>
      </c>
    </row>
    <row r="7932" spans="39:41" ht="12" customHeight="1" x14ac:dyDescent="0.2">
      <c r="AM7932" t="str">
        <f t="shared" si="124"/>
        <v>La Grange [USLGK]</v>
      </c>
      <c r="AN7932" t="s">
        <v>30314</v>
      </c>
      <c r="AO7932" t="s">
        <v>30315</v>
      </c>
    </row>
    <row r="7933" spans="39:41" ht="12" customHeight="1" x14ac:dyDescent="0.2">
      <c r="AM7933" t="str">
        <f t="shared" si="124"/>
        <v>La Grange Highlands [USLGZ]</v>
      </c>
      <c r="AN7933" t="s">
        <v>30316</v>
      </c>
      <c r="AO7933" t="s">
        <v>30317</v>
      </c>
    </row>
    <row r="7934" spans="39:41" ht="12" customHeight="1" x14ac:dyDescent="0.2">
      <c r="AM7934" t="str">
        <f t="shared" si="124"/>
        <v>La Guaira [VELAG]</v>
      </c>
      <c r="AN7934" t="s">
        <v>32196</v>
      </c>
      <c r="AO7934" t="s">
        <v>32197</v>
      </c>
    </row>
    <row r="7935" spans="39:41" ht="12" customHeight="1" x14ac:dyDescent="0.2">
      <c r="AM7935" t="str">
        <f t="shared" si="124"/>
        <v>La Guardia [ESAGD]</v>
      </c>
      <c r="AN7935" t="s">
        <v>9865</v>
      </c>
      <c r="AO7935" t="s">
        <v>9866</v>
      </c>
    </row>
    <row r="7936" spans="39:41" ht="12" customHeight="1" x14ac:dyDescent="0.2">
      <c r="AM7936" t="str">
        <f t="shared" si="124"/>
        <v>La Habana [CUHAV]</v>
      </c>
      <c r="AN7936" t="s">
        <v>6693</v>
      </c>
      <c r="AO7936" t="s">
        <v>6694</v>
      </c>
    </row>
    <row r="7937" spans="39:41" ht="12" customHeight="1" x14ac:dyDescent="0.2">
      <c r="AM7937" t="str">
        <f t="shared" si="124"/>
        <v>La Hautiere [FRTUJ]</v>
      </c>
      <c r="AN7937" t="s">
        <v>11449</v>
      </c>
      <c r="AO7937" t="s">
        <v>11450</v>
      </c>
    </row>
    <row r="7938" spans="39:41" ht="12" customHeight="1" x14ac:dyDescent="0.2">
      <c r="AM7938" t="str">
        <f t="shared" si="124"/>
        <v>La Libertad [ECLLD]</v>
      </c>
      <c r="AN7938" t="s">
        <v>9097</v>
      </c>
      <c r="AO7938" t="s">
        <v>9098</v>
      </c>
    </row>
    <row r="7939" spans="39:41" ht="12" customHeight="1" x14ac:dyDescent="0.2">
      <c r="AM7939" t="str">
        <f t="shared" si="124"/>
        <v>La Libertad [SVLLD]</v>
      </c>
      <c r="AN7939" t="s">
        <v>28144</v>
      </c>
      <c r="AO7939" t="s">
        <v>9098</v>
      </c>
    </row>
    <row r="7940" spans="39:41" ht="12" customHeight="1" x14ac:dyDescent="0.2">
      <c r="AM7940" t="str">
        <f t="shared" si="124"/>
        <v>La Llagosta [ESLJO]</v>
      </c>
      <c r="AN7940" t="s">
        <v>9867</v>
      </c>
      <c r="AO7940" t="s">
        <v>9868</v>
      </c>
    </row>
    <row r="7941" spans="39:41" ht="12" customHeight="1" x14ac:dyDescent="0.2">
      <c r="AM7941" t="str">
        <f t="shared" si="124"/>
        <v>La Louviere [BELLO]</v>
      </c>
      <c r="AN7941" t="s">
        <v>36781</v>
      </c>
      <c r="AO7941" t="s">
        <v>36782</v>
      </c>
    </row>
    <row r="7942" spans="39:41" ht="12" customHeight="1" x14ac:dyDescent="0.2">
      <c r="AM7942" t="str">
        <f t="shared" si="124"/>
        <v>La Maddalena [ITMDA]</v>
      </c>
      <c r="AN7942" t="s">
        <v>17993</v>
      </c>
      <c r="AO7942" t="s">
        <v>17994</v>
      </c>
    </row>
    <row r="7943" spans="39:41" ht="12" customHeight="1" x14ac:dyDescent="0.2">
      <c r="AM7943" t="str">
        <f t="shared" si="124"/>
        <v>La Matanza [ESMAT]</v>
      </c>
      <c r="AN7943" t="s">
        <v>9869</v>
      </c>
      <c r="AO7943" t="s">
        <v>9870</v>
      </c>
    </row>
    <row r="7944" spans="39:41" ht="12" customHeight="1" x14ac:dyDescent="0.2">
      <c r="AM7944" t="str">
        <f t="shared" si="124"/>
        <v>La Maxe [FRLMW]</v>
      </c>
      <c r="AN7944" t="s">
        <v>11451</v>
      </c>
      <c r="AO7944" t="s">
        <v>11452</v>
      </c>
    </row>
    <row r="7945" spans="39:41" ht="12" customHeight="1" x14ac:dyDescent="0.2">
      <c r="AM7945" t="str">
        <f t="shared" si="124"/>
        <v>La Mede [FRLMD]</v>
      </c>
      <c r="AN7945" t="s">
        <v>11453</v>
      </c>
      <c r="AO7945" t="s">
        <v>35809</v>
      </c>
    </row>
    <row r="7946" spans="39:41" ht="12" customHeight="1" x14ac:dyDescent="0.2">
      <c r="AM7946" t="str">
        <f t="shared" si="124"/>
        <v>La Minosa [ESLMN]</v>
      </c>
      <c r="AN7946" t="s">
        <v>9871</v>
      </c>
      <c r="AO7946" t="s">
        <v>9872</v>
      </c>
    </row>
    <row r="7947" spans="39:41" ht="12" customHeight="1" x14ac:dyDescent="0.2">
      <c r="AM7947" t="str">
        <f t="shared" si="124"/>
        <v>La Moutonne [FRL83]</v>
      </c>
      <c r="AN7947" t="s">
        <v>11454</v>
      </c>
      <c r="AO7947" t="s">
        <v>11455</v>
      </c>
    </row>
    <row r="7948" spans="39:41" ht="12" customHeight="1" x14ac:dyDescent="0.2">
      <c r="AM7948" t="str">
        <f t="shared" si="124"/>
        <v>La Nora [ESLOJ]</v>
      </c>
      <c r="AN7948" t="s">
        <v>36903</v>
      </c>
      <c r="AO7948" t="s">
        <v>36904</v>
      </c>
    </row>
    <row r="7949" spans="39:41" ht="12" customHeight="1" x14ac:dyDescent="0.2">
      <c r="AM7949" t="str">
        <f t="shared" si="124"/>
        <v>La Pallice [FRLPE]</v>
      </c>
      <c r="AN7949" t="s">
        <v>11456</v>
      </c>
      <c r="AO7949" t="s">
        <v>11457</v>
      </c>
    </row>
    <row r="7950" spans="39:41" ht="12" customHeight="1" x14ac:dyDescent="0.2">
      <c r="AM7950" t="str">
        <f t="shared" si="124"/>
        <v>La Palma [PAPLP]</v>
      </c>
      <c r="AN7950" t="s">
        <v>25200</v>
      </c>
      <c r="AO7950" t="s">
        <v>25201</v>
      </c>
    </row>
    <row r="7951" spans="39:41" ht="12" customHeight="1" x14ac:dyDescent="0.2">
      <c r="AM7951" t="str">
        <f t="shared" si="124"/>
        <v>La Palma [ESLPL]</v>
      </c>
      <c r="AN7951" t="s">
        <v>36905</v>
      </c>
      <c r="AO7951" t="s">
        <v>25201</v>
      </c>
    </row>
    <row r="7952" spans="39:41" ht="12" customHeight="1" x14ac:dyDescent="0.2">
      <c r="AM7952" t="str">
        <f t="shared" si="124"/>
        <v>La Paloma/Rocha [UYLAP]</v>
      </c>
      <c r="AN7952" t="s">
        <v>32115</v>
      </c>
      <c r="AO7952" t="s">
        <v>32116</v>
      </c>
    </row>
    <row r="7953" spans="39:41" ht="12" customHeight="1" x14ac:dyDescent="0.2">
      <c r="AM7953" t="str">
        <f t="shared" si="124"/>
        <v>La Pampilla [PELPP]</v>
      </c>
      <c r="AN7953" t="s">
        <v>25257</v>
      </c>
      <c r="AO7953" t="s">
        <v>25258</v>
      </c>
    </row>
    <row r="7954" spans="39:41" ht="12" customHeight="1" x14ac:dyDescent="0.2">
      <c r="AM7954" t="str">
        <f t="shared" si="124"/>
        <v>La Paz [ARLPM]</v>
      </c>
      <c r="AN7954" t="s">
        <v>1032</v>
      </c>
      <c r="AO7954" t="s">
        <v>1033</v>
      </c>
    </row>
    <row r="7955" spans="39:41" ht="12" customHeight="1" x14ac:dyDescent="0.2">
      <c r="AM7955" t="str">
        <f t="shared" si="124"/>
        <v>La Paz [MXLAP]</v>
      </c>
      <c r="AN7955" t="s">
        <v>22383</v>
      </c>
      <c r="AO7955" t="s">
        <v>1033</v>
      </c>
    </row>
    <row r="7956" spans="39:41" ht="12" customHeight="1" x14ac:dyDescent="0.2">
      <c r="AM7956" t="str">
        <f t="shared" si="124"/>
        <v>La Paz/Iloilo [PHLPZ]</v>
      </c>
      <c r="AN7956" t="s">
        <v>25831</v>
      </c>
      <c r="AO7956" t="s">
        <v>25832</v>
      </c>
    </row>
    <row r="7957" spans="39:41" ht="12" customHeight="1" x14ac:dyDescent="0.2">
      <c r="AM7957" t="str">
        <f t="shared" si="124"/>
        <v>La Penne-sur-Ouveze [FRJYS]</v>
      </c>
      <c r="AN7957" t="s">
        <v>11458</v>
      </c>
      <c r="AO7957" t="s">
        <v>11459</v>
      </c>
    </row>
    <row r="7958" spans="39:41" ht="12" customHeight="1" x14ac:dyDescent="0.2">
      <c r="AM7958" t="str">
        <f t="shared" si="124"/>
        <v>La Plata [ARLPG]</v>
      </c>
      <c r="AN7958" t="s">
        <v>1034</v>
      </c>
      <c r="AO7958" t="s">
        <v>1035</v>
      </c>
    </row>
    <row r="7959" spans="39:41" ht="12" customHeight="1" x14ac:dyDescent="0.2">
      <c r="AM7959" t="str">
        <f t="shared" si="124"/>
        <v>La Poble de Farnals [ESLPF]</v>
      </c>
      <c r="AN7959" t="s">
        <v>9873</v>
      </c>
      <c r="AO7959" t="s">
        <v>9874</v>
      </c>
    </row>
    <row r="7960" spans="39:41" ht="12" customHeight="1" x14ac:dyDescent="0.2">
      <c r="AM7960" t="str">
        <f t="shared" si="124"/>
        <v>La Poterie-Cap-d'Antifer [FRLPA]</v>
      </c>
      <c r="AN7960" t="s">
        <v>36962</v>
      </c>
      <c r="AO7960" t="s">
        <v>36963</v>
      </c>
    </row>
    <row r="7961" spans="39:41" ht="12" customHeight="1" x14ac:dyDescent="0.2">
      <c r="AM7961" t="str">
        <f t="shared" si="124"/>
        <v>La Puntilla [ECLPT]</v>
      </c>
      <c r="AN7961" t="s">
        <v>9099</v>
      </c>
      <c r="AO7961" t="s">
        <v>9100</v>
      </c>
    </row>
    <row r="7962" spans="39:41" ht="12" customHeight="1" x14ac:dyDescent="0.2">
      <c r="AM7962" t="str">
        <f t="shared" si="124"/>
        <v>La Rap/Jose Panganiban [PHLRP]</v>
      </c>
      <c r="AN7962" t="s">
        <v>25833</v>
      </c>
      <c r="AO7962" t="s">
        <v>25834</v>
      </c>
    </row>
    <row r="7963" spans="39:41" ht="12" customHeight="1" x14ac:dyDescent="0.2">
      <c r="AM7963" t="str">
        <f t="shared" si="124"/>
        <v>La Relance [CAREL]</v>
      </c>
      <c r="AN7963" t="s">
        <v>3996</v>
      </c>
      <c r="AO7963" t="s">
        <v>3997</v>
      </c>
    </row>
    <row r="7964" spans="39:41" ht="12" customHeight="1" x14ac:dyDescent="0.2">
      <c r="AM7964" t="str">
        <f t="shared" si="124"/>
        <v>La Riviere [FRG33]</v>
      </c>
      <c r="AN7964" t="s">
        <v>11460</v>
      </c>
      <c r="AO7964" t="s">
        <v>11461</v>
      </c>
    </row>
    <row r="7965" spans="39:41" ht="12" customHeight="1" x14ac:dyDescent="0.2">
      <c r="AM7965" t="str">
        <f t="shared" si="124"/>
        <v>La Roche-en-Ardenne [BERAR]</v>
      </c>
      <c r="AN7965" t="s">
        <v>2620</v>
      </c>
      <c r="AO7965" t="s">
        <v>2621</v>
      </c>
    </row>
    <row r="7966" spans="39:41" ht="12" customHeight="1" x14ac:dyDescent="0.2">
      <c r="AM7966" t="str">
        <f t="shared" si="124"/>
        <v>La Rochelle [FRLRH]</v>
      </c>
      <c r="AN7966" t="s">
        <v>11462</v>
      </c>
      <c r="AO7966" t="s">
        <v>11463</v>
      </c>
    </row>
    <row r="7967" spans="39:41" ht="12" customHeight="1" x14ac:dyDescent="0.2">
      <c r="AM7967" t="str">
        <f t="shared" si="124"/>
        <v>La Romana [DOLRM]</v>
      </c>
      <c r="AN7967" t="s">
        <v>9005</v>
      </c>
      <c r="AO7967" t="s">
        <v>9006</v>
      </c>
    </row>
    <row r="7968" spans="39:41" ht="12" customHeight="1" x14ac:dyDescent="0.2">
      <c r="AM7968" t="str">
        <f t="shared" si="124"/>
        <v>La Salina/Maracaibo L [VELSV]</v>
      </c>
      <c r="AN7968" t="s">
        <v>32198</v>
      </c>
      <c r="AO7968" t="s">
        <v>32199</v>
      </c>
    </row>
    <row r="7969" spans="39:41" ht="12" customHeight="1" x14ac:dyDescent="0.2">
      <c r="AM7969" t="str">
        <f t="shared" si="124"/>
        <v>La Salle [CALMW]</v>
      </c>
      <c r="AN7969" t="s">
        <v>3998</v>
      </c>
      <c r="AO7969" t="s">
        <v>3999</v>
      </c>
    </row>
    <row r="7970" spans="39:41" ht="12" customHeight="1" x14ac:dyDescent="0.2">
      <c r="AM7970" t="str">
        <f t="shared" si="124"/>
        <v>La Selva del Camp [ESTT2]</v>
      </c>
      <c r="AN7970" t="s">
        <v>9875</v>
      </c>
      <c r="AO7970" t="s">
        <v>9876</v>
      </c>
    </row>
    <row r="7971" spans="39:41" ht="12" customHeight="1" x14ac:dyDescent="0.2">
      <c r="AM7971" t="str">
        <f t="shared" si="124"/>
        <v>La Serena [CLLSC]</v>
      </c>
      <c r="AN7971" t="s">
        <v>4881</v>
      </c>
      <c r="AO7971" t="s">
        <v>4882</v>
      </c>
    </row>
    <row r="7972" spans="39:41" ht="12" customHeight="1" x14ac:dyDescent="0.2">
      <c r="AM7972" t="str">
        <f t="shared" si="124"/>
        <v>La Seu d'Urgell [ESLSL]</v>
      </c>
      <c r="AN7972" t="s">
        <v>9877</v>
      </c>
      <c r="AO7972" t="s">
        <v>9878</v>
      </c>
    </row>
    <row r="7973" spans="39:41" ht="12" customHeight="1" x14ac:dyDescent="0.2">
      <c r="AM7973" t="str">
        <f t="shared" si="124"/>
        <v>La Seyne-sur-Mer [FRYNE]</v>
      </c>
      <c r="AN7973" t="s">
        <v>11464</v>
      </c>
      <c r="AO7973" t="s">
        <v>11465</v>
      </c>
    </row>
    <row r="7974" spans="39:41" ht="12" customHeight="1" x14ac:dyDescent="0.2">
      <c r="AM7974" t="str">
        <f t="shared" si="124"/>
        <v>La Skhirra [TNLSK]</v>
      </c>
      <c r="AN7974" t="s">
        <v>28354</v>
      </c>
      <c r="AO7974" t="s">
        <v>28355</v>
      </c>
    </row>
    <row r="7975" spans="39:41" ht="12" customHeight="1" x14ac:dyDescent="0.2">
      <c r="AM7975" t="str">
        <f t="shared" si="124"/>
        <v>La Spezia [ITSPE]</v>
      </c>
      <c r="AN7975" t="s">
        <v>17995</v>
      </c>
      <c r="AO7975" t="s">
        <v>17996</v>
      </c>
    </row>
    <row r="7976" spans="39:41" ht="12" customHeight="1" x14ac:dyDescent="0.2">
      <c r="AM7976" t="str">
        <f t="shared" si="124"/>
        <v>La Tejita [ESTJI]</v>
      </c>
      <c r="AN7976" t="s">
        <v>9879</v>
      </c>
      <c r="AO7976" t="s">
        <v>9880</v>
      </c>
    </row>
    <row r="7977" spans="39:41" ht="12" customHeight="1" x14ac:dyDescent="0.2">
      <c r="AM7977" t="str">
        <f t="shared" si="124"/>
        <v>La Tigra [CRTIG]</v>
      </c>
      <c r="AN7977" t="s">
        <v>6591</v>
      </c>
      <c r="AO7977" t="s">
        <v>6592</v>
      </c>
    </row>
    <row r="7978" spans="39:41" ht="12" customHeight="1" x14ac:dyDescent="0.2">
      <c r="AM7978" t="str">
        <f t="shared" si="124"/>
        <v>La Trinite-sur-Mer [FRMHB]</v>
      </c>
      <c r="AN7978" t="s">
        <v>11466</v>
      </c>
      <c r="AO7978" t="s">
        <v>35810</v>
      </c>
    </row>
    <row r="7979" spans="39:41" ht="12" customHeight="1" x14ac:dyDescent="0.2">
      <c r="AM7979" t="str">
        <f t="shared" si="124"/>
        <v>La Troje [MXLTJ]</v>
      </c>
      <c r="AN7979" t="s">
        <v>22384</v>
      </c>
      <c r="AO7979" t="s">
        <v>22385</v>
      </c>
    </row>
    <row r="7980" spans="39:41" ht="12" customHeight="1" x14ac:dyDescent="0.2">
      <c r="AM7980" t="str">
        <f t="shared" si="124"/>
        <v>La Turballe [FRTBE]</v>
      </c>
      <c r="AN7980" t="s">
        <v>11467</v>
      </c>
      <c r="AO7980" t="s">
        <v>11468</v>
      </c>
    </row>
    <row r="7981" spans="39:41" ht="12" customHeight="1" x14ac:dyDescent="0.2">
      <c r="AM7981" t="str">
        <f t="shared" si="124"/>
        <v>La Union [SVLUN]</v>
      </c>
      <c r="AN7981" t="s">
        <v>28145</v>
      </c>
      <c r="AO7981" t="s">
        <v>28146</v>
      </c>
    </row>
    <row r="7982" spans="39:41" ht="12" customHeight="1" x14ac:dyDescent="0.2">
      <c r="AM7982" t="str">
        <f t="shared" si="124"/>
        <v>La Vela de Coro [VELVL]</v>
      </c>
      <c r="AN7982" t="s">
        <v>32200</v>
      </c>
      <c r="AO7982" t="s">
        <v>32201</v>
      </c>
    </row>
    <row r="7983" spans="39:41" ht="12" customHeight="1" x14ac:dyDescent="0.2">
      <c r="AM7983" t="str">
        <f t="shared" si="124"/>
        <v>La Zarza [ESLZR]</v>
      </c>
      <c r="AN7983" t="s">
        <v>9881</v>
      </c>
      <c r="AO7983" t="s">
        <v>9882</v>
      </c>
    </row>
    <row r="7984" spans="39:41" ht="12" customHeight="1" x14ac:dyDescent="0.2">
      <c r="AM7984" t="str">
        <f t="shared" si="124"/>
        <v>Laakdal [BELDA]</v>
      </c>
      <c r="AN7984" t="s">
        <v>36783</v>
      </c>
      <c r="AO7984" t="s">
        <v>36784</v>
      </c>
    </row>
    <row r="7985" spans="39:41" ht="12" customHeight="1" x14ac:dyDescent="0.2">
      <c r="AM7985" t="str">
        <f t="shared" si="124"/>
        <v>Laaksaare [EELKS]</v>
      </c>
      <c r="AN7985" t="s">
        <v>9223</v>
      </c>
      <c r="AO7985" t="s">
        <v>9224</v>
      </c>
    </row>
    <row r="7986" spans="39:41" ht="12" customHeight="1" x14ac:dyDescent="0.2">
      <c r="AM7986" t="str">
        <f t="shared" si="124"/>
        <v>Laane [EELAN]</v>
      </c>
      <c r="AN7986" t="s">
        <v>9225</v>
      </c>
      <c r="AO7986" t="s">
        <v>35625</v>
      </c>
    </row>
    <row r="7987" spans="39:41" ht="12" customHeight="1" x14ac:dyDescent="0.2">
      <c r="AM7987" t="str">
        <f t="shared" si="124"/>
        <v>Laatsa [EELAT]</v>
      </c>
      <c r="AN7987" t="s">
        <v>9226</v>
      </c>
      <c r="AO7987" t="s">
        <v>35626</v>
      </c>
    </row>
    <row r="7988" spans="39:41" ht="12" customHeight="1" x14ac:dyDescent="0.2">
      <c r="AM7988" t="str">
        <f t="shared" si="124"/>
        <v>Laatste Stuiver [NLLTS]</v>
      </c>
      <c r="AN7988" t="s">
        <v>23340</v>
      </c>
      <c r="AO7988" t="s">
        <v>23341</v>
      </c>
    </row>
    <row r="7989" spans="39:41" ht="12" customHeight="1" x14ac:dyDescent="0.2">
      <c r="AM7989" t="str">
        <f t="shared" si="124"/>
        <v>Laayoune (El Aaiun) [MAEUN]</v>
      </c>
      <c r="AN7989" t="s">
        <v>22044</v>
      </c>
      <c r="AO7989" t="s">
        <v>22045</v>
      </c>
    </row>
    <row r="7990" spans="39:41" ht="12" customHeight="1" x14ac:dyDescent="0.2">
      <c r="AM7990" t="str">
        <f t="shared" ref="AM7990:AM8053" si="125">AO7990 &amp; " [" &amp; AN7990 &amp; "]"</f>
        <v>Labasa [FJLBS]</v>
      </c>
      <c r="AN7990" t="s">
        <v>10614</v>
      </c>
      <c r="AO7990" t="s">
        <v>10615</v>
      </c>
    </row>
    <row r="7991" spans="39:41" ht="12" customHeight="1" x14ac:dyDescent="0.2">
      <c r="AM7991" t="str">
        <f t="shared" si="125"/>
        <v>Labason/Zamboanga [PHLAB]</v>
      </c>
      <c r="AN7991" t="s">
        <v>25835</v>
      </c>
      <c r="AO7991" t="s">
        <v>25836</v>
      </c>
    </row>
    <row r="7992" spans="39:41" ht="12" customHeight="1" x14ac:dyDescent="0.2">
      <c r="AM7992" t="str">
        <f t="shared" si="125"/>
        <v>Labatlan [HULAB]</v>
      </c>
      <c r="AN7992" t="s">
        <v>16108</v>
      </c>
      <c r="AO7992" t="s">
        <v>36020</v>
      </c>
    </row>
    <row r="7993" spans="39:41" ht="12" customHeight="1" x14ac:dyDescent="0.2">
      <c r="AM7993" t="str">
        <f t="shared" si="125"/>
        <v>Labege [FREGE]</v>
      </c>
      <c r="AN7993" t="s">
        <v>11469</v>
      </c>
      <c r="AO7993" t="s">
        <v>11470</v>
      </c>
    </row>
    <row r="7994" spans="39:41" ht="12" customHeight="1" x14ac:dyDescent="0.2">
      <c r="AM7994" t="str">
        <f t="shared" si="125"/>
        <v>L'Aberildut [FREDT]</v>
      </c>
      <c r="AN7994" t="s">
        <v>11471</v>
      </c>
      <c r="AO7994" t="s">
        <v>11472</v>
      </c>
    </row>
    <row r="7995" spans="39:41" ht="12" customHeight="1" x14ac:dyDescent="0.2">
      <c r="AM7995" t="str">
        <f t="shared" si="125"/>
        <v>Laboe [DELAB]</v>
      </c>
      <c r="AN7995" t="s">
        <v>7753</v>
      </c>
      <c r="AO7995" t="s">
        <v>7754</v>
      </c>
    </row>
    <row r="7996" spans="39:41" ht="12" customHeight="1" x14ac:dyDescent="0.2">
      <c r="AM7996" t="str">
        <f t="shared" si="125"/>
        <v>Labuan Bajo [IDLBO]</v>
      </c>
      <c r="AN7996" t="s">
        <v>16360</v>
      </c>
      <c r="AO7996" t="s">
        <v>16361</v>
      </c>
    </row>
    <row r="7997" spans="39:41" ht="12" customHeight="1" x14ac:dyDescent="0.2">
      <c r="AM7997" t="str">
        <f t="shared" si="125"/>
        <v>Labuan Haji [MYLBH]</v>
      </c>
      <c r="AN7997" t="s">
        <v>22626</v>
      </c>
      <c r="AO7997" t="s">
        <v>22627</v>
      </c>
    </row>
    <row r="7998" spans="39:41" ht="12" customHeight="1" x14ac:dyDescent="0.2">
      <c r="AM7998" t="str">
        <f t="shared" si="125"/>
        <v>Labuan, Sabah [MYLBU]</v>
      </c>
      <c r="AN7998" t="s">
        <v>22628</v>
      </c>
      <c r="AO7998" t="s">
        <v>22629</v>
      </c>
    </row>
    <row r="7999" spans="39:41" ht="12" customHeight="1" x14ac:dyDescent="0.2">
      <c r="AM7999" t="str">
        <f t="shared" si="125"/>
        <v>Labuha, Molucas [IDLAH]</v>
      </c>
      <c r="AN7999" t="s">
        <v>16362</v>
      </c>
      <c r="AO7999" t="s">
        <v>16363</v>
      </c>
    </row>
    <row r="8000" spans="39:41" ht="12" customHeight="1" x14ac:dyDescent="0.2">
      <c r="AM8000" t="str">
        <f t="shared" si="125"/>
        <v>Labuissiere [BEBSI]</v>
      </c>
      <c r="AN8000" t="s">
        <v>2622</v>
      </c>
      <c r="AO8000" t="s">
        <v>35271</v>
      </c>
    </row>
    <row r="8001" spans="39:41" ht="12" customHeight="1" x14ac:dyDescent="0.2">
      <c r="AM8001" t="str">
        <f t="shared" si="125"/>
        <v>Lac La Biche [CAAAB]</v>
      </c>
      <c r="AN8001" t="s">
        <v>4000</v>
      </c>
      <c r="AO8001" t="s">
        <v>4001</v>
      </c>
    </row>
    <row r="8002" spans="39:41" ht="12" customHeight="1" x14ac:dyDescent="0.2">
      <c r="AM8002" t="str">
        <f t="shared" si="125"/>
        <v>Lacco Ameno [ITLAE]</v>
      </c>
      <c r="AN8002" t="s">
        <v>17997</v>
      </c>
      <c r="AO8002" t="s">
        <v>17998</v>
      </c>
    </row>
    <row r="8003" spans="39:41" ht="12" customHeight="1" x14ac:dyDescent="0.2">
      <c r="AM8003" t="str">
        <f t="shared" si="125"/>
        <v>Lac-Drolet [CALDT]</v>
      </c>
      <c r="AN8003" t="s">
        <v>4002</v>
      </c>
      <c r="AO8003" t="s">
        <v>4003</v>
      </c>
    </row>
    <row r="8004" spans="39:41" ht="12" customHeight="1" x14ac:dyDescent="0.2">
      <c r="AM8004" t="str">
        <f t="shared" si="125"/>
        <v>Lachine/Montreal [CALAC]</v>
      </c>
      <c r="AN8004" t="s">
        <v>4004</v>
      </c>
      <c r="AO8004" t="s">
        <v>4005</v>
      </c>
    </row>
    <row r="8005" spans="39:41" ht="12" customHeight="1" x14ac:dyDescent="0.2">
      <c r="AM8005" t="str">
        <f t="shared" si="125"/>
        <v>Lachute [CALCH]</v>
      </c>
      <c r="AN8005" t="s">
        <v>4006</v>
      </c>
      <c r="AO8005" t="s">
        <v>4007</v>
      </c>
    </row>
    <row r="8006" spans="39:41" ht="12" customHeight="1" x14ac:dyDescent="0.2">
      <c r="AM8006" t="str">
        <f t="shared" si="125"/>
        <v>Lacolle [CALCO]</v>
      </c>
      <c r="AN8006" t="s">
        <v>4008</v>
      </c>
      <c r="AO8006" t="s">
        <v>4009</v>
      </c>
    </row>
    <row r="8007" spans="39:41" ht="12" customHeight="1" x14ac:dyDescent="0.2">
      <c r="AM8007" t="str">
        <f t="shared" si="125"/>
        <v>Ladera Ranch [USXXL]</v>
      </c>
      <c r="AN8007" t="s">
        <v>30318</v>
      </c>
      <c r="AO8007" t="s">
        <v>30319</v>
      </c>
    </row>
    <row r="8008" spans="39:41" ht="12" customHeight="1" x14ac:dyDescent="0.2">
      <c r="AM8008" t="str">
        <f t="shared" si="125"/>
        <v>Ladeuze [BELUZ]</v>
      </c>
      <c r="AN8008" t="s">
        <v>2623</v>
      </c>
      <c r="AO8008" t="s">
        <v>2624</v>
      </c>
    </row>
    <row r="8009" spans="39:41" ht="12" customHeight="1" x14ac:dyDescent="0.2">
      <c r="AM8009" t="str">
        <f t="shared" si="125"/>
        <v>Ladispoli [ITLAD]</v>
      </c>
      <c r="AN8009" t="s">
        <v>17999</v>
      </c>
      <c r="AO8009" t="s">
        <v>18000</v>
      </c>
    </row>
    <row r="8010" spans="39:41" ht="12" customHeight="1" x14ac:dyDescent="0.2">
      <c r="AM8010" t="str">
        <f t="shared" si="125"/>
        <v>Ladner [CALDN]</v>
      </c>
      <c r="AN8010" t="s">
        <v>4010</v>
      </c>
      <c r="AO8010" t="s">
        <v>4011</v>
      </c>
    </row>
    <row r="8011" spans="39:41" ht="12" customHeight="1" x14ac:dyDescent="0.2">
      <c r="AM8011" t="str">
        <f t="shared" si="125"/>
        <v>Ladock [GBLDC]</v>
      </c>
      <c r="AN8011" t="s">
        <v>13595</v>
      </c>
      <c r="AO8011" t="s">
        <v>13596</v>
      </c>
    </row>
    <row r="8012" spans="39:41" ht="12" customHeight="1" x14ac:dyDescent="0.2">
      <c r="AM8012" t="str">
        <f t="shared" si="125"/>
        <v>Lady Barron [AULAB]</v>
      </c>
      <c r="AN8012" t="s">
        <v>1789</v>
      </c>
      <c r="AO8012" t="s">
        <v>1790</v>
      </c>
    </row>
    <row r="8013" spans="39:41" ht="12" customHeight="1" x14ac:dyDescent="0.2">
      <c r="AM8013" t="str">
        <f t="shared" si="125"/>
        <v>Ladysmith [CALAD]</v>
      </c>
      <c r="AN8013" t="s">
        <v>4012</v>
      </c>
      <c r="AO8013" t="s">
        <v>4013</v>
      </c>
    </row>
    <row r="8014" spans="39:41" ht="12" customHeight="1" x14ac:dyDescent="0.2">
      <c r="AM8014" t="str">
        <f t="shared" si="125"/>
        <v>Ladysmith [USZYT]</v>
      </c>
      <c r="AN8014" t="s">
        <v>30320</v>
      </c>
      <c r="AO8014" t="s">
        <v>4013</v>
      </c>
    </row>
    <row r="8015" spans="39:41" ht="12" customHeight="1" x14ac:dyDescent="0.2">
      <c r="AM8015" t="str">
        <f t="shared" si="125"/>
        <v>Lae [PGLAE]</v>
      </c>
      <c r="AN8015" t="s">
        <v>25414</v>
      </c>
      <c r="AO8015" t="s">
        <v>25415</v>
      </c>
    </row>
    <row r="8016" spans="39:41" ht="12" customHeight="1" x14ac:dyDescent="0.2">
      <c r="AM8016" t="str">
        <f t="shared" si="125"/>
        <v>Laem Chabang [THLCH]</v>
      </c>
      <c r="AN8016" t="s">
        <v>28246</v>
      </c>
      <c r="AO8016" t="s">
        <v>28247</v>
      </c>
    </row>
    <row r="8017" spans="39:41" ht="12" customHeight="1" x14ac:dyDescent="0.2">
      <c r="AM8017" t="str">
        <f t="shared" si="125"/>
        <v>Lafayette [USYFQ]</v>
      </c>
      <c r="AN8017" t="s">
        <v>30321</v>
      </c>
      <c r="AO8017" t="s">
        <v>30322</v>
      </c>
    </row>
    <row r="8018" spans="39:41" ht="12" customHeight="1" x14ac:dyDescent="0.2">
      <c r="AM8018" t="str">
        <f t="shared" si="125"/>
        <v>Laffiteau [HTLFF]</v>
      </c>
      <c r="AN8018" t="s">
        <v>16037</v>
      </c>
      <c r="AO8018" t="s">
        <v>16038</v>
      </c>
    </row>
    <row r="8019" spans="39:41" ht="12" customHeight="1" x14ac:dyDescent="0.2">
      <c r="AM8019" t="str">
        <f t="shared" si="125"/>
        <v>Lafiteau [HTLFT]</v>
      </c>
      <c r="AN8019" t="s">
        <v>33849</v>
      </c>
      <c r="AO8019" t="s">
        <v>33971</v>
      </c>
    </row>
    <row r="8020" spans="39:41" ht="12" customHeight="1" x14ac:dyDescent="0.2">
      <c r="AM8020" t="str">
        <f t="shared" si="125"/>
        <v>Lafito Port [HTPLH]</v>
      </c>
      <c r="AN8020" t="s">
        <v>34994</v>
      </c>
      <c r="AO8020" t="s">
        <v>34995</v>
      </c>
    </row>
    <row r="8021" spans="39:41" ht="12" customHeight="1" x14ac:dyDescent="0.2">
      <c r="AM8021" t="str">
        <f t="shared" si="125"/>
        <v>Lagartera [ESGRT]</v>
      </c>
      <c r="AN8021" t="s">
        <v>9883</v>
      </c>
      <c r="AO8021" t="s">
        <v>9884</v>
      </c>
    </row>
    <row r="8022" spans="39:41" ht="12" customHeight="1" x14ac:dyDescent="0.2">
      <c r="AM8022" t="str">
        <f t="shared" si="125"/>
        <v>Lage [ESLAX]</v>
      </c>
      <c r="AN8022" t="s">
        <v>9885</v>
      </c>
      <c r="AO8022" t="s">
        <v>9886</v>
      </c>
    </row>
    <row r="8023" spans="39:41" ht="12" customHeight="1" x14ac:dyDescent="0.2">
      <c r="AM8023" t="str">
        <f t="shared" si="125"/>
        <v>Lage Weide [NLLAW]</v>
      </c>
      <c r="AN8023" t="s">
        <v>33903</v>
      </c>
      <c r="AO8023" t="s">
        <v>34025</v>
      </c>
    </row>
    <row r="8024" spans="39:41" ht="12" customHeight="1" x14ac:dyDescent="0.2">
      <c r="AM8024" t="str">
        <f t="shared" si="125"/>
        <v>Lage Zwaluwe [NLLZA]</v>
      </c>
      <c r="AN8024" t="s">
        <v>23342</v>
      </c>
      <c r="AO8024" t="s">
        <v>23343</v>
      </c>
    </row>
    <row r="8025" spans="39:41" ht="12" customHeight="1" x14ac:dyDescent="0.2">
      <c r="AM8025" t="str">
        <f t="shared" si="125"/>
        <v>Lageland [NLLGD]</v>
      </c>
      <c r="AN8025" t="s">
        <v>23344</v>
      </c>
      <c r="AO8025" t="s">
        <v>23345</v>
      </c>
    </row>
    <row r="8026" spans="39:41" ht="12" customHeight="1" x14ac:dyDescent="0.2">
      <c r="AM8026" t="str">
        <f t="shared" si="125"/>
        <v>Lagerdorf [DELAE]</v>
      </c>
      <c r="AN8026" t="s">
        <v>7755</v>
      </c>
      <c r="AO8026" t="s">
        <v>35463</v>
      </c>
    </row>
    <row r="8027" spans="39:41" ht="12" customHeight="1" x14ac:dyDescent="0.2">
      <c r="AM8027" t="str">
        <f t="shared" si="125"/>
        <v>Lagny-sur-Marne [FRLGM]</v>
      </c>
      <c r="AN8027" t="s">
        <v>36964</v>
      </c>
      <c r="AO8027" t="s">
        <v>36965</v>
      </c>
    </row>
    <row r="8028" spans="39:41" ht="12" customHeight="1" x14ac:dyDescent="0.2">
      <c r="AM8028" t="str">
        <f t="shared" si="125"/>
        <v>Lagondy River [PHLAY]</v>
      </c>
      <c r="AN8028" t="s">
        <v>25837</v>
      </c>
      <c r="AO8028" t="s">
        <v>25838</v>
      </c>
    </row>
    <row r="8029" spans="39:41" ht="12" customHeight="1" x14ac:dyDescent="0.2">
      <c r="AM8029" t="str">
        <f t="shared" si="125"/>
        <v>Lagonoy/Jose Panganiban [PHLAG]</v>
      </c>
      <c r="AN8029" t="s">
        <v>25839</v>
      </c>
      <c r="AO8029" t="s">
        <v>25840</v>
      </c>
    </row>
    <row r="8030" spans="39:41" ht="12" customHeight="1" x14ac:dyDescent="0.2">
      <c r="AM8030" t="str">
        <f t="shared" si="125"/>
        <v>Lagos [NGLOS]</v>
      </c>
      <c r="AN8030" t="s">
        <v>22955</v>
      </c>
      <c r="AO8030" t="s">
        <v>22956</v>
      </c>
    </row>
    <row r="8031" spans="39:41" ht="12" customHeight="1" x14ac:dyDescent="0.2">
      <c r="AM8031" t="str">
        <f t="shared" si="125"/>
        <v>Lagos [PTLOS]</v>
      </c>
      <c r="AN8031" t="s">
        <v>26520</v>
      </c>
      <c r="AO8031" t="s">
        <v>22956</v>
      </c>
    </row>
    <row r="8032" spans="39:41" ht="12" customHeight="1" x14ac:dyDescent="0.2">
      <c r="AM8032" t="str">
        <f t="shared" si="125"/>
        <v>Lagos (Porto-Lago) [GRPTL]</v>
      </c>
      <c r="AN8032" t="s">
        <v>15321</v>
      </c>
      <c r="AO8032" t="s">
        <v>35926</v>
      </c>
    </row>
    <row r="8033" spans="39:41" ht="12" customHeight="1" x14ac:dyDescent="0.2">
      <c r="AM8033" t="str">
        <f t="shared" si="125"/>
        <v>LaGrange [USL9G]</v>
      </c>
      <c r="AN8033" t="s">
        <v>33947</v>
      </c>
      <c r="AO8033" t="s">
        <v>34069</v>
      </c>
    </row>
    <row r="8034" spans="39:41" ht="12" customHeight="1" x14ac:dyDescent="0.2">
      <c r="AM8034" t="str">
        <f t="shared" si="125"/>
        <v>Laguna [PHLGU]</v>
      </c>
      <c r="AN8034" t="s">
        <v>25841</v>
      </c>
      <c r="AO8034" t="s">
        <v>25842</v>
      </c>
    </row>
    <row r="8035" spans="39:41" ht="12" customHeight="1" x14ac:dyDescent="0.2">
      <c r="AM8035" t="str">
        <f t="shared" si="125"/>
        <v>Lagunas [PELAG]</v>
      </c>
      <c r="AN8035" t="s">
        <v>25259</v>
      </c>
      <c r="AO8035" t="s">
        <v>25260</v>
      </c>
    </row>
    <row r="8036" spans="39:41" ht="12" customHeight="1" x14ac:dyDescent="0.2">
      <c r="AM8036" t="str">
        <f t="shared" si="125"/>
        <v>Lagunillas [VELGY]</v>
      </c>
      <c r="AN8036" t="s">
        <v>32202</v>
      </c>
      <c r="AO8036" t="s">
        <v>32203</v>
      </c>
    </row>
    <row r="8037" spans="39:41" ht="12" customHeight="1" x14ac:dyDescent="0.2">
      <c r="AM8037" t="str">
        <f t="shared" si="125"/>
        <v>Lagunitas [USL5A]</v>
      </c>
      <c r="AN8037" t="s">
        <v>30323</v>
      </c>
      <c r="AO8037" t="s">
        <v>30324</v>
      </c>
    </row>
    <row r="8038" spans="39:41" ht="12" customHeight="1" x14ac:dyDescent="0.2">
      <c r="AM8038" t="str">
        <f t="shared" si="125"/>
        <v>Lagymanyos [HULMY]</v>
      </c>
      <c r="AN8038" t="s">
        <v>16109</v>
      </c>
      <c r="AO8038" t="s">
        <v>36021</v>
      </c>
    </row>
    <row r="8039" spans="39:41" ht="12" customHeight="1" x14ac:dyDescent="0.2">
      <c r="AM8039" t="str">
        <f t="shared" si="125"/>
        <v>Lahad Datu, Sabah [MYLDU]</v>
      </c>
      <c r="AN8039" t="s">
        <v>22630</v>
      </c>
      <c r="AO8039" t="s">
        <v>22631</v>
      </c>
    </row>
    <row r="8040" spans="39:41" ht="12" customHeight="1" x14ac:dyDescent="0.2">
      <c r="AM8040" t="str">
        <f t="shared" si="125"/>
        <v>Lahde [DELHD]</v>
      </c>
      <c r="AN8040" t="s">
        <v>7756</v>
      </c>
      <c r="AO8040" t="s">
        <v>7757</v>
      </c>
    </row>
    <row r="8041" spans="39:41" ht="12" customHeight="1" x14ac:dyDescent="0.2">
      <c r="AM8041" t="str">
        <f t="shared" si="125"/>
        <v>Lahesuu [EELHS]</v>
      </c>
      <c r="AN8041" t="s">
        <v>9227</v>
      </c>
      <c r="AO8041" t="s">
        <v>9228</v>
      </c>
    </row>
    <row r="8042" spans="39:41" ht="12" customHeight="1" x14ac:dyDescent="0.2">
      <c r="AM8042" t="str">
        <f t="shared" si="125"/>
        <v>Lairg [GBLRG]</v>
      </c>
      <c r="AN8042" t="s">
        <v>13597</v>
      </c>
      <c r="AO8042" t="s">
        <v>13598</v>
      </c>
    </row>
    <row r="8043" spans="39:41" ht="12" customHeight="1" x14ac:dyDescent="0.2">
      <c r="AM8043" t="str">
        <f t="shared" si="125"/>
        <v>Laiwu [CNCSL]</v>
      </c>
      <c r="AN8043" t="s">
        <v>5602</v>
      </c>
      <c r="AO8043" t="s">
        <v>5603</v>
      </c>
    </row>
    <row r="8044" spans="39:41" ht="12" customHeight="1" x14ac:dyDescent="0.2">
      <c r="AM8044" t="str">
        <f t="shared" si="125"/>
        <v>Laizhou Pt [CNLZO]</v>
      </c>
      <c r="AN8044" t="s">
        <v>5604</v>
      </c>
      <c r="AO8044" t="s">
        <v>5605</v>
      </c>
    </row>
    <row r="8045" spans="39:41" ht="12" customHeight="1" x14ac:dyDescent="0.2">
      <c r="AM8045" t="str">
        <f t="shared" si="125"/>
        <v>Lajes [PTLDP]</v>
      </c>
      <c r="AN8045" t="s">
        <v>26521</v>
      </c>
      <c r="AO8045" t="s">
        <v>26522</v>
      </c>
    </row>
    <row r="8046" spans="39:41" ht="12" customHeight="1" x14ac:dyDescent="0.2">
      <c r="AM8046" t="str">
        <f t="shared" si="125"/>
        <v>Lajes das Flores [PTLAJ]</v>
      </c>
      <c r="AN8046" t="s">
        <v>26523</v>
      </c>
      <c r="AO8046" t="s">
        <v>26524</v>
      </c>
    </row>
    <row r="8047" spans="39:41" ht="12" customHeight="1" x14ac:dyDescent="0.2">
      <c r="AM8047" t="str">
        <f t="shared" si="125"/>
        <v>Lake Arrowhead [USLA2]</v>
      </c>
      <c r="AN8047" t="s">
        <v>30325</v>
      </c>
      <c r="AO8047" t="s">
        <v>30326</v>
      </c>
    </row>
    <row r="8048" spans="39:41" ht="12" customHeight="1" x14ac:dyDescent="0.2">
      <c r="AM8048" t="str">
        <f t="shared" si="125"/>
        <v>Lake Charles [USLCH]</v>
      </c>
      <c r="AN8048" t="s">
        <v>30327</v>
      </c>
      <c r="AO8048" t="s">
        <v>30328</v>
      </c>
    </row>
    <row r="8049" spans="39:41" ht="12" customHeight="1" x14ac:dyDescent="0.2">
      <c r="AM8049" t="str">
        <f t="shared" si="125"/>
        <v>Lake Elsinore [USLE3]</v>
      </c>
      <c r="AN8049" t="s">
        <v>30329</v>
      </c>
      <c r="AO8049" t="s">
        <v>30330</v>
      </c>
    </row>
    <row r="8050" spans="39:41" ht="12" customHeight="1" x14ac:dyDescent="0.2">
      <c r="AM8050" t="str">
        <f t="shared" si="125"/>
        <v>Lake Garfield [USZLG]</v>
      </c>
      <c r="AN8050" t="s">
        <v>30331</v>
      </c>
      <c r="AO8050" t="s">
        <v>30332</v>
      </c>
    </row>
    <row r="8051" spans="39:41" ht="12" customHeight="1" x14ac:dyDescent="0.2">
      <c r="AM8051" t="str">
        <f t="shared" si="125"/>
        <v>Lake George [USLG2]</v>
      </c>
      <c r="AN8051" t="s">
        <v>30333</v>
      </c>
      <c r="AO8051" t="s">
        <v>30334</v>
      </c>
    </row>
    <row r="8052" spans="39:41" ht="12" customHeight="1" x14ac:dyDescent="0.2">
      <c r="AM8052" t="str">
        <f t="shared" si="125"/>
        <v>Lake Harbour [CALAH]</v>
      </c>
      <c r="AN8052" t="s">
        <v>4014</v>
      </c>
      <c r="AO8052" t="s">
        <v>4015</v>
      </c>
    </row>
    <row r="8053" spans="39:41" ht="12" customHeight="1" x14ac:dyDescent="0.2">
      <c r="AM8053" t="str">
        <f t="shared" si="125"/>
        <v>Lake Huntington [USLU7]</v>
      </c>
      <c r="AN8053" t="s">
        <v>30335</v>
      </c>
      <c r="AO8053" t="s">
        <v>30336</v>
      </c>
    </row>
    <row r="8054" spans="39:41" ht="12" customHeight="1" x14ac:dyDescent="0.2">
      <c r="AM8054" t="str">
        <f t="shared" ref="AM8054:AM8116" si="126">AO8054 &amp; " [" &amp; AN8054 &amp; "]"</f>
        <v>Lake Macquarie [AULMQ]</v>
      </c>
      <c r="AN8054" t="s">
        <v>1791</v>
      </c>
      <c r="AO8054" t="s">
        <v>1792</v>
      </c>
    </row>
    <row r="8055" spans="39:41" ht="12" customHeight="1" x14ac:dyDescent="0.2">
      <c r="AM8055" t="str">
        <f t="shared" si="126"/>
        <v>Lake Orion [USLRP]</v>
      </c>
      <c r="AN8055" t="s">
        <v>30337</v>
      </c>
      <c r="AO8055" t="s">
        <v>30338</v>
      </c>
    </row>
    <row r="8056" spans="39:41" ht="12" customHeight="1" x14ac:dyDescent="0.2">
      <c r="AM8056" t="str">
        <f t="shared" si="126"/>
        <v>Lake Park [USLPQ]</v>
      </c>
      <c r="AN8056" t="s">
        <v>30339</v>
      </c>
      <c r="AO8056" t="s">
        <v>30340</v>
      </c>
    </row>
    <row r="8057" spans="39:41" ht="12" customHeight="1" x14ac:dyDescent="0.2">
      <c r="AM8057" t="str">
        <f t="shared" si="126"/>
        <v>Lake Park [USQJC]</v>
      </c>
      <c r="AN8057" t="s">
        <v>30341</v>
      </c>
      <c r="AO8057" t="s">
        <v>30340</v>
      </c>
    </row>
    <row r="8058" spans="39:41" ht="12" customHeight="1" x14ac:dyDescent="0.2">
      <c r="AM8058" t="str">
        <f t="shared" si="126"/>
        <v>Lake Providence [USYLP]</v>
      </c>
      <c r="AN8058" t="s">
        <v>30342</v>
      </c>
      <c r="AO8058" t="s">
        <v>30343</v>
      </c>
    </row>
    <row r="8059" spans="39:41" ht="12" customHeight="1" x14ac:dyDescent="0.2">
      <c r="AM8059" t="str">
        <f t="shared" si="126"/>
        <v>Lake Saint Louis [US6ER]</v>
      </c>
      <c r="AN8059" t="s">
        <v>30344</v>
      </c>
      <c r="AO8059" t="s">
        <v>30345</v>
      </c>
    </row>
    <row r="8060" spans="39:41" ht="12" customHeight="1" x14ac:dyDescent="0.2">
      <c r="AM8060" t="str">
        <f t="shared" si="126"/>
        <v>Lake Waccamaw [USWCW]</v>
      </c>
      <c r="AN8060" t="s">
        <v>30346</v>
      </c>
      <c r="AO8060" t="s">
        <v>30347</v>
      </c>
    </row>
    <row r="8061" spans="39:41" ht="12" customHeight="1" x14ac:dyDescent="0.2">
      <c r="AM8061" t="str">
        <f t="shared" si="126"/>
        <v>Lakes Entrance [AULEN]</v>
      </c>
      <c r="AN8061" t="s">
        <v>1793</v>
      </c>
      <c r="AO8061" t="s">
        <v>1794</v>
      </c>
    </row>
    <row r="8062" spans="39:41" ht="12" customHeight="1" x14ac:dyDescent="0.2">
      <c r="AM8062" t="str">
        <f t="shared" si="126"/>
        <v>Lakeshore [CALSE]</v>
      </c>
      <c r="AN8062" t="s">
        <v>4016</v>
      </c>
      <c r="AO8062" t="s">
        <v>4017</v>
      </c>
    </row>
    <row r="8063" spans="39:41" ht="12" customHeight="1" x14ac:dyDescent="0.2">
      <c r="AM8063" t="str">
        <f t="shared" si="126"/>
        <v>Lakeshore [USLS4]</v>
      </c>
      <c r="AN8063" t="s">
        <v>30348</v>
      </c>
      <c r="AO8063" t="s">
        <v>4017</v>
      </c>
    </row>
    <row r="8064" spans="39:41" ht="12" customHeight="1" x14ac:dyDescent="0.2">
      <c r="AM8064" t="str">
        <f t="shared" si="126"/>
        <v>Lakeview [CALAW]</v>
      </c>
      <c r="AN8064" t="s">
        <v>4018</v>
      </c>
      <c r="AO8064" t="s">
        <v>4019</v>
      </c>
    </row>
    <row r="8065" spans="39:41" ht="12" customHeight="1" x14ac:dyDescent="0.2">
      <c r="AM8065" t="str">
        <f t="shared" si="126"/>
        <v>Lakkion [GRPKK]</v>
      </c>
      <c r="AN8065" t="s">
        <v>15322</v>
      </c>
      <c r="AO8065" t="s">
        <v>15323</v>
      </c>
    </row>
    <row r="8066" spans="39:41" ht="12" customHeight="1" x14ac:dyDescent="0.2">
      <c r="AM8066" t="str">
        <f t="shared" si="126"/>
        <v>Laksevag [NOLVG]</v>
      </c>
      <c r="AN8066" t="s">
        <v>24381</v>
      </c>
      <c r="AO8066" t="s">
        <v>36234</v>
      </c>
    </row>
    <row r="8067" spans="39:41" ht="12" customHeight="1" x14ac:dyDescent="0.2">
      <c r="AM8067" t="str">
        <f t="shared" si="126"/>
        <v>Lakulahti [FILAK]</v>
      </c>
      <c r="AN8067" t="s">
        <v>10437</v>
      </c>
      <c r="AO8067" t="s">
        <v>10438</v>
      </c>
    </row>
    <row r="8068" spans="39:41" ht="12" customHeight="1" x14ac:dyDescent="0.2">
      <c r="AM8068" t="str">
        <f t="shared" si="126"/>
        <v>Lakuramau [PGLAK]</v>
      </c>
      <c r="AN8068" t="s">
        <v>25416</v>
      </c>
      <c r="AO8068" t="s">
        <v>25417</v>
      </c>
    </row>
    <row r="8069" spans="39:41" ht="12" customHeight="1" x14ac:dyDescent="0.2">
      <c r="AM8069" t="str">
        <f t="shared" si="126"/>
        <v>Lalang Terminal, St [IDLAT]</v>
      </c>
      <c r="AN8069" t="s">
        <v>16364</v>
      </c>
      <c r="AO8069" t="s">
        <v>16365</v>
      </c>
    </row>
    <row r="8070" spans="39:41" ht="12" customHeight="1" x14ac:dyDescent="0.2">
      <c r="AM8070" t="str">
        <f t="shared" si="126"/>
        <v>Lalleweer [NLLWE]</v>
      </c>
      <c r="AN8070" t="s">
        <v>23346</v>
      </c>
      <c r="AO8070" t="s">
        <v>23347</v>
      </c>
    </row>
    <row r="8071" spans="39:41" ht="12" customHeight="1" x14ac:dyDescent="0.2">
      <c r="AM8071" t="str">
        <f t="shared" si="126"/>
        <v>Lamagistere [FRLQG]</v>
      </c>
      <c r="AN8071" t="s">
        <v>11473</v>
      </c>
      <c r="AO8071" t="s">
        <v>11474</v>
      </c>
    </row>
    <row r="8072" spans="39:41" ht="12" customHeight="1" x14ac:dyDescent="0.2">
      <c r="AM8072" t="str">
        <f t="shared" si="126"/>
        <v>Lamb Head [GBLBH]</v>
      </c>
      <c r="AN8072" t="s">
        <v>13599</v>
      </c>
      <c r="AO8072" t="s">
        <v>13600</v>
      </c>
    </row>
    <row r="8073" spans="39:41" ht="12" customHeight="1" x14ac:dyDescent="0.2">
      <c r="AM8073" t="str">
        <f t="shared" si="126"/>
        <v>Lambom Island [PGLAM]</v>
      </c>
      <c r="AN8073" t="s">
        <v>25418</v>
      </c>
      <c r="AO8073" t="s">
        <v>25419</v>
      </c>
    </row>
    <row r="8074" spans="39:41" ht="12" customHeight="1" x14ac:dyDescent="0.2">
      <c r="AM8074" t="str">
        <f t="shared" si="126"/>
        <v>Lamego [PTLMG]</v>
      </c>
      <c r="AN8074" t="s">
        <v>37132</v>
      </c>
      <c r="AO8074" t="s">
        <v>37133</v>
      </c>
    </row>
    <row r="8075" spans="39:41" ht="12" customHeight="1" x14ac:dyDescent="0.2">
      <c r="AM8075" t="str">
        <f t="shared" si="126"/>
        <v>Laminaria Terminal [XZLAM]</v>
      </c>
      <c r="AN8075" t="s">
        <v>32583</v>
      </c>
      <c r="AO8075" t="s">
        <v>32584</v>
      </c>
    </row>
    <row r="8076" spans="39:41" ht="12" customHeight="1" x14ac:dyDescent="0.2">
      <c r="AM8076" t="str">
        <f t="shared" si="126"/>
        <v>Lamit Bay/Jose Panganiban [PHLAM]</v>
      </c>
      <c r="AN8076" t="s">
        <v>25843</v>
      </c>
      <c r="AO8076" t="s">
        <v>25844</v>
      </c>
    </row>
    <row r="8077" spans="39:41" ht="12" customHeight="1" x14ac:dyDescent="0.2">
      <c r="AM8077" t="str">
        <f t="shared" si="126"/>
        <v>Lamjane [HRLAM]</v>
      </c>
      <c r="AN8077" t="s">
        <v>15790</v>
      </c>
      <c r="AO8077" t="s">
        <v>15791</v>
      </c>
    </row>
    <row r="8078" spans="39:41" ht="12" customHeight="1" x14ac:dyDescent="0.2">
      <c r="AM8078" t="str">
        <f t="shared" si="126"/>
        <v>Lamlash [GBLAH]</v>
      </c>
      <c r="AN8078" t="s">
        <v>13601</v>
      </c>
      <c r="AO8078" t="s">
        <v>13602</v>
      </c>
    </row>
    <row r="8079" spans="39:41" ht="12" customHeight="1" x14ac:dyDescent="0.2">
      <c r="AM8079" t="str">
        <f t="shared" si="126"/>
        <v>Lamma Island [HKLAM]</v>
      </c>
      <c r="AN8079" t="s">
        <v>15654</v>
      </c>
      <c r="AO8079" t="s">
        <v>15655</v>
      </c>
    </row>
    <row r="8080" spans="39:41" ht="12" customHeight="1" x14ac:dyDescent="0.2">
      <c r="AM8080" t="str">
        <f t="shared" si="126"/>
        <v>Lamor-Plage [FRLP7]</v>
      </c>
      <c r="AN8080" t="s">
        <v>11475</v>
      </c>
      <c r="AO8080" t="s">
        <v>11476</v>
      </c>
    </row>
    <row r="8081" spans="39:41" ht="12" customHeight="1" x14ac:dyDescent="0.2">
      <c r="AM8081" t="str">
        <f t="shared" si="126"/>
        <v>Lampedusa [ITLMP]</v>
      </c>
      <c r="AN8081" t="s">
        <v>18001</v>
      </c>
      <c r="AO8081" t="s">
        <v>18002</v>
      </c>
    </row>
    <row r="8082" spans="39:41" ht="12" customHeight="1" x14ac:dyDescent="0.2">
      <c r="AM8082" t="str">
        <f t="shared" si="126"/>
        <v>Lampertheim [DELAM]</v>
      </c>
      <c r="AN8082" t="s">
        <v>7758</v>
      </c>
      <c r="AO8082" t="s">
        <v>7759</v>
      </c>
    </row>
    <row r="8083" spans="39:41" ht="12" customHeight="1" x14ac:dyDescent="0.2">
      <c r="AM8083" t="str">
        <f t="shared" si="126"/>
        <v>Lamu [KELAU]</v>
      </c>
      <c r="AN8083" t="s">
        <v>21530</v>
      </c>
      <c r="AO8083" t="s">
        <v>21531</v>
      </c>
    </row>
    <row r="8084" spans="39:41" ht="12" customHeight="1" x14ac:dyDescent="0.2">
      <c r="AM8084" t="str">
        <f t="shared" si="126"/>
        <v>Lanaken [BELAN]</v>
      </c>
      <c r="AN8084" t="s">
        <v>2625</v>
      </c>
      <c r="AO8084" t="s">
        <v>2626</v>
      </c>
    </row>
    <row r="8085" spans="39:41" ht="12" customHeight="1" x14ac:dyDescent="0.2">
      <c r="AM8085" t="str">
        <f t="shared" si="126"/>
        <v>Lanaye (Ternaaien) [BELNY]</v>
      </c>
      <c r="AN8085" t="s">
        <v>2627</v>
      </c>
      <c r="AO8085" t="s">
        <v>2628</v>
      </c>
    </row>
    <row r="8086" spans="39:41" ht="12" customHeight="1" x14ac:dyDescent="0.2">
      <c r="AM8086" t="str">
        <f t="shared" si="126"/>
        <v>Lancaster [GBLAN]</v>
      </c>
      <c r="AN8086" t="s">
        <v>13603</v>
      </c>
      <c r="AO8086" t="s">
        <v>13604</v>
      </c>
    </row>
    <row r="8087" spans="39:41" ht="12" customHeight="1" x14ac:dyDescent="0.2">
      <c r="AM8087" t="str">
        <f t="shared" si="126"/>
        <v>Lancaster [USLZC]</v>
      </c>
      <c r="AN8087" t="s">
        <v>30349</v>
      </c>
      <c r="AO8087" t="s">
        <v>13604</v>
      </c>
    </row>
    <row r="8088" spans="39:41" ht="12" customHeight="1" x14ac:dyDescent="0.2">
      <c r="AM8088" t="str">
        <f t="shared" si="126"/>
        <v>Lanciego [ESLAN]</v>
      </c>
      <c r="AN8088" t="s">
        <v>9887</v>
      </c>
      <c r="AO8088" t="s">
        <v>9888</v>
      </c>
    </row>
    <row r="8089" spans="39:41" ht="12" customHeight="1" x14ac:dyDescent="0.2">
      <c r="AM8089" t="str">
        <f t="shared" si="126"/>
        <v>Lancy [CHGEL]</v>
      </c>
      <c r="AN8089" t="s">
        <v>36673</v>
      </c>
      <c r="AO8089" t="s">
        <v>36674</v>
      </c>
    </row>
    <row r="8090" spans="39:41" ht="12" customHeight="1" x14ac:dyDescent="0.2">
      <c r="AM8090" t="str">
        <f t="shared" si="126"/>
        <v>Land O'Lakes [USKAJ]</v>
      </c>
      <c r="AN8090" t="s">
        <v>30350</v>
      </c>
      <c r="AO8090" t="s">
        <v>30351</v>
      </c>
    </row>
    <row r="8091" spans="39:41" ht="12" customHeight="1" x14ac:dyDescent="0.2">
      <c r="AM8091" t="str">
        <f t="shared" si="126"/>
        <v>Landana (Cacongo) [AOLAA]</v>
      </c>
      <c r="AN8091" t="s">
        <v>863</v>
      </c>
      <c r="AO8091" t="s">
        <v>864</v>
      </c>
    </row>
    <row r="8092" spans="39:41" ht="12" customHeight="1" x14ac:dyDescent="0.2">
      <c r="AM8092" t="str">
        <f t="shared" si="126"/>
        <v>Landau in der Pfalz [DELAD]</v>
      </c>
      <c r="AN8092" t="s">
        <v>7760</v>
      </c>
      <c r="AO8092" t="s">
        <v>7761</v>
      </c>
    </row>
    <row r="8093" spans="39:41" ht="12" customHeight="1" x14ac:dyDescent="0.2">
      <c r="AM8093" t="str">
        <f t="shared" si="126"/>
        <v>Landegem [BELGM]</v>
      </c>
      <c r="AN8093" t="s">
        <v>2629</v>
      </c>
      <c r="AO8093" t="s">
        <v>2630</v>
      </c>
    </row>
    <row r="8094" spans="39:41" ht="12" customHeight="1" x14ac:dyDescent="0.2">
      <c r="AM8094" t="str">
        <f t="shared" si="126"/>
        <v>Landelies [BELDS]</v>
      </c>
      <c r="AN8094" t="s">
        <v>2631</v>
      </c>
      <c r="AO8094" t="s">
        <v>2632</v>
      </c>
    </row>
    <row r="8095" spans="39:41" ht="12" customHeight="1" x14ac:dyDescent="0.2">
      <c r="AM8095" t="str">
        <f t="shared" si="126"/>
        <v>Landerneau [FRLDN]</v>
      </c>
      <c r="AN8095" t="s">
        <v>11477</v>
      </c>
      <c r="AO8095" t="s">
        <v>11478</v>
      </c>
    </row>
    <row r="8096" spans="39:41" ht="12" customHeight="1" x14ac:dyDescent="0.2">
      <c r="AM8096" t="str">
        <f t="shared" si="126"/>
        <v>Landeyjahofn [ISLAN]</v>
      </c>
      <c r="AN8096" t="s">
        <v>34178</v>
      </c>
      <c r="AO8096" t="s">
        <v>34252</v>
      </c>
    </row>
    <row r="8097" spans="39:41" ht="12" customHeight="1" x14ac:dyDescent="0.2">
      <c r="AM8097" t="str">
        <f t="shared" si="126"/>
        <v>Landgoed Baest [NLLGB]</v>
      </c>
      <c r="AN8097" t="s">
        <v>23348</v>
      </c>
      <c r="AO8097" t="s">
        <v>23349</v>
      </c>
    </row>
    <row r="8098" spans="39:41" ht="12" customHeight="1" x14ac:dyDescent="0.2">
      <c r="AM8098" t="str">
        <f t="shared" si="126"/>
        <v>Landing [USLZV]</v>
      </c>
      <c r="AN8098" t="s">
        <v>30352</v>
      </c>
      <c r="AO8098" t="s">
        <v>30353</v>
      </c>
    </row>
    <row r="8099" spans="39:41" ht="12" customHeight="1" x14ac:dyDescent="0.2">
      <c r="AM8099" t="str">
        <f t="shared" si="126"/>
        <v>Landkreis Ammerland [DEAAD]</v>
      </c>
      <c r="AN8099" t="s">
        <v>7762</v>
      </c>
      <c r="AO8099" t="s">
        <v>7763</v>
      </c>
    </row>
    <row r="8100" spans="39:41" ht="12" customHeight="1" x14ac:dyDescent="0.2">
      <c r="AM8100" t="str">
        <f t="shared" si="126"/>
        <v>Landore [GBLAO]</v>
      </c>
      <c r="AN8100" t="s">
        <v>13605</v>
      </c>
      <c r="AO8100" t="s">
        <v>13606</v>
      </c>
    </row>
    <row r="8101" spans="39:41" ht="12" customHeight="1" x14ac:dyDescent="0.2">
      <c r="AM8101" t="str">
        <f t="shared" si="126"/>
        <v>Land's End [GBLEQ]</v>
      </c>
      <c r="AN8101" t="s">
        <v>13607</v>
      </c>
      <c r="AO8101" t="s">
        <v>13608</v>
      </c>
    </row>
    <row r="8102" spans="39:41" ht="12" customHeight="1" x14ac:dyDescent="0.2">
      <c r="AM8102" t="str">
        <f t="shared" si="126"/>
        <v>Landshut [DELDH]</v>
      </c>
      <c r="AN8102" t="s">
        <v>7764</v>
      </c>
      <c r="AO8102" t="s">
        <v>7765</v>
      </c>
    </row>
    <row r="8103" spans="39:41" ht="12" customHeight="1" x14ac:dyDescent="0.2">
      <c r="AM8103" t="str">
        <f t="shared" si="126"/>
        <v>Landskrona [SELAA]</v>
      </c>
      <c r="AN8103" t="s">
        <v>27713</v>
      </c>
      <c r="AO8103" t="s">
        <v>27714</v>
      </c>
    </row>
    <row r="8104" spans="39:41" ht="12" customHeight="1" x14ac:dyDescent="0.2">
      <c r="AM8104" t="str">
        <f t="shared" si="126"/>
        <v>Landvetter [SELAV]</v>
      </c>
      <c r="AN8104" t="s">
        <v>27715</v>
      </c>
      <c r="AO8104" t="s">
        <v>27716</v>
      </c>
    </row>
    <row r="8105" spans="39:41" ht="12" customHeight="1" x14ac:dyDescent="0.2">
      <c r="AM8105" t="str">
        <f t="shared" si="126"/>
        <v>Lanesville [USL54]</v>
      </c>
      <c r="AN8105" t="s">
        <v>30354</v>
      </c>
      <c r="AO8105" t="s">
        <v>30355</v>
      </c>
    </row>
    <row r="8106" spans="39:41" ht="12" customHeight="1" x14ac:dyDescent="0.2">
      <c r="AM8106" t="str">
        <f t="shared" si="126"/>
        <v>Lanett [USYLT]</v>
      </c>
      <c r="AN8106" t="s">
        <v>30356</v>
      </c>
      <c r="AO8106" t="s">
        <v>30357</v>
      </c>
    </row>
    <row r="8107" spans="39:41" ht="12" customHeight="1" x14ac:dyDescent="0.2">
      <c r="AM8107" t="str">
        <f t="shared" si="126"/>
        <v>Lang Suan [THLAS]</v>
      </c>
      <c r="AN8107" t="s">
        <v>28248</v>
      </c>
      <c r="AO8107" t="s">
        <v>28249</v>
      </c>
    </row>
    <row r="8108" spans="39:41" ht="12" customHeight="1" x14ac:dyDescent="0.2">
      <c r="AM8108" t="str">
        <f t="shared" si="126"/>
        <v>Langarra [AULAN]</v>
      </c>
      <c r="AN8108" t="s">
        <v>1795</v>
      </c>
      <c r="AO8108" t="s">
        <v>1796</v>
      </c>
    </row>
    <row r="8109" spans="39:41" ht="12" customHeight="1" x14ac:dyDescent="0.2">
      <c r="AM8109" t="str">
        <f t="shared" si="126"/>
        <v>Langballig [DE73A]</v>
      </c>
      <c r="AN8109" t="s">
        <v>36858</v>
      </c>
      <c r="AO8109" t="s">
        <v>36859</v>
      </c>
    </row>
    <row r="8110" spans="39:41" ht="12" customHeight="1" x14ac:dyDescent="0.2">
      <c r="AM8110" t="str">
        <f t="shared" si="126"/>
        <v>Langelille [NLLGI]</v>
      </c>
      <c r="AN8110" t="s">
        <v>23350</v>
      </c>
      <c r="AO8110" t="s">
        <v>23351</v>
      </c>
    </row>
    <row r="8111" spans="39:41" ht="12" customHeight="1" x14ac:dyDescent="0.2">
      <c r="AM8111" t="str">
        <f t="shared" si="126"/>
        <v>Langenbach [DELGB]</v>
      </c>
      <c r="AN8111" t="s">
        <v>7766</v>
      </c>
      <c r="AO8111" t="s">
        <v>7767</v>
      </c>
    </row>
    <row r="8112" spans="39:41" ht="12" customHeight="1" x14ac:dyDescent="0.2">
      <c r="AM8112" t="str">
        <f t="shared" si="126"/>
        <v>Langendamm [DELDM]</v>
      </c>
      <c r="AN8112" t="s">
        <v>7768</v>
      </c>
      <c r="AO8112" t="s">
        <v>7769</v>
      </c>
    </row>
    <row r="8113" spans="39:41" ht="12" customHeight="1" x14ac:dyDescent="0.2">
      <c r="AM8113" t="str">
        <f t="shared" si="126"/>
        <v>Langenzersdorf [ATLZD]</v>
      </c>
      <c r="AN8113" t="s">
        <v>1260</v>
      </c>
      <c r="AO8113" t="s">
        <v>1261</v>
      </c>
    </row>
    <row r="8114" spans="39:41" ht="12" customHeight="1" x14ac:dyDescent="0.2">
      <c r="AM8114" t="str">
        <f t="shared" si="126"/>
        <v>Langeoog [DELGO]</v>
      </c>
      <c r="AN8114" t="s">
        <v>7770</v>
      </c>
      <c r="AO8114" t="s">
        <v>7771</v>
      </c>
    </row>
    <row r="8115" spans="39:41" ht="12" customHeight="1" x14ac:dyDescent="0.2">
      <c r="AM8115" t="str">
        <f t="shared" si="126"/>
        <v>Langerbrugge [BELGB]</v>
      </c>
      <c r="AN8115" t="s">
        <v>2633</v>
      </c>
      <c r="AO8115" t="s">
        <v>2634</v>
      </c>
    </row>
    <row r="8116" spans="39:41" ht="12" customHeight="1" x14ac:dyDescent="0.2">
      <c r="AM8116" t="str">
        <f t="shared" si="126"/>
        <v>Langerlo [BELGO]</v>
      </c>
      <c r="AN8116" t="s">
        <v>2635</v>
      </c>
      <c r="AO8116" t="s">
        <v>2636</v>
      </c>
    </row>
    <row r="8117" spans="39:41" ht="12" customHeight="1" x14ac:dyDescent="0.2">
      <c r="AM8117" t="str">
        <f t="shared" ref="AM8117:AM8180" si="127">AO8117 &amp; " [" &amp; AN8117 &amp; "]"</f>
        <v>Langesund [NOLAD]</v>
      </c>
      <c r="AN8117" t="s">
        <v>24382</v>
      </c>
      <c r="AO8117" t="s">
        <v>24383</v>
      </c>
    </row>
    <row r="8118" spans="39:41" ht="12" customHeight="1" x14ac:dyDescent="0.2">
      <c r="AM8118" t="str">
        <f t="shared" si="127"/>
        <v>Langevag [NOLAG]</v>
      </c>
      <c r="AN8118" t="s">
        <v>24384</v>
      </c>
      <c r="AO8118" t="s">
        <v>36235</v>
      </c>
    </row>
    <row r="8119" spans="39:41" ht="12" customHeight="1" x14ac:dyDescent="0.2">
      <c r="AM8119" t="str">
        <f t="shared" si="127"/>
        <v>Langevag - Sula [NOLAN]</v>
      </c>
      <c r="AN8119" t="s">
        <v>24385</v>
      </c>
      <c r="AO8119" t="s">
        <v>36236</v>
      </c>
    </row>
    <row r="8120" spans="39:41" ht="12" customHeight="1" x14ac:dyDescent="0.2">
      <c r="AM8120" t="str">
        <f t="shared" si="127"/>
        <v>Langeweg [NLLWG]</v>
      </c>
      <c r="AN8120" t="s">
        <v>23352</v>
      </c>
      <c r="AO8120" t="s">
        <v>23353</v>
      </c>
    </row>
    <row r="8121" spans="39:41" ht="12" customHeight="1" x14ac:dyDescent="0.2">
      <c r="AM8121" t="str">
        <f t="shared" si="127"/>
        <v>Langewiesen [DELAW]</v>
      </c>
      <c r="AN8121" t="s">
        <v>7772</v>
      </c>
      <c r="AO8121" t="s">
        <v>7773</v>
      </c>
    </row>
    <row r="8122" spans="39:41" ht="12" customHeight="1" x14ac:dyDescent="0.2">
      <c r="AM8122" t="str">
        <f t="shared" si="127"/>
        <v>Langkawi [MYLGK]</v>
      </c>
      <c r="AN8122" t="s">
        <v>22632</v>
      </c>
      <c r="AO8122" t="s">
        <v>22633</v>
      </c>
    </row>
    <row r="8123" spans="39:41" ht="12" customHeight="1" x14ac:dyDescent="0.2">
      <c r="AM8123" t="str">
        <f t="shared" si="127"/>
        <v>Langkloof [ZAKOO]</v>
      </c>
      <c r="AN8123" t="s">
        <v>32701</v>
      </c>
      <c r="AO8123" t="s">
        <v>32702</v>
      </c>
    </row>
    <row r="8124" spans="39:41" ht="12" customHeight="1" x14ac:dyDescent="0.2">
      <c r="AM8124" t="str">
        <f t="shared" si="127"/>
        <v>Langley [CALNG]</v>
      </c>
      <c r="AN8124" t="s">
        <v>4020</v>
      </c>
      <c r="AO8124" t="s">
        <v>4021</v>
      </c>
    </row>
    <row r="8125" spans="39:41" ht="12" customHeight="1" x14ac:dyDescent="0.2">
      <c r="AM8125" t="str">
        <f t="shared" si="127"/>
        <v>Langnas [FILAN]</v>
      </c>
      <c r="AN8125" t="s">
        <v>10439</v>
      </c>
      <c r="AO8125" t="s">
        <v>35736</v>
      </c>
    </row>
    <row r="8126" spans="39:41" ht="12" customHeight="1" x14ac:dyDescent="0.2">
      <c r="AM8126" t="str">
        <f t="shared" si="127"/>
        <v>Langon [FRANO]</v>
      </c>
      <c r="AN8126" t="s">
        <v>11479</v>
      </c>
      <c r="AO8126" t="s">
        <v>11480</v>
      </c>
    </row>
    <row r="8127" spans="39:41" ht="12" customHeight="1" x14ac:dyDescent="0.2">
      <c r="AM8127" t="str">
        <f t="shared" si="127"/>
        <v>Langoya [NOLAO]</v>
      </c>
      <c r="AN8127" t="s">
        <v>24386</v>
      </c>
      <c r="AO8127" t="s">
        <v>36237</v>
      </c>
    </row>
    <row r="8128" spans="39:41" ht="12" customHeight="1" x14ac:dyDescent="0.2">
      <c r="AM8128" t="str">
        <f t="shared" si="127"/>
        <v>Langsa Venture FPSO [IDLVN]</v>
      </c>
      <c r="AN8128" t="s">
        <v>16366</v>
      </c>
      <c r="AO8128" t="s">
        <v>16367</v>
      </c>
    </row>
    <row r="8129" spans="39:41" ht="12" customHeight="1" x14ac:dyDescent="0.2">
      <c r="AM8129" t="str">
        <f t="shared" si="127"/>
        <v>Langsa, Sumatra [IDLAS]</v>
      </c>
      <c r="AN8129" t="s">
        <v>16368</v>
      </c>
      <c r="AO8129" t="s">
        <v>16369</v>
      </c>
    </row>
    <row r="8130" spans="39:41" ht="12" customHeight="1" x14ac:dyDescent="0.2">
      <c r="AM8130" t="str">
        <f t="shared" si="127"/>
        <v>Langstein [NOLGS]</v>
      </c>
      <c r="AN8130" t="s">
        <v>24387</v>
      </c>
      <c r="AO8130" t="s">
        <v>24388</v>
      </c>
    </row>
    <row r="8131" spans="39:41" ht="12" customHeight="1" x14ac:dyDescent="0.2">
      <c r="AM8131" t="str">
        <f t="shared" si="127"/>
        <v>Langstone [GBLSH]</v>
      </c>
      <c r="AN8131" t="s">
        <v>13609</v>
      </c>
      <c r="AO8131" t="s">
        <v>13610</v>
      </c>
    </row>
    <row r="8132" spans="39:41" ht="12" customHeight="1" x14ac:dyDescent="0.2">
      <c r="AM8132" t="str">
        <f t="shared" si="127"/>
        <v>Langsur [DE6NK]</v>
      </c>
      <c r="AN8132" t="s">
        <v>7774</v>
      </c>
      <c r="AO8132" t="s">
        <v>7775</v>
      </c>
    </row>
    <row r="8133" spans="39:41" ht="12" customHeight="1" x14ac:dyDescent="0.2">
      <c r="AM8133" t="str">
        <f t="shared" si="127"/>
        <v>Lanheses [PTLNS]</v>
      </c>
      <c r="AN8133" t="s">
        <v>26525</v>
      </c>
      <c r="AO8133" t="s">
        <v>26526</v>
      </c>
    </row>
    <row r="8134" spans="39:41" ht="12" customHeight="1" x14ac:dyDescent="0.2">
      <c r="AM8134" t="str">
        <f t="shared" si="127"/>
        <v>Lanildut [FRDUT]</v>
      </c>
      <c r="AN8134" t="s">
        <v>11481</v>
      </c>
      <c r="AO8134" t="s">
        <v>11482</v>
      </c>
    </row>
    <row r="8135" spans="39:41" ht="12" customHeight="1" x14ac:dyDescent="0.2">
      <c r="AM8135" t="str">
        <f t="shared" si="127"/>
        <v>Lanklaar [BELNK]</v>
      </c>
      <c r="AN8135" t="s">
        <v>2637</v>
      </c>
      <c r="AO8135" t="s">
        <v>2638</v>
      </c>
    </row>
    <row r="8136" spans="39:41" ht="12" customHeight="1" x14ac:dyDescent="0.2">
      <c r="AM8136" t="str">
        <f t="shared" si="127"/>
        <v>Lankwitz [DELKI]</v>
      </c>
      <c r="AN8136" t="s">
        <v>7776</v>
      </c>
      <c r="AO8136" t="s">
        <v>7777</v>
      </c>
    </row>
    <row r="8137" spans="39:41" ht="12" customHeight="1" x14ac:dyDescent="0.2">
      <c r="AM8137" t="str">
        <f t="shared" si="127"/>
        <v>Lannion [FRLAI]</v>
      </c>
      <c r="AN8137" t="s">
        <v>11483</v>
      </c>
      <c r="AO8137" t="s">
        <v>11484</v>
      </c>
    </row>
    <row r="8138" spans="39:41" ht="12" customHeight="1" x14ac:dyDescent="0.2">
      <c r="AM8138" t="str">
        <f t="shared" si="127"/>
        <v>Lanquesaint [BELQA]</v>
      </c>
      <c r="AN8138" t="s">
        <v>2639</v>
      </c>
      <c r="AO8138" t="s">
        <v>2640</v>
      </c>
    </row>
    <row r="8139" spans="39:41" ht="12" customHeight="1" x14ac:dyDescent="0.2">
      <c r="AM8139" t="str">
        <f t="shared" si="127"/>
        <v>Lansdowne [CALDS]</v>
      </c>
      <c r="AN8139" t="s">
        <v>4022</v>
      </c>
      <c r="AO8139" t="s">
        <v>4023</v>
      </c>
    </row>
    <row r="8140" spans="39:41" ht="12" customHeight="1" x14ac:dyDescent="0.2">
      <c r="AM8140" t="str">
        <f t="shared" si="127"/>
        <v>Lansdowne-Baltimore [USLB9]</v>
      </c>
      <c r="AN8140" t="s">
        <v>30358</v>
      </c>
      <c r="AO8140" t="s">
        <v>30359</v>
      </c>
    </row>
    <row r="8141" spans="39:41" ht="12" customHeight="1" x14ac:dyDescent="0.2">
      <c r="AM8141" t="str">
        <f t="shared" si="127"/>
        <v>L'Anse-a-Beaufils [CALB3]</v>
      </c>
      <c r="AN8141" t="s">
        <v>36677</v>
      </c>
      <c r="AO8141" t="s">
        <v>36678</v>
      </c>
    </row>
    <row r="8142" spans="39:41" ht="12" customHeight="1" x14ac:dyDescent="0.2">
      <c r="AM8142" t="str">
        <f t="shared" si="127"/>
        <v>L'Anse-au-Loup [CAALO]</v>
      </c>
      <c r="AN8142" t="s">
        <v>4024</v>
      </c>
      <c r="AO8142" t="s">
        <v>4025</v>
      </c>
    </row>
    <row r="8143" spans="39:41" ht="12" customHeight="1" x14ac:dyDescent="0.2">
      <c r="AM8143" t="str">
        <f t="shared" si="127"/>
        <v>Lanshan Pt [CNLSN]</v>
      </c>
      <c r="AN8143" t="s">
        <v>5606</v>
      </c>
      <c r="AO8143" t="s">
        <v>5607</v>
      </c>
    </row>
    <row r="8144" spans="39:41" ht="12" customHeight="1" x14ac:dyDescent="0.2">
      <c r="AM8144" t="str">
        <f t="shared" si="127"/>
        <v>Lanshi [CNLNS]</v>
      </c>
      <c r="AN8144" t="s">
        <v>5608</v>
      </c>
      <c r="AO8144" t="s">
        <v>5609</v>
      </c>
    </row>
    <row r="8145" spans="39:41" ht="12" customHeight="1" x14ac:dyDescent="0.2">
      <c r="AM8145" t="str">
        <f t="shared" si="127"/>
        <v>Lantaron [ESRON]</v>
      </c>
      <c r="AN8145" t="s">
        <v>9889</v>
      </c>
      <c r="AO8145" t="s">
        <v>9890</v>
      </c>
    </row>
    <row r="8146" spans="39:41" ht="12" customHeight="1" x14ac:dyDescent="0.2">
      <c r="AM8146" t="str">
        <f t="shared" si="127"/>
        <v>Lantzville [CALZV]</v>
      </c>
      <c r="AN8146" t="s">
        <v>4026</v>
      </c>
      <c r="AO8146" t="s">
        <v>4027</v>
      </c>
    </row>
    <row r="8147" spans="39:41" ht="12" customHeight="1" x14ac:dyDescent="0.2">
      <c r="AM8147" t="str">
        <f t="shared" si="127"/>
        <v>Lanuza/Bislig [PHLAN]</v>
      </c>
      <c r="AN8147" t="s">
        <v>25845</v>
      </c>
      <c r="AO8147" t="s">
        <v>25846</v>
      </c>
    </row>
    <row r="8148" spans="39:41" ht="12" customHeight="1" x14ac:dyDescent="0.2">
      <c r="AM8148" t="str">
        <f t="shared" si="127"/>
        <v>Lanxi [CNLXI]</v>
      </c>
      <c r="AN8148" t="s">
        <v>5610</v>
      </c>
      <c r="AO8148" t="s">
        <v>5611</v>
      </c>
    </row>
    <row r="8149" spans="39:41" ht="12" customHeight="1" x14ac:dyDescent="0.2">
      <c r="AM8149" t="str">
        <f t="shared" si="127"/>
        <v>Lanzarote [ESACE]</v>
      </c>
      <c r="AN8149" t="s">
        <v>9891</v>
      </c>
      <c r="AO8149" t="s">
        <v>9892</v>
      </c>
    </row>
    <row r="8150" spans="39:41" ht="12" customHeight="1" x14ac:dyDescent="0.2">
      <c r="AM8150" t="str">
        <f t="shared" si="127"/>
        <v>Lao [EELAO]</v>
      </c>
      <c r="AN8150" t="s">
        <v>9229</v>
      </c>
      <c r="AO8150" t="s">
        <v>9230</v>
      </c>
    </row>
    <row r="8151" spans="39:41" ht="12" customHeight="1" x14ac:dyDescent="0.2">
      <c r="AM8151" t="str">
        <f t="shared" si="127"/>
        <v>Laoag, Luzon [PHLAO]</v>
      </c>
      <c r="AN8151" t="s">
        <v>25847</v>
      </c>
      <c r="AO8151" t="s">
        <v>25848</v>
      </c>
    </row>
    <row r="8152" spans="39:41" ht="12" customHeight="1" x14ac:dyDescent="0.2">
      <c r="AM8152" t="str">
        <f t="shared" si="127"/>
        <v>Laodukou [CNLDK]</v>
      </c>
      <c r="AN8152" t="s">
        <v>5612</v>
      </c>
      <c r="AO8152" t="s">
        <v>5613</v>
      </c>
    </row>
    <row r="8153" spans="39:41" ht="12" customHeight="1" x14ac:dyDescent="0.2">
      <c r="AM8153" t="str">
        <f t="shared" si="127"/>
        <v>Laolong [CNLAL]</v>
      </c>
      <c r="AN8153" t="s">
        <v>5614</v>
      </c>
      <c r="AO8153" t="s">
        <v>5615</v>
      </c>
    </row>
    <row r="8154" spans="39:41" ht="12" customHeight="1" x14ac:dyDescent="0.2">
      <c r="AM8154" t="str">
        <f t="shared" si="127"/>
        <v>Laoxiahe [CNLXH]</v>
      </c>
      <c r="AN8154" t="s">
        <v>5616</v>
      </c>
      <c r="AO8154" t="s">
        <v>5617</v>
      </c>
    </row>
    <row r="8155" spans="39:41" ht="12" customHeight="1" x14ac:dyDescent="0.2">
      <c r="AM8155" t="str">
        <f t="shared" si="127"/>
        <v>Lapaluoto [FILLO]</v>
      </c>
      <c r="AN8155" t="s">
        <v>10440</v>
      </c>
      <c r="AO8155" t="s">
        <v>10441</v>
      </c>
    </row>
    <row r="8156" spans="39:41" ht="12" customHeight="1" x14ac:dyDescent="0.2">
      <c r="AM8156" t="str">
        <f t="shared" si="127"/>
        <v>Lapanga [INLNG]</v>
      </c>
      <c r="AN8156" t="s">
        <v>17266</v>
      </c>
      <c r="AO8156" t="s">
        <v>17267</v>
      </c>
    </row>
    <row r="8157" spans="39:41" ht="12" customHeight="1" x14ac:dyDescent="0.2">
      <c r="AM8157" t="str">
        <f t="shared" si="127"/>
        <v>Laplaigne [BELPI]</v>
      </c>
      <c r="AN8157" t="s">
        <v>2641</v>
      </c>
      <c r="AO8157" t="s">
        <v>2642</v>
      </c>
    </row>
    <row r="8158" spans="39:41" ht="12" customHeight="1" x14ac:dyDescent="0.2">
      <c r="AM8158" t="str">
        <f t="shared" si="127"/>
        <v>Lapmezciems [LVLMS]</v>
      </c>
      <c r="AN8158" t="s">
        <v>21931</v>
      </c>
      <c r="AO8158" t="s">
        <v>21932</v>
      </c>
    </row>
    <row r="8159" spans="39:41" ht="12" customHeight="1" x14ac:dyDescent="0.2">
      <c r="AM8159" t="str">
        <f t="shared" si="127"/>
        <v>Lappajarvi [FILPJ]</v>
      </c>
      <c r="AN8159" t="s">
        <v>10442</v>
      </c>
      <c r="AO8159" t="s">
        <v>35737</v>
      </c>
    </row>
    <row r="8160" spans="39:41" ht="12" customHeight="1" x14ac:dyDescent="0.2">
      <c r="AM8160" t="str">
        <f t="shared" si="127"/>
        <v>Lappeenranta (Villmanstrand) [FILPP]</v>
      </c>
      <c r="AN8160" t="s">
        <v>10443</v>
      </c>
      <c r="AO8160" t="s">
        <v>10444</v>
      </c>
    </row>
    <row r="8161" spans="39:41" ht="12" customHeight="1" x14ac:dyDescent="0.2">
      <c r="AM8161" t="str">
        <f t="shared" si="127"/>
        <v>Lappohja (Lappvik) [FILAP]</v>
      </c>
      <c r="AN8161" t="s">
        <v>10445</v>
      </c>
      <c r="AO8161" t="s">
        <v>10446</v>
      </c>
    </row>
    <row r="8162" spans="39:41" ht="12" customHeight="1" x14ac:dyDescent="0.2">
      <c r="AM8162" t="str">
        <f t="shared" si="127"/>
        <v>Lapuebla de Labarca [ESLAP]</v>
      </c>
      <c r="AN8162" t="s">
        <v>9893</v>
      </c>
      <c r="AO8162" t="s">
        <v>9894</v>
      </c>
    </row>
    <row r="8163" spans="39:41" ht="12" customHeight="1" x14ac:dyDescent="0.2">
      <c r="AM8163" t="str">
        <f t="shared" si="127"/>
        <v>Lapu-Lapu, Cebu [PHLPU]</v>
      </c>
      <c r="AN8163" t="s">
        <v>25849</v>
      </c>
      <c r="AO8163" t="s">
        <v>25850</v>
      </c>
    </row>
    <row r="8164" spans="39:41" ht="12" customHeight="1" x14ac:dyDescent="0.2">
      <c r="AM8164" t="str">
        <f t="shared" si="127"/>
        <v>Larache [MALAR]</v>
      </c>
      <c r="AN8164" t="s">
        <v>22046</v>
      </c>
      <c r="AO8164" t="s">
        <v>22047</v>
      </c>
    </row>
    <row r="8165" spans="39:41" ht="12" customHeight="1" x14ac:dyDescent="0.2">
      <c r="AM8165" t="str">
        <f t="shared" si="127"/>
        <v>Lardal [NOLRD]</v>
      </c>
      <c r="AN8165" t="s">
        <v>24389</v>
      </c>
      <c r="AO8165" t="s">
        <v>36238</v>
      </c>
    </row>
    <row r="8166" spans="39:41" ht="12" customHeight="1" x14ac:dyDescent="0.2">
      <c r="AM8166" t="str">
        <f t="shared" si="127"/>
        <v>L'Ardoise [FRLAD]</v>
      </c>
      <c r="AN8166" t="s">
        <v>36966</v>
      </c>
      <c r="AO8166" t="s">
        <v>36967</v>
      </c>
    </row>
    <row r="8167" spans="39:41" ht="12" customHeight="1" x14ac:dyDescent="0.2">
      <c r="AM8167" t="str">
        <f t="shared" si="127"/>
        <v>Lardos Rhodes [GRLAR]</v>
      </c>
      <c r="AN8167" t="s">
        <v>34088</v>
      </c>
      <c r="AO8167" t="s">
        <v>34134</v>
      </c>
    </row>
    <row r="8168" spans="39:41" ht="12" customHeight="1" x14ac:dyDescent="0.2">
      <c r="AM8168" t="str">
        <f t="shared" si="127"/>
        <v>La-Redorte [FRRDT]</v>
      </c>
      <c r="AN8168" t="s">
        <v>11485</v>
      </c>
      <c r="AO8168" t="s">
        <v>11486</v>
      </c>
    </row>
    <row r="8169" spans="39:41" ht="12" customHeight="1" x14ac:dyDescent="0.2">
      <c r="AM8169" t="str">
        <f t="shared" si="127"/>
        <v>Larena [PHLNA]</v>
      </c>
      <c r="AN8169" t="s">
        <v>25851</v>
      </c>
      <c r="AO8169" t="s">
        <v>25852</v>
      </c>
    </row>
    <row r="8170" spans="39:41" ht="12" customHeight="1" x14ac:dyDescent="0.2">
      <c r="AM8170" t="str">
        <f t="shared" si="127"/>
        <v>Largo [GBLGO]</v>
      </c>
      <c r="AN8170" t="s">
        <v>13611</v>
      </c>
      <c r="AO8170" t="s">
        <v>13612</v>
      </c>
    </row>
    <row r="8171" spans="39:41" ht="12" customHeight="1" x14ac:dyDescent="0.2">
      <c r="AM8171" t="str">
        <f t="shared" si="127"/>
        <v>Largs [GBLGS]</v>
      </c>
      <c r="AN8171" t="s">
        <v>13613</v>
      </c>
      <c r="AO8171" t="s">
        <v>13614</v>
      </c>
    </row>
    <row r="8172" spans="39:41" ht="12" customHeight="1" x14ac:dyDescent="0.2">
      <c r="AM8172" t="str">
        <f t="shared" si="127"/>
        <v>Larkollen [NOLRK]</v>
      </c>
      <c r="AN8172" t="s">
        <v>24390</v>
      </c>
      <c r="AO8172" t="s">
        <v>24391</v>
      </c>
    </row>
    <row r="8173" spans="39:41" ht="12" customHeight="1" x14ac:dyDescent="0.2">
      <c r="AM8173" t="str">
        <f t="shared" si="127"/>
        <v>Larnaca [CYLCA]</v>
      </c>
      <c r="AN8173" t="s">
        <v>6765</v>
      </c>
      <c r="AO8173" t="s">
        <v>6766</v>
      </c>
    </row>
    <row r="8174" spans="39:41" ht="12" customHeight="1" x14ac:dyDescent="0.2">
      <c r="AM8174" t="str">
        <f t="shared" si="127"/>
        <v>Larne [GBLAR]</v>
      </c>
      <c r="AN8174" t="s">
        <v>13615</v>
      </c>
      <c r="AO8174" t="s">
        <v>13616</v>
      </c>
    </row>
    <row r="8175" spans="39:41" ht="12" customHeight="1" x14ac:dyDescent="0.2">
      <c r="AM8175" t="str">
        <f t="shared" si="127"/>
        <v>Larsnes [NONZC]</v>
      </c>
      <c r="AN8175" t="s">
        <v>24392</v>
      </c>
      <c r="AO8175" t="s">
        <v>24393</v>
      </c>
    </row>
    <row r="8176" spans="39:41" ht="12" customHeight="1" x14ac:dyDescent="0.2">
      <c r="AM8176" t="str">
        <f t="shared" si="127"/>
        <v>Larvik [NOLAR]</v>
      </c>
      <c r="AN8176" t="s">
        <v>24394</v>
      </c>
      <c r="AO8176" t="s">
        <v>24395</v>
      </c>
    </row>
    <row r="8177" spans="39:41" ht="12" customHeight="1" x14ac:dyDescent="0.2">
      <c r="AM8177" t="str">
        <f t="shared" si="127"/>
        <v>Larymna [GRLRY]</v>
      </c>
      <c r="AN8177" t="s">
        <v>15324</v>
      </c>
      <c r="AO8177" t="s">
        <v>15325</v>
      </c>
    </row>
    <row r="8178" spans="39:41" ht="12" customHeight="1" x14ac:dyDescent="0.2">
      <c r="AM8178" t="str">
        <f t="shared" si="127"/>
        <v>Las Casas de Alcanar [ESCDK]</v>
      </c>
      <c r="AN8178" t="s">
        <v>9895</v>
      </c>
      <c r="AO8178" t="s">
        <v>9896</v>
      </c>
    </row>
    <row r="8179" spans="39:41" ht="12" customHeight="1" x14ac:dyDescent="0.2">
      <c r="AM8179" t="str">
        <f t="shared" si="127"/>
        <v>Las Maderas [NILM8]</v>
      </c>
      <c r="AN8179" t="s">
        <v>22994</v>
      </c>
      <c r="AO8179" t="s">
        <v>22995</v>
      </c>
    </row>
    <row r="8180" spans="39:41" ht="12" customHeight="1" x14ac:dyDescent="0.2">
      <c r="AM8180" t="str">
        <f t="shared" si="127"/>
        <v>Las Mareas (Guayama) [PRLAM]</v>
      </c>
      <c r="AN8180" t="s">
        <v>26425</v>
      </c>
      <c r="AO8180" t="s">
        <v>26426</v>
      </c>
    </row>
    <row r="8181" spans="39:41" ht="12" customHeight="1" x14ac:dyDescent="0.2">
      <c r="AM8181" t="str">
        <f t="shared" ref="AM8181:AM8244" si="128">AO8181 &amp; " [" &amp; AN8181 &amp; "]"</f>
        <v>Las Minas [PAMNP]</v>
      </c>
      <c r="AN8181" t="s">
        <v>25202</v>
      </c>
      <c r="AO8181" t="s">
        <v>25203</v>
      </c>
    </row>
    <row r="8182" spans="39:41" ht="12" customHeight="1" x14ac:dyDescent="0.2">
      <c r="AM8182" t="str">
        <f t="shared" si="128"/>
        <v>Las Noras de Daza [ESNDD]</v>
      </c>
      <c r="AN8182" t="s">
        <v>9897</v>
      </c>
      <c r="AO8182" t="s">
        <v>9898</v>
      </c>
    </row>
    <row r="8183" spans="39:41" ht="12" customHeight="1" x14ac:dyDescent="0.2">
      <c r="AM8183" t="str">
        <f t="shared" si="128"/>
        <v>Las Palmas [ARLPS]</v>
      </c>
      <c r="AN8183" t="s">
        <v>1036</v>
      </c>
      <c r="AO8183" t="s">
        <v>1037</v>
      </c>
    </row>
    <row r="8184" spans="39:41" ht="12" customHeight="1" x14ac:dyDescent="0.2">
      <c r="AM8184" t="str">
        <f t="shared" si="128"/>
        <v>Las Palmas de Gran Canaria [ESLPA]</v>
      </c>
      <c r="AN8184" t="s">
        <v>9899</v>
      </c>
      <c r="AO8184" t="s">
        <v>9900</v>
      </c>
    </row>
    <row r="8185" spans="39:41" ht="12" customHeight="1" x14ac:dyDescent="0.2">
      <c r="AM8185" t="str">
        <f t="shared" si="128"/>
        <v>Las Piedras [VELSP]</v>
      </c>
      <c r="AN8185" t="s">
        <v>32204</v>
      </c>
      <c r="AO8185" t="s">
        <v>32205</v>
      </c>
    </row>
    <row r="8186" spans="39:41" ht="12" customHeight="1" x14ac:dyDescent="0.2">
      <c r="AM8186" t="str">
        <f t="shared" si="128"/>
        <v>Lassan [DELSA]</v>
      </c>
      <c r="AN8186" t="s">
        <v>7778</v>
      </c>
      <c r="AO8186" t="s">
        <v>7779</v>
      </c>
    </row>
    <row r="8187" spans="39:41" ht="12" customHeight="1" x14ac:dyDescent="0.2">
      <c r="AM8187" t="str">
        <f t="shared" si="128"/>
        <v>Lastovo [HRLST]</v>
      </c>
      <c r="AN8187" t="s">
        <v>15792</v>
      </c>
      <c r="AO8187" t="s">
        <v>15793</v>
      </c>
    </row>
    <row r="8188" spans="39:41" ht="12" customHeight="1" x14ac:dyDescent="0.2">
      <c r="AM8188" t="str">
        <f t="shared" si="128"/>
        <v>Latakia [SYLTK]</v>
      </c>
      <c r="AN8188" t="s">
        <v>28172</v>
      </c>
      <c r="AO8188" t="s">
        <v>28173</v>
      </c>
    </row>
    <row r="8189" spans="39:41" ht="12" customHeight="1" x14ac:dyDescent="0.2">
      <c r="AM8189" t="str">
        <f t="shared" si="128"/>
        <v>Latchi [CYLAT]</v>
      </c>
      <c r="AN8189" t="s">
        <v>6767</v>
      </c>
      <c r="AO8189" t="s">
        <v>6768</v>
      </c>
    </row>
    <row r="8190" spans="39:41" ht="12" customHeight="1" x14ac:dyDescent="0.2">
      <c r="AM8190" t="str">
        <f t="shared" si="128"/>
        <v>Lathen [DELAT]</v>
      </c>
      <c r="AN8190" t="s">
        <v>7780</v>
      </c>
      <c r="AO8190" t="s">
        <v>7781</v>
      </c>
    </row>
    <row r="8191" spans="39:41" ht="12" customHeight="1" x14ac:dyDescent="0.2">
      <c r="AM8191" t="str">
        <f t="shared" si="128"/>
        <v>Latheronwheel [GBLWL]</v>
      </c>
      <c r="AN8191" t="s">
        <v>13617</v>
      </c>
      <c r="AO8191" t="s">
        <v>13618</v>
      </c>
    </row>
    <row r="8192" spans="39:41" ht="12" customHeight="1" x14ac:dyDescent="0.2">
      <c r="AM8192" t="str">
        <f t="shared" si="128"/>
        <v>Laubegast [DEUBT]</v>
      </c>
      <c r="AN8192" t="s">
        <v>7782</v>
      </c>
      <c r="AO8192" t="s">
        <v>7783</v>
      </c>
    </row>
    <row r="8193" spans="39:41" ht="12" customHeight="1" x14ac:dyDescent="0.2">
      <c r="AM8193" t="str">
        <f t="shared" si="128"/>
        <v>Laubenheim [DEDE8]</v>
      </c>
      <c r="AN8193" t="s">
        <v>7784</v>
      </c>
      <c r="AO8193" t="s">
        <v>7785</v>
      </c>
    </row>
    <row r="8194" spans="39:41" ht="12" customHeight="1" x14ac:dyDescent="0.2">
      <c r="AM8194" t="str">
        <f t="shared" si="128"/>
        <v>Lauenburg/Elbe [DELNU]</v>
      </c>
      <c r="AN8194" t="s">
        <v>7786</v>
      </c>
      <c r="AO8194" t="s">
        <v>7787</v>
      </c>
    </row>
    <row r="8195" spans="39:41" ht="12" customHeight="1" x14ac:dyDescent="0.2">
      <c r="AM8195" t="str">
        <f t="shared" si="128"/>
        <v>Laughlan Atoll [PGLLA]</v>
      </c>
      <c r="AN8195" t="s">
        <v>25420</v>
      </c>
      <c r="AO8195" t="s">
        <v>25421</v>
      </c>
    </row>
    <row r="8196" spans="39:41" ht="12" customHeight="1" x14ac:dyDescent="0.2">
      <c r="AM8196" t="str">
        <f t="shared" si="128"/>
        <v>Laukaa [FILUK]</v>
      </c>
      <c r="AN8196" t="s">
        <v>10447</v>
      </c>
      <c r="AO8196" t="s">
        <v>10448</v>
      </c>
    </row>
    <row r="8197" spans="39:41" ht="12" customHeight="1" x14ac:dyDescent="0.2">
      <c r="AM8197" t="str">
        <f t="shared" si="128"/>
        <v>Laukvik [NOLVK]</v>
      </c>
      <c r="AN8197" t="s">
        <v>24396</v>
      </c>
      <c r="AO8197" t="s">
        <v>24397</v>
      </c>
    </row>
    <row r="8198" spans="39:41" ht="12" customHeight="1" x14ac:dyDescent="0.2">
      <c r="AM8198" t="str">
        <f t="shared" si="128"/>
        <v>Launceston [AULST]</v>
      </c>
      <c r="AN8198" t="s">
        <v>1797</v>
      </c>
      <c r="AO8198" t="s">
        <v>1798</v>
      </c>
    </row>
    <row r="8199" spans="39:41" ht="12" customHeight="1" x14ac:dyDescent="0.2">
      <c r="AM8199" t="str">
        <f t="shared" si="128"/>
        <v>Lauraguel [FRLA5]</v>
      </c>
      <c r="AN8199" t="s">
        <v>11487</v>
      </c>
      <c r="AO8199" t="s">
        <v>11488</v>
      </c>
    </row>
    <row r="8200" spans="39:41" ht="12" customHeight="1" x14ac:dyDescent="0.2">
      <c r="AM8200" t="str">
        <f t="shared" si="128"/>
        <v>Laurel [USURE]</v>
      </c>
      <c r="AN8200" t="s">
        <v>30360</v>
      </c>
      <c r="AO8200" t="s">
        <v>30361</v>
      </c>
    </row>
    <row r="8201" spans="39:41" ht="12" customHeight="1" x14ac:dyDescent="0.2">
      <c r="AM8201" t="str">
        <f t="shared" si="128"/>
        <v>Laureldale [USQLR]</v>
      </c>
      <c r="AN8201" t="s">
        <v>30362</v>
      </c>
      <c r="AO8201" t="s">
        <v>30363</v>
      </c>
    </row>
    <row r="8202" spans="39:41" ht="12" customHeight="1" x14ac:dyDescent="0.2">
      <c r="AM8202" t="str">
        <f t="shared" si="128"/>
        <v>Laurelton [USUA7]</v>
      </c>
      <c r="AN8202" t="s">
        <v>30364</v>
      </c>
      <c r="AO8202" t="s">
        <v>30365</v>
      </c>
    </row>
    <row r="8203" spans="39:41" ht="12" customHeight="1" x14ac:dyDescent="0.2">
      <c r="AM8203" t="str">
        <f t="shared" si="128"/>
        <v>Laurelville [USQLH]</v>
      </c>
      <c r="AN8203" t="s">
        <v>30366</v>
      </c>
      <c r="AO8203" t="s">
        <v>30367</v>
      </c>
    </row>
    <row r="8204" spans="39:41" ht="12" customHeight="1" x14ac:dyDescent="0.2">
      <c r="AM8204" t="str">
        <f t="shared" si="128"/>
        <v>Laurence Harbor [US5BL]</v>
      </c>
      <c r="AN8204" t="s">
        <v>33948</v>
      </c>
      <c r="AO8204" t="s">
        <v>34070</v>
      </c>
    </row>
    <row r="8205" spans="39:41" ht="12" customHeight="1" x14ac:dyDescent="0.2">
      <c r="AM8205" t="str">
        <f t="shared" si="128"/>
        <v>Lauret [FRLA6]</v>
      </c>
      <c r="AN8205" t="s">
        <v>11489</v>
      </c>
      <c r="AO8205" t="s">
        <v>11490</v>
      </c>
    </row>
    <row r="8206" spans="39:41" ht="12" customHeight="1" x14ac:dyDescent="0.2">
      <c r="AM8206" t="str">
        <f t="shared" si="128"/>
        <v>Laurieton [AUJML]</v>
      </c>
      <c r="AN8206" t="s">
        <v>1799</v>
      </c>
      <c r="AO8206" t="s">
        <v>1800</v>
      </c>
    </row>
    <row r="8207" spans="39:41" ht="12" customHeight="1" x14ac:dyDescent="0.2">
      <c r="AM8207" t="str">
        <f t="shared" si="128"/>
        <v>Lauris [FRLA4]</v>
      </c>
      <c r="AN8207" t="s">
        <v>11491</v>
      </c>
      <c r="AO8207" t="s">
        <v>11492</v>
      </c>
    </row>
    <row r="8208" spans="39:41" ht="12" customHeight="1" x14ac:dyDescent="0.2">
      <c r="AM8208" t="str">
        <f t="shared" si="128"/>
        <v>Laurium (Lavrion) [GRLAV]</v>
      </c>
      <c r="AN8208" t="s">
        <v>15326</v>
      </c>
      <c r="AO8208" t="s">
        <v>15327</v>
      </c>
    </row>
    <row r="8209" spans="39:41" ht="12" customHeight="1" x14ac:dyDescent="0.2">
      <c r="AM8209" t="str">
        <f t="shared" si="128"/>
        <v>Lauro de Freitas [BRLDF]</v>
      </c>
      <c r="AN8209" t="s">
        <v>3333</v>
      </c>
      <c r="AO8209" t="s">
        <v>3334</v>
      </c>
    </row>
    <row r="8210" spans="39:41" ht="12" customHeight="1" x14ac:dyDescent="0.2">
      <c r="AM8210" t="str">
        <f t="shared" si="128"/>
        <v>Laussig [DELS4]</v>
      </c>
      <c r="AN8210" t="s">
        <v>7788</v>
      </c>
      <c r="AO8210" t="s">
        <v>7789</v>
      </c>
    </row>
    <row r="8211" spans="39:41" ht="12" customHeight="1" x14ac:dyDescent="0.2">
      <c r="AM8211" t="str">
        <f t="shared" si="128"/>
        <v>Lauta [DEUTA]</v>
      </c>
      <c r="AN8211" t="s">
        <v>7790</v>
      </c>
      <c r="AO8211" t="s">
        <v>7791</v>
      </c>
    </row>
    <row r="8212" spans="39:41" ht="12" customHeight="1" x14ac:dyDescent="0.2">
      <c r="AM8212" t="str">
        <f t="shared" si="128"/>
        <v>Lautoka [FJLTK]</v>
      </c>
      <c r="AN8212" t="s">
        <v>10616</v>
      </c>
      <c r="AO8212" t="s">
        <v>10617</v>
      </c>
    </row>
    <row r="8213" spans="39:41" ht="12" customHeight="1" x14ac:dyDescent="0.2">
      <c r="AM8213" t="str">
        <f t="shared" si="128"/>
        <v>Lautri [EELAU]</v>
      </c>
      <c r="AN8213" t="s">
        <v>9231</v>
      </c>
      <c r="AO8213" t="s">
        <v>9232</v>
      </c>
    </row>
    <row r="8214" spans="39:41" ht="12" customHeight="1" x14ac:dyDescent="0.2">
      <c r="AM8214" t="str">
        <f t="shared" si="128"/>
        <v>Lauwe [BELAW]</v>
      </c>
      <c r="AN8214" t="s">
        <v>2643</v>
      </c>
      <c r="AO8214" t="s">
        <v>2644</v>
      </c>
    </row>
    <row r="8215" spans="39:41" ht="12" customHeight="1" x14ac:dyDescent="0.2">
      <c r="AM8215" t="str">
        <f t="shared" si="128"/>
        <v>Lauwersoog [NLLAN]</v>
      </c>
      <c r="AN8215" t="s">
        <v>23354</v>
      </c>
      <c r="AO8215" t="s">
        <v>23355</v>
      </c>
    </row>
    <row r="8216" spans="39:41" ht="12" customHeight="1" x14ac:dyDescent="0.2">
      <c r="AM8216" t="str">
        <f t="shared" si="128"/>
        <v>Lavagna [ITLAW]</v>
      </c>
      <c r="AN8216" t="s">
        <v>18003</v>
      </c>
      <c r="AO8216" t="s">
        <v>18004</v>
      </c>
    </row>
    <row r="8217" spans="39:41" ht="12" customHeight="1" x14ac:dyDescent="0.2">
      <c r="AM8217" t="str">
        <f t="shared" si="128"/>
        <v>Lavalle [ARLAV]</v>
      </c>
      <c r="AN8217" t="s">
        <v>1038</v>
      </c>
      <c r="AO8217" t="s">
        <v>1039</v>
      </c>
    </row>
    <row r="8218" spans="39:41" ht="12" customHeight="1" x14ac:dyDescent="0.2">
      <c r="AM8218" t="str">
        <f t="shared" si="128"/>
        <v>Lavan [IRLVP]</v>
      </c>
      <c r="AN8218" t="s">
        <v>17639</v>
      </c>
      <c r="AO8218" t="s">
        <v>17640</v>
      </c>
    </row>
    <row r="8219" spans="39:41" ht="12" customHeight="1" x14ac:dyDescent="0.2">
      <c r="AM8219" t="str">
        <f t="shared" si="128"/>
        <v>Lavangen [NOLAV]</v>
      </c>
      <c r="AN8219" t="s">
        <v>24398</v>
      </c>
      <c r="AO8219" t="s">
        <v>24399</v>
      </c>
    </row>
    <row r="8220" spans="39:41" ht="12" customHeight="1" x14ac:dyDescent="0.2">
      <c r="AM8220" t="str">
        <f t="shared" si="128"/>
        <v>Lavans-les-Dole [FRNSD]</v>
      </c>
      <c r="AN8220" t="s">
        <v>11493</v>
      </c>
      <c r="AO8220" t="s">
        <v>35811</v>
      </c>
    </row>
    <row r="8221" spans="39:41" ht="12" customHeight="1" x14ac:dyDescent="0.2">
      <c r="AM8221" t="str">
        <f t="shared" si="128"/>
        <v>Lavenham [GBLAV]</v>
      </c>
      <c r="AN8221" t="s">
        <v>13619</v>
      </c>
      <c r="AO8221" t="s">
        <v>13620</v>
      </c>
    </row>
    <row r="8222" spans="39:41" ht="12" customHeight="1" x14ac:dyDescent="0.2">
      <c r="AM8222" t="str">
        <f t="shared" si="128"/>
        <v>Lavera [FRLAV]</v>
      </c>
      <c r="AN8222" t="s">
        <v>11494</v>
      </c>
      <c r="AO8222" t="s">
        <v>35812</v>
      </c>
    </row>
    <row r="8223" spans="39:41" ht="12" customHeight="1" x14ac:dyDescent="0.2">
      <c r="AM8223" t="str">
        <f t="shared" si="128"/>
        <v>Laverlochere [CALVH]</v>
      </c>
      <c r="AN8223" t="s">
        <v>4028</v>
      </c>
      <c r="AO8223" t="s">
        <v>35327</v>
      </c>
    </row>
    <row r="8224" spans="39:41" ht="12" customHeight="1" x14ac:dyDescent="0.2">
      <c r="AM8224" t="str">
        <f t="shared" si="128"/>
        <v>Lavrentiya [RULVR]</v>
      </c>
      <c r="AN8224" t="s">
        <v>27053</v>
      </c>
      <c r="AO8224" t="s">
        <v>27054</v>
      </c>
    </row>
    <row r="8225" spans="39:41" ht="12" customHeight="1" x14ac:dyDescent="0.2">
      <c r="AM8225" t="str">
        <f t="shared" si="128"/>
        <v>Law Base [AQLAW]</v>
      </c>
      <c r="AN8225" t="s">
        <v>942</v>
      </c>
      <c r="AO8225" t="s">
        <v>943</v>
      </c>
    </row>
    <row r="8226" spans="39:41" ht="12" customHeight="1" x14ac:dyDescent="0.2">
      <c r="AM8226" t="str">
        <f t="shared" si="128"/>
        <v>Lawas, Sarawak [MYLWY]</v>
      </c>
      <c r="AN8226" t="s">
        <v>22634</v>
      </c>
      <c r="AO8226" t="s">
        <v>22635</v>
      </c>
    </row>
    <row r="8227" spans="39:41" ht="12" customHeight="1" x14ac:dyDescent="0.2">
      <c r="AM8227" t="str">
        <f t="shared" si="128"/>
        <v>Lawe-Lawe, Kl [IDLLA]</v>
      </c>
      <c r="AN8227" t="s">
        <v>16370</v>
      </c>
      <c r="AO8227" t="s">
        <v>16371</v>
      </c>
    </row>
    <row r="8228" spans="39:41" ht="12" customHeight="1" x14ac:dyDescent="0.2">
      <c r="AM8228" t="str">
        <f t="shared" si="128"/>
        <v>Lawrence [USLWM]</v>
      </c>
      <c r="AN8228" t="s">
        <v>30368</v>
      </c>
      <c r="AO8228" t="s">
        <v>30369</v>
      </c>
    </row>
    <row r="8229" spans="39:41" ht="12" customHeight="1" x14ac:dyDescent="0.2">
      <c r="AM8229" t="str">
        <f t="shared" si="128"/>
        <v>Lawrence [USLWE]</v>
      </c>
      <c r="AN8229" t="s">
        <v>30370</v>
      </c>
      <c r="AO8229" t="s">
        <v>30369</v>
      </c>
    </row>
    <row r="8230" spans="39:41" ht="12" customHeight="1" x14ac:dyDescent="0.2">
      <c r="AM8230" t="str">
        <f t="shared" si="128"/>
        <v>Lawrenceburg [USLVU]</v>
      </c>
      <c r="AN8230" t="s">
        <v>30371</v>
      </c>
      <c r="AO8230" t="s">
        <v>30372</v>
      </c>
    </row>
    <row r="8231" spans="39:41" ht="12" customHeight="1" x14ac:dyDescent="0.2">
      <c r="AM8231" t="str">
        <f t="shared" si="128"/>
        <v>Lawton [USLW5]</v>
      </c>
      <c r="AN8231" t="s">
        <v>30373</v>
      </c>
      <c r="AO8231" t="s">
        <v>30374</v>
      </c>
    </row>
    <row r="8232" spans="39:41" ht="12" customHeight="1" x14ac:dyDescent="0.2">
      <c r="AM8232" t="str">
        <f t="shared" si="128"/>
        <v>Laxo [GBLAX]</v>
      </c>
      <c r="AN8232" t="s">
        <v>13621</v>
      </c>
      <c r="AO8232" t="s">
        <v>13622</v>
      </c>
    </row>
    <row r="8233" spans="39:41" ht="12" customHeight="1" x14ac:dyDescent="0.2">
      <c r="AM8233" t="str">
        <f t="shared" si="128"/>
        <v>Laytonville [USAY5]</v>
      </c>
      <c r="AN8233" t="s">
        <v>30375</v>
      </c>
      <c r="AO8233" t="s">
        <v>30376</v>
      </c>
    </row>
    <row r="8234" spans="39:41" ht="12" customHeight="1" x14ac:dyDescent="0.2">
      <c r="AM8234" t="str">
        <f t="shared" si="128"/>
        <v>Lazarev [RULAZ]</v>
      </c>
      <c r="AN8234" t="s">
        <v>27055</v>
      </c>
      <c r="AO8234" t="s">
        <v>27056</v>
      </c>
    </row>
    <row r="8235" spans="39:41" ht="12" customHeight="1" x14ac:dyDescent="0.2">
      <c r="AM8235" t="str">
        <f t="shared" si="128"/>
        <v>Lazaro Cardenas [MXLZC]</v>
      </c>
      <c r="AN8235" t="s">
        <v>22386</v>
      </c>
      <c r="AO8235" t="s">
        <v>36095</v>
      </c>
    </row>
    <row r="8236" spans="39:41" ht="12" customHeight="1" x14ac:dyDescent="0.2">
      <c r="AM8236" t="str">
        <f t="shared" si="128"/>
        <v>Lazenay [FRZYL]</v>
      </c>
      <c r="AN8236" t="s">
        <v>11495</v>
      </c>
      <c r="AO8236" t="s">
        <v>11496</v>
      </c>
    </row>
    <row r="8237" spans="39:41" ht="12" customHeight="1" x14ac:dyDescent="0.2">
      <c r="AM8237" t="str">
        <f t="shared" si="128"/>
        <v>Lazi [PHLZB]</v>
      </c>
      <c r="AN8237" t="s">
        <v>25853</v>
      </c>
      <c r="AO8237" t="s">
        <v>25854</v>
      </c>
    </row>
    <row r="8238" spans="39:41" ht="12" customHeight="1" x14ac:dyDescent="0.2">
      <c r="AM8238" t="str">
        <f t="shared" si="128"/>
        <v>Lazuri [ROZUI]</v>
      </c>
      <c r="AN8238" t="s">
        <v>26771</v>
      </c>
      <c r="AO8238" t="s">
        <v>26772</v>
      </c>
    </row>
    <row r="8239" spans="39:41" ht="12" customHeight="1" x14ac:dyDescent="0.2">
      <c r="AM8239" t="str">
        <f t="shared" si="128"/>
        <v>Le Barcares [FRBCJ]</v>
      </c>
      <c r="AN8239" t="s">
        <v>11497</v>
      </c>
      <c r="AO8239" t="s">
        <v>35813</v>
      </c>
    </row>
    <row r="8240" spans="39:41" ht="12" customHeight="1" x14ac:dyDescent="0.2">
      <c r="AM8240" t="str">
        <f t="shared" si="128"/>
        <v>Le Bonhomme [FRBN4]</v>
      </c>
      <c r="AN8240" t="s">
        <v>11498</v>
      </c>
      <c r="AO8240" t="s">
        <v>11499</v>
      </c>
    </row>
    <row r="8241" spans="39:41" ht="12" customHeight="1" x14ac:dyDescent="0.2">
      <c r="AM8241" t="str">
        <f t="shared" si="128"/>
        <v>Le Briou [FROUQ]</v>
      </c>
      <c r="AN8241" t="s">
        <v>11500</v>
      </c>
      <c r="AO8241" t="s">
        <v>11501</v>
      </c>
    </row>
    <row r="8242" spans="39:41" ht="12" customHeight="1" x14ac:dyDescent="0.2">
      <c r="AM8242" t="str">
        <f t="shared" si="128"/>
        <v>Le Cailar [FRCIJ]</v>
      </c>
      <c r="AN8242" t="s">
        <v>11502</v>
      </c>
      <c r="AO8242" t="s">
        <v>11503</v>
      </c>
    </row>
    <row r="8243" spans="39:41" ht="12" customHeight="1" x14ac:dyDescent="0.2">
      <c r="AM8243" t="str">
        <f t="shared" si="128"/>
        <v>Le Canet [FRLC4]</v>
      </c>
      <c r="AN8243" t="s">
        <v>11504</v>
      </c>
      <c r="AO8243" t="s">
        <v>11505</v>
      </c>
    </row>
    <row r="8244" spans="39:41" ht="12" customHeight="1" x14ac:dyDescent="0.2">
      <c r="AM8244" t="str">
        <f t="shared" si="128"/>
        <v>Le Cap-d'Agde [FRAGK]</v>
      </c>
      <c r="AN8244" t="s">
        <v>11506</v>
      </c>
      <c r="AO8244" t="s">
        <v>11507</v>
      </c>
    </row>
    <row r="8245" spans="39:41" ht="12" customHeight="1" x14ac:dyDescent="0.2">
      <c r="AM8245" t="str">
        <f t="shared" ref="AM8245:AM8308" si="129">AO8245 &amp; " [" &amp; AN8245 &amp; "]"</f>
        <v>Le Cateau [FREUA]</v>
      </c>
      <c r="AN8245" t="s">
        <v>11508</v>
      </c>
      <c r="AO8245" t="s">
        <v>11509</v>
      </c>
    </row>
    <row r="8246" spans="39:41" ht="12" customHeight="1" x14ac:dyDescent="0.2">
      <c r="AM8246" t="str">
        <f t="shared" si="129"/>
        <v>Le Chatelier (Taden) [FRHTI]</v>
      </c>
      <c r="AN8246" t="s">
        <v>11510</v>
      </c>
      <c r="AO8246" t="s">
        <v>11511</v>
      </c>
    </row>
    <row r="8247" spans="39:41" ht="12" customHeight="1" x14ac:dyDescent="0.2">
      <c r="AM8247" t="str">
        <f t="shared" si="129"/>
        <v>Le Chesne [FREHN]</v>
      </c>
      <c r="AN8247" t="s">
        <v>11512</v>
      </c>
      <c r="AO8247" t="s">
        <v>11513</v>
      </c>
    </row>
    <row r="8248" spans="39:41" ht="12" customHeight="1" x14ac:dyDescent="0.2">
      <c r="AM8248" t="str">
        <f t="shared" si="129"/>
        <v>Le Creusot [FRLCR]</v>
      </c>
      <c r="AN8248" t="s">
        <v>11514</v>
      </c>
      <c r="AO8248" t="s">
        <v>11515</v>
      </c>
    </row>
    <row r="8249" spans="39:41" ht="12" customHeight="1" x14ac:dyDescent="0.2">
      <c r="AM8249" t="str">
        <f t="shared" si="129"/>
        <v>Le Crotoy [FROTY]</v>
      </c>
      <c r="AN8249" t="s">
        <v>11516</v>
      </c>
      <c r="AO8249" t="s">
        <v>11517</v>
      </c>
    </row>
    <row r="8250" spans="39:41" ht="12" customHeight="1" x14ac:dyDescent="0.2">
      <c r="AM8250" t="str">
        <f t="shared" si="129"/>
        <v>Le Fret [FRLFR]</v>
      </c>
      <c r="AN8250" t="s">
        <v>11518</v>
      </c>
      <c r="AO8250" t="s">
        <v>11519</v>
      </c>
    </row>
    <row r="8251" spans="39:41" ht="12" customHeight="1" x14ac:dyDescent="0.2">
      <c r="AM8251" t="str">
        <f t="shared" si="129"/>
        <v>Le Gosier [GPGOS]</v>
      </c>
      <c r="AN8251" t="s">
        <v>15057</v>
      </c>
      <c r="AO8251" t="s">
        <v>15058</v>
      </c>
    </row>
    <row r="8252" spans="39:41" ht="12" customHeight="1" x14ac:dyDescent="0.2">
      <c r="AM8252" t="str">
        <f t="shared" si="129"/>
        <v>Le Grau-du-Roi [FRLGR]</v>
      </c>
      <c r="AN8252" t="s">
        <v>11520</v>
      </c>
      <c r="AO8252" t="s">
        <v>11521</v>
      </c>
    </row>
    <row r="8253" spans="39:41" ht="12" customHeight="1" x14ac:dyDescent="0.2">
      <c r="AM8253" t="str">
        <f t="shared" si="129"/>
        <v>Le Guildo/Crehen [FRLGU]</v>
      </c>
      <c r="AN8253" t="s">
        <v>11522</v>
      </c>
      <c r="AO8253" t="s">
        <v>35814</v>
      </c>
    </row>
    <row r="8254" spans="39:41" ht="12" customHeight="1" x14ac:dyDescent="0.2">
      <c r="AM8254" t="str">
        <f t="shared" si="129"/>
        <v>Le Havre [FRLEH]</v>
      </c>
      <c r="AN8254" t="s">
        <v>11523</v>
      </c>
      <c r="AO8254" t="s">
        <v>11524</v>
      </c>
    </row>
    <row r="8255" spans="39:41" ht="12" customHeight="1" x14ac:dyDescent="0.2">
      <c r="AM8255" t="str">
        <f t="shared" si="129"/>
        <v>Le Landeron [CHLDO]</v>
      </c>
      <c r="AN8255" t="s">
        <v>4711</v>
      </c>
      <c r="AO8255" t="s">
        <v>4712</v>
      </c>
    </row>
    <row r="8256" spans="39:41" ht="12" customHeight="1" x14ac:dyDescent="0.2">
      <c r="AM8256" t="str">
        <f t="shared" si="129"/>
        <v>Le Legue [FRLLG]</v>
      </c>
      <c r="AN8256" t="s">
        <v>36968</v>
      </c>
      <c r="AO8256" t="s">
        <v>36969</v>
      </c>
    </row>
    <row r="8257" spans="39:41" ht="12" customHeight="1" x14ac:dyDescent="0.2">
      <c r="AM8257" t="str">
        <f t="shared" si="129"/>
        <v>Le Lieu [CHLLU]</v>
      </c>
      <c r="AN8257" t="s">
        <v>4713</v>
      </c>
      <c r="AO8257" t="s">
        <v>4714</v>
      </c>
    </row>
    <row r="8258" spans="39:41" ht="12" customHeight="1" x14ac:dyDescent="0.2">
      <c r="AM8258" t="str">
        <f t="shared" si="129"/>
        <v>Le Lion-d'Angers [FRDXG]</v>
      </c>
      <c r="AN8258" t="s">
        <v>11525</v>
      </c>
      <c r="AO8258" t="s">
        <v>11526</v>
      </c>
    </row>
    <row r="8259" spans="39:41" ht="12" customHeight="1" x14ac:dyDescent="0.2">
      <c r="AM8259" t="str">
        <f t="shared" si="129"/>
        <v>Le Martelet [FRE7M]</v>
      </c>
      <c r="AN8259" t="s">
        <v>11527</v>
      </c>
      <c r="AO8259" t="s">
        <v>11528</v>
      </c>
    </row>
    <row r="8260" spans="39:41" ht="12" customHeight="1" x14ac:dyDescent="0.2">
      <c r="AM8260" t="str">
        <f t="shared" si="129"/>
        <v>Le Mas-d'Agenais [FRLQA]</v>
      </c>
      <c r="AN8260" t="s">
        <v>11529</v>
      </c>
      <c r="AO8260" t="s">
        <v>11530</v>
      </c>
    </row>
    <row r="8261" spans="39:41" ht="12" customHeight="1" x14ac:dyDescent="0.2">
      <c r="AM8261" t="str">
        <f t="shared" si="129"/>
        <v>Le Meriot [FRMZK]</v>
      </c>
      <c r="AN8261" t="s">
        <v>11531</v>
      </c>
      <c r="AO8261" t="s">
        <v>11532</v>
      </c>
    </row>
    <row r="8262" spans="39:41" ht="12" customHeight="1" x14ac:dyDescent="0.2">
      <c r="AM8262" t="str">
        <f t="shared" si="129"/>
        <v>Le Moustoir [FRLWM]</v>
      </c>
      <c r="AN8262" t="s">
        <v>11533</v>
      </c>
      <c r="AO8262" t="s">
        <v>11534</v>
      </c>
    </row>
    <row r="8263" spans="39:41" ht="12" customHeight="1" x14ac:dyDescent="0.2">
      <c r="AM8263" t="str">
        <f t="shared" si="129"/>
        <v>Le Perreux-sur-Marne [FRLXA]</v>
      </c>
      <c r="AN8263" t="s">
        <v>11535</v>
      </c>
      <c r="AO8263" t="s">
        <v>11536</v>
      </c>
    </row>
    <row r="8264" spans="39:41" ht="12" customHeight="1" x14ac:dyDescent="0.2">
      <c r="AM8264" t="str">
        <f t="shared" si="129"/>
        <v>Le Port [RELPT]</v>
      </c>
      <c r="AN8264" t="s">
        <v>26709</v>
      </c>
      <c r="AO8264" t="s">
        <v>26710</v>
      </c>
    </row>
    <row r="8265" spans="39:41" ht="12" customHeight="1" x14ac:dyDescent="0.2">
      <c r="AM8265" t="str">
        <f t="shared" si="129"/>
        <v>Le Quesne [FREQN]</v>
      </c>
      <c r="AN8265" t="s">
        <v>11537</v>
      </c>
      <c r="AO8265" t="s">
        <v>11538</v>
      </c>
    </row>
    <row r="8266" spans="39:41" ht="12" customHeight="1" x14ac:dyDescent="0.2">
      <c r="AM8266" t="str">
        <f t="shared" si="129"/>
        <v>Le Robert [MQLER]</v>
      </c>
      <c r="AN8266" t="s">
        <v>22227</v>
      </c>
      <c r="AO8266" t="s">
        <v>22228</v>
      </c>
    </row>
    <row r="8267" spans="39:41" ht="12" customHeight="1" x14ac:dyDescent="0.2">
      <c r="AM8267" t="str">
        <f t="shared" si="129"/>
        <v>Le Roc-Saint-Andre [FRBBB]</v>
      </c>
      <c r="AN8267" t="s">
        <v>11539</v>
      </c>
      <c r="AO8267" t="s">
        <v>35815</v>
      </c>
    </row>
    <row r="8268" spans="39:41" ht="12" customHeight="1" x14ac:dyDescent="0.2">
      <c r="AM8268" t="str">
        <f t="shared" si="129"/>
        <v>Le Roeulx [BEROU]</v>
      </c>
      <c r="AN8268" t="s">
        <v>2645</v>
      </c>
      <c r="AO8268" t="s">
        <v>2646</v>
      </c>
    </row>
    <row r="8269" spans="39:41" ht="12" customHeight="1" x14ac:dyDescent="0.2">
      <c r="AM8269" t="str">
        <f t="shared" si="129"/>
        <v>Le Sourn [FRCGF]</v>
      </c>
      <c r="AN8269" t="s">
        <v>11540</v>
      </c>
      <c r="AO8269" t="s">
        <v>11541</v>
      </c>
    </row>
    <row r="8270" spans="39:41" ht="12" customHeight="1" x14ac:dyDescent="0.2">
      <c r="AM8270" t="str">
        <f t="shared" si="129"/>
        <v>Le Sueur [USLUU]</v>
      </c>
      <c r="AN8270" t="s">
        <v>30377</v>
      </c>
      <c r="AO8270" t="s">
        <v>30378</v>
      </c>
    </row>
    <row r="8271" spans="39:41" ht="12" customHeight="1" x14ac:dyDescent="0.2">
      <c r="AM8271" t="str">
        <f t="shared" si="129"/>
        <v>Le Theil-sur-Huisne [FRHSN]</v>
      </c>
      <c r="AN8271" t="s">
        <v>11542</v>
      </c>
      <c r="AO8271" t="s">
        <v>11543</v>
      </c>
    </row>
    <row r="8272" spans="39:41" ht="12" customHeight="1" x14ac:dyDescent="0.2">
      <c r="AM8272" t="str">
        <f t="shared" si="129"/>
        <v>Le Thoronet [FRTEW]</v>
      </c>
      <c r="AN8272" t="s">
        <v>11544</v>
      </c>
      <c r="AO8272" t="s">
        <v>11545</v>
      </c>
    </row>
    <row r="8273" spans="39:41" ht="12" customHeight="1" x14ac:dyDescent="0.2">
      <c r="AM8273" t="str">
        <f t="shared" si="129"/>
        <v>Le Treport [FRLTR]</v>
      </c>
      <c r="AN8273" t="s">
        <v>11546</v>
      </c>
      <c r="AO8273" t="s">
        <v>35816</v>
      </c>
    </row>
    <row r="8274" spans="39:41" ht="12" customHeight="1" x14ac:dyDescent="0.2">
      <c r="AM8274" t="str">
        <f t="shared" si="129"/>
        <v>Le Verdon-sur-Mer [FRLVE]</v>
      </c>
      <c r="AN8274" t="s">
        <v>11547</v>
      </c>
      <c r="AO8274" t="s">
        <v>11548</v>
      </c>
    </row>
    <row r="8275" spans="39:41" ht="12" customHeight="1" x14ac:dyDescent="0.2">
      <c r="AM8275" t="str">
        <f t="shared" si="129"/>
        <v>Le Vivier-sur-Mer [FRVM6]</v>
      </c>
      <c r="AN8275" t="s">
        <v>11549</v>
      </c>
      <c r="AO8275" t="s">
        <v>11550</v>
      </c>
    </row>
    <row r="8276" spans="39:41" ht="12" customHeight="1" x14ac:dyDescent="0.2">
      <c r="AM8276" t="str">
        <f t="shared" si="129"/>
        <v>Leadon [GBLDA]</v>
      </c>
      <c r="AN8276" t="s">
        <v>13623</v>
      </c>
      <c r="AO8276" t="s">
        <v>13624</v>
      </c>
    </row>
    <row r="8277" spans="39:41" ht="12" customHeight="1" x14ac:dyDescent="0.2">
      <c r="AM8277" t="str">
        <f t="shared" si="129"/>
        <v>League City [USZLT]</v>
      </c>
      <c r="AN8277" t="s">
        <v>30379</v>
      </c>
      <c r="AO8277" t="s">
        <v>30380</v>
      </c>
    </row>
    <row r="8278" spans="39:41" ht="12" customHeight="1" x14ac:dyDescent="0.2">
      <c r="AM8278" t="str">
        <f t="shared" si="129"/>
        <v>Leamington [CALMN]</v>
      </c>
      <c r="AN8278" t="s">
        <v>4029</v>
      </c>
      <c r="AO8278" t="s">
        <v>4030</v>
      </c>
    </row>
    <row r="8279" spans="39:41" ht="12" customHeight="1" x14ac:dyDescent="0.2">
      <c r="AM8279" t="str">
        <f t="shared" si="129"/>
        <v>Leapuram [INLPR]</v>
      </c>
      <c r="AN8279" t="s">
        <v>17268</v>
      </c>
      <c r="AO8279" t="s">
        <v>17269</v>
      </c>
    </row>
    <row r="8280" spans="39:41" ht="12" customHeight="1" x14ac:dyDescent="0.2">
      <c r="AM8280" t="str">
        <f t="shared" si="129"/>
        <v>Leave EU Boundary [XZEUO]</v>
      </c>
      <c r="AN8280" t="s">
        <v>36622</v>
      </c>
      <c r="AO8280" t="s">
        <v>36623</v>
      </c>
    </row>
    <row r="8281" spans="39:41" ht="12" customHeight="1" x14ac:dyDescent="0.2">
      <c r="AM8281" t="str">
        <f t="shared" si="129"/>
        <v>Leba [PLLEA]</v>
      </c>
      <c r="AN8281" t="s">
        <v>26336</v>
      </c>
      <c r="AO8281" t="s">
        <v>26337</v>
      </c>
    </row>
    <row r="8282" spans="39:41" ht="12" customHeight="1" x14ac:dyDescent="0.2">
      <c r="AM8282" t="str">
        <f t="shared" si="129"/>
        <v>Lebak/Parang [PHLBK]</v>
      </c>
      <c r="AN8282" t="s">
        <v>25855</v>
      </c>
      <c r="AO8282" t="s">
        <v>25856</v>
      </c>
    </row>
    <row r="8283" spans="39:41" ht="12" customHeight="1" x14ac:dyDescent="0.2">
      <c r="AM8283" t="str">
        <f t="shared" si="129"/>
        <v>Lebec [USYLB]</v>
      </c>
      <c r="AN8283" t="s">
        <v>30381</v>
      </c>
      <c r="AO8283" t="s">
        <v>30382</v>
      </c>
    </row>
    <row r="8284" spans="39:41" ht="12" customHeight="1" x14ac:dyDescent="0.2">
      <c r="AM8284" t="str">
        <f t="shared" si="129"/>
        <v>Lebedyan' [RULDY]</v>
      </c>
      <c r="AN8284" t="s">
        <v>27057</v>
      </c>
      <c r="AO8284" t="s">
        <v>27058</v>
      </c>
    </row>
    <row r="8285" spans="39:41" ht="12" customHeight="1" x14ac:dyDescent="0.2">
      <c r="AM8285" t="str">
        <f t="shared" si="129"/>
        <v>Lebesby [NOLEB]</v>
      </c>
      <c r="AN8285" t="s">
        <v>24400</v>
      </c>
      <c r="AO8285" t="s">
        <v>24401</v>
      </c>
    </row>
    <row r="8286" spans="39:41" ht="12" customHeight="1" x14ac:dyDescent="0.2">
      <c r="AM8286" t="str">
        <f t="shared" si="129"/>
        <v>Lebu [CLLEB]</v>
      </c>
      <c r="AN8286" t="s">
        <v>4883</v>
      </c>
      <c r="AO8286" t="s">
        <v>4884</v>
      </c>
    </row>
    <row r="8287" spans="39:41" ht="12" customHeight="1" x14ac:dyDescent="0.2">
      <c r="AM8287" t="str">
        <f t="shared" si="129"/>
        <v>Leca da Palmeira [PTLEP]</v>
      </c>
      <c r="AN8287" t="s">
        <v>26527</v>
      </c>
      <c r="AO8287" t="s">
        <v>36386</v>
      </c>
    </row>
    <row r="8288" spans="39:41" ht="12" customHeight="1" x14ac:dyDescent="0.2">
      <c r="AM8288" t="str">
        <f t="shared" si="129"/>
        <v>Lechovice [CZLEC]</v>
      </c>
      <c r="AN8288" t="s">
        <v>6873</v>
      </c>
      <c r="AO8288" t="s">
        <v>6874</v>
      </c>
    </row>
    <row r="8289" spans="39:41" ht="12" customHeight="1" x14ac:dyDescent="0.2">
      <c r="AM8289" t="str">
        <f t="shared" si="129"/>
        <v>Lecumberri [ESLEC]</v>
      </c>
      <c r="AN8289" t="s">
        <v>9901</v>
      </c>
      <c r="AO8289" t="s">
        <v>9902</v>
      </c>
    </row>
    <row r="8290" spans="39:41" ht="12" customHeight="1" x14ac:dyDescent="0.2">
      <c r="AM8290" t="str">
        <f t="shared" si="129"/>
        <v>Ledeberg [BELRG]</v>
      </c>
      <c r="AN8290" t="s">
        <v>2647</v>
      </c>
      <c r="AO8290" t="s">
        <v>2648</v>
      </c>
    </row>
    <row r="8291" spans="39:41" ht="12" customHeight="1" x14ac:dyDescent="0.2">
      <c r="AM8291" t="str">
        <f t="shared" si="129"/>
        <v>Leeds [GBLBA]</v>
      </c>
      <c r="AN8291" t="s">
        <v>13625</v>
      </c>
      <c r="AO8291" t="s">
        <v>13626</v>
      </c>
    </row>
    <row r="8292" spans="39:41" ht="12" customHeight="1" x14ac:dyDescent="0.2">
      <c r="AM8292" t="str">
        <f t="shared" si="129"/>
        <v>Leens [NLLES]</v>
      </c>
      <c r="AN8292" t="s">
        <v>23356</v>
      </c>
      <c r="AO8292" t="s">
        <v>23357</v>
      </c>
    </row>
    <row r="8293" spans="39:41" ht="12" customHeight="1" x14ac:dyDescent="0.2">
      <c r="AM8293" t="str">
        <f t="shared" si="129"/>
        <v>Lee-on-the-Solent [GBLES]</v>
      </c>
      <c r="AN8293" t="s">
        <v>36988</v>
      </c>
      <c r="AO8293" t="s">
        <v>36989</v>
      </c>
    </row>
    <row r="8294" spans="39:41" ht="12" customHeight="1" x14ac:dyDescent="0.2">
      <c r="AM8294" t="str">
        <f t="shared" si="129"/>
        <v>Leer [DELEE]</v>
      </c>
      <c r="AN8294" t="s">
        <v>7792</v>
      </c>
      <c r="AO8294" t="s">
        <v>7793</v>
      </c>
    </row>
    <row r="8295" spans="39:41" ht="12" customHeight="1" x14ac:dyDescent="0.2">
      <c r="AM8295" t="str">
        <f t="shared" si="129"/>
        <v>Leerdam [NLLRD]</v>
      </c>
      <c r="AN8295" t="s">
        <v>33904</v>
      </c>
      <c r="AO8295" t="s">
        <v>34026</v>
      </c>
    </row>
    <row r="8296" spans="39:41" ht="12" customHeight="1" x14ac:dyDescent="0.2">
      <c r="AM8296" t="str">
        <f t="shared" si="129"/>
        <v>Leeuwarden [NLLWR]</v>
      </c>
      <c r="AN8296" t="s">
        <v>23358</v>
      </c>
      <c r="AO8296" t="s">
        <v>23359</v>
      </c>
    </row>
    <row r="8297" spans="39:41" ht="12" customHeight="1" x14ac:dyDescent="0.2">
      <c r="AM8297" t="str">
        <f t="shared" si="129"/>
        <v>Leffinge [BELFE]</v>
      </c>
      <c r="AN8297" t="s">
        <v>2649</v>
      </c>
      <c r="AO8297" t="s">
        <v>2650</v>
      </c>
    </row>
    <row r="8298" spans="39:41" ht="12" customHeight="1" x14ac:dyDescent="0.2">
      <c r="AM8298" t="str">
        <f t="shared" si="129"/>
        <v>Lefkada (Lefkas) [GRLEV]</v>
      </c>
      <c r="AN8298" t="s">
        <v>15328</v>
      </c>
      <c r="AO8298" t="s">
        <v>35927</v>
      </c>
    </row>
    <row r="8299" spans="39:41" ht="12" customHeight="1" x14ac:dyDescent="0.2">
      <c r="AM8299" t="str">
        <f t="shared" si="129"/>
        <v>Lefkandi [GRLEF]</v>
      </c>
      <c r="AN8299" t="s">
        <v>15329</v>
      </c>
      <c r="AO8299" t="s">
        <v>15330</v>
      </c>
    </row>
    <row r="8300" spans="39:41" ht="12" customHeight="1" x14ac:dyDescent="0.2">
      <c r="AM8300" t="str">
        <f t="shared" si="129"/>
        <v>Lefkimmi [GRLFK]</v>
      </c>
      <c r="AN8300" t="s">
        <v>15331</v>
      </c>
      <c r="AO8300" t="s">
        <v>35928</v>
      </c>
    </row>
    <row r="8301" spans="39:41" ht="12" customHeight="1" x14ac:dyDescent="0.2">
      <c r="AM8301" t="str">
        <f t="shared" si="129"/>
        <v>Legaspi Apt, Luzon [PHLGP]</v>
      </c>
      <c r="AN8301" t="s">
        <v>25857</v>
      </c>
      <c r="AO8301" t="s">
        <v>25858</v>
      </c>
    </row>
    <row r="8302" spans="39:41" ht="12" customHeight="1" x14ac:dyDescent="0.2">
      <c r="AM8302" t="str">
        <f t="shared" si="129"/>
        <v>Lege-Cap-Ferret [FRLF2]</v>
      </c>
      <c r="AN8302" t="s">
        <v>11551</v>
      </c>
      <c r="AO8302" t="s">
        <v>35817</v>
      </c>
    </row>
    <row r="8303" spans="39:41" ht="12" customHeight="1" x14ac:dyDescent="0.2">
      <c r="AM8303" t="str">
        <f t="shared" si="129"/>
        <v>Legendre Terminal [AULGT]</v>
      </c>
      <c r="AN8303" t="s">
        <v>1801</v>
      </c>
      <c r="AO8303" t="s">
        <v>1802</v>
      </c>
    </row>
    <row r="8304" spans="39:41" ht="12" customHeight="1" x14ac:dyDescent="0.2">
      <c r="AM8304" t="str">
        <f t="shared" si="129"/>
        <v>Legendre Terminal [XZLGT]</v>
      </c>
      <c r="AN8304" t="s">
        <v>32585</v>
      </c>
      <c r="AO8304" t="s">
        <v>1802</v>
      </c>
    </row>
    <row r="8305" spans="39:41" ht="12" customHeight="1" x14ac:dyDescent="0.2">
      <c r="AM8305" t="str">
        <f t="shared" si="129"/>
        <v>L'Eguille [FRUCM]</v>
      </c>
      <c r="AN8305" t="s">
        <v>11552</v>
      </c>
      <c r="AO8305" t="s">
        <v>11553</v>
      </c>
    </row>
    <row r="8306" spans="39:41" ht="12" customHeight="1" x14ac:dyDescent="0.2">
      <c r="AM8306" t="str">
        <f t="shared" si="129"/>
        <v>Legutiano [ESLGU]</v>
      </c>
      <c r="AN8306" t="s">
        <v>9903</v>
      </c>
      <c r="AO8306" t="s">
        <v>9904</v>
      </c>
    </row>
    <row r="8307" spans="39:41" ht="12" customHeight="1" x14ac:dyDescent="0.2">
      <c r="AM8307" t="str">
        <f t="shared" si="129"/>
        <v>Lehtma [EELHT]</v>
      </c>
      <c r="AN8307" t="s">
        <v>9233</v>
      </c>
      <c r="AO8307" t="s">
        <v>9234</v>
      </c>
    </row>
    <row r="8308" spans="39:41" ht="12" customHeight="1" x14ac:dyDescent="0.2">
      <c r="AM8308" t="str">
        <f t="shared" si="129"/>
        <v>Lehtma Kalurisadam [EELHK]</v>
      </c>
      <c r="AN8308" t="s">
        <v>34073</v>
      </c>
      <c r="AO8308" t="s">
        <v>34119</v>
      </c>
    </row>
    <row r="8309" spans="39:41" ht="12" customHeight="1" x14ac:dyDescent="0.2">
      <c r="AM8309" t="str">
        <f t="shared" ref="AM8309:AM8372" si="130">AO8309 &amp; " [" &amp; AN8309 &amp; "]"</f>
        <v>Leicester [GBLCS]</v>
      </c>
      <c r="AN8309" t="s">
        <v>13627</v>
      </c>
      <c r="AO8309" t="s">
        <v>13628</v>
      </c>
    </row>
    <row r="8310" spans="39:41" ht="12" customHeight="1" x14ac:dyDescent="0.2">
      <c r="AM8310" t="str">
        <f t="shared" si="130"/>
        <v>Leiden [NLLID]</v>
      </c>
      <c r="AN8310" t="s">
        <v>33905</v>
      </c>
      <c r="AO8310" t="s">
        <v>34027</v>
      </c>
    </row>
    <row r="8311" spans="39:41" ht="12" customHeight="1" x14ac:dyDescent="0.2">
      <c r="AM8311" t="str">
        <f t="shared" si="130"/>
        <v>Leiderdorp [NLLDD]</v>
      </c>
      <c r="AN8311" t="s">
        <v>33906</v>
      </c>
      <c r="AO8311" t="s">
        <v>34028</v>
      </c>
    </row>
    <row r="8312" spans="39:41" ht="12" customHeight="1" x14ac:dyDescent="0.2">
      <c r="AM8312" t="str">
        <f t="shared" si="130"/>
        <v>Leigh-on-Sea [GBLOS]</v>
      </c>
      <c r="AN8312" t="s">
        <v>13629</v>
      </c>
      <c r="AO8312" t="s">
        <v>13630</v>
      </c>
    </row>
    <row r="8313" spans="39:41" ht="12" customHeight="1" x14ac:dyDescent="0.2">
      <c r="AM8313" t="str">
        <f t="shared" si="130"/>
        <v>Leikanger [NOLEK]</v>
      </c>
      <c r="AN8313" t="s">
        <v>24402</v>
      </c>
      <c r="AO8313" t="s">
        <v>24403</v>
      </c>
    </row>
    <row r="8314" spans="39:41" ht="12" customHeight="1" x14ac:dyDescent="0.2">
      <c r="AM8314" t="str">
        <f t="shared" si="130"/>
        <v>Leimbach [DECCC]</v>
      </c>
      <c r="AN8314" t="s">
        <v>7794</v>
      </c>
      <c r="AO8314" t="s">
        <v>7795</v>
      </c>
    </row>
    <row r="8315" spans="39:41" ht="12" customHeight="1" x14ac:dyDescent="0.2">
      <c r="AM8315" t="str">
        <f t="shared" si="130"/>
        <v>Leimersheim [DEEEM]</v>
      </c>
      <c r="AN8315" t="s">
        <v>7796</v>
      </c>
      <c r="AO8315" t="s">
        <v>7797</v>
      </c>
    </row>
    <row r="8316" spans="39:41" ht="12" customHeight="1" x14ac:dyDescent="0.2">
      <c r="AM8316" t="str">
        <f t="shared" si="130"/>
        <v>Leimuiderbrug [NLLRU]</v>
      </c>
      <c r="AN8316" t="s">
        <v>23360</v>
      </c>
      <c r="AO8316" t="s">
        <v>23361</v>
      </c>
    </row>
    <row r="8317" spans="39:41" ht="12" customHeight="1" x14ac:dyDescent="0.2">
      <c r="AM8317" t="str">
        <f t="shared" si="130"/>
        <v>Leina [DELIA]</v>
      </c>
      <c r="AN8317" t="s">
        <v>7798</v>
      </c>
      <c r="AO8317" t="s">
        <v>7799</v>
      </c>
    </row>
    <row r="8318" spans="39:41" ht="12" customHeight="1" x14ac:dyDescent="0.2">
      <c r="AM8318" t="str">
        <f t="shared" si="130"/>
        <v>Leinatal [DE23A]</v>
      </c>
      <c r="AN8318" t="s">
        <v>7800</v>
      </c>
      <c r="AO8318" t="s">
        <v>7801</v>
      </c>
    </row>
    <row r="8319" spans="39:41" ht="12" customHeight="1" x14ac:dyDescent="0.2">
      <c r="AM8319" t="str">
        <f t="shared" si="130"/>
        <v>Leines [NOLNE]</v>
      </c>
      <c r="AN8319" t="s">
        <v>24404</v>
      </c>
      <c r="AO8319" t="s">
        <v>24405</v>
      </c>
    </row>
    <row r="8320" spans="39:41" ht="12" customHeight="1" x14ac:dyDescent="0.2">
      <c r="AM8320" t="str">
        <f t="shared" si="130"/>
        <v>Leipheim [DELPH]</v>
      </c>
      <c r="AN8320" t="s">
        <v>7802</v>
      </c>
      <c r="AO8320" t="s">
        <v>7803</v>
      </c>
    </row>
    <row r="8321" spans="39:41" ht="12" customHeight="1" x14ac:dyDescent="0.2">
      <c r="AM8321" t="str">
        <f t="shared" si="130"/>
        <v>Leire [GBIRE]</v>
      </c>
      <c r="AN8321" t="s">
        <v>13631</v>
      </c>
      <c r="AO8321" t="s">
        <v>13632</v>
      </c>
    </row>
    <row r="8322" spans="39:41" ht="12" customHeight="1" x14ac:dyDescent="0.2">
      <c r="AM8322" t="str">
        <f t="shared" si="130"/>
        <v>Leirfjord [NOLEF]</v>
      </c>
      <c r="AN8322" t="s">
        <v>24406</v>
      </c>
      <c r="AO8322" t="s">
        <v>24407</v>
      </c>
    </row>
    <row r="8323" spans="39:41" ht="12" customHeight="1" x14ac:dyDescent="0.2">
      <c r="AM8323" t="str">
        <f t="shared" si="130"/>
        <v>Leirpollen [NOLEP]</v>
      </c>
      <c r="AN8323" t="s">
        <v>24408</v>
      </c>
      <c r="AO8323" t="s">
        <v>24409</v>
      </c>
    </row>
    <row r="8324" spans="39:41" ht="12" customHeight="1" x14ac:dyDescent="0.2">
      <c r="AM8324" t="str">
        <f t="shared" si="130"/>
        <v>Leirvik [NOLRI]</v>
      </c>
      <c r="AN8324" t="s">
        <v>24410</v>
      </c>
      <c r="AO8324" t="s">
        <v>24411</v>
      </c>
    </row>
    <row r="8325" spans="39:41" ht="12" customHeight="1" x14ac:dyDescent="0.2">
      <c r="AM8325" t="str">
        <f t="shared" si="130"/>
        <v>Leirvik i Hyllestad [NOLEA]</v>
      </c>
      <c r="AN8325" t="s">
        <v>24412</v>
      </c>
      <c r="AO8325" t="s">
        <v>24413</v>
      </c>
    </row>
    <row r="8326" spans="39:41" ht="12" customHeight="1" x14ac:dyDescent="0.2">
      <c r="AM8326" t="str">
        <f t="shared" si="130"/>
        <v>Leissnitz [DELIZ]</v>
      </c>
      <c r="AN8326" t="s">
        <v>7804</v>
      </c>
      <c r="AO8326" t="s">
        <v>7805</v>
      </c>
    </row>
    <row r="8327" spans="39:41" ht="12" customHeight="1" x14ac:dyDescent="0.2">
      <c r="AM8327" t="str">
        <f t="shared" si="130"/>
        <v>Leitchfield [USLCF]</v>
      </c>
      <c r="AN8327" t="s">
        <v>30383</v>
      </c>
      <c r="AO8327" t="s">
        <v>30384</v>
      </c>
    </row>
    <row r="8328" spans="39:41" ht="12" customHeight="1" x14ac:dyDescent="0.2">
      <c r="AM8328" t="str">
        <f t="shared" si="130"/>
        <v>Leith [GBLEI]</v>
      </c>
      <c r="AN8328" t="s">
        <v>13633</v>
      </c>
      <c r="AO8328" t="s">
        <v>13634</v>
      </c>
    </row>
    <row r="8329" spans="39:41" ht="12" customHeight="1" x14ac:dyDescent="0.2">
      <c r="AM8329" t="str">
        <f t="shared" si="130"/>
        <v>Leith Harbour [GSLEH]</v>
      </c>
      <c r="AN8329" t="s">
        <v>15588</v>
      </c>
      <c r="AO8329" t="s">
        <v>15589</v>
      </c>
    </row>
    <row r="8330" spans="39:41" ht="12" customHeight="1" x14ac:dyDescent="0.2">
      <c r="AM8330" t="str">
        <f t="shared" si="130"/>
        <v>Leixoes [PTLEI]</v>
      </c>
      <c r="AN8330" t="s">
        <v>26528</v>
      </c>
      <c r="AO8330" t="s">
        <v>36387</v>
      </c>
    </row>
    <row r="8331" spans="39:41" ht="12" customHeight="1" x14ac:dyDescent="0.2">
      <c r="AM8331" t="str">
        <f t="shared" si="130"/>
        <v>Leka [NOLKA]</v>
      </c>
      <c r="AN8331" t="s">
        <v>24414</v>
      </c>
      <c r="AO8331" t="s">
        <v>24415</v>
      </c>
    </row>
    <row r="8332" spans="39:41" ht="12" customHeight="1" x14ac:dyDescent="0.2">
      <c r="AM8332" t="str">
        <f t="shared" si="130"/>
        <v>Lekeitio [ESLEK]</v>
      </c>
      <c r="AN8332" t="s">
        <v>9905</v>
      </c>
      <c r="AO8332" t="s">
        <v>9906</v>
      </c>
    </row>
    <row r="8333" spans="39:41" ht="12" customHeight="1" x14ac:dyDescent="0.2">
      <c r="AM8333" t="str">
        <f t="shared" si="130"/>
        <v>Leknes [NOLKN]</v>
      </c>
      <c r="AN8333" t="s">
        <v>24416</v>
      </c>
      <c r="AO8333" t="s">
        <v>24417</v>
      </c>
    </row>
    <row r="8334" spans="39:41" ht="12" customHeight="1" x14ac:dyDescent="0.2">
      <c r="AM8334" t="str">
        <f t="shared" si="130"/>
        <v>Leksvik [NOLKV]</v>
      </c>
      <c r="AN8334" t="s">
        <v>24418</v>
      </c>
      <c r="AO8334" t="s">
        <v>24419</v>
      </c>
    </row>
    <row r="8335" spans="39:41" ht="12" customHeight="1" x14ac:dyDescent="0.2">
      <c r="AM8335" t="str">
        <f t="shared" si="130"/>
        <v>Leland [USLLC]</v>
      </c>
      <c r="AN8335" t="s">
        <v>30385</v>
      </c>
      <c r="AO8335" t="s">
        <v>30386</v>
      </c>
    </row>
    <row r="8336" spans="39:41" ht="12" customHeight="1" x14ac:dyDescent="0.2">
      <c r="AM8336" t="str">
        <f t="shared" si="130"/>
        <v>Lelydorp [SRLLW]</v>
      </c>
      <c r="AN8336" t="s">
        <v>36679</v>
      </c>
      <c r="AO8336" t="s">
        <v>36680</v>
      </c>
    </row>
    <row r="8337" spans="39:41" ht="12" customHeight="1" x14ac:dyDescent="0.2">
      <c r="AM8337" t="str">
        <f t="shared" si="130"/>
        <v>Lelystad [NLLEY]</v>
      </c>
      <c r="AN8337" t="s">
        <v>34106</v>
      </c>
      <c r="AO8337" t="s">
        <v>34152</v>
      </c>
    </row>
    <row r="8338" spans="39:41" ht="12" customHeight="1" x14ac:dyDescent="0.2">
      <c r="AM8338" t="str">
        <f t="shared" si="130"/>
        <v>Lemay [USLMY]</v>
      </c>
      <c r="AN8338" t="s">
        <v>30387</v>
      </c>
      <c r="AO8338" t="s">
        <v>30388</v>
      </c>
    </row>
    <row r="8339" spans="39:41" ht="12" customHeight="1" x14ac:dyDescent="0.2">
      <c r="AM8339" t="str">
        <f t="shared" si="130"/>
        <v>Lembach [ATLUA]</v>
      </c>
      <c r="AN8339" t="s">
        <v>1262</v>
      </c>
      <c r="AO8339" t="s">
        <v>1263</v>
      </c>
    </row>
    <row r="8340" spans="39:41" ht="12" customHeight="1" x14ac:dyDescent="0.2">
      <c r="AM8340" t="str">
        <f t="shared" si="130"/>
        <v>Lembar [IDLBR]</v>
      </c>
      <c r="AN8340" t="s">
        <v>34996</v>
      </c>
      <c r="AO8340" t="s">
        <v>34997</v>
      </c>
    </row>
    <row r="8341" spans="39:41" ht="12" customHeight="1" x14ac:dyDescent="0.2">
      <c r="AM8341" t="str">
        <f t="shared" si="130"/>
        <v>Lembeek [BELBE]</v>
      </c>
      <c r="AN8341" t="s">
        <v>2651</v>
      </c>
      <c r="AO8341" t="s">
        <v>2652</v>
      </c>
    </row>
    <row r="8342" spans="39:41" ht="12" customHeight="1" x14ac:dyDescent="0.2">
      <c r="AM8342" t="str">
        <f t="shared" si="130"/>
        <v>Lembruch [DELRC]</v>
      </c>
      <c r="AN8342" t="s">
        <v>7806</v>
      </c>
      <c r="AO8342" t="s">
        <v>7807</v>
      </c>
    </row>
    <row r="8343" spans="39:41" ht="12" customHeight="1" x14ac:dyDescent="0.2">
      <c r="AM8343" t="str">
        <f t="shared" si="130"/>
        <v>Lemsterland [NLLEM]</v>
      </c>
      <c r="AN8343" t="s">
        <v>23362</v>
      </c>
      <c r="AO8343" t="s">
        <v>23363</v>
      </c>
    </row>
    <row r="8344" spans="39:41" ht="12" customHeight="1" x14ac:dyDescent="0.2">
      <c r="AM8344" t="str">
        <f t="shared" si="130"/>
        <v>Lemvig [DKLVG]</v>
      </c>
      <c r="AN8344" t="s">
        <v>8791</v>
      </c>
      <c r="AO8344" t="s">
        <v>8792</v>
      </c>
    </row>
    <row r="8345" spans="39:41" ht="12" customHeight="1" x14ac:dyDescent="0.2">
      <c r="AM8345" t="str">
        <f t="shared" si="130"/>
        <v>Lemwerder [DELEW]</v>
      </c>
      <c r="AN8345" t="s">
        <v>7808</v>
      </c>
      <c r="AO8345" t="s">
        <v>7809</v>
      </c>
    </row>
    <row r="8346" spans="39:41" ht="12" customHeight="1" x14ac:dyDescent="0.2">
      <c r="AM8346" t="str">
        <f t="shared" si="130"/>
        <v>Lenangen Sondre [NOLAS]</v>
      </c>
      <c r="AN8346" t="s">
        <v>24420</v>
      </c>
      <c r="AO8346" t="s">
        <v>36239</v>
      </c>
    </row>
    <row r="8347" spans="39:41" ht="12" customHeight="1" x14ac:dyDescent="0.2">
      <c r="AM8347" t="str">
        <f t="shared" si="130"/>
        <v>Lenangsoyra [NOLAY]</v>
      </c>
      <c r="AN8347" t="s">
        <v>24421</v>
      </c>
      <c r="AO8347" t="s">
        <v>36240</v>
      </c>
    </row>
    <row r="8348" spans="39:41" ht="12" customHeight="1" x14ac:dyDescent="0.2">
      <c r="AM8348" t="str">
        <f t="shared" si="130"/>
        <v>Lenard Harbour [USLH7]</v>
      </c>
      <c r="AN8348" t="s">
        <v>30389</v>
      </c>
      <c r="AO8348" t="s">
        <v>30390</v>
      </c>
    </row>
    <row r="8349" spans="39:41" ht="12" customHeight="1" x14ac:dyDescent="0.2">
      <c r="AM8349" t="str">
        <f t="shared" si="130"/>
        <v>Lennusadam [EELEN]</v>
      </c>
      <c r="AN8349" t="s">
        <v>9235</v>
      </c>
      <c r="AO8349" t="s">
        <v>9236</v>
      </c>
    </row>
    <row r="8350" spans="39:41" ht="12" customHeight="1" x14ac:dyDescent="0.2">
      <c r="AM8350" t="str">
        <f t="shared" si="130"/>
        <v>Lensk [RULNK]</v>
      </c>
      <c r="AN8350" t="s">
        <v>27059</v>
      </c>
      <c r="AO8350" t="s">
        <v>27060</v>
      </c>
    </row>
    <row r="8351" spans="39:41" ht="12" customHeight="1" x14ac:dyDescent="0.2">
      <c r="AM8351" t="str">
        <f t="shared" si="130"/>
        <v>Lensvik [NOLEN]</v>
      </c>
      <c r="AN8351" t="s">
        <v>37090</v>
      </c>
      <c r="AO8351" t="s">
        <v>37091</v>
      </c>
    </row>
    <row r="8352" spans="39:41" ht="12" customHeight="1" x14ac:dyDescent="0.2">
      <c r="AM8352" t="str">
        <f t="shared" si="130"/>
        <v>Lenvik [NOLES]</v>
      </c>
      <c r="AN8352" t="s">
        <v>24422</v>
      </c>
      <c r="AO8352" t="s">
        <v>24423</v>
      </c>
    </row>
    <row r="8353" spans="39:41" ht="12" customHeight="1" x14ac:dyDescent="0.2">
      <c r="AM8353" t="str">
        <f t="shared" si="130"/>
        <v>Lenzen [DEEZN]</v>
      </c>
      <c r="AN8353" t="s">
        <v>7810</v>
      </c>
      <c r="AO8353" t="s">
        <v>7811</v>
      </c>
    </row>
    <row r="8354" spans="39:41" ht="12" customHeight="1" x14ac:dyDescent="0.2">
      <c r="AM8354" t="str">
        <f t="shared" si="130"/>
        <v>Leonia [USQLO]</v>
      </c>
      <c r="AN8354" t="s">
        <v>30391</v>
      </c>
      <c r="AO8354" t="s">
        <v>30392</v>
      </c>
    </row>
    <row r="8355" spans="39:41" ht="12" customHeight="1" x14ac:dyDescent="0.2">
      <c r="AM8355" t="str">
        <f t="shared" si="130"/>
        <v>Leonidion [GRLND]</v>
      </c>
      <c r="AN8355" t="s">
        <v>15332</v>
      </c>
      <c r="AO8355" t="s">
        <v>35929</v>
      </c>
    </row>
    <row r="8356" spans="39:41" ht="12" customHeight="1" x14ac:dyDescent="0.2">
      <c r="AM8356" t="str">
        <f t="shared" si="130"/>
        <v>Leonova [RULEO]</v>
      </c>
      <c r="AN8356" t="s">
        <v>27061</v>
      </c>
      <c r="AO8356" t="s">
        <v>27062</v>
      </c>
    </row>
    <row r="8357" spans="39:41" ht="12" customHeight="1" x14ac:dyDescent="0.2">
      <c r="AM8357" t="str">
        <f t="shared" si="130"/>
        <v>Leons [NLLEO]</v>
      </c>
      <c r="AN8357" t="s">
        <v>23364</v>
      </c>
      <c r="AO8357" t="s">
        <v>23365</v>
      </c>
    </row>
    <row r="8358" spans="39:41" ht="12" customHeight="1" x14ac:dyDescent="0.2">
      <c r="AM8358" t="str">
        <f t="shared" si="130"/>
        <v>Leopoldsburg [BELPG]</v>
      </c>
      <c r="AN8358" t="s">
        <v>2653</v>
      </c>
      <c r="AO8358" t="s">
        <v>2654</v>
      </c>
    </row>
    <row r="8359" spans="39:41" ht="12" customHeight="1" x14ac:dyDescent="0.2">
      <c r="AM8359" t="str">
        <f t="shared" si="130"/>
        <v>Leppneeme [EELEP]</v>
      </c>
      <c r="AN8359" t="s">
        <v>9237</v>
      </c>
      <c r="AO8359" t="s">
        <v>9238</v>
      </c>
    </row>
    <row r="8360" spans="39:41" ht="12" customHeight="1" x14ac:dyDescent="0.2">
      <c r="AM8360" t="str">
        <f t="shared" si="130"/>
        <v>Leppneeme Kalasadam [EELPN]</v>
      </c>
      <c r="AN8360" t="s">
        <v>9239</v>
      </c>
      <c r="AO8360" t="s">
        <v>9240</v>
      </c>
    </row>
    <row r="8361" spans="39:41" ht="12" customHeight="1" x14ac:dyDescent="0.2">
      <c r="AM8361" t="str">
        <f t="shared" si="130"/>
        <v>Lerato [ZALER]</v>
      </c>
      <c r="AN8361" t="s">
        <v>32703</v>
      </c>
      <c r="AO8361" t="s">
        <v>32704</v>
      </c>
    </row>
    <row r="8362" spans="39:41" ht="12" customHeight="1" x14ac:dyDescent="0.2">
      <c r="AM8362" t="str">
        <f t="shared" si="130"/>
        <v>Lerici [ITLER]</v>
      </c>
      <c r="AN8362" t="s">
        <v>18005</v>
      </c>
      <c r="AO8362" t="s">
        <v>18006</v>
      </c>
    </row>
    <row r="8363" spans="39:41" ht="12" customHeight="1" x14ac:dyDescent="0.2">
      <c r="AM8363" t="str">
        <f t="shared" si="130"/>
        <v>Leros [GRLRS]</v>
      </c>
      <c r="AN8363" t="s">
        <v>15333</v>
      </c>
      <c r="AO8363" t="s">
        <v>15334</v>
      </c>
    </row>
    <row r="8364" spans="39:41" ht="12" customHeight="1" x14ac:dyDescent="0.2">
      <c r="AM8364" t="str">
        <f t="shared" si="130"/>
        <v>Lerouville [FREUI]</v>
      </c>
      <c r="AN8364" t="s">
        <v>11554</v>
      </c>
      <c r="AO8364" t="s">
        <v>11555</v>
      </c>
    </row>
    <row r="8365" spans="39:41" ht="12" customHeight="1" x14ac:dyDescent="0.2">
      <c r="AM8365" t="str">
        <f t="shared" si="130"/>
        <v>Lerwick [GBLER]</v>
      </c>
      <c r="AN8365" t="s">
        <v>13635</v>
      </c>
      <c r="AO8365" t="s">
        <v>13636</v>
      </c>
    </row>
    <row r="8366" spans="39:41" ht="12" customHeight="1" x14ac:dyDescent="0.2">
      <c r="AM8366" t="str">
        <f t="shared" si="130"/>
        <v>Les Angles [FRGLA]</v>
      </c>
      <c r="AN8366" t="s">
        <v>11556</v>
      </c>
      <c r="AO8366" t="s">
        <v>11557</v>
      </c>
    </row>
    <row r="8367" spans="39:41" ht="12" customHeight="1" x14ac:dyDescent="0.2">
      <c r="AM8367" t="str">
        <f t="shared" si="130"/>
        <v>Les Billaux [FRLSB]</v>
      </c>
      <c r="AN8367" t="s">
        <v>11558</v>
      </c>
      <c r="AO8367" t="s">
        <v>11559</v>
      </c>
    </row>
    <row r="8368" spans="39:41" ht="12" customHeight="1" x14ac:dyDescent="0.2">
      <c r="AM8368" t="str">
        <f t="shared" si="130"/>
        <v>Les Borges del Camp [ESTG2]</v>
      </c>
      <c r="AN8368" t="s">
        <v>9907</v>
      </c>
      <c r="AO8368" t="s">
        <v>9908</v>
      </c>
    </row>
    <row r="8369" spans="39:41" ht="12" customHeight="1" x14ac:dyDescent="0.2">
      <c r="AM8369" t="str">
        <f t="shared" si="130"/>
        <v>Les Cayes [HTACA]</v>
      </c>
      <c r="AN8369" t="s">
        <v>16039</v>
      </c>
      <c r="AO8369" t="s">
        <v>16040</v>
      </c>
    </row>
    <row r="8370" spans="39:41" ht="12" customHeight="1" x14ac:dyDescent="0.2">
      <c r="AM8370" t="str">
        <f t="shared" si="130"/>
        <v>Les Fougerets [FRFTJ]</v>
      </c>
      <c r="AN8370" t="s">
        <v>11560</v>
      </c>
      <c r="AO8370" t="s">
        <v>35818</v>
      </c>
    </row>
    <row r="8371" spans="39:41" ht="12" customHeight="1" x14ac:dyDescent="0.2">
      <c r="AM8371" t="str">
        <f t="shared" si="130"/>
        <v>Les Jonchets [FRPH2]</v>
      </c>
      <c r="AN8371" t="s">
        <v>11561</v>
      </c>
      <c r="AO8371" t="s">
        <v>11562</v>
      </c>
    </row>
    <row r="8372" spans="39:41" ht="12" customHeight="1" x14ac:dyDescent="0.2">
      <c r="AM8372" t="str">
        <f t="shared" si="130"/>
        <v>Les Mechins [CAMHN]</v>
      </c>
      <c r="AN8372" t="s">
        <v>4031</v>
      </c>
      <c r="AO8372" t="s">
        <v>4032</v>
      </c>
    </row>
    <row r="8373" spans="39:41" ht="12" customHeight="1" x14ac:dyDescent="0.2">
      <c r="AM8373" t="str">
        <f t="shared" ref="AM8373:AM8436" si="131">AO8373 &amp; " [" &amp; AN8373 &amp; "]"</f>
        <v>Les Sables-d'Olonne [FRLSO]</v>
      </c>
      <c r="AN8373" t="s">
        <v>11563</v>
      </c>
      <c r="AO8373" t="s">
        <v>11564</v>
      </c>
    </row>
    <row r="8374" spans="39:41" ht="12" customHeight="1" x14ac:dyDescent="0.2">
      <c r="AM8374" t="str">
        <f t="shared" si="131"/>
        <v>Les Trois-Fontaines [FRLTF]</v>
      </c>
      <c r="AN8374" t="s">
        <v>11565</v>
      </c>
      <c r="AO8374" t="s">
        <v>11566</v>
      </c>
    </row>
    <row r="8375" spans="39:41" ht="12" customHeight="1" x14ac:dyDescent="0.2">
      <c r="AM8375" t="str">
        <f t="shared" si="131"/>
        <v>Lesconil [FRLKL]</v>
      </c>
      <c r="AN8375" t="s">
        <v>11567</v>
      </c>
      <c r="AO8375" t="s">
        <v>11568</v>
      </c>
    </row>
    <row r="8376" spans="39:41" ht="12" customHeight="1" x14ac:dyDescent="0.2">
      <c r="AM8376" t="str">
        <f t="shared" si="131"/>
        <v>Lesdins [FRLQD]</v>
      </c>
      <c r="AN8376" t="s">
        <v>11569</v>
      </c>
      <c r="AO8376" t="s">
        <v>11570</v>
      </c>
    </row>
    <row r="8377" spans="39:41" ht="12" customHeight="1" x14ac:dyDescent="0.2">
      <c r="AM8377" t="str">
        <f t="shared" si="131"/>
        <v>Lesina [ITLES]</v>
      </c>
      <c r="AN8377" t="s">
        <v>18007</v>
      </c>
      <c r="AO8377" t="s">
        <v>18008</v>
      </c>
    </row>
    <row r="8378" spans="39:41" ht="12" customHeight="1" x14ac:dyDescent="0.2">
      <c r="AM8378" t="str">
        <f t="shared" si="131"/>
        <v>Lesogorsk [RULES]</v>
      </c>
      <c r="AN8378" t="s">
        <v>27063</v>
      </c>
      <c r="AO8378" t="s">
        <v>27064</v>
      </c>
    </row>
    <row r="8379" spans="39:41" ht="12" customHeight="1" x14ac:dyDescent="0.2">
      <c r="AM8379" t="str">
        <f t="shared" si="131"/>
        <v>Lessines [BELES]</v>
      </c>
      <c r="AN8379" t="s">
        <v>2655</v>
      </c>
      <c r="AO8379" t="s">
        <v>2656</v>
      </c>
    </row>
    <row r="8380" spans="39:41" ht="12" customHeight="1" x14ac:dyDescent="0.2">
      <c r="AM8380" t="str">
        <f t="shared" si="131"/>
        <v>Lessremman [NOLRE]</v>
      </c>
      <c r="AN8380" t="s">
        <v>24424</v>
      </c>
      <c r="AO8380" t="s">
        <v>24425</v>
      </c>
    </row>
    <row r="8381" spans="39:41" ht="12" customHeight="1" x14ac:dyDescent="0.2">
      <c r="AM8381" t="str">
        <f t="shared" si="131"/>
        <v>Letianxi Pt [CNLTP]</v>
      </c>
      <c r="AN8381" t="s">
        <v>5618</v>
      </c>
      <c r="AO8381" t="s">
        <v>5619</v>
      </c>
    </row>
    <row r="8382" spans="39:41" ht="12" customHeight="1" x14ac:dyDescent="0.2">
      <c r="AM8382" t="str">
        <f t="shared" si="131"/>
        <v>Leticia [COLET]</v>
      </c>
      <c r="AN8382" t="s">
        <v>6520</v>
      </c>
      <c r="AO8382" t="s">
        <v>6521</v>
      </c>
    </row>
    <row r="8383" spans="39:41" ht="12" customHeight="1" x14ac:dyDescent="0.2">
      <c r="AM8383" t="str">
        <f t="shared" si="131"/>
        <v>Letmathe [DEDDD]</v>
      </c>
      <c r="AN8383" t="s">
        <v>7812</v>
      </c>
      <c r="AO8383" t="s">
        <v>7813</v>
      </c>
    </row>
    <row r="8384" spans="39:41" ht="12" customHeight="1" x14ac:dyDescent="0.2">
      <c r="AM8384" t="str">
        <f t="shared" si="131"/>
        <v>Letovice [CZLOE]</v>
      </c>
      <c r="AN8384" t="s">
        <v>6875</v>
      </c>
      <c r="AO8384" t="s">
        <v>6876</v>
      </c>
    </row>
    <row r="8385" spans="39:41" ht="12" customHeight="1" x14ac:dyDescent="0.2">
      <c r="AM8385" t="str">
        <f t="shared" si="131"/>
        <v>Lettele [NLTTE]</v>
      </c>
      <c r="AN8385" t="s">
        <v>23366</v>
      </c>
      <c r="AO8385" t="s">
        <v>23367</v>
      </c>
    </row>
    <row r="8386" spans="39:41" ht="12" customHeight="1" x14ac:dyDescent="0.2">
      <c r="AM8386" t="str">
        <f t="shared" si="131"/>
        <v>Leuca [ITLEC]</v>
      </c>
      <c r="AN8386" t="s">
        <v>18009</v>
      </c>
      <c r="AO8386" t="s">
        <v>18010</v>
      </c>
    </row>
    <row r="8387" spans="39:41" ht="12" customHeight="1" x14ac:dyDescent="0.2">
      <c r="AM8387" t="str">
        <f t="shared" si="131"/>
        <v>Leucadia [USEU3]</v>
      </c>
      <c r="AN8387" t="s">
        <v>30393</v>
      </c>
      <c r="AO8387" t="s">
        <v>30394</v>
      </c>
    </row>
    <row r="8388" spans="39:41" ht="12" customHeight="1" x14ac:dyDescent="0.2">
      <c r="AM8388" t="str">
        <f t="shared" si="131"/>
        <v>Leucate [FRUTE]</v>
      </c>
      <c r="AN8388" t="s">
        <v>11571</v>
      </c>
      <c r="AO8388" t="s">
        <v>11572</v>
      </c>
    </row>
    <row r="8389" spans="39:41" ht="12" customHeight="1" x14ac:dyDescent="0.2">
      <c r="AM8389" t="str">
        <f t="shared" si="131"/>
        <v>Leushinskiye [RULEU]</v>
      </c>
      <c r="AN8389" t="s">
        <v>27065</v>
      </c>
      <c r="AO8389" t="s">
        <v>27066</v>
      </c>
    </row>
    <row r="8390" spans="39:41" ht="12" customHeight="1" x14ac:dyDescent="0.2">
      <c r="AM8390" t="str">
        <f t="shared" si="131"/>
        <v>Leutschach [ATLTS]</v>
      </c>
      <c r="AN8390" t="s">
        <v>1264</v>
      </c>
      <c r="AO8390" t="s">
        <v>1265</v>
      </c>
    </row>
    <row r="8391" spans="39:41" ht="12" customHeight="1" x14ac:dyDescent="0.2">
      <c r="AM8391" t="str">
        <f t="shared" si="131"/>
        <v>Leuven [BELEU]</v>
      </c>
      <c r="AN8391" t="s">
        <v>2657</v>
      </c>
      <c r="AO8391" t="s">
        <v>2658</v>
      </c>
    </row>
    <row r="8392" spans="39:41" ht="12" customHeight="1" x14ac:dyDescent="0.2">
      <c r="AM8392" t="str">
        <f t="shared" si="131"/>
        <v>Levanger [NOLEV]</v>
      </c>
      <c r="AN8392" t="s">
        <v>24426</v>
      </c>
      <c r="AO8392" t="s">
        <v>24427</v>
      </c>
    </row>
    <row r="8393" spans="39:41" ht="12" customHeight="1" x14ac:dyDescent="0.2">
      <c r="AM8393" t="str">
        <f t="shared" si="131"/>
        <v>Levanto [ITLEN]</v>
      </c>
      <c r="AN8393" t="s">
        <v>18011</v>
      </c>
      <c r="AO8393" t="s">
        <v>18012</v>
      </c>
    </row>
    <row r="8394" spans="39:41" ht="12" customHeight="1" x14ac:dyDescent="0.2">
      <c r="AM8394" t="str">
        <f t="shared" si="131"/>
        <v>Levanzo [ITLEV]</v>
      </c>
      <c r="AN8394" t="s">
        <v>18013</v>
      </c>
      <c r="AO8394" t="s">
        <v>18014</v>
      </c>
    </row>
    <row r="8395" spans="39:41" ht="12" customHeight="1" x14ac:dyDescent="0.2">
      <c r="AM8395" t="str">
        <f t="shared" si="131"/>
        <v>Levenwick [GBLVK]</v>
      </c>
      <c r="AN8395" t="s">
        <v>13637</v>
      </c>
      <c r="AO8395" t="s">
        <v>13638</v>
      </c>
    </row>
    <row r="8396" spans="39:41" ht="12" customHeight="1" x14ac:dyDescent="0.2">
      <c r="AM8396" t="str">
        <f t="shared" si="131"/>
        <v>Lever Harbour [SBLEV]</v>
      </c>
      <c r="AN8396" t="s">
        <v>27445</v>
      </c>
      <c r="AO8396" t="s">
        <v>27446</v>
      </c>
    </row>
    <row r="8397" spans="39:41" ht="12" customHeight="1" x14ac:dyDescent="0.2">
      <c r="AM8397" t="str">
        <f t="shared" si="131"/>
        <v>Leverburgh, Harris [GBLVR]</v>
      </c>
      <c r="AN8397" t="s">
        <v>13639</v>
      </c>
      <c r="AO8397" t="s">
        <v>13640</v>
      </c>
    </row>
    <row r="8398" spans="39:41" ht="12" customHeight="1" x14ac:dyDescent="0.2">
      <c r="AM8398" t="str">
        <f t="shared" si="131"/>
        <v>Leverkusen [DELEV]</v>
      </c>
      <c r="AN8398" t="s">
        <v>7814</v>
      </c>
      <c r="AO8398" t="s">
        <v>7815</v>
      </c>
    </row>
    <row r="8399" spans="39:41" ht="12" customHeight="1" x14ac:dyDescent="0.2">
      <c r="AM8399" t="str">
        <f t="shared" si="131"/>
        <v>Levis [CALEV]</v>
      </c>
      <c r="AN8399" t="s">
        <v>4033</v>
      </c>
      <c r="AO8399" t="s">
        <v>35328</v>
      </c>
    </row>
    <row r="8400" spans="39:41" ht="12" customHeight="1" x14ac:dyDescent="0.2">
      <c r="AM8400" t="str">
        <f t="shared" si="131"/>
        <v>Lewis Center [USLEQ]</v>
      </c>
      <c r="AN8400" t="s">
        <v>30395</v>
      </c>
      <c r="AO8400" t="s">
        <v>30396</v>
      </c>
    </row>
    <row r="8401" spans="39:41" ht="12" customHeight="1" x14ac:dyDescent="0.2">
      <c r="AM8401" t="str">
        <f t="shared" si="131"/>
        <v>Lewisport [USLWD]</v>
      </c>
      <c r="AN8401" t="s">
        <v>30397</v>
      </c>
      <c r="AO8401" t="s">
        <v>30398</v>
      </c>
    </row>
    <row r="8402" spans="39:41" ht="12" customHeight="1" x14ac:dyDescent="0.2">
      <c r="AM8402" t="str">
        <f t="shared" si="131"/>
        <v>Lewisporte [CALWP]</v>
      </c>
      <c r="AN8402" t="s">
        <v>4034</v>
      </c>
      <c r="AO8402" t="s">
        <v>4035</v>
      </c>
    </row>
    <row r="8403" spans="39:41" ht="12" customHeight="1" x14ac:dyDescent="0.2">
      <c r="AM8403" t="str">
        <f t="shared" si="131"/>
        <v>Lexington [USQDU]</v>
      </c>
      <c r="AN8403" t="s">
        <v>30399</v>
      </c>
      <c r="AO8403" t="s">
        <v>30400</v>
      </c>
    </row>
    <row r="8404" spans="39:41" ht="12" customHeight="1" x14ac:dyDescent="0.2">
      <c r="AM8404" t="str">
        <f t="shared" si="131"/>
        <v>Leyland [GBLYL]</v>
      </c>
      <c r="AN8404" t="s">
        <v>13641</v>
      </c>
      <c r="AO8404" t="s">
        <v>13642</v>
      </c>
    </row>
    <row r="8405" spans="39:41" ht="12" customHeight="1" x14ac:dyDescent="0.2">
      <c r="AM8405" t="str">
        <f t="shared" si="131"/>
        <v>Leyte [PHLEY]</v>
      </c>
      <c r="AN8405" t="s">
        <v>25859</v>
      </c>
      <c r="AO8405" t="s">
        <v>25860</v>
      </c>
    </row>
    <row r="8406" spans="39:41" ht="12" customHeight="1" x14ac:dyDescent="0.2">
      <c r="AM8406" t="str">
        <f t="shared" si="131"/>
        <v>Lezardrieux [FRLEZ]</v>
      </c>
      <c r="AN8406" t="s">
        <v>11573</v>
      </c>
      <c r="AO8406" t="s">
        <v>35819</v>
      </c>
    </row>
    <row r="8407" spans="39:41" ht="12" customHeight="1" x14ac:dyDescent="0.2">
      <c r="AM8407" t="str">
        <f t="shared" si="131"/>
        <v>Lhokseumawe [IDLSW]</v>
      </c>
      <c r="AN8407" t="s">
        <v>16372</v>
      </c>
      <c r="AO8407" t="s">
        <v>16373</v>
      </c>
    </row>
    <row r="8408" spans="39:41" ht="12" customHeight="1" x14ac:dyDescent="0.2">
      <c r="AM8408" t="str">
        <f t="shared" si="131"/>
        <v>Lianga/Bislig [PHLIA]</v>
      </c>
      <c r="AN8408" t="s">
        <v>25861</v>
      </c>
      <c r="AO8408" t="s">
        <v>25862</v>
      </c>
    </row>
    <row r="8409" spans="39:41" ht="12" customHeight="1" x14ac:dyDescent="0.2">
      <c r="AM8409" t="str">
        <f t="shared" si="131"/>
        <v>Lianhuashan Pt [CNLIH]</v>
      </c>
      <c r="AN8409" t="s">
        <v>5620</v>
      </c>
      <c r="AO8409" t="s">
        <v>5621</v>
      </c>
    </row>
    <row r="8410" spans="39:41" ht="12" customHeight="1" x14ac:dyDescent="0.2">
      <c r="AM8410" t="str">
        <f t="shared" si="131"/>
        <v>Lianyungang [CNLYG]</v>
      </c>
      <c r="AN8410" t="s">
        <v>5622</v>
      </c>
      <c r="AO8410" t="s">
        <v>5623</v>
      </c>
    </row>
    <row r="8411" spans="39:41" ht="12" customHeight="1" x14ac:dyDescent="0.2">
      <c r="AM8411" t="str">
        <f t="shared" si="131"/>
        <v>Lianzhou [CNLIZ]</v>
      </c>
      <c r="AN8411" t="s">
        <v>5624</v>
      </c>
      <c r="AO8411" t="s">
        <v>5625</v>
      </c>
    </row>
    <row r="8412" spans="39:41" ht="12" customHeight="1" x14ac:dyDescent="0.2">
      <c r="AM8412" t="str">
        <f t="shared" si="131"/>
        <v>Liavag [NOLIA]</v>
      </c>
      <c r="AN8412" t="s">
        <v>24428</v>
      </c>
      <c r="AO8412" t="s">
        <v>36241</v>
      </c>
    </row>
    <row r="8413" spans="39:41" ht="12" customHeight="1" x14ac:dyDescent="0.2">
      <c r="AM8413" t="str">
        <f t="shared" si="131"/>
        <v>Liberdade [TLLIB]</v>
      </c>
      <c r="AN8413" t="s">
        <v>28312</v>
      </c>
      <c r="AO8413" t="s">
        <v>28313</v>
      </c>
    </row>
    <row r="8414" spans="39:41" ht="12" customHeight="1" x14ac:dyDescent="0.2">
      <c r="AM8414" t="str">
        <f t="shared" si="131"/>
        <v>Liberty [USLIB]</v>
      </c>
      <c r="AN8414" t="s">
        <v>30401</v>
      </c>
      <c r="AO8414" t="s">
        <v>30402</v>
      </c>
    </row>
    <row r="8415" spans="39:41" ht="12" customHeight="1" x14ac:dyDescent="0.2">
      <c r="AM8415" t="str">
        <f t="shared" si="131"/>
        <v>Libjo/Surigao [PHLIB]</v>
      </c>
      <c r="AN8415" t="s">
        <v>25863</v>
      </c>
      <c r="AO8415" t="s">
        <v>25864</v>
      </c>
    </row>
    <row r="8416" spans="39:41" ht="12" customHeight="1" x14ac:dyDescent="0.2">
      <c r="AM8416" t="str">
        <f t="shared" si="131"/>
        <v>Libourne [FRLIB]</v>
      </c>
      <c r="AN8416" t="s">
        <v>11574</v>
      </c>
      <c r="AO8416" t="s">
        <v>11575</v>
      </c>
    </row>
    <row r="8417" spans="39:41" ht="12" customHeight="1" x14ac:dyDescent="0.2">
      <c r="AM8417" t="str">
        <f t="shared" si="131"/>
        <v>Libreville [GALBV]</v>
      </c>
      <c r="AN8417" t="s">
        <v>12231</v>
      </c>
      <c r="AO8417" t="s">
        <v>12232</v>
      </c>
    </row>
    <row r="8418" spans="39:41" ht="12" customHeight="1" x14ac:dyDescent="0.2">
      <c r="AM8418" t="str">
        <f t="shared" si="131"/>
        <v>Licata [ITLIC]</v>
      </c>
      <c r="AN8418" t="s">
        <v>18015</v>
      </c>
      <c r="AO8418" t="s">
        <v>18016</v>
      </c>
    </row>
    <row r="8419" spans="39:41" ht="12" customHeight="1" x14ac:dyDescent="0.2">
      <c r="AM8419" t="str">
        <f t="shared" si="131"/>
        <v>Lich [DEILH]</v>
      </c>
      <c r="AN8419" t="s">
        <v>7816</v>
      </c>
      <c r="AO8419" t="s">
        <v>7817</v>
      </c>
    </row>
    <row r="8420" spans="39:41" ht="12" customHeight="1" x14ac:dyDescent="0.2">
      <c r="AM8420" t="str">
        <f t="shared" si="131"/>
        <v>Lichterfelde [DELTF]</v>
      </c>
      <c r="AN8420" t="s">
        <v>7818</v>
      </c>
      <c r="AO8420" t="s">
        <v>7819</v>
      </c>
    </row>
    <row r="8421" spans="39:41" ht="12" customHeight="1" x14ac:dyDescent="0.2">
      <c r="AM8421" t="str">
        <f t="shared" si="131"/>
        <v>Lidao [CNLID]</v>
      </c>
      <c r="AN8421" t="s">
        <v>5626</v>
      </c>
      <c r="AO8421" t="s">
        <v>5627</v>
      </c>
    </row>
    <row r="8422" spans="39:41" ht="12" customHeight="1" x14ac:dyDescent="0.2">
      <c r="AM8422" t="str">
        <f t="shared" si="131"/>
        <v>Lidingo [SELIO]</v>
      </c>
      <c r="AN8422" t="s">
        <v>27717</v>
      </c>
      <c r="AO8422" t="s">
        <v>36472</v>
      </c>
    </row>
    <row r="8423" spans="39:41" ht="12" customHeight="1" x14ac:dyDescent="0.2">
      <c r="AM8423" t="str">
        <f t="shared" si="131"/>
        <v>Lidkoping [SELDK]</v>
      </c>
      <c r="AN8423" t="s">
        <v>27718</v>
      </c>
      <c r="AO8423" t="s">
        <v>36473</v>
      </c>
    </row>
    <row r="8424" spans="39:41" ht="12" customHeight="1" x14ac:dyDescent="0.2">
      <c r="AM8424" t="str">
        <f t="shared" si="131"/>
        <v>Liebenau [DELIB]</v>
      </c>
      <c r="AN8424" t="s">
        <v>7820</v>
      </c>
      <c r="AO8424" t="s">
        <v>7821</v>
      </c>
    </row>
    <row r="8425" spans="39:41" ht="12" customHeight="1" x14ac:dyDescent="0.2">
      <c r="AM8425" t="str">
        <f t="shared" si="131"/>
        <v>Liefkenshoek [BELHK]</v>
      </c>
      <c r="AN8425" t="s">
        <v>2659</v>
      </c>
      <c r="AO8425" t="s">
        <v>2660</v>
      </c>
    </row>
    <row r="8426" spans="39:41" ht="12" customHeight="1" x14ac:dyDescent="0.2">
      <c r="AM8426" t="str">
        <f t="shared" si="131"/>
        <v>Liege [BELGG]</v>
      </c>
      <c r="AN8426" t="s">
        <v>2661</v>
      </c>
      <c r="AO8426" t="s">
        <v>35272</v>
      </c>
    </row>
    <row r="8427" spans="39:41" ht="12" customHeight="1" x14ac:dyDescent="0.2">
      <c r="AM8427" t="str">
        <f t="shared" si="131"/>
        <v>Lielax [FILLX]</v>
      </c>
      <c r="AN8427" t="s">
        <v>10449</v>
      </c>
      <c r="AO8427" t="s">
        <v>10450</v>
      </c>
    </row>
    <row r="8428" spans="39:41" ht="12" customHeight="1" x14ac:dyDescent="0.2">
      <c r="AM8428" t="str">
        <f t="shared" si="131"/>
        <v>Lienden [NLLIE]</v>
      </c>
      <c r="AN8428" t="s">
        <v>23368</v>
      </c>
      <c r="AO8428" t="s">
        <v>23369</v>
      </c>
    </row>
    <row r="8429" spans="39:41" ht="12" customHeight="1" x14ac:dyDescent="0.2">
      <c r="AM8429" t="str">
        <f t="shared" si="131"/>
        <v>Liepaja [LVLPX]</v>
      </c>
      <c r="AN8429" t="s">
        <v>21933</v>
      </c>
      <c r="AO8429" t="s">
        <v>21934</v>
      </c>
    </row>
    <row r="8430" spans="39:41" ht="12" customHeight="1" x14ac:dyDescent="0.2">
      <c r="AM8430" t="str">
        <f t="shared" si="131"/>
        <v>Liepgarten [DELPQ]</v>
      </c>
      <c r="AN8430" t="s">
        <v>7822</v>
      </c>
      <c r="AO8430" t="s">
        <v>7823</v>
      </c>
    </row>
    <row r="8431" spans="39:41" ht="12" customHeight="1" x14ac:dyDescent="0.2">
      <c r="AM8431" t="str">
        <f t="shared" si="131"/>
        <v>Lier [BELIE]</v>
      </c>
      <c r="AN8431" t="s">
        <v>2662</v>
      </c>
      <c r="AO8431" t="s">
        <v>2663</v>
      </c>
    </row>
    <row r="8432" spans="39:41" ht="12" customHeight="1" x14ac:dyDescent="0.2">
      <c r="AM8432" t="str">
        <f t="shared" si="131"/>
        <v>Lier [NOLIE]</v>
      </c>
      <c r="AN8432" t="s">
        <v>24429</v>
      </c>
      <c r="AO8432" t="s">
        <v>2663</v>
      </c>
    </row>
    <row r="8433" spans="39:41" ht="12" customHeight="1" x14ac:dyDescent="0.2">
      <c r="AM8433" t="str">
        <f t="shared" si="131"/>
        <v>Lieren [NLLEN]</v>
      </c>
      <c r="AN8433" t="s">
        <v>34189</v>
      </c>
      <c r="AO8433" t="s">
        <v>34263</v>
      </c>
    </row>
    <row r="8434" spans="39:41" ht="12" customHeight="1" x14ac:dyDescent="0.2">
      <c r="AM8434" t="str">
        <f t="shared" si="131"/>
        <v>Lieser [DELSR]</v>
      </c>
      <c r="AN8434" t="s">
        <v>7824</v>
      </c>
      <c r="AO8434" t="s">
        <v>7825</v>
      </c>
    </row>
    <row r="8435" spans="39:41" ht="12" customHeight="1" x14ac:dyDescent="0.2">
      <c r="AM8435" t="str">
        <f t="shared" si="131"/>
        <v>Lieura [AOLIE]</v>
      </c>
      <c r="AN8435" t="s">
        <v>865</v>
      </c>
      <c r="AO8435" t="s">
        <v>866</v>
      </c>
    </row>
    <row r="8436" spans="39:41" ht="12" customHeight="1" x14ac:dyDescent="0.2">
      <c r="AM8436" t="str">
        <f t="shared" si="131"/>
        <v>Lifamatola [IDLIF]</v>
      </c>
      <c r="AN8436" t="s">
        <v>16374</v>
      </c>
      <c r="AO8436" t="s">
        <v>16375</v>
      </c>
    </row>
    <row r="8437" spans="39:41" ht="12" customHeight="1" x14ac:dyDescent="0.2">
      <c r="AM8437" t="str">
        <f t="shared" ref="AM8437:AM8500" si="132">AO8437 &amp; " [" &amp; AN8437 &amp; "]"</f>
        <v>Lighthouse Point [USL2P]</v>
      </c>
      <c r="AN8437" t="s">
        <v>30403</v>
      </c>
      <c r="AO8437" t="s">
        <v>30404</v>
      </c>
    </row>
    <row r="8438" spans="39:41" ht="12" customHeight="1" x14ac:dyDescent="0.2">
      <c r="AM8438" t="str">
        <f t="shared" si="132"/>
        <v>Lignano Sabbiadoro [ITLSD]</v>
      </c>
      <c r="AN8438" t="s">
        <v>18017</v>
      </c>
      <c r="AO8438" t="s">
        <v>18018</v>
      </c>
    </row>
    <row r="8439" spans="39:41" ht="12" customHeight="1" x14ac:dyDescent="0.2">
      <c r="AM8439" t="str">
        <f t="shared" si="132"/>
        <v>Lignieres-de-Touraine [FRL5T]</v>
      </c>
      <c r="AN8439" t="s">
        <v>11576</v>
      </c>
      <c r="AO8439" t="s">
        <v>35820</v>
      </c>
    </row>
    <row r="8440" spans="39:41" ht="12" customHeight="1" x14ac:dyDescent="0.2">
      <c r="AM8440" t="str">
        <f t="shared" si="132"/>
        <v>Lignoelles [FRXLG]</v>
      </c>
      <c r="AN8440" t="s">
        <v>36970</v>
      </c>
      <c r="AO8440" t="s">
        <v>36971</v>
      </c>
    </row>
    <row r="8441" spans="39:41" ht="12" customHeight="1" x14ac:dyDescent="0.2">
      <c r="AM8441" t="str">
        <f t="shared" si="132"/>
        <v>Lihir Island [PGLNV]</v>
      </c>
      <c r="AN8441" t="s">
        <v>25422</v>
      </c>
      <c r="AO8441" t="s">
        <v>25423</v>
      </c>
    </row>
    <row r="8442" spans="39:41" ht="12" customHeight="1" x14ac:dyDescent="0.2">
      <c r="AM8442" t="str">
        <f t="shared" si="132"/>
        <v>Lijiang [CNLIJ]</v>
      </c>
      <c r="AN8442" t="s">
        <v>5628</v>
      </c>
      <c r="AO8442" t="s">
        <v>5629</v>
      </c>
    </row>
    <row r="8443" spans="39:41" ht="12" customHeight="1" x14ac:dyDescent="0.2">
      <c r="AM8443" t="str">
        <f t="shared" si="132"/>
        <v>Lijnden [NLLIJ]</v>
      </c>
      <c r="AN8443" t="s">
        <v>23370</v>
      </c>
      <c r="AO8443" t="s">
        <v>23371</v>
      </c>
    </row>
    <row r="8444" spans="39:41" ht="12" customHeight="1" x14ac:dyDescent="0.2">
      <c r="AM8444" t="str">
        <f t="shared" si="132"/>
        <v>Liland [NOLID]</v>
      </c>
      <c r="AN8444" t="s">
        <v>24430</v>
      </c>
      <c r="AO8444" t="s">
        <v>24431</v>
      </c>
    </row>
    <row r="8445" spans="39:41" ht="12" customHeight="1" x14ac:dyDescent="0.2">
      <c r="AM8445" t="str">
        <f t="shared" si="132"/>
        <v>L'Ile d'Olonne [FRDLJ]</v>
      </c>
      <c r="AN8445" t="s">
        <v>11577</v>
      </c>
      <c r="AO8445" t="s">
        <v>11578</v>
      </c>
    </row>
    <row r="8446" spans="39:41" ht="12" customHeight="1" x14ac:dyDescent="0.2">
      <c r="AM8446" t="str">
        <f t="shared" si="132"/>
        <v>L'Ile-des-Soeurs (Nuns Island) [CAILS]</v>
      </c>
      <c r="AN8446" t="s">
        <v>4036</v>
      </c>
      <c r="AO8446" t="s">
        <v>35329</v>
      </c>
    </row>
    <row r="8447" spans="39:41" ht="12" customHeight="1" x14ac:dyDescent="0.2">
      <c r="AM8447" t="str">
        <f t="shared" si="132"/>
        <v>L'Ile-Rousse [FRILR]</v>
      </c>
      <c r="AN8447" t="s">
        <v>11579</v>
      </c>
      <c r="AO8447" t="s">
        <v>11580</v>
      </c>
    </row>
    <row r="8448" spans="39:41" ht="12" customHeight="1" x14ac:dyDescent="0.2">
      <c r="AM8448" t="str">
        <f t="shared" si="132"/>
        <v>Liling [CNLLI]</v>
      </c>
      <c r="AN8448" t="s">
        <v>5630</v>
      </c>
      <c r="AO8448" t="s">
        <v>5631</v>
      </c>
    </row>
    <row r="8449" spans="39:41" ht="12" customHeight="1" x14ac:dyDescent="0.2">
      <c r="AM8449" t="str">
        <f t="shared" si="132"/>
        <v>Lilla Edet [SELED]</v>
      </c>
      <c r="AN8449" t="s">
        <v>27719</v>
      </c>
      <c r="AO8449" t="s">
        <v>27720</v>
      </c>
    </row>
    <row r="8450" spans="39:41" ht="12" customHeight="1" x14ac:dyDescent="0.2">
      <c r="AM8450" t="str">
        <f t="shared" si="132"/>
        <v>Lille [FRLLE]</v>
      </c>
      <c r="AN8450" t="s">
        <v>11581</v>
      </c>
      <c r="AO8450" t="s">
        <v>11582</v>
      </c>
    </row>
    <row r="8451" spans="39:41" ht="12" customHeight="1" x14ac:dyDescent="0.2">
      <c r="AM8451" t="str">
        <f t="shared" si="132"/>
        <v>Lillebonne [FRLNE]</v>
      </c>
      <c r="AN8451" t="s">
        <v>36972</v>
      </c>
      <c r="AO8451" t="s">
        <v>36973</v>
      </c>
    </row>
    <row r="8452" spans="39:41" ht="12" customHeight="1" x14ac:dyDescent="0.2">
      <c r="AM8452" t="str">
        <f t="shared" si="132"/>
        <v>Lillesand [NOLIL]</v>
      </c>
      <c r="AN8452" t="s">
        <v>24432</v>
      </c>
      <c r="AO8452" t="s">
        <v>24433</v>
      </c>
    </row>
    <row r="8453" spans="39:41" ht="12" customHeight="1" x14ac:dyDescent="0.2">
      <c r="AM8453" t="str">
        <f t="shared" si="132"/>
        <v>Lillo [BELIL]</v>
      </c>
      <c r="AN8453" t="s">
        <v>2664</v>
      </c>
      <c r="AO8453" t="s">
        <v>2665</v>
      </c>
    </row>
    <row r="8454" spans="39:41" ht="12" customHeight="1" x14ac:dyDescent="0.2">
      <c r="AM8454" t="str">
        <f t="shared" si="132"/>
        <v>Lilydale [AULYD]</v>
      </c>
      <c r="AN8454" t="s">
        <v>1803</v>
      </c>
      <c r="AO8454" t="s">
        <v>1804</v>
      </c>
    </row>
    <row r="8455" spans="39:41" ht="12" customHeight="1" x14ac:dyDescent="0.2">
      <c r="AM8455" t="str">
        <f t="shared" si="132"/>
        <v>Lima [PELIM]</v>
      </c>
      <c r="AN8455" t="s">
        <v>25261</v>
      </c>
      <c r="AO8455" t="s">
        <v>25262</v>
      </c>
    </row>
    <row r="8456" spans="39:41" ht="12" customHeight="1" x14ac:dyDescent="0.2">
      <c r="AM8456" t="str">
        <f t="shared" si="132"/>
        <v>Limas [TRLMA]</v>
      </c>
      <c r="AN8456" t="s">
        <v>28537</v>
      </c>
      <c r="AO8456" t="s">
        <v>28538</v>
      </c>
    </row>
    <row r="8457" spans="39:41" ht="12" customHeight="1" x14ac:dyDescent="0.2">
      <c r="AM8457" t="str">
        <f t="shared" si="132"/>
        <v>Limassol [CYLMS]</v>
      </c>
      <c r="AN8457" t="s">
        <v>6769</v>
      </c>
      <c r="AO8457" t="s">
        <v>6770</v>
      </c>
    </row>
    <row r="8458" spans="39:41" ht="12" customHeight="1" x14ac:dyDescent="0.2">
      <c r="AM8458" t="str">
        <f t="shared" si="132"/>
        <v>Limay [FRLMY]</v>
      </c>
      <c r="AN8458" t="s">
        <v>11583</v>
      </c>
      <c r="AO8458" t="s">
        <v>11584</v>
      </c>
    </row>
    <row r="8459" spans="39:41" ht="12" customHeight="1" x14ac:dyDescent="0.2">
      <c r="AM8459" t="str">
        <f t="shared" si="132"/>
        <v>Limay/Bataan [PHLIM]</v>
      </c>
      <c r="AN8459" t="s">
        <v>25865</v>
      </c>
      <c r="AO8459" t="s">
        <v>25866</v>
      </c>
    </row>
    <row r="8460" spans="39:41" ht="12" customHeight="1" x14ac:dyDescent="0.2">
      <c r="AM8460" t="str">
        <f t="shared" si="132"/>
        <v>Limbang, Sarawak [MYLMN]</v>
      </c>
      <c r="AN8460" t="s">
        <v>22636</v>
      </c>
      <c r="AO8460" t="s">
        <v>22637</v>
      </c>
    </row>
    <row r="8461" spans="39:41" ht="12" customHeight="1" x14ac:dyDescent="0.2">
      <c r="AM8461" t="str">
        <f t="shared" si="132"/>
        <v>Limbe [CMLIM]</v>
      </c>
      <c r="AN8461" t="s">
        <v>5006</v>
      </c>
      <c r="AO8461" t="s">
        <v>5007</v>
      </c>
    </row>
    <row r="8462" spans="39:41" ht="12" customHeight="1" x14ac:dyDescent="0.2">
      <c r="AM8462" t="str">
        <f t="shared" si="132"/>
        <v>Limberg [ATIEG]</v>
      </c>
      <c r="AN8462" t="s">
        <v>1266</v>
      </c>
      <c r="AO8462" t="s">
        <v>1267</v>
      </c>
    </row>
    <row r="8463" spans="39:41" ht="12" customHeight="1" x14ac:dyDescent="0.2">
      <c r="AM8463" t="str">
        <f t="shared" si="132"/>
        <v>Limboh Terminal [CMLIT]</v>
      </c>
      <c r="AN8463" t="s">
        <v>5008</v>
      </c>
      <c r="AO8463" t="s">
        <v>5009</v>
      </c>
    </row>
    <row r="8464" spans="39:41" ht="12" customHeight="1" x14ac:dyDescent="0.2">
      <c r="AM8464" t="str">
        <f t="shared" si="132"/>
        <v>Limekilns [GBLMK]</v>
      </c>
      <c r="AN8464" t="s">
        <v>13643</v>
      </c>
      <c r="AO8464" t="s">
        <v>13644</v>
      </c>
    </row>
    <row r="8465" spans="39:41" ht="12" customHeight="1" x14ac:dyDescent="0.2">
      <c r="AM8465" t="str">
        <f t="shared" si="132"/>
        <v>Limerick [IELMK]</v>
      </c>
      <c r="AN8465" t="s">
        <v>16859</v>
      </c>
      <c r="AO8465" t="s">
        <v>16860</v>
      </c>
    </row>
    <row r="8466" spans="39:41" ht="12" customHeight="1" x14ac:dyDescent="0.2">
      <c r="AM8466" t="str">
        <f t="shared" si="132"/>
        <v>Limeshain [DELSH]</v>
      </c>
      <c r="AN8466" t="s">
        <v>7826</v>
      </c>
      <c r="AO8466" t="s">
        <v>7827</v>
      </c>
    </row>
    <row r="8467" spans="39:41" ht="12" customHeight="1" x14ac:dyDescent="0.2">
      <c r="AM8467" t="str">
        <f t="shared" si="132"/>
        <v>Limestone [USLIZ]</v>
      </c>
      <c r="AN8467" t="s">
        <v>30405</v>
      </c>
      <c r="AO8467" t="s">
        <v>30406</v>
      </c>
    </row>
    <row r="8468" spans="39:41" ht="12" customHeight="1" x14ac:dyDescent="0.2">
      <c r="AM8468" t="str">
        <f t="shared" si="132"/>
        <v>Limetree Bay [VILIB]</v>
      </c>
      <c r="AN8468" t="s">
        <v>32290</v>
      </c>
      <c r="AO8468" t="s">
        <v>32291</v>
      </c>
    </row>
    <row r="8469" spans="39:41" ht="12" customHeight="1" x14ac:dyDescent="0.2">
      <c r="AM8469" t="str">
        <f t="shared" si="132"/>
        <v>Limetz-Villez [FRLMZ]</v>
      </c>
      <c r="AN8469" t="s">
        <v>11585</v>
      </c>
      <c r="AO8469" t="s">
        <v>11586</v>
      </c>
    </row>
    <row r="8470" spans="39:41" ht="12" customHeight="1" x14ac:dyDescent="0.2">
      <c r="AM8470" t="str">
        <f t="shared" si="132"/>
        <v>Limhamn [SELIM]</v>
      </c>
      <c r="AN8470" t="s">
        <v>27721</v>
      </c>
      <c r="AO8470" t="s">
        <v>27722</v>
      </c>
    </row>
    <row r="8471" spans="39:41" ht="12" customHeight="1" x14ac:dyDescent="0.2">
      <c r="AM8471" t="str">
        <f t="shared" si="132"/>
        <v>Limmel [NLLME]</v>
      </c>
      <c r="AN8471" t="s">
        <v>23372</v>
      </c>
      <c r="AO8471" t="s">
        <v>23373</v>
      </c>
    </row>
    <row r="8472" spans="39:41" ht="12" customHeight="1" x14ac:dyDescent="0.2">
      <c r="AM8472" t="str">
        <f t="shared" si="132"/>
        <v>Limni [GRLII]</v>
      </c>
      <c r="AN8472" t="s">
        <v>15335</v>
      </c>
      <c r="AO8472" t="s">
        <v>15336</v>
      </c>
    </row>
    <row r="8473" spans="39:41" ht="12" customHeight="1" x14ac:dyDescent="0.2">
      <c r="AM8473" t="str">
        <f t="shared" si="132"/>
        <v>Linakhamari [RULNR]</v>
      </c>
      <c r="AN8473" t="s">
        <v>27067</v>
      </c>
      <c r="AO8473" t="s">
        <v>27068</v>
      </c>
    </row>
    <row r="8474" spans="39:41" ht="12" customHeight="1" x14ac:dyDescent="0.2">
      <c r="AM8474" t="str">
        <f t="shared" si="132"/>
        <v>Linanas [SELIS]</v>
      </c>
      <c r="AN8474" t="s">
        <v>27723</v>
      </c>
      <c r="AO8474" t="s">
        <v>36474</v>
      </c>
    </row>
    <row r="8475" spans="39:41" ht="12" customHeight="1" x14ac:dyDescent="0.2">
      <c r="AM8475" t="str">
        <f t="shared" si="132"/>
        <v>Linaria [GRLIA]</v>
      </c>
      <c r="AN8475" t="s">
        <v>15337</v>
      </c>
      <c r="AO8475" t="s">
        <v>15338</v>
      </c>
    </row>
    <row r="8476" spans="39:41" ht="12" customHeight="1" x14ac:dyDescent="0.2">
      <c r="AM8476" t="str">
        <f t="shared" si="132"/>
        <v>Lincoln [GBLCN]</v>
      </c>
      <c r="AN8476" t="s">
        <v>13645</v>
      </c>
      <c r="AO8476" t="s">
        <v>13646</v>
      </c>
    </row>
    <row r="8477" spans="39:41" ht="12" customHeight="1" x14ac:dyDescent="0.2">
      <c r="AM8477" t="str">
        <f t="shared" si="132"/>
        <v>Lincoln City [USYOC]</v>
      </c>
      <c r="AN8477" t="s">
        <v>30407</v>
      </c>
      <c r="AO8477" t="s">
        <v>30408</v>
      </c>
    </row>
    <row r="8478" spans="39:41" ht="12" customHeight="1" x14ac:dyDescent="0.2">
      <c r="AM8478" t="str">
        <f t="shared" si="132"/>
        <v>Lind [USYLD]</v>
      </c>
      <c r="AN8478" t="s">
        <v>30409</v>
      </c>
      <c r="AO8478" t="s">
        <v>30410</v>
      </c>
    </row>
    <row r="8479" spans="39:41" ht="12" customHeight="1" x14ac:dyDescent="0.2">
      <c r="AM8479" t="str">
        <f t="shared" si="132"/>
        <v>Lindas [NOLIN]</v>
      </c>
      <c r="AN8479" t="s">
        <v>24434</v>
      </c>
      <c r="AO8479" t="s">
        <v>36242</v>
      </c>
    </row>
    <row r="8480" spans="39:41" ht="12" customHeight="1" x14ac:dyDescent="0.2">
      <c r="AM8480" t="str">
        <f t="shared" si="132"/>
        <v>Lindau [DELIU]</v>
      </c>
      <c r="AN8480" t="s">
        <v>7828</v>
      </c>
      <c r="AO8480" t="s">
        <v>7829</v>
      </c>
    </row>
    <row r="8481" spans="39:41" ht="12" customHeight="1" x14ac:dyDescent="0.2">
      <c r="AM8481" t="str">
        <f t="shared" si="132"/>
        <v>Linden [GYLDN]</v>
      </c>
      <c r="AN8481" t="s">
        <v>15639</v>
      </c>
      <c r="AO8481" t="s">
        <v>15640</v>
      </c>
    </row>
    <row r="8482" spans="39:41" ht="12" customHeight="1" x14ac:dyDescent="0.2">
      <c r="AM8482" t="str">
        <f t="shared" si="132"/>
        <v>Linden Hill [USDD6]</v>
      </c>
      <c r="AN8482" t="s">
        <v>30411</v>
      </c>
      <c r="AO8482" t="s">
        <v>30412</v>
      </c>
    </row>
    <row r="8483" spans="39:41" ht="12" customHeight="1" x14ac:dyDescent="0.2">
      <c r="AM8483" t="str">
        <f t="shared" si="132"/>
        <v>Lindesnes [NOLDS]</v>
      </c>
      <c r="AN8483" t="s">
        <v>24435</v>
      </c>
      <c r="AO8483" t="s">
        <v>24436</v>
      </c>
    </row>
    <row r="8484" spans="39:41" ht="12" customHeight="1" x14ac:dyDescent="0.2">
      <c r="AM8484" t="str">
        <f t="shared" si="132"/>
        <v>Lindholm Havn [DKLHH]</v>
      </c>
      <c r="AN8484" t="s">
        <v>8793</v>
      </c>
      <c r="AO8484" t="s">
        <v>8794</v>
      </c>
    </row>
    <row r="8485" spans="39:41" ht="12" customHeight="1" x14ac:dyDescent="0.2">
      <c r="AM8485" t="str">
        <f t="shared" si="132"/>
        <v>Lindi [EELIN]</v>
      </c>
      <c r="AN8485" t="s">
        <v>9241</v>
      </c>
      <c r="AO8485" t="s">
        <v>9242</v>
      </c>
    </row>
    <row r="8486" spans="39:41" ht="12" customHeight="1" x14ac:dyDescent="0.2">
      <c r="AM8486" t="str">
        <f t="shared" si="132"/>
        <v>Lindi [TZLDI]</v>
      </c>
      <c r="AN8486" t="s">
        <v>28715</v>
      </c>
      <c r="AO8486" t="s">
        <v>9242</v>
      </c>
    </row>
    <row r="8487" spans="39:41" ht="12" customHeight="1" x14ac:dyDescent="0.2">
      <c r="AM8487" t="str">
        <f t="shared" si="132"/>
        <v>Lindkoski [FILSK]</v>
      </c>
      <c r="AN8487" t="s">
        <v>10451</v>
      </c>
      <c r="AO8487" t="s">
        <v>10452</v>
      </c>
    </row>
    <row r="8488" spans="39:41" ht="12" customHeight="1" x14ac:dyDescent="0.2">
      <c r="AM8488" t="str">
        <f t="shared" si="132"/>
        <v>Lindo Havn [DKLIN]</v>
      </c>
      <c r="AN8488" t="s">
        <v>8795</v>
      </c>
      <c r="AO8488" t="s">
        <v>35553</v>
      </c>
    </row>
    <row r="8489" spans="39:41" ht="12" customHeight="1" x14ac:dyDescent="0.2">
      <c r="AM8489" t="str">
        <f t="shared" si="132"/>
        <v>Lindos Rodou [GRLDR]</v>
      </c>
      <c r="AN8489" t="s">
        <v>15339</v>
      </c>
      <c r="AO8489" t="s">
        <v>15340</v>
      </c>
    </row>
    <row r="8490" spans="39:41" ht="12" customHeight="1" x14ac:dyDescent="0.2">
      <c r="AM8490" t="str">
        <f t="shared" si="132"/>
        <v>Lingah [IRLIN]</v>
      </c>
      <c r="AN8490" t="s">
        <v>17641</v>
      </c>
      <c r="AO8490" t="s">
        <v>17642</v>
      </c>
    </row>
    <row r="8491" spans="39:41" ht="12" customHeight="1" x14ac:dyDescent="0.2">
      <c r="AM8491" t="str">
        <f t="shared" si="132"/>
        <v>Lingayen, Luzon [PHLIN]</v>
      </c>
      <c r="AN8491" t="s">
        <v>25867</v>
      </c>
      <c r="AO8491" t="s">
        <v>25868</v>
      </c>
    </row>
    <row r="8492" spans="39:41" ht="12" customHeight="1" x14ac:dyDescent="0.2">
      <c r="AM8492" t="str">
        <f t="shared" si="132"/>
        <v>Lingen [DELIG]</v>
      </c>
      <c r="AN8492" t="s">
        <v>7830</v>
      </c>
      <c r="AO8492" t="s">
        <v>7831</v>
      </c>
    </row>
    <row r="8493" spans="39:41" ht="12" customHeight="1" x14ac:dyDescent="0.2">
      <c r="AM8493" t="str">
        <f t="shared" si="132"/>
        <v>Lingga, Sarawak [MYLGG]</v>
      </c>
      <c r="AN8493" t="s">
        <v>22638</v>
      </c>
      <c r="AO8493" t="s">
        <v>22639</v>
      </c>
    </row>
    <row r="8494" spans="39:41" ht="12" customHeight="1" x14ac:dyDescent="0.2">
      <c r="AM8494" t="str">
        <f t="shared" si="132"/>
        <v>Lingig/Bislig [PHLGG]</v>
      </c>
      <c r="AN8494" t="s">
        <v>25869</v>
      </c>
      <c r="AO8494" t="s">
        <v>25870</v>
      </c>
    </row>
    <row r="8495" spans="39:41" ht="12" customHeight="1" x14ac:dyDescent="0.2">
      <c r="AM8495" t="str">
        <f t="shared" si="132"/>
        <v>Linhai [CNLNH]</v>
      </c>
      <c r="AN8495" t="s">
        <v>5632</v>
      </c>
      <c r="AO8495" t="s">
        <v>5633</v>
      </c>
    </row>
    <row r="8496" spans="39:41" ht="12" customHeight="1" x14ac:dyDescent="0.2">
      <c r="AM8496" t="str">
        <f t="shared" si="132"/>
        <v>Linik/Dadiangas [PHLNK]</v>
      </c>
      <c r="AN8496" t="s">
        <v>25871</v>
      </c>
      <c r="AO8496" t="s">
        <v>25872</v>
      </c>
    </row>
    <row r="8497" spans="39:41" ht="12" customHeight="1" x14ac:dyDescent="0.2">
      <c r="AM8497" t="str">
        <f t="shared" si="132"/>
        <v>Linn Creek [USQLF]</v>
      </c>
      <c r="AN8497" t="s">
        <v>30413</v>
      </c>
      <c r="AO8497" t="s">
        <v>30414</v>
      </c>
    </row>
    <row r="8498" spans="39:41" ht="12" customHeight="1" x14ac:dyDescent="0.2">
      <c r="AM8498" t="str">
        <f t="shared" si="132"/>
        <v>Linnton [USLN5]</v>
      </c>
      <c r="AN8498" t="s">
        <v>30415</v>
      </c>
      <c r="AO8498" t="s">
        <v>30416</v>
      </c>
    </row>
    <row r="8499" spans="39:41" ht="12" customHeight="1" x14ac:dyDescent="0.2">
      <c r="AM8499" t="str">
        <f t="shared" si="132"/>
        <v>Lino Lakes [USLLB]</v>
      </c>
      <c r="AN8499" t="s">
        <v>30417</v>
      </c>
      <c r="AO8499" t="s">
        <v>30418</v>
      </c>
    </row>
    <row r="8500" spans="39:41" ht="12" customHeight="1" x14ac:dyDescent="0.2">
      <c r="AM8500" t="str">
        <f t="shared" si="132"/>
        <v>Linoperamata Hrakliou [GRLIN]</v>
      </c>
      <c r="AN8500" t="s">
        <v>15341</v>
      </c>
      <c r="AO8500" t="s">
        <v>15342</v>
      </c>
    </row>
    <row r="8501" spans="39:41" ht="12" customHeight="1" x14ac:dyDescent="0.2">
      <c r="AM8501" t="str">
        <f t="shared" ref="AM8501:AM8563" si="133">AO8501 &amp; " [" &amp; AN8501 &amp; "]"</f>
        <v>Linosa [ITLIU]</v>
      </c>
      <c r="AN8501" t="s">
        <v>18019</v>
      </c>
      <c r="AO8501" t="s">
        <v>18020</v>
      </c>
    </row>
    <row r="8502" spans="39:41" ht="12" customHeight="1" x14ac:dyDescent="0.2">
      <c r="AM8502" t="str">
        <f t="shared" si="133"/>
        <v>Lintao [CNTNC]</v>
      </c>
      <c r="AN8502" t="s">
        <v>5634</v>
      </c>
      <c r="AO8502" t="s">
        <v>5635</v>
      </c>
    </row>
    <row r="8503" spans="39:41" ht="12" customHeight="1" x14ac:dyDescent="0.2">
      <c r="AM8503" t="str">
        <f t="shared" si="133"/>
        <v>Lintelermarsch [DELIN]</v>
      </c>
      <c r="AN8503" t="s">
        <v>7832</v>
      </c>
      <c r="AO8503" t="s">
        <v>7833</v>
      </c>
    </row>
    <row r="8504" spans="39:41" ht="12" customHeight="1" x14ac:dyDescent="0.2">
      <c r="AM8504" t="str">
        <f t="shared" si="133"/>
        <v>Linz am Rhein [DELRN]</v>
      </c>
      <c r="AN8504" t="s">
        <v>7834</v>
      </c>
      <c r="AO8504" t="s">
        <v>7835</v>
      </c>
    </row>
    <row r="8505" spans="39:41" ht="12" customHeight="1" x14ac:dyDescent="0.2">
      <c r="AM8505" t="str">
        <f t="shared" si="133"/>
        <v>Lipa [PHLPA]</v>
      </c>
      <c r="AN8505" t="s">
        <v>25873</v>
      </c>
      <c r="AO8505" t="s">
        <v>25874</v>
      </c>
    </row>
    <row r="8506" spans="39:41" ht="12" customHeight="1" x14ac:dyDescent="0.2">
      <c r="AM8506" t="str">
        <f t="shared" si="133"/>
        <v>Lipari [ITLIP]</v>
      </c>
      <c r="AN8506" t="s">
        <v>18021</v>
      </c>
      <c r="AO8506" t="s">
        <v>18022</v>
      </c>
    </row>
    <row r="8507" spans="39:41" ht="12" customHeight="1" x14ac:dyDescent="0.2">
      <c r="AM8507" t="str">
        <f t="shared" si="133"/>
        <v>Lipiany [PLLPN]</v>
      </c>
      <c r="AN8507" t="s">
        <v>26338</v>
      </c>
      <c r="AO8507" t="s">
        <v>26339</v>
      </c>
    </row>
    <row r="8508" spans="39:41" ht="12" customHeight="1" x14ac:dyDescent="0.2">
      <c r="AM8508" t="str">
        <f t="shared" si="133"/>
        <v>Lippenwoude [NLLWO]</v>
      </c>
      <c r="AN8508" t="s">
        <v>23374</v>
      </c>
      <c r="AO8508" t="s">
        <v>23375</v>
      </c>
    </row>
    <row r="8509" spans="39:41" ht="12" customHeight="1" x14ac:dyDescent="0.2">
      <c r="AM8509" t="str">
        <f t="shared" si="133"/>
        <v>Lipsoi [GRLIP]</v>
      </c>
      <c r="AN8509" t="s">
        <v>15343</v>
      </c>
      <c r="AO8509" t="s">
        <v>35930</v>
      </c>
    </row>
    <row r="8510" spans="39:41" ht="12" customHeight="1" x14ac:dyDescent="0.2">
      <c r="AM8510" t="str">
        <f t="shared" si="133"/>
        <v>Lire [FRL49]</v>
      </c>
      <c r="AN8510" t="s">
        <v>11587</v>
      </c>
      <c r="AO8510" t="s">
        <v>35821</v>
      </c>
    </row>
    <row r="8511" spans="39:41" ht="12" customHeight="1" x14ac:dyDescent="0.2">
      <c r="AM8511" t="str">
        <f t="shared" si="133"/>
        <v>Lirquen [CLLQN]</v>
      </c>
      <c r="AN8511" t="s">
        <v>4885</v>
      </c>
      <c r="AO8511" t="s">
        <v>35358</v>
      </c>
    </row>
    <row r="8512" spans="39:41" ht="12" customHeight="1" x14ac:dyDescent="0.2">
      <c r="AM8512" t="str">
        <f t="shared" si="133"/>
        <v>Lisarow [AULOW]</v>
      </c>
      <c r="AN8512" t="s">
        <v>1805</v>
      </c>
      <c r="AO8512" t="s">
        <v>1806</v>
      </c>
    </row>
    <row r="8513" spans="39:41" ht="12" customHeight="1" x14ac:dyDescent="0.2">
      <c r="AM8513" t="str">
        <f t="shared" si="133"/>
        <v>Lisboa [PTLIS]</v>
      </c>
      <c r="AN8513" t="s">
        <v>26529</v>
      </c>
      <c r="AO8513" t="s">
        <v>26530</v>
      </c>
    </row>
    <row r="8514" spans="39:41" ht="12" customHeight="1" x14ac:dyDescent="0.2">
      <c r="AM8514" t="str">
        <f t="shared" si="133"/>
        <v>Lismore Island [GBLSM]</v>
      </c>
      <c r="AN8514" t="s">
        <v>13647</v>
      </c>
      <c r="AO8514" t="s">
        <v>13648</v>
      </c>
    </row>
    <row r="8515" spans="39:41" ht="12" customHeight="1" x14ac:dyDescent="0.2">
      <c r="AM8515" t="str">
        <f t="shared" si="133"/>
        <v>Lisse [NLQDG]</v>
      </c>
      <c r="AN8515" t="s">
        <v>33907</v>
      </c>
      <c r="AO8515" t="s">
        <v>34029</v>
      </c>
    </row>
    <row r="8516" spans="39:41" ht="12" customHeight="1" x14ac:dyDescent="0.2">
      <c r="AM8516" t="str">
        <f t="shared" si="133"/>
        <v>Lissewege [BELSG]</v>
      </c>
      <c r="AN8516" t="s">
        <v>2666</v>
      </c>
      <c r="AO8516" t="s">
        <v>2667</v>
      </c>
    </row>
    <row r="8517" spans="39:41" ht="12" customHeight="1" x14ac:dyDescent="0.2">
      <c r="AM8517" t="str">
        <f t="shared" si="133"/>
        <v>List/Sylt [DELIS]</v>
      </c>
      <c r="AN8517" t="s">
        <v>7836</v>
      </c>
      <c r="AO8517" t="s">
        <v>7837</v>
      </c>
    </row>
    <row r="8518" spans="39:41" ht="12" customHeight="1" x14ac:dyDescent="0.2">
      <c r="AM8518" t="str">
        <f t="shared" si="133"/>
        <v>Listraumen [NOLFF]</v>
      </c>
      <c r="AN8518" t="s">
        <v>24437</v>
      </c>
      <c r="AO8518" t="s">
        <v>24438</v>
      </c>
    </row>
    <row r="8519" spans="39:41" ht="12" customHeight="1" x14ac:dyDescent="0.2">
      <c r="AM8519" t="str">
        <f t="shared" si="133"/>
        <v>Lisui [CNLUI]</v>
      </c>
      <c r="AN8519" t="s">
        <v>5636</v>
      </c>
      <c r="AO8519" t="s">
        <v>5637</v>
      </c>
    </row>
    <row r="8520" spans="39:41" ht="12" customHeight="1" x14ac:dyDescent="0.2">
      <c r="AM8520" t="str">
        <f t="shared" si="133"/>
        <v>Litangen [NOLIT]</v>
      </c>
      <c r="AN8520" t="s">
        <v>24439</v>
      </c>
      <c r="AO8520" t="s">
        <v>24440</v>
      </c>
    </row>
    <row r="8521" spans="39:41" ht="12" customHeight="1" x14ac:dyDescent="0.2">
      <c r="AM8521" t="str">
        <f t="shared" si="133"/>
        <v>Lith [NLLIT]</v>
      </c>
      <c r="AN8521" t="s">
        <v>23376</v>
      </c>
      <c r="AO8521" t="s">
        <v>23377</v>
      </c>
    </row>
    <row r="8522" spans="39:41" ht="12" customHeight="1" x14ac:dyDescent="0.2">
      <c r="AM8522" t="str">
        <f t="shared" si="133"/>
        <v>Lith [SALIT]</v>
      </c>
      <c r="AN8522" t="s">
        <v>27398</v>
      </c>
      <c r="AO8522" t="s">
        <v>23377</v>
      </c>
    </row>
    <row r="8523" spans="39:41" ht="12" customHeight="1" x14ac:dyDescent="0.2">
      <c r="AM8523" t="str">
        <f t="shared" si="133"/>
        <v>Lithoijen [NLLTO]</v>
      </c>
      <c r="AN8523" t="s">
        <v>23378</v>
      </c>
      <c r="AO8523" t="s">
        <v>23379</v>
      </c>
    </row>
    <row r="8524" spans="39:41" ht="12" customHeight="1" x14ac:dyDescent="0.2">
      <c r="AM8524" t="str">
        <f t="shared" si="133"/>
        <v>Litli Sandur [ISLSA]</v>
      </c>
      <c r="AN8524" t="s">
        <v>17733</v>
      </c>
      <c r="AO8524" t="s">
        <v>17734</v>
      </c>
    </row>
    <row r="8525" spans="39:41" ht="12" customHeight="1" x14ac:dyDescent="0.2">
      <c r="AM8525" t="str">
        <f t="shared" si="133"/>
        <v>Little Aden [YELAD]</v>
      </c>
      <c r="AN8525" t="s">
        <v>32642</v>
      </c>
      <c r="AO8525" t="s">
        <v>32643</v>
      </c>
    </row>
    <row r="8526" spans="39:41" ht="12" customHeight="1" x14ac:dyDescent="0.2">
      <c r="AM8526" t="str">
        <f t="shared" si="133"/>
        <v>Little Bay [MSLTB]</v>
      </c>
      <c r="AN8526" t="s">
        <v>22239</v>
      </c>
      <c r="AO8526" t="s">
        <v>22240</v>
      </c>
    </row>
    <row r="8527" spans="39:41" ht="12" customHeight="1" x14ac:dyDescent="0.2">
      <c r="AM8527" t="str">
        <f t="shared" si="133"/>
        <v>Little Current [CALIC]</v>
      </c>
      <c r="AN8527" t="s">
        <v>4037</v>
      </c>
      <c r="AO8527" t="s">
        <v>4038</v>
      </c>
    </row>
    <row r="8528" spans="39:41" ht="12" customHeight="1" x14ac:dyDescent="0.2">
      <c r="AM8528" t="str">
        <f t="shared" si="133"/>
        <v>Little Deer Isle [USL2D]</v>
      </c>
      <c r="AN8528" t="s">
        <v>30419</v>
      </c>
      <c r="AO8528" t="s">
        <v>30420</v>
      </c>
    </row>
    <row r="8529" spans="39:41" ht="12" customHeight="1" x14ac:dyDescent="0.2">
      <c r="AM8529" t="str">
        <f t="shared" si="133"/>
        <v>Little Genesee [USLTG]</v>
      </c>
      <c r="AN8529" t="s">
        <v>30421</v>
      </c>
      <c r="AO8529" t="s">
        <v>30422</v>
      </c>
    </row>
    <row r="8530" spans="39:41" ht="12" customHeight="1" x14ac:dyDescent="0.2">
      <c r="AM8530" t="str">
        <f t="shared" si="133"/>
        <v>Little Haven [GBLHV]</v>
      </c>
      <c r="AN8530" t="s">
        <v>13649</v>
      </c>
      <c r="AO8530" t="s">
        <v>13650</v>
      </c>
    </row>
    <row r="8531" spans="39:41" ht="12" customHeight="1" x14ac:dyDescent="0.2">
      <c r="AM8531" t="str">
        <f t="shared" si="133"/>
        <v>Little Hocking [USLHK]</v>
      </c>
      <c r="AN8531" t="s">
        <v>30423</v>
      </c>
      <c r="AO8531" t="s">
        <v>30424</v>
      </c>
    </row>
    <row r="8532" spans="39:41" ht="12" customHeight="1" x14ac:dyDescent="0.2">
      <c r="AM8532" t="str">
        <f t="shared" si="133"/>
        <v>Little Hulton [GBLHT]</v>
      </c>
      <c r="AN8532" t="s">
        <v>13651</v>
      </c>
      <c r="AO8532" t="s">
        <v>13652</v>
      </c>
    </row>
    <row r="8533" spans="39:41" ht="12" customHeight="1" x14ac:dyDescent="0.2">
      <c r="AM8533" t="str">
        <f t="shared" si="133"/>
        <v>Little Narrows [CALIN]</v>
      </c>
      <c r="AN8533" t="s">
        <v>4039</v>
      </c>
      <c r="AO8533" t="s">
        <v>4040</v>
      </c>
    </row>
    <row r="8534" spans="39:41" ht="12" customHeight="1" x14ac:dyDescent="0.2">
      <c r="AM8534" t="str">
        <f t="shared" si="133"/>
        <v>Little Oakley [GBLOK]</v>
      </c>
      <c r="AN8534" t="s">
        <v>13653</v>
      </c>
      <c r="AO8534" t="s">
        <v>13654</v>
      </c>
    </row>
    <row r="8535" spans="39:41" ht="12" customHeight="1" x14ac:dyDescent="0.2">
      <c r="AM8535" t="str">
        <f t="shared" si="133"/>
        <v>Little River [USLR3]</v>
      </c>
      <c r="AN8535" t="s">
        <v>30425</v>
      </c>
      <c r="AO8535" t="s">
        <v>30426</v>
      </c>
    </row>
    <row r="8536" spans="39:41" ht="12" customHeight="1" x14ac:dyDescent="0.2">
      <c r="AM8536" t="str">
        <f t="shared" si="133"/>
        <v>Little San Salvador [BSHMC]</v>
      </c>
      <c r="AN8536" t="s">
        <v>3452</v>
      </c>
      <c r="AO8536" t="s">
        <v>3453</v>
      </c>
    </row>
    <row r="8537" spans="39:41" ht="12" customHeight="1" x14ac:dyDescent="0.2">
      <c r="AM8537" t="str">
        <f t="shared" si="133"/>
        <v>Little Stirrup Cay [BSCOC]</v>
      </c>
      <c r="AN8537" t="s">
        <v>3454</v>
      </c>
      <c r="AO8537" t="s">
        <v>3455</v>
      </c>
    </row>
    <row r="8538" spans="39:41" ht="12" customHeight="1" x14ac:dyDescent="0.2">
      <c r="AM8538" t="str">
        <f t="shared" si="133"/>
        <v>Littlebourne [GBLLU]</v>
      </c>
      <c r="AN8538" t="s">
        <v>13655</v>
      </c>
      <c r="AO8538" t="s">
        <v>13656</v>
      </c>
    </row>
    <row r="8539" spans="39:41" ht="12" customHeight="1" x14ac:dyDescent="0.2">
      <c r="AM8539" t="str">
        <f t="shared" si="133"/>
        <v>Littlebrook [GBLTL]</v>
      </c>
      <c r="AN8539" t="s">
        <v>13657</v>
      </c>
      <c r="AO8539" t="s">
        <v>13658</v>
      </c>
    </row>
    <row r="8540" spans="39:41" ht="12" customHeight="1" x14ac:dyDescent="0.2">
      <c r="AM8540" t="str">
        <f t="shared" si="133"/>
        <v>Littlehampton [GBLIT]</v>
      </c>
      <c r="AN8540" t="s">
        <v>13659</v>
      </c>
      <c r="AO8540" t="s">
        <v>13660</v>
      </c>
    </row>
    <row r="8541" spans="39:41" ht="12" customHeight="1" x14ac:dyDescent="0.2">
      <c r="AM8541" t="str">
        <f t="shared" si="133"/>
        <v>Littlerock [USYLR]</v>
      </c>
      <c r="AN8541" t="s">
        <v>30427</v>
      </c>
      <c r="AO8541" t="s">
        <v>30428</v>
      </c>
    </row>
    <row r="8542" spans="39:41" ht="12" customHeight="1" x14ac:dyDescent="0.2">
      <c r="AM8542" t="str">
        <f t="shared" si="133"/>
        <v>Liu [EELIU]</v>
      </c>
      <c r="AN8542" t="s">
        <v>9243</v>
      </c>
      <c r="AO8542" t="s">
        <v>9244</v>
      </c>
    </row>
    <row r="8543" spans="39:41" ht="12" customHeight="1" x14ac:dyDescent="0.2">
      <c r="AM8543" t="str">
        <f t="shared" si="133"/>
        <v>Liudu [CNLUD]</v>
      </c>
      <c r="AN8543" t="s">
        <v>5638</v>
      </c>
      <c r="AO8543" t="s">
        <v>5639</v>
      </c>
    </row>
    <row r="8544" spans="39:41" ht="12" customHeight="1" x14ac:dyDescent="0.2">
      <c r="AM8544" t="str">
        <f t="shared" si="133"/>
        <v>Liujia Pt [CNLJP]</v>
      </c>
      <c r="AN8544" t="s">
        <v>5640</v>
      </c>
      <c r="AO8544" t="s">
        <v>5641</v>
      </c>
    </row>
    <row r="8545" spans="39:41" ht="12" customHeight="1" x14ac:dyDescent="0.2">
      <c r="AM8545" t="str">
        <f t="shared" si="133"/>
        <v>Liujiadu [CNLJD]</v>
      </c>
      <c r="AN8545" t="s">
        <v>5642</v>
      </c>
      <c r="AO8545" t="s">
        <v>5643</v>
      </c>
    </row>
    <row r="8546" spans="39:41" ht="12" customHeight="1" x14ac:dyDescent="0.2">
      <c r="AM8546" t="str">
        <f t="shared" si="133"/>
        <v>Liujing [CNLJN]</v>
      </c>
      <c r="AN8546" t="s">
        <v>5644</v>
      </c>
      <c r="AO8546" t="s">
        <v>5645</v>
      </c>
    </row>
    <row r="8547" spans="39:41" ht="12" customHeight="1" x14ac:dyDescent="0.2">
      <c r="AM8547" t="str">
        <f t="shared" si="133"/>
        <v>Liukou Pt [CNLKP]</v>
      </c>
      <c r="AN8547" t="s">
        <v>5646</v>
      </c>
      <c r="AO8547" t="s">
        <v>5647</v>
      </c>
    </row>
    <row r="8548" spans="39:41" ht="12" customHeight="1" x14ac:dyDescent="0.2">
      <c r="AM8548" t="str">
        <f t="shared" si="133"/>
        <v>Liusha [CNLZL]</v>
      </c>
      <c r="AN8548" t="s">
        <v>5648</v>
      </c>
      <c r="AO8548" t="s">
        <v>5649</v>
      </c>
    </row>
    <row r="8549" spans="39:41" ht="12" customHeight="1" x14ac:dyDescent="0.2">
      <c r="AM8549" t="str">
        <f t="shared" si="133"/>
        <v>Liuwudian [CNXML]</v>
      </c>
      <c r="AN8549" t="s">
        <v>5650</v>
      </c>
      <c r="AO8549" t="s">
        <v>5651</v>
      </c>
    </row>
    <row r="8550" spans="39:41" ht="12" customHeight="1" x14ac:dyDescent="0.2">
      <c r="AM8550" t="str">
        <f t="shared" si="133"/>
        <v>Liuyang [CNLIU]</v>
      </c>
      <c r="AN8550" t="s">
        <v>5652</v>
      </c>
      <c r="AO8550" t="s">
        <v>5653</v>
      </c>
    </row>
    <row r="8551" spans="39:41" ht="12" customHeight="1" x14ac:dyDescent="0.2">
      <c r="AM8551" t="str">
        <f t="shared" si="133"/>
        <v>Liuzhou Pt [CNLZH]</v>
      </c>
      <c r="AN8551" t="s">
        <v>5654</v>
      </c>
      <c r="AO8551" t="s">
        <v>5655</v>
      </c>
    </row>
    <row r="8552" spans="39:41" ht="12" customHeight="1" x14ac:dyDescent="0.2">
      <c r="AM8552" t="str">
        <f t="shared" si="133"/>
        <v>Liuzuo Pt [CNLZP]</v>
      </c>
      <c r="AN8552" t="s">
        <v>5656</v>
      </c>
      <c r="AO8552" t="s">
        <v>5657</v>
      </c>
    </row>
    <row r="8553" spans="39:41" ht="12" customHeight="1" x14ac:dyDescent="0.2">
      <c r="AM8553" t="str">
        <f t="shared" si="133"/>
        <v>Liverpool [CALIV]</v>
      </c>
      <c r="AN8553" t="s">
        <v>4041</v>
      </c>
      <c r="AO8553" t="s">
        <v>4042</v>
      </c>
    </row>
    <row r="8554" spans="39:41" ht="12" customHeight="1" x14ac:dyDescent="0.2">
      <c r="AM8554" t="str">
        <f t="shared" si="133"/>
        <v>Liverpool [GBLIV]</v>
      </c>
      <c r="AN8554" t="s">
        <v>13661</v>
      </c>
      <c r="AO8554" t="s">
        <v>4042</v>
      </c>
    </row>
    <row r="8555" spans="39:41" ht="12" customHeight="1" x14ac:dyDescent="0.2">
      <c r="AM8555" t="str">
        <f t="shared" si="133"/>
        <v>Liverpool Bay Terminal [GBLIB]</v>
      </c>
      <c r="AN8555" t="s">
        <v>13662</v>
      </c>
      <c r="AO8555" t="s">
        <v>13663</v>
      </c>
    </row>
    <row r="8556" spans="39:41" ht="12" customHeight="1" x14ac:dyDescent="0.2">
      <c r="AM8556" t="str">
        <f t="shared" si="133"/>
        <v>Livezeni [RO5LI]</v>
      </c>
      <c r="AN8556" t="s">
        <v>26773</v>
      </c>
      <c r="AO8556" t="s">
        <v>26774</v>
      </c>
    </row>
    <row r="8557" spans="39:41" ht="12" customHeight="1" x14ac:dyDescent="0.2">
      <c r="AM8557" t="str">
        <f t="shared" si="133"/>
        <v>Livingston [GTLIV]</v>
      </c>
      <c r="AN8557" t="s">
        <v>15598</v>
      </c>
      <c r="AO8557" t="s">
        <v>35997</v>
      </c>
    </row>
    <row r="8558" spans="39:41" ht="12" customHeight="1" x14ac:dyDescent="0.2">
      <c r="AM8558" t="str">
        <f t="shared" si="133"/>
        <v>Livorno [ITLIV]</v>
      </c>
      <c r="AN8558" t="s">
        <v>18023</v>
      </c>
      <c r="AO8558" t="s">
        <v>18024</v>
      </c>
    </row>
    <row r="8559" spans="39:41" ht="12" customHeight="1" x14ac:dyDescent="0.2">
      <c r="AM8559" t="str">
        <f t="shared" si="133"/>
        <v>Lixhe [BELIX]</v>
      </c>
      <c r="AN8559" t="s">
        <v>2668</v>
      </c>
      <c r="AO8559" t="s">
        <v>2669</v>
      </c>
    </row>
    <row r="8560" spans="39:41" ht="12" customHeight="1" x14ac:dyDescent="0.2">
      <c r="AM8560" t="str">
        <f t="shared" si="133"/>
        <v>Lixuri [GRLIX]</v>
      </c>
      <c r="AN8560" t="s">
        <v>15344</v>
      </c>
      <c r="AO8560" t="s">
        <v>15345</v>
      </c>
    </row>
    <row r="8561" spans="39:41" ht="12" customHeight="1" x14ac:dyDescent="0.2">
      <c r="AM8561" t="str">
        <f t="shared" si="133"/>
        <v>Liying Pt [CNLYP]</v>
      </c>
      <c r="AN8561" t="s">
        <v>5658</v>
      </c>
      <c r="AO8561" t="s">
        <v>5659</v>
      </c>
    </row>
    <row r="8562" spans="39:41" ht="12" customHeight="1" x14ac:dyDescent="0.2">
      <c r="AM8562" t="str">
        <f t="shared" si="133"/>
        <v>Lizartza [ESLIT]</v>
      </c>
      <c r="AN8562" t="s">
        <v>9909</v>
      </c>
      <c r="AO8562" t="s">
        <v>9910</v>
      </c>
    </row>
    <row r="8563" spans="39:41" ht="12" customHeight="1" x14ac:dyDescent="0.2">
      <c r="AM8563" t="str">
        <f t="shared" si="133"/>
        <v>Ljungsarp [SELJP]</v>
      </c>
      <c r="AN8563" t="s">
        <v>27724</v>
      </c>
      <c r="AO8563" t="s">
        <v>27725</v>
      </c>
    </row>
    <row r="8564" spans="39:41" ht="12" customHeight="1" x14ac:dyDescent="0.2">
      <c r="AM8564" t="str">
        <f t="shared" ref="AM8564:AM8627" si="134">AO8564 &amp; " [" &amp; AN8564 &amp; "]"</f>
        <v>Ljusne [SELJU]</v>
      </c>
      <c r="AN8564" t="s">
        <v>27726</v>
      </c>
      <c r="AO8564" t="s">
        <v>27727</v>
      </c>
    </row>
    <row r="8565" spans="39:41" ht="12" customHeight="1" x14ac:dyDescent="0.2">
      <c r="AM8565" t="str">
        <f t="shared" si="134"/>
        <v>Llanaber [GBLAB]</v>
      </c>
      <c r="AN8565" t="s">
        <v>13664</v>
      </c>
      <c r="AO8565" t="s">
        <v>13665</v>
      </c>
    </row>
    <row r="8566" spans="39:41" ht="12" customHeight="1" x14ac:dyDescent="0.2">
      <c r="AM8566" t="str">
        <f t="shared" si="134"/>
        <v>Llanddulas [GBLLD]</v>
      </c>
      <c r="AN8566" t="s">
        <v>13666</v>
      </c>
      <c r="AO8566" t="s">
        <v>13667</v>
      </c>
    </row>
    <row r="8567" spans="39:41" ht="12" customHeight="1" x14ac:dyDescent="0.2">
      <c r="AM8567" t="str">
        <f t="shared" si="134"/>
        <v>Llandovery [GBLDV]</v>
      </c>
      <c r="AN8567" t="s">
        <v>13668</v>
      </c>
      <c r="AO8567" t="s">
        <v>13669</v>
      </c>
    </row>
    <row r="8568" spans="39:41" ht="12" customHeight="1" x14ac:dyDescent="0.2">
      <c r="AM8568" t="str">
        <f t="shared" si="134"/>
        <v>Llandow [GBLND]</v>
      </c>
      <c r="AN8568" t="s">
        <v>13670</v>
      </c>
      <c r="AO8568" t="s">
        <v>13671</v>
      </c>
    </row>
    <row r="8569" spans="39:41" ht="12" customHeight="1" x14ac:dyDescent="0.2">
      <c r="AM8569" t="str">
        <f t="shared" si="134"/>
        <v>Llandudno [GBLDO]</v>
      </c>
      <c r="AN8569" t="s">
        <v>13672</v>
      </c>
      <c r="AO8569" t="s">
        <v>13673</v>
      </c>
    </row>
    <row r="8570" spans="39:41" ht="12" customHeight="1" x14ac:dyDescent="0.2">
      <c r="AM8570" t="str">
        <f t="shared" si="134"/>
        <v>Llanelli [GBLLN]</v>
      </c>
      <c r="AN8570" t="s">
        <v>13674</v>
      </c>
      <c r="AO8570" t="s">
        <v>13675</v>
      </c>
    </row>
    <row r="8571" spans="39:41" ht="12" customHeight="1" x14ac:dyDescent="0.2">
      <c r="AM8571" t="str">
        <f t="shared" si="134"/>
        <v>Llangadog [GBLNG]</v>
      </c>
      <c r="AN8571" t="s">
        <v>13676</v>
      </c>
      <c r="AO8571" t="s">
        <v>13677</v>
      </c>
    </row>
    <row r="8572" spans="39:41" ht="12" customHeight="1" x14ac:dyDescent="0.2">
      <c r="AM8572" t="str">
        <f t="shared" si="134"/>
        <v>Llangollen [GBLNL]</v>
      </c>
      <c r="AN8572" t="s">
        <v>13678</v>
      </c>
      <c r="AO8572" t="s">
        <v>13679</v>
      </c>
    </row>
    <row r="8573" spans="39:41" ht="12" customHeight="1" x14ac:dyDescent="0.2">
      <c r="AM8573" t="str">
        <f t="shared" si="134"/>
        <v>Llanidloes [GBLLZ]</v>
      </c>
      <c r="AN8573" t="s">
        <v>13680</v>
      </c>
      <c r="AO8573" t="s">
        <v>13681</v>
      </c>
    </row>
    <row r="8574" spans="39:41" ht="12" customHeight="1" x14ac:dyDescent="0.2">
      <c r="AM8574" t="str">
        <f t="shared" si="134"/>
        <v>Llano [USLXQ]</v>
      </c>
      <c r="AN8574" t="s">
        <v>30429</v>
      </c>
      <c r="AO8574" t="s">
        <v>30430</v>
      </c>
    </row>
    <row r="8575" spans="39:41" ht="12" customHeight="1" x14ac:dyDescent="0.2">
      <c r="AM8575" t="str">
        <f t="shared" si="134"/>
        <v>Llanon [GBLLO]</v>
      </c>
      <c r="AN8575" t="s">
        <v>13682</v>
      </c>
      <c r="AO8575" t="s">
        <v>13683</v>
      </c>
    </row>
    <row r="8576" spans="39:41" ht="12" customHeight="1" x14ac:dyDescent="0.2">
      <c r="AM8576" t="str">
        <f t="shared" si="134"/>
        <v>Llanquihue [CLLIA]</v>
      </c>
      <c r="AN8576" t="s">
        <v>4886</v>
      </c>
      <c r="AO8576" t="s">
        <v>4887</v>
      </c>
    </row>
    <row r="8577" spans="39:41" ht="12" customHeight="1" x14ac:dyDescent="0.2">
      <c r="AM8577" t="str">
        <f t="shared" si="134"/>
        <v>Llansamlet [GBLMT]</v>
      </c>
      <c r="AN8577" t="s">
        <v>13684</v>
      </c>
      <c r="AO8577" t="s">
        <v>13685</v>
      </c>
    </row>
    <row r="8578" spans="39:41" ht="12" customHeight="1" x14ac:dyDescent="0.2">
      <c r="AM8578" t="str">
        <f t="shared" si="134"/>
        <v>Llansteffan [GBLFF]</v>
      </c>
      <c r="AN8578" t="s">
        <v>13686</v>
      </c>
      <c r="AO8578" t="s">
        <v>13687</v>
      </c>
    </row>
    <row r="8579" spans="39:41" ht="12" customHeight="1" x14ac:dyDescent="0.2">
      <c r="AM8579" t="str">
        <f t="shared" si="134"/>
        <v>Llanstephan [GBLLS]</v>
      </c>
      <c r="AN8579" t="s">
        <v>13688</v>
      </c>
      <c r="AO8579" t="s">
        <v>13689</v>
      </c>
    </row>
    <row r="8580" spans="39:41" ht="12" customHeight="1" x14ac:dyDescent="0.2">
      <c r="AM8580" t="str">
        <f t="shared" si="134"/>
        <v>Llauri [ESURI]</v>
      </c>
      <c r="AN8580" t="s">
        <v>9911</v>
      </c>
      <c r="AO8580" t="s">
        <v>9912</v>
      </c>
    </row>
    <row r="8581" spans="39:41" ht="12" customHeight="1" x14ac:dyDescent="0.2">
      <c r="AM8581" t="str">
        <f t="shared" si="134"/>
        <v>Llico [CLLLI]</v>
      </c>
      <c r="AN8581" t="s">
        <v>4888</v>
      </c>
      <c r="AO8581" t="s">
        <v>4889</v>
      </c>
    </row>
    <row r="8582" spans="39:41" ht="12" customHeight="1" x14ac:dyDescent="0.2">
      <c r="AM8582" t="str">
        <f t="shared" si="134"/>
        <v>Lloret de Mar [ESLLO]</v>
      </c>
      <c r="AN8582" t="s">
        <v>9913</v>
      </c>
      <c r="AO8582" t="s">
        <v>9914</v>
      </c>
    </row>
    <row r="8583" spans="39:41" ht="12" customHeight="1" x14ac:dyDescent="0.2">
      <c r="AM8583" t="str">
        <f t="shared" si="134"/>
        <v>Loano [ITLOA]</v>
      </c>
      <c r="AN8583" t="s">
        <v>18025</v>
      </c>
      <c r="AO8583" t="s">
        <v>18026</v>
      </c>
    </row>
    <row r="8584" spans="39:41" ht="12" customHeight="1" x14ac:dyDescent="0.2">
      <c r="AM8584" t="str">
        <f t="shared" si="134"/>
        <v>Lobam [IDLBM]</v>
      </c>
      <c r="AN8584" t="s">
        <v>16376</v>
      </c>
      <c r="AO8584" t="s">
        <v>16377</v>
      </c>
    </row>
    <row r="8585" spans="39:41" ht="12" customHeight="1" x14ac:dyDescent="0.2">
      <c r="AM8585" t="str">
        <f t="shared" si="134"/>
        <v>Lobbes [BELBS]</v>
      </c>
      <c r="AN8585" t="s">
        <v>2670</v>
      </c>
      <c r="AO8585" t="s">
        <v>2671</v>
      </c>
    </row>
    <row r="8586" spans="39:41" ht="12" customHeight="1" x14ac:dyDescent="0.2">
      <c r="AM8586" t="str">
        <f t="shared" si="134"/>
        <v>Lobito [AOLOB]</v>
      </c>
      <c r="AN8586" t="s">
        <v>867</v>
      </c>
      <c r="AO8586" t="s">
        <v>868</v>
      </c>
    </row>
    <row r="8587" spans="39:41" ht="12" customHeight="1" x14ac:dyDescent="0.2">
      <c r="AM8587" t="str">
        <f t="shared" si="134"/>
        <v>Lobitos [PELOB]</v>
      </c>
      <c r="AN8587" t="s">
        <v>25263</v>
      </c>
      <c r="AO8587" t="s">
        <v>25264</v>
      </c>
    </row>
    <row r="8588" spans="39:41" ht="12" customHeight="1" x14ac:dyDescent="0.2">
      <c r="AM8588" t="str">
        <f t="shared" si="134"/>
        <v>Lobo [CALOB]</v>
      </c>
      <c r="AN8588" t="s">
        <v>4043</v>
      </c>
      <c r="AO8588" t="s">
        <v>4044</v>
      </c>
    </row>
    <row r="8589" spans="39:41" ht="12" customHeight="1" x14ac:dyDescent="0.2">
      <c r="AM8589" t="str">
        <f t="shared" si="134"/>
        <v>Lobodice [CZLOB]</v>
      </c>
      <c r="AN8589" t="s">
        <v>6877</v>
      </c>
      <c r="AO8589" t="s">
        <v>6878</v>
      </c>
    </row>
    <row r="8590" spans="39:41" ht="12" customHeight="1" x14ac:dyDescent="0.2">
      <c r="AM8590" t="str">
        <f t="shared" si="134"/>
        <v>Loch Buie (Mull) [GBLBE]</v>
      </c>
      <c r="AN8590" t="s">
        <v>13690</v>
      </c>
      <c r="AO8590" t="s">
        <v>13691</v>
      </c>
    </row>
    <row r="8591" spans="39:41" ht="12" customHeight="1" x14ac:dyDescent="0.2">
      <c r="AM8591" t="str">
        <f t="shared" si="134"/>
        <v>Loch Carnan [GBLCC]</v>
      </c>
      <c r="AN8591" t="s">
        <v>13692</v>
      </c>
      <c r="AO8591" t="s">
        <v>13693</v>
      </c>
    </row>
    <row r="8592" spans="39:41" ht="12" customHeight="1" x14ac:dyDescent="0.2">
      <c r="AM8592" t="str">
        <f t="shared" si="134"/>
        <v>Loch Long [GBLCG]</v>
      </c>
      <c r="AN8592" t="s">
        <v>13694</v>
      </c>
      <c r="AO8592" t="s">
        <v>13695</v>
      </c>
    </row>
    <row r="8593" spans="39:41" ht="12" customHeight="1" x14ac:dyDescent="0.2">
      <c r="AM8593" t="str">
        <f t="shared" si="134"/>
        <v>Loch Ryan Pt [GBLRP]</v>
      </c>
      <c r="AN8593" t="s">
        <v>13696</v>
      </c>
      <c r="AO8593" t="s">
        <v>13697</v>
      </c>
    </row>
    <row r="8594" spans="39:41" ht="12" customHeight="1" x14ac:dyDescent="0.2">
      <c r="AM8594" t="str">
        <f t="shared" si="134"/>
        <v>Loch Scridain (Isle Mull) [GBLSC]</v>
      </c>
      <c r="AN8594" t="s">
        <v>13698</v>
      </c>
      <c r="AO8594" t="s">
        <v>13699</v>
      </c>
    </row>
    <row r="8595" spans="39:41" ht="12" customHeight="1" x14ac:dyDescent="0.2">
      <c r="AM8595" t="str">
        <f t="shared" si="134"/>
        <v>Loch Striven [GBLHS]</v>
      </c>
      <c r="AN8595" t="s">
        <v>13700</v>
      </c>
      <c r="AO8595" t="s">
        <v>13701</v>
      </c>
    </row>
    <row r="8596" spans="39:41" ht="12" customHeight="1" x14ac:dyDescent="0.2">
      <c r="AM8596" t="str">
        <f t="shared" si="134"/>
        <v>Loch Torridon [GBLCD]</v>
      </c>
      <c r="AN8596" t="s">
        <v>13702</v>
      </c>
      <c r="AO8596" t="s">
        <v>13703</v>
      </c>
    </row>
    <row r="8597" spans="39:41" ht="12" customHeight="1" x14ac:dyDescent="0.2">
      <c r="AM8597" t="str">
        <f t="shared" si="134"/>
        <v>Lochaline [GBLOL]</v>
      </c>
      <c r="AN8597" t="s">
        <v>13704</v>
      </c>
      <c r="AO8597" t="s">
        <v>13705</v>
      </c>
    </row>
    <row r="8598" spans="39:41" ht="12" customHeight="1" x14ac:dyDescent="0.2">
      <c r="AM8598" t="str">
        <f t="shared" si="134"/>
        <v>Lochawe [GBLCA]</v>
      </c>
      <c r="AN8598" t="s">
        <v>13706</v>
      </c>
      <c r="AO8598" t="s">
        <v>13707</v>
      </c>
    </row>
    <row r="8599" spans="39:41" ht="12" customHeight="1" x14ac:dyDescent="0.2">
      <c r="AM8599" t="str">
        <f t="shared" si="134"/>
        <v>Lochboisdale (Loch Baghasdail), South Uist [GBLBD]</v>
      </c>
      <c r="AN8599" t="s">
        <v>13708</v>
      </c>
      <c r="AO8599" t="s">
        <v>13709</v>
      </c>
    </row>
    <row r="8600" spans="39:41" ht="12" customHeight="1" x14ac:dyDescent="0.2">
      <c r="AM8600" t="str">
        <f t="shared" si="134"/>
        <v>Lochcarron [GBLCR]</v>
      </c>
      <c r="AN8600" t="s">
        <v>13710</v>
      </c>
      <c r="AO8600" t="s">
        <v>13711</v>
      </c>
    </row>
    <row r="8601" spans="39:41" ht="12" customHeight="1" x14ac:dyDescent="0.2">
      <c r="AM8601" t="str">
        <f t="shared" si="134"/>
        <v>Loche [FRLO7]</v>
      </c>
      <c r="AN8601" t="s">
        <v>11588</v>
      </c>
      <c r="AO8601" t="s">
        <v>11589</v>
      </c>
    </row>
    <row r="8602" spans="39:41" ht="12" customHeight="1" x14ac:dyDescent="0.2">
      <c r="AM8602" t="str">
        <f t="shared" si="134"/>
        <v>Lochearnhead [GBLNA]</v>
      </c>
      <c r="AN8602" t="s">
        <v>13712</v>
      </c>
      <c r="AO8602" t="s">
        <v>13713</v>
      </c>
    </row>
    <row r="8603" spans="39:41" ht="12" customHeight="1" x14ac:dyDescent="0.2">
      <c r="AM8603" t="str">
        <f t="shared" si="134"/>
        <v>Lochinver [GBLOV]</v>
      </c>
      <c r="AN8603" t="s">
        <v>13714</v>
      </c>
      <c r="AO8603" t="s">
        <v>13715</v>
      </c>
    </row>
    <row r="8604" spans="39:41" ht="12" customHeight="1" x14ac:dyDescent="0.2">
      <c r="AM8604" t="str">
        <f t="shared" si="134"/>
        <v>Lochmaddy [GBLMA]</v>
      </c>
      <c r="AN8604" t="s">
        <v>13716</v>
      </c>
      <c r="AO8604" t="s">
        <v>13717</v>
      </c>
    </row>
    <row r="8605" spans="39:41" ht="12" customHeight="1" x14ac:dyDescent="0.2">
      <c r="AM8605" t="str">
        <f t="shared" si="134"/>
        <v>Lochovice [CZLUK]</v>
      </c>
      <c r="AN8605" t="s">
        <v>6879</v>
      </c>
      <c r="AO8605" t="s">
        <v>6880</v>
      </c>
    </row>
    <row r="8606" spans="39:41" ht="12" customHeight="1" x14ac:dyDescent="0.2">
      <c r="AM8606" t="str">
        <f t="shared" si="134"/>
        <v>Lochranza, Isle of Arran [GBLRZ]</v>
      </c>
      <c r="AN8606" t="s">
        <v>13718</v>
      </c>
      <c r="AO8606" t="s">
        <v>13719</v>
      </c>
    </row>
    <row r="8607" spans="39:41" ht="12" customHeight="1" x14ac:dyDescent="0.2">
      <c r="AM8607" t="str">
        <f t="shared" si="134"/>
        <v>Lochs [GBOCH]</v>
      </c>
      <c r="AN8607" t="s">
        <v>13720</v>
      </c>
      <c r="AO8607" t="s">
        <v>13721</v>
      </c>
    </row>
    <row r="8608" spans="39:41" ht="12" customHeight="1" x14ac:dyDescent="0.2">
      <c r="AM8608" t="str">
        <f t="shared" si="134"/>
        <v>Lockeport [CALCP]</v>
      </c>
      <c r="AN8608" t="s">
        <v>4045</v>
      </c>
      <c r="AO8608" t="s">
        <v>4046</v>
      </c>
    </row>
    <row r="8609" spans="39:41" ht="12" customHeight="1" x14ac:dyDescent="0.2">
      <c r="AM8609" t="str">
        <f t="shared" si="134"/>
        <v>Locmiquelic [FROQL]</v>
      </c>
      <c r="AN8609" t="s">
        <v>11590</v>
      </c>
      <c r="AO8609" t="s">
        <v>35822</v>
      </c>
    </row>
    <row r="8610" spans="39:41" ht="12" customHeight="1" x14ac:dyDescent="0.2">
      <c r="AM8610" t="str">
        <f t="shared" si="134"/>
        <v>Loctudy [FRLOC]</v>
      </c>
      <c r="AN8610" t="s">
        <v>11591</v>
      </c>
      <c r="AO8610" t="s">
        <v>11592</v>
      </c>
    </row>
    <row r="8611" spans="39:41" ht="12" customHeight="1" x14ac:dyDescent="0.2">
      <c r="AM8611" t="str">
        <f t="shared" si="134"/>
        <v>Locust [USXLT]</v>
      </c>
      <c r="AN8611" t="s">
        <v>30431</v>
      </c>
      <c r="AO8611" t="s">
        <v>30432</v>
      </c>
    </row>
    <row r="8612" spans="39:41" ht="12" customHeight="1" x14ac:dyDescent="0.2">
      <c r="AM8612" t="str">
        <f t="shared" si="134"/>
        <v>Loddekopinge [SELOD]</v>
      </c>
      <c r="AN8612" t="s">
        <v>27728</v>
      </c>
      <c r="AO8612" t="s">
        <v>36475</v>
      </c>
    </row>
    <row r="8613" spans="39:41" ht="12" customHeight="1" x14ac:dyDescent="0.2">
      <c r="AM8613" t="str">
        <f t="shared" si="134"/>
        <v>Lode [GBLOZ]</v>
      </c>
      <c r="AN8613" t="s">
        <v>13722</v>
      </c>
      <c r="AO8613" t="s">
        <v>13723</v>
      </c>
    </row>
    <row r="8614" spans="39:41" ht="12" customHeight="1" x14ac:dyDescent="0.2">
      <c r="AM8614" t="str">
        <f t="shared" si="134"/>
        <v>Lodenice [CZLOD]</v>
      </c>
      <c r="AN8614" t="s">
        <v>6881</v>
      </c>
      <c r="AO8614" t="s">
        <v>6882</v>
      </c>
    </row>
    <row r="8615" spans="39:41" ht="12" customHeight="1" x14ac:dyDescent="0.2">
      <c r="AM8615" t="str">
        <f t="shared" si="134"/>
        <v>Lodi [USLO7]</v>
      </c>
      <c r="AN8615" t="s">
        <v>30433</v>
      </c>
      <c r="AO8615" t="s">
        <v>30434</v>
      </c>
    </row>
    <row r="8616" spans="39:41" ht="12" customHeight="1" x14ac:dyDescent="0.2">
      <c r="AM8616" t="str">
        <f t="shared" si="134"/>
        <v>Lodingen [NOLOD]</v>
      </c>
      <c r="AN8616" t="s">
        <v>24441</v>
      </c>
      <c r="AO8616" t="s">
        <v>36243</v>
      </c>
    </row>
    <row r="8617" spans="39:41" ht="12" customHeight="1" x14ac:dyDescent="0.2">
      <c r="AM8617" t="str">
        <f t="shared" si="134"/>
        <v>Lodose [SELDO]</v>
      </c>
      <c r="AN8617" t="s">
        <v>27729</v>
      </c>
      <c r="AO8617" t="s">
        <v>36476</v>
      </c>
    </row>
    <row r="8618" spans="39:41" ht="12" customHeight="1" x14ac:dyDescent="0.2">
      <c r="AM8618" t="str">
        <f t="shared" si="134"/>
        <v>Loen [NOLOE]</v>
      </c>
      <c r="AN8618" t="s">
        <v>24442</v>
      </c>
      <c r="AO8618" t="s">
        <v>24443</v>
      </c>
    </row>
    <row r="8619" spans="39:41" ht="12" customHeight="1" x14ac:dyDescent="0.2">
      <c r="AM8619" t="str">
        <f t="shared" si="134"/>
        <v>Loenen aan de Vecht [NLLAV]</v>
      </c>
      <c r="AN8619" t="s">
        <v>33908</v>
      </c>
      <c r="AO8619" t="s">
        <v>34030</v>
      </c>
    </row>
    <row r="8620" spans="39:41" ht="12" customHeight="1" x14ac:dyDescent="0.2">
      <c r="AM8620" t="str">
        <f t="shared" si="134"/>
        <v>Loenersloot [NLLNO]</v>
      </c>
      <c r="AN8620" t="s">
        <v>23380</v>
      </c>
      <c r="AO8620" t="s">
        <v>23381</v>
      </c>
    </row>
    <row r="8621" spans="39:41" ht="12" customHeight="1" x14ac:dyDescent="0.2">
      <c r="AM8621" t="str">
        <f t="shared" si="134"/>
        <v>Lofung [SBLOF]</v>
      </c>
      <c r="AN8621" t="s">
        <v>27447</v>
      </c>
      <c r="AO8621" t="s">
        <v>27448</v>
      </c>
    </row>
    <row r="8622" spans="39:41" ht="12" customHeight="1" x14ac:dyDescent="0.2">
      <c r="AM8622" t="str">
        <f t="shared" si="134"/>
        <v>Logan Township [USYLO]</v>
      </c>
      <c r="AN8622" t="s">
        <v>30435</v>
      </c>
      <c r="AO8622" t="s">
        <v>30436</v>
      </c>
    </row>
    <row r="8623" spans="39:41" ht="12" customHeight="1" x14ac:dyDescent="0.2">
      <c r="AM8623" t="str">
        <f t="shared" si="134"/>
        <v>Logstor [DKLGR]</v>
      </c>
      <c r="AN8623" t="s">
        <v>8796</v>
      </c>
      <c r="AO8623" t="s">
        <v>35554</v>
      </c>
    </row>
    <row r="8624" spans="39:41" ht="12" customHeight="1" x14ac:dyDescent="0.2">
      <c r="AM8624" t="str">
        <f t="shared" si="134"/>
        <v>Lohals [DKLOH]</v>
      </c>
      <c r="AN8624" t="s">
        <v>8797</v>
      </c>
      <c r="AO8624" t="s">
        <v>8798</v>
      </c>
    </row>
    <row r="8625" spans="39:41" ht="12" customHeight="1" x14ac:dyDescent="0.2">
      <c r="AM8625" t="str">
        <f t="shared" si="134"/>
        <v>Lohnerheide [DELNH]</v>
      </c>
      <c r="AN8625" t="s">
        <v>7838</v>
      </c>
      <c r="AO8625" t="s">
        <v>35464</v>
      </c>
    </row>
    <row r="8626" spans="39:41" ht="12" customHeight="1" x14ac:dyDescent="0.2">
      <c r="AM8626" t="str">
        <f t="shared" si="134"/>
        <v>Lohusalu [EELSL]</v>
      </c>
      <c r="AN8626" t="s">
        <v>9245</v>
      </c>
      <c r="AO8626" t="s">
        <v>9246</v>
      </c>
    </row>
    <row r="8627" spans="39:41" ht="12" customHeight="1" x14ac:dyDescent="0.2">
      <c r="AM8627" t="str">
        <f t="shared" si="134"/>
        <v>Loire [FRLKR]</v>
      </c>
      <c r="AN8627" t="s">
        <v>11593</v>
      </c>
      <c r="AO8627" t="s">
        <v>11594</v>
      </c>
    </row>
    <row r="8628" spans="39:41" ht="12" customHeight="1" x14ac:dyDescent="0.2">
      <c r="AM8628" t="str">
        <f t="shared" ref="AM8628:AM8690" si="135">AO8628 &amp; " [" &amp; AN8628 &amp; "]"</f>
        <v>Loisy [FRLOW]</v>
      </c>
      <c r="AN8628" t="s">
        <v>11595</v>
      </c>
      <c r="AO8628" t="s">
        <v>11596</v>
      </c>
    </row>
    <row r="8629" spans="39:41" ht="12" customHeight="1" x14ac:dyDescent="0.2">
      <c r="AM8629" t="str">
        <f t="shared" si="135"/>
        <v>Lokeren [BELOK]</v>
      </c>
      <c r="AN8629" t="s">
        <v>2672</v>
      </c>
      <c r="AO8629" t="s">
        <v>2673</v>
      </c>
    </row>
    <row r="8630" spans="39:41" ht="12" customHeight="1" x14ac:dyDescent="0.2">
      <c r="AM8630" t="str">
        <f t="shared" si="135"/>
        <v>Loki [IDLKI]</v>
      </c>
      <c r="AN8630" t="s">
        <v>16378</v>
      </c>
      <c r="AO8630" t="s">
        <v>16379</v>
      </c>
    </row>
    <row r="8631" spans="39:41" ht="12" customHeight="1" x14ac:dyDescent="0.2">
      <c r="AM8631" t="str">
        <f t="shared" si="135"/>
        <v>Lokrum [HRLKR]</v>
      </c>
      <c r="AN8631" t="s">
        <v>15794</v>
      </c>
      <c r="AO8631" t="s">
        <v>15795</v>
      </c>
    </row>
    <row r="8632" spans="39:41" ht="12" customHeight="1" x14ac:dyDescent="0.2">
      <c r="AM8632" t="str">
        <f t="shared" si="135"/>
        <v>Loksa [EELSA]</v>
      </c>
      <c r="AN8632" t="s">
        <v>9247</v>
      </c>
      <c r="AO8632" t="s">
        <v>9248</v>
      </c>
    </row>
    <row r="8633" spans="39:41" ht="12" customHeight="1" x14ac:dyDescent="0.2">
      <c r="AM8633" t="str">
        <f t="shared" si="135"/>
        <v>Lolita [USOIT]</v>
      </c>
      <c r="AN8633" t="s">
        <v>30437</v>
      </c>
      <c r="AO8633" t="s">
        <v>30438</v>
      </c>
    </row>
    <row r="8634" spans="39:41" ht="12" customHeight="1" x14ac:dyDescent="0.2">
      <c r="AM8634" t="str">
        <f t="shared" si="135"/>
        <v>Loloho [PGLOL]</v>
      </c>
      <c r="AN8634" t="s">
        <v>25424</v>
      </c>
      <c r="AO8634" t="s">
        <v>25425</v>
      </c>
    </row>
    <row r="8635" spans="39:41" ht="12" customHeight="1" x14ac:dyDescent="0.2">
      <c r="AM8635" t="str">
        <f t="shared" si="135"/>
        <v>Lomala [EELMA]</v>
      </c>
      <c r="AN8635" t="s">
        <v>9249</v>
      </c>
      <c r="AO8635" t="s">
        <v>35627</v>
      </c>
    </row>
    <row r="8636" spans="39:41" ht="12" customHeight="1" x14ac:dyDescent="0.2">
      <c r="AM8636" t="str">
        <f t="shared" si="135"/>
        <v>Lombo Terminal [AOLBT]</v>
      </c>
      <c r="AN8636" t="s">
        <v>869</v>
      </c>
      <c r="AO8636" t="s">
        <v>870</v>
      </c>
    </row>
    <row r="8637" spans="39:41" ht="12" customHeight="1" x14ac:dyDescent="0.2">
      <c r="AM8637" t="str">
        <f t="shared" si="135"/>
        <v>Lombok [IDLOM]</v>
      </c>
      <c r="AN8637" t="s">
        <v>16380</v>
      </c>
      <c r="AO8637" t="s">
        <v>16381</v>
      </c>
    </row>
    <row r="8638" spans="39:41" ht="12" customHeight="1" x14ac:dyDescent="0.2">
      <c r="AM8638" t="str">
        <f t="shared" si="135"/>
        <v>Lombrum [PGLOM]</v>
      </c>
      <c r="AN8638" t="s">
        <v>25426</v>
      </c>
      <c r="AO8638" t="s">
        <v>25427</v>
      </c>
    </row>
    <row r="8639" spans="39:41" ht="12" customHeight="1" x14ac:dyDescent="0.2">
      <c r="AM8639" t="str">
        <f t="shared" si="135"/>
        <v>Lome [TGLFW]</v>
      </c>
      <c r="AN8639" t="s">
        <v>28198</v>
      </c>
      <c r="AO8639" t="s">
        <v>28199</v>
      </c>
    </row>
    <row r="8640" spans="39:41" ht="12" customHeight="1" x14ac:dyDescent="0.2">
      <c r="AM8640" t="str">
        <f t="shared" si="135"/>
        <v>Lomma [SELOM]</v>
      </c>
      <c r="AN8640" t="s">
        <v>27730</v>
      </c>
      <c r="AO8640" t="s">
        <v>27731</v>
      </c>
    </row>
    <row r="8641" spans="39:41" ht="12" customHeight="1" x14ac:dyDescent="0.2">
      <c r="AM8641" t="str">
        <f t="shared" si="135"/>
        <v>Lommatzsch [DESCJ]</v>
      </c>
      <c r="AN8641" t="s">
        <v>7839</v>
      </c>
      <c r="AO8641" t="s">
        <v>7840</v>
      </c>
    </row>
    <row r="8642" spans="39:41" ht="12" customHeight="1" x14ac:dyDescent="0.2">
      <c r="AM8642" t="str">
        <f t="shared" si="135"/>
        <v>Lommel [BELML]</v>
      </c>
      <c r="AN8642" t="s">
        <v>2674</v>
      </c>
      <c r="AO8642" t="s">
        <v>2675</v>
      </c>
    </row>
    <row r="8643" spans="39:41" ht="12" customHeight="1" x14ac:dyDescent="0.2">
      <c r="AM8643" t="str">
        <f t="shared" si="135"/>
        <v>Lomond [CALMD]</v>
      </c>
      <c r="AN8643" t="s">
        <v>4047</v>
      </c>
      <c r="AO8643" t="s">
        <v>4048</v>
      </c>
    </row>
    <row r="8644" spans="39:41" ht="12" customHeight="1" x14ac:dyDescent="0.2">
      <c r="AM8644" t="str">
        <f t="shared" si="135"/>
        <v>Lomonosov [RUBRK]</v>
      </c>
      <c r="AN8644" t="s">
        <v>33938</v>
      </c>
      <c r="AO8644" t="s">
        <v>34060</v>
      </c>
    </row>
    <row r="8645" spans="39:41" ht="12" customHeight="1" x14ac:dyDescent="0.2">
      <c r="AM8645" t="str">
        <f t="shared" si="135"/>
        <v>Lomuyon/Dadiangas [PHLOM]</v>
      </c>
      <c r="AN8645" t="s">
        <v>25875</v>
      </c>
      <c r="AO8645" t="s">
        <v>25876</v>
      </c>
    </row>
    <row r="8646" spans="39:41" ht="12" customHeight="1" x14ac:dyDescent="0.2">
      <c r="AM8646" t="str">
        <f t="shared" si="135"/>
        <v>Londolovit [PGLDT]</v>
      </c>
      <c r="AN8646" t="s">
        <v>25428</v>
      </c>
      <c r="AO8646" t="s">
        <v>25429</v>
      </c>
    </row>
    <row r="8647" spans="39:41" ht="12" customHeight="1" x14ac:dyDescent="0.2">
      <c r="AM8647" t="str">
        <f t="shared" si="135"/>
        <v>London [GBLON]</v>
      </c>
      <c r="AN8647" t="s">
        <v>13724</v>
      </c>
      <c r="AO8647" t="s">
        <v>13725</v>
      </c>
    </row>
    <row r="8648" spans="39:41" ht="12" customHeight="1" x14ac:dyDescent="0.2">
      <c r="AM8648" t="str">
        <f t="shared" si="135"/>
        <v>London Gateway Port [GBLGP]</v>
      </c>
      <c r="AN8648" t="s">
        <v>13726</v>
      </c>
      <c r="AO8648" t="s">
        <v>13727</v>
      </c>
    </row>
    <row r="8649" spans="39:41" ht="12" customHeight="1" x14ac:dyDescent="0.2">
      <c r="AM8649" t="str">
        <f t="shared" si="135"/>
        <v>London Thamesport [GBLTP]</v>
      </c>
      <c r="AN8649" t="s">
        <v>13728</v>
      </c>
      <c r="AO8649" t="s">
        <v>13729</v>
      </c>
    </row>
    <row r="8650" spans="39:41" ht="12" customHeight="1" x14ac:dyDescent="0.2">
      <c r="AM8650" t="str">
        <f t="shared" si="135"/>
        <v>Londonderry [GBLDY]</v>
      </c>
      <c r="AN8650" t="s">
        <v>13730</v>
      </c>
      <c r="AO8650" t="s">
        <v>13731</v>
      </c>
    </row>
    <row r="8651" spans="39:41" ht="12" customHeight="1" x14ac:dyDescent="0.2">
      <c r="AM8651" t="str">
        <f t="shared" si="135"/>
        <v>Lonevag [NOLON]</v>
      </c>
      <c r="AN8651" t="s">
        <v>24444</v>
      </c>
      <c r="AO8651" t="s">
        <v>36244</v>
      </c>
    </row>
    <row r="8652" spans="39:41" ht="12" customHeight="1" x14ac:dyDescent="0.2">
      <c r="AM8652" t="str">
        <f t="shared" si="135"/>
        <v>Long An International Port [VNLAP]</v>
      </c>
      <c r="AN8652" t="s">
        <v>34226</v>
      </c>
      <c r="AO8652" t="s">
        <v>34294</v>
      </c>
    </row>
    <row r="8653" spans="39:41" ht="12" customHeight="1" x14ac:dyDescent="0.2">
      <c r="AM8653" t="str">
        <f t="shared" si="135"/>
        <v>Long Beach [USLGB]</v>
      </c>
      <c r="AN8653" t="s">
        <v>30439</v>
      </c>
      <c r="AO8653" t="s">
        <v>30440</v>
      </c>
    </row>
    <row r="8654" spans="39:41" ht="12" customHeight="1" x14ac:dyDescent="0.2">
      <c r="AM8654" t="str">
        <f t="shared" si="135"/>
        <v>Long Binh [VNLBN]</v>
      </c>
      <c r="AN8654" t="s">
        <v>32408</v>
      </c>
      <c r="AO8654" t="s">
        <v>32409</v>
      </c>
    </row>
    <row r="8655" spans="39:41" ht="12" customHeight="1" x14ac:dyDescent="0.2">
      <c r="AM8655" t="str">
        <f t="shared" si="135"/>
        <v>Long Binh Tan [VNLBT]</v>
      </c>
      <c r="AN8655" t="s">
        <v>32410</v>
      </c>
      <c r="AO8655" t="s">
        <v>32411</v>
      </c>
    </row>
    <row r="8656" spans="39:41" ht="12" customHeight="1" x14ac:dyDescent="0.2">
      <c r="AM8656" t="str">
        <f t="shared" si="135"/>
        <v>Long Branch [USLCJ]</v>
      </c>
      <c r="AN8656" t="s">
        <v>30441</v>
      </c>
      <c r="AO8656" t="s">
        <v>30442</v>
      </c>
    </row>
    <row r="8657" spans="39:41" ht="12" customHeight="1" x14ac:dyDescent="0.2">
      <c r="AM8657" t="str">
        <f t="shared" si="135"/>
        <v>Long Eaton [GBLEA]</v>
      </c>
      <c r="AN8657" t="s">
        <v>13732</v>
      </c>
      <c r="AO8657" t="s">
        <v>13733</v>
      </c>
    </row>
    <row r="8658" spans="39:41" ht="12" customHeight="1" x14ac:dyDescent="0.2">
      <c r="AM8658" t="str">
        <f t="shared" si="135"/>
        <v>Long Harbour [CALOH]</v>
      </c>
      <c r="AN8658" t="s">
        <v>4049</v>
      </c>
      <c r="AO8658" t="s">
        <v>4050</v>
      </c>
    </row>
    <row r="8659" spans="39:41" ht="12" customHeight="1" x14ac:dyDescent="0.2">
      <c r="AM8659" t="str">
        <f t="shared" si="135"/>
        <v>Long Point/Puerto Princesa [PHLOP]</v>
      </c>
      <c r="AN8659" t="s">
        <v>25877</v>
      </c>
      <c r="AO8659" t="s">
        <v>25878</v>
      </c>
    </row>
    <row r="8660" spans="39:41" ht="12" customHeight="1" x14ac:dyDescent="0.2">
      <c r="AM8660" t="str">
        <f t="shared" si="135"/>
        <v>Long Pond [CALOP]</v>
      </c>
      <c r="AN8660" t="s">
        <v>4051</v>
      </c>
      <c r="AO8660" t="s">
        <v>4052</v>
      </c>
    </row>
    <row r="8661" spans="39:41" ht="12" customHeight="1" x14ac:dyDescent="0.2">
      <c r="AM8661" t="str">
        <f t="shared" si="135"/>
        <v>Long Reach [USLRC]</v>
      </c>
      <c r="AN8661" t="s">
        <v>30443</v>
      </c>
      <c r="AO8661" t="s">
        <v>30444</v>
      </c>
    </row>
    <row r="8662" spans="39:41" ht="12" customHeight="1" x14ac:dyDescent="0.2">
      <c r="AM8662" t="str">
        <f t="shared" si="135"/>
        <v>Long Thanh [VNLTH]</v>
      </c>
      <c r="AN8662" t="s">
        <v>32412</v>
      </c>
      <c r="AO8662" t="s">
        <v>32413</v>
      </c>
    </row>
    <row r="8663" spans="39:41" ht="12" customHeight="1" x14ac:dyDescent="0.2">
      <c r="AM8663" t="str">
        <f t="shared" si="135"/>
        <v>Long'an [CNLGA]</v>
      </c>
      <c r="AN8663" t="s">
        <v>5660</v>
      </c>
      <c r="AO8663" t="s">
        <v>5661</v>
      </c>
    </row>
    <row r="8664" spans="39:41" ht="12" customHeight="1" x14ac:dyDescent="0.2">
      <c r="AM8664" t="str">
        <f t="shared" si="135"/>
        <v>Longboat Key [USL9K]</v>
      </c>
      <c r="AN8664" t="s">
        <v>30445</v>
      </c>
      <c r="AO8664" t="s">
        <v>30446</v>
      </c>
    </row>
    <row r="8665" spans="39:41" ht="12" customHeight="1" x14ac:dyDescent="0.2">
      <c r="AM8665" t="str">
        <f t="shared" si="135"/>
        <v>Longen [DEONG]</v>
      </c>
      <c r="AN8665" t="s">
        <v>7841</v>
      </c>
      <c r="AO8665" t="s">
        <v>7842</v>
      </c>
    </row>
    <row r="8666" spans="39:41" ht="12" customHeight="1" x14ac:dyDescent="0.2">
      <c r="AM8666" t="str">
        <f t="shared" si="135"/>
        <v>Longguan [CNLGU]</v>
      </c>
      <c r="AN8666" t="s">
        <v>5662</v>
      </c>
      <c r="AO8666" t="s">
        <v>5663</v>
      </c>
    </row>
    <row r="8667" spans="39:41" ht="12" customHeight="1" x14ac:dyDescent="0.2">
      <c r="AM8667" t="str">
        <f t="shared" si="135"/>
        <v>Longhai [CNLGI]</v>
      </c>
      <c r="AN8667" t="s">
        <v>5664</v>
      </c>
      <c r="AO8667" t="s">
        <v>5665</v>
      </c>
    </row>
    <row r="8668" spans="39:41" ht="12" customHeight="1" x14ac:dyDescent="0.2">
      <c r="AM8668" t="str">
        <f t="shared" si="135"/>
        <v>Longhope [GBLHP]</v>
      </c>
      <c r="AN8668" t="s">
        <v>13734</v>
      </c>
      <c r="AO8668" t="s">
        <v>13735</v>
      </c>
    </row>
    <row r="8669" spans="39:41" ht="12" customHeight="1" x14ac:dyDescent="0.2">
      <c r="AM8669" t="str">
        <f t="shared" si="135"/>
        <v>Longhope, Hoy [GBLHO]</v>
      </c>
      <c r="AN8669" t="s">
        <v>13736</v>
      </c>
      <c r="AO8669" t="s">
        <v>13737</v>
      </c>
    </row>
    <row r="8670" spans="39:41" ht="12" customHeight="1" x14ac:dyDescent="0.2">
      <c r="AM8670" t="str">
        <f t="shared" si="135"/>
        <v>Longkou Pt [CNLKU]</v>
      </c>
      <c r="AN8670" t="s">
        <v>5666</v>
      </c>
      <c r="AO8670" t="s">
        <v>5667</v>
      </c>
    </row>
    <row r="8671" spans="39:41" ht="12" customHeight="1" x14ac:dyDescent="0.2">
      <c r="AM8671" t="str">
        <f t="shared" si="135"/>
        <v>Longmeadow [USZLW]</v>
      </c>
      <c r="AN8671" t="s">
        <v>30447</v>
      </c>
      <c r="AO8671" t="s">
        <v>30448</v>
      </c>
    </row>
    <row r="8672" spans="39:41" ht="12" customHeight="1" x14ac:dyDescent="0.2">
      <c r="AM8672" t="str">
        <f t="shared" si="135"/>
        <v>Longmen [CNLMN]</v>
      </c>
      <c r="AN8672" t="s">
        <v>5668</v>
      </c>
      <c r="AO8672" t="s">
        <v>5669</v>
      </c>
    </row>
    <row r="8673" spans="39:41" ht="12" customHeight="1" x14ac:dyDescent="0.2">
      <c r="AM8673" t="str">
        <f t="shared" si="135"/>
        <v>Longoni [YTLON]</v>
      </c>
      <c r="AN8673" t="s">
        <v>32663</v>
      </c>
      <c r="AO8673" t="s">
        <v>32664</v>
      </c>
    </row>
    <row r="8674" spans="39:41" ht="12" customHeight="1" x14ac:dyDescent="0.2">
      <c r="AM8674" t="str">
        <f t="shared" si="135"/>
        <v>Longping Pt [CNLPP]</v>
      </c>
      <c r="AN8674" t="s">
        <v>5670</v>
      </c>
      <c r="AO8674" t="s">
        <v>5671</v>
      </c>
    </row>
    <row r="8675" spans="39:41" ht="12" customHeight="1" x14ac:dyDescent="0.2">
      <c r="AM8675" t="str">
        <f t="shared" si="135"/>
        <v>Longsight [GBAQW]</v>
      </c>
      <c r="AN8675" t="s">
        <v>13738</v>
      </c>
      <c r="AO8675" t="s">
        <v>13739</v>
      </c>
    </row>
    <row r="8676" spans="39:41" ht="12" customHeight="1" x14ac:dyDescent="0.2">
      <c r="AM8676" t="str">
        <f t="shared" si="135"/>
        <v>Longueau [FRLOA]</v>
      </c>
      <c r="AN8676" t="s">
        <v>11597</v>
      </c>
      <c r="AO8676" t="s">
        <v>11598</v>
      </c>
    </row>
    <row r="8677" spans="39:41" ht="12" customHeight="1" x14ac:dyDescent="0.2">
      <c r="AM8677" t="str">
        <f t="shared" si="135"/>
        <v>Longuich [DELON]</v>
      </c>
      <c r="AN8677" t="s">
        <v>7843</v>
      </c>
      <c r="AO8677" t="s">
        <v>7844</v>
      </c>
    </row>
    <row r="8678" spans="39:41" ht="12" customHeight="1" x14ac:dyDescent="0.2">
      <c r="AM8678" t="str">
        <f t="shared" si="135"/>
        <v>Longview [USLOG]</v>
      </c>
      <c r="AN8678" t="s">
        <v>30449</v>
      </c>
      <c r="AO8678" t="s">
        <v>30450</v>
      </c>
    </row>
    <row r="8679" spans="39:41" ht="12" customHeight="1" x14ac:dyDescent="0.2">
      <c r="AM8679" t="str">
        <f t="shared" si="135"/>
        <v>Longwood [AUDFE]</v>
      </c>
      <c r="AN8679" t="s">
        <v>1807</v>
      </c>
      <c r="AO8679" t="s">
        <v>1808</v>
      </c>
    </row>
    <row r="8680" spans="39:41" ht="12" customHeight="1" x14ac:dyDescent="0.2">
      <c r="AM8680" t="str">
        <f t="shared" si="135"/>
        <v>Longwu [CNLGW]</v>
      </c>
      <c r="AN8680" t="s">
        <v>5672</v>
      </c>
      <c r="AO8680" t="s">
        <v>5673</v>
      </c>
    </row>
    <row r="8681" spans="39:41" ht="12" customHeight="1" x14ac:dyDescent="0.2">
      <c r="AM8681" t="str">
        <f t="shared" si="135"/>
        <v>Longyan Pt [CNLGY]</v>
      </c>
      <c r="AN8681" t="s">
        <v>5674</v>
      </c>
      <c r="AO8681" t="s">
        <v>5675</v>
      </c>
    </row>
    <row r="8682" spans="39:41" ht="12" customHeight="1" x14ac:dyDescent="0.2">
      <c r="AM8682" t="str">
        <f t="shared" si="135"/>
        <v>Longyearbyen [SJLYR]</v>
      </c>
      <c r="AN8682" t="s">
        <v>28030</v>
      </c>
      <c r="AO8682" t="s">
        <v>28031</v>
      </c>
    </row>
    <row r="8683" spans="39:41" ht="12" customHeight="1" x14ac:dyDescent="0.2">
      <c r="AM8683" t="str">
        <f t="shared" si="135"/>
        <v>Longzhou [CNLOZ]</v>
      </c>
      <c r="AN8683" t="s">
        <v>5676</v>
      </c>
      <c r="AO8683" t="s">
        <v>5677</v>
      </c>
    </row>
    <row r="8684" spans="39:41" ht="12" customHeight="1" x14ac:dyDescent="0.2">
      <c r="AM8684" t="str">
        <f t="shared" si="135"/>
        <v>Lonsheim [DERPL]</v>
      </c>
      <c r="AN8684" t="s">
        <v>7845</v>
      </c>
      <c r="AO8684" t="s">
        <v>7846</v>
      </c>
    </row>
    <row r="8685" spans="39:41" ht="12" customHeight="1" x14ac:dyDescent="0.2">
      <c r="AM8685" t="str">
        <f t="shared" si="135"/>
        <v>Looc Bay/San Jose [PHLOO]</v>
      </c>
      <c r="AN8685" t="s">
        <v>25879</v>
      </c>
      <c r="AO8685" t="s">
        <v>25880</v>
      </c>
    </row>
    <row r="8686" spans="39:41" ht="12" customHeight="1" x14ac:dyDescent="0.2">
      <c r="AM8686" t="str">
        <f t="shared" si="135"/>
        <v>Looe [GBLOE]</v>
      </c>
      <c r="AN8686" t="s">
        <v>13740</v>
      </c>
      <c r="AO8686" t="s">
        <v>13741</v>
      </c>
    </row>
    <row r="8687" spans="39:41" ht="12" customHeight="1" x14ac:dyDescent="0.2">
      <c r="AM8687" t="str">
        <f t="shared" si="135"/>
        <v>Loop Terminal [USLO9]</v>
      </c>
      <c r="AN8687" t="s">
        <v>30451</v>
      </c>
      <c r="AO8687" t="s">
        <v>30452</v>
      </c>
    </row>
    <row r="8688" spans="39:41" ht="12" customHeight="1" x14ac:dyDescent="0.2">
      <c r="AM8688" t="str">
        <f t="shared" si="135"/>
        <v>Lopar [HRLPR]</v>
      </c>
      <c r="AN8688" t="s">
        <v>15796</v>
      </c>
      <c r="AO8688" t="s">
        <v>15797</v>
      </c>
    </row>
    <row r="8689" spans="39:41" ht="12" customHeight="1" x14ac:dyDescent="0.2">
      <c r="AM8689" t="str">
        <f t="shared" si="135"/>
        <v>Lopesuu [EELPS]</v>
      </c>
      <c r="AN8689" t="s">
        <v>34171</v>
      </c>
      <c r="AO8689" t="s">
        <v>34245</v>
      </c>
    </row>
    <row r="8690" spans="39:41" ht="12" customHeight="1" x14ac:dyDescent="0.2">
      <c r="AM8690" t="str">
        <f t="shared" si="135"/>
        <v>Loppa [NOLOP]</v>
      </c>
      <c r="AN8690" t="s">
        <v>24445</v>
      </c>
      <c r="AO8690" t="s">
        <v>24446</v>
      </c>
    </row>
    <row r="8691" spans="39:41" ht="12" customHeight="1" x14ac:dyDescent="0.2">
      <c r="AM8691" t="str">
        <f t="shared" ref="AM8691:AM8753" si="136">AO8691 &amp; " [" &amp; AN8691 &amp; "]"</f>
        <v>Lopra [FOLOP]</v>
      </c>
      <c r="AN8691" t="s">
        <v>10681</v>
      </c>
      <c r="AO8691" t="s">
        <v>10682</v>
      </c>
    </row>
    <row r="8692" spans="39:41" ht="12" customHeight="1" x14ac:dyDescent="0.2">
      <c r="AM8692" t="str">
        <f t="shared" si="136"/>
        <v>Lopud [HRLPD]</v>
      </c>
      <c r="AN8692" t="s">
        <v>15798</v>
      </c>
      <c r="AO8692" t="s">
        <v>15799</v>
      </c>
    </row>
    <row r="8693" spans="39:41" ht="12" customHeight="1" x14ac:dyDescent="0.2">
      <c r="AM8693" t="str">
        <f t="shared" si="136"/>
        <v>Lorain [USLOR]</v>
      </c>
      <c r="AN8693" t="s">
        <v>30453</v>
      </c>
      <c r="AO8693" t="s">
        <v>30454</v>
      </c>
    </row>
    <row r="8694" spans="39:41" ht="12" customHeight="1" x14ac:dyDescent="0.2">
      <c r="AM8694" t="str">
        <f t="shared" si="136"/>
        <v>Lord Howe Is [AULDH]</v>
      </c>
      <c r="AN8694" t="s">
        <v>1809</v>
      </c>
      <c r="AO8694" t="s">
        <v>1810</v>
      </c>
    </row>
    <row r="8695" spans="39:41" ht="12" customHeight="1" x14ac:dyDescent="0.2">
      <c r="AM8695" t="str">
        <f t="shared" si="136"/>
        <v>Lordelo [PTLDR]</v>
      </c>
      <c r="AN8695" t="s">
        <v>26531</v>
      </c>
      <c r="AO8695" t="s">
        <v>26532</v>
      </c>
    </row>
    <row r="8696" spans="39:41" ht="12" customHeight="1" x14ac:dyDescent="0.2">
      <c r="AM8696" t="str">
        <f t="shared" si="136"/>
        <v>Lorengau, Manus Island [PGLOR]</v>
      </c>
      <c r="AN8696" t="s">
        <v>25430</v>
      </c>
      <c r="AO8696" t="s">
        <v>25431</v>
      </c>
    </row>
    <row r="8697" spans="39:41" ht="12" customHeight="1" x14ac:dyDescent="0.2">
      <c r="AM8697" t="str">
        <f t="shared" si="136"/>
        <v>Loreto [MXLTO]</v>
      </c>
      <c r="AN8697" t="s">
        <v>22387</v>
      </c>
      <c r="AO8697" t="s">
        <v>22388</v>
      </c>
    </row>
    <row r="8698" spans="39:41" ht="12" customHeight="1" x14ac:dyDescent="0.2">
      <c r="AM8698" t="str">
        <f t="shared" si="136"/>
        <v>Loretto [USQLT]</v>
      </c>
      <c r="AN8698" t="s">
        <v>30455</v>
      </c>
      <c r="AO8698" t="s">
        <v>30456</v>
      </c>
    </row>
    <row r="8699" spans="39:41" ht="12" customHeight="1" x14ac:dyDescent="0.2">
      <c r="AM8699" t="str">
        <f t="shared" si="136"/>
        <v>Lorient [FRLRT]</v>
      </c>
      <c r="AN8699" t="s">
        <v>11599</v>
      </c>
      <c r="AO8699" t="s">
        <v>11600</v>
      </c>
    </row>
    <row r="8700" spans="39:41" ht="12" customHeight="1" x14ac:dyDescent="0.2">
      <c r="AM8700" t="str">
        <f t="shared" si="136"/>
        <v>Los Alamitos [USLAT]</v>
      </c>
      <c r="AN8700" t="s">
        <v>30457</v>
      </c>
      <c r="AO8700" t="s">
        <v>30458</v>
      </c>
    </row>
    <row r="8701" spans="39:41" ht="12" customHeight="1" x14ac:dyDescent="0.2">
      <c r="AM8701" t="str">
        <f t="shared" si="136"/>
        <v>Los Angeles [USLAX]</v>
      </c>
      <c r="AN8701" t="s">
        <v>30459</v>
      </c>
      <c r="AO8701" t="s">
        <v>30460</v>
      </c>
    </row>
    <row r="8702" spans="39:41" ht="12" customHeight="1" x14ac:dyDescent="0.2">
      <c r="AM8702" t="str">
        <f t="shared" si="136"/>
        <v>Los Cristianos [ESLCR]</v>
      </c>
      <c r="AN8702" t="s">
        <v>9915</v>
      </c>
      <c r="AO8702" t="s">
        <v>9916</v>
      </c>
    </row>
    <row r="8703" spans="39:41" ht="12" customHeight="1" x14ac:dyDescent="0.2">
      <c r="AM8703" t="str">
        <f t="shared" si="136"/>
        <v>Los Lunas [USLLU]</v>
      </c>
      <c r="AN8703" t="s">
        <v>30461</v>
      </c>
      <c r="AO8703" t="s">
        <v>30462</v>
      </c>
    </row>
    <row r="8704" spans="39:41" ht="12" customHeight="1" x14ac:dyDescent="0.2">
      <c r="AM8704" t="str">
        <f t="shared" si="136"/>
        <v>Los Organos [PELOO]</v>
      </c>
      <c r="AN8704" t="s">
        <v>25265</v>
      </c>
      <c r="AO8704" t="s">
        <v>25266</v>
      </c>
    </row>
    <row r="8705" spans="39:41" ht="12" customHeight="1" x14ac:dyDescent="0.2">
      <c r="AM8705" t="str">
        <f t="shared" si="136"/>
        <v>Los Santos de la Humosa [ESLSD]</v>
      </c>
      <c r="AN8705" t="s">
        <v>9917</v>
      </c>
      <c r="AO8705" t="s">
        <v>9918</v>
      </c>
    </row>
    <row r="8706" spans="39:41" ht="12" customHeight="1" x14ac:dyDescent="0.2">
      <c r="AM8706" t="str">
        <f t="shared" si="136"/>
        <v>Los Silos [ESLSI]</v>
      </c>
      <c r="AN8706" t="s">
        <v>9919</v>
      </c>
      <c r="AO8706" t="s">
        <v>9920</v>
      </c>
    </row>
    <row r="8707" spans="39:41" ht="12" customHeight="1" x14ac:dyDescent="0.2">
      <c r="AM8707" t="str">
        <f t="shared" si="136"/>
        <v>Los Vientos [CLLVT]</v>
      </c>
      <c r="AN8707" t="s">
        <v>4890</v>
      </c>
      <c r="AO8707" t="s">
        <v>4891</v>
      </c>
    </row>
    <row r="8708" spans="39:41" ht="12" customHeight="1" x14ac:dyDescent="0.2">
      <c r="AM8708" t="str">
        <f t="shared" si="136"/>
        <v>Los Vilos [CLLOS]</v>
      </c>
      <c r="AN8708" t="s">
        <v>4892</v>
      </c>
      <c r="AO8708" t="s">
        <v>4893</v>
      </c>
    </row>
    <row r="8709" spans="39:41" ht="12" customHeight="1" x14ac:dyDescent="0.2">
      <c r="AM8709" t="str">
        <f t="shared" si="136"/>
        <v>Loschwitz [DELCW]</v>
      </c>
      <c r="AN8709" t="s">
        <v>7847</v>
      </c>
      <c r="AO8709" t="s">
        <v>7848</v>
      </c>
    </row>
    <row r="8710" spans="39:41" ht="12" customHeight="1" x14ac:dyDescent="0.2">
      <c r="AM8710" t="str">
        <f t="shared" si="136"/>
        <v>L'Oserie [FROEI]</v>
      </c>
      <c r="AN8710" t="s">
        <v>11601</v>
      </c>
      <c r="AO8710" t="s">
        <v>11602</v>
      </c>
    </row>
    <row r="8711" spans="39:41" ht="12" customHeight="1" x14ac:dyDescent="0.2">
      <c r="AM8711" t="str">
        <f t="shared" si="136"/>
        <v>Losiow [PLKUY]</v>
      </c>
      <c r="AN8711" t="s">
        <v>26340</v>
      </c>
      <c r="AO8711" t="s">
        <v>36368</v>
      </c>
    </row>
    <row r="8712" spans="39:41" ht="12" customHeight="1" x14ac:dyDescent="0.2">
      <c r="AM8712" t="str">
        <f t="shared" si="136"/>
        <v>Lossiemouth [GBLSS]</v>
      </c>
      <c r="AN8712" t="s">
        <v>13742</v>
      </c>
      <c r="AO8712" t="s">
        <v>13743</v>
      </c>
    </row>
    <row r="8713" spans="39:41" ht="12" customHeight="1" x14ac:dyDescent="0.2">
      <c r="AM8713" t="str">
        <f t="shared" si="136"/>
        <v>Lost Hills [USTSO]</v>
      </c>
      <c r="AN8713" t="s">
        <v>30463</v>
      </c>
      <c r="AO8713" t="s">
        <v>30464</v>
      </c>
    </row>
    <row r="8714" spans="39:41" ht="12" customHeight="1" x14ac:dyDescent="0.2">
      <c r="AM8714" t="str">
        <f t="shared" si="136"/>
        <v>Lot [BELOT]</v>
      </c>
      <c r="AN8714" t="s">
        <v>2676</v>
      </c>
      <c r="AO8714" t="s">
        <v>2677</v>
      </c>
    </row>
    <row r="8715" spans="39:41" ht="12" customHeight="1" x14ac:dyDescent="0.2">
      <c r="AM8715" t="str">
        <f t="shared" si="136"/>
        <v>Lota [CLLTA]</v>
      </c>
      <c r="AN8715" t="s">
        <v>4894</v>
      </c>
      <c r="AO8715" t="s">
        <v>4895</v>
      </c>
    </row>
    <row r="8716" spans="39:41" ht="12" customHeight="1" x14ac:dyDescent="0.2">
      <c r="AM8716" t="str">
        <f t="shared" si="136"/>
        <v>Loten [SELOT]</v>
      </c>
      <c r="AN8716" t="s">
        <v>27732</v>
      </c>
      <c r="AO8716" t="s">
        <v>36477</v>
      </c>
    </row>
    <row r="8717" spans="39:41" ht="12" customHeight="1" x14ac:dyDescent="0.2">
      <c r="AM8717" t="str">
        <f t="shared" si="136"/>
        <v>Loth, Sanday [GBLTS]</v>
      </c>
      <c r="AN8717" t="s">
        <v>13744</v>
      </c>
      <c r="AO8717" t="s">
        <v>13745</v>
      </c>
    </row>
    <row r="8718" spans="39:41" ht="12" customHeight="1" x14ac:dyDescent="0.2">
      <c r="AM8718" t="str">
        <f t="shared" si="136"/>
        <v>Lotus Port [VNLPO]</v>
      </c>
      <c r="AN8718" t="s">
        <v>34998</v>
      </c>
      <c r="AO8718" t="s">
        <v>34999</v>
      </c>
    </row>
    <row r="8719" spans="39:41" ht="12" customHeight="1" x14ac:dyDescent="0.2">
      <c r="AM8719" t="str">
        <f t="shared" si="136"/>
        <v>Louailles [FRGT3]</v>
      </c>
      <c r="AN8719" t="s">
        <v>11603</v>
      </c>
      <c r="AO8719" t="s">
        <v>11604</v>
      </c>
    </row>
    <row r="8720" spans="39:41" ht="12" customHeight="1" x14ac:dyDescent="0.2">
      <c r="AM8720" t="str">
        <f t="shared" si="136"/>
        <v>Loudden/Stockholm [SELOU]</v>
      </c>
      <c r="AN8720" t="s">
        <v>27733</v>
      </c>
      <c r="AO8720" t="s">
        <v>27734</v>
      </c>
    </row>
    <row r="8721" spans="39:41" ht="12" customHeight="1" x14ac:dyDescent="0.2">
      <c r="AM8721" t="str">
        <f t="shared" si="136"/>
        <v>Loudonville [USQYL]</v>
      </c>
      <c r="AN8721" t="s">
        <v>30465</v>
      </c>
      <c r="AO8721" t="s">
        <v>30466</v>
      </c>
    </row>
    <row r="8722" spans="39:41" ht="12" customHeight="1" x14ac:dyDescent="0.2">
      <c r="AM8722" t="str">
        <f t="shared" si="136"/>
        <v>Loughborough [GBLOU]</v>
      </c>
      <c r="AN8722" t="s">
        <v>13746</v>
      </c>
      <c r="AO8722" t="s">
        <v>13747</v>
      </c>
    </row>
    <row r="8723" spans="39:41" ht="12" customHeight="1" x14ac:dyDescent="0.2">
      <c r="AM8723" t="str">
        <f t="shared" si="136"/>
        <v>Louisbourg [CALOU]</v>
      </c>
      <c r="AN8723" t="s">
        <v>4053</v>
      </c>
      <c r="AO8723" t="s">
        <v>4054</v>
      </c>
    </row>
    <row r="8724" spans="39:41" ht="12" customHeight="1" x14ac:dyDescent="0.2">
      <c r="AM8724" t="str">
        <f t="shared" si="136"/>
        <v>Louisiana Off Shore Oil Port (Loop) [USLO8]</v>
      </c>
      <c r="AN8724" t="s">
        <v>30467</v>
      </c>
      <c r="AO8724" t="s">
        <v>36583</v>
      </c>
    </row>
    <row r="8725" spans="39:41" ht="12" customHeight="1" x14ac:dyDescent="0.2">
      <c r="AM8725" t="str">
        <f t="shared" si="136"/>
        <v>Louisville [USLUI]</v>
      </c>
      <c r="AN8725" t="s">
        <v>30468</v>
      </c>
      <c r="AO8725" t="s">
        <v>30469</v>
      </c>
    </row>
    <row r="8726" spans="39:41" ht="12" customHeight="1" x14ac:dyDescent="0.2">
      <c r="AM8726" t="str">
        <f t="shared" si="136"/>
        <v>Lounaranna [EELNR]</v>
      </c>
      <c r="AN8726" t="s">
        <v>9250</v>
      </c>
      <c r="AO8726" t="s">
        <v>35628</v>
      </c>
    </row>
    <row r="8727" spans="39:41" ht="12" customHeight="1" x14ac:dyDescent="0.2">
      <c r="AM8727" t="str">
        <f t="shared" si="136"/>
        <v>Loup City [USLC2]</v>
      </c>
      <c r="AN8727" t="s">
        <v>30470</v>
      </c>
      <c r="AO8727" t="s">
        <v>30471</v>
      </c>
    </row>
    <row r="8728" spans="39:41" ht="12" customHeight="1" x14ac:dyDescent="0.2">
      <c r="AM8728" t="str">
        <f t="shared" si="136"/>
        <v>Loutro Chanion [GRLTR]</v>
      </c>
      <c r="AN8728" t="s">
        <v>15346</v>
      </c>
      <c r="AO8728" t="s">
        <v>15347</v>
      </c>
    </row>
    <row r="8729" spans="39:41" ht="12" customHeight="1" x14ac:dyDescent="0.2">
      <c r="AM8729" t="str">
        <f t="shared" si="136"/>
        <v>Louvieres [FRLQT]</v>
      </c>
      <c r="AN8729" t="s">
        <v>11605</v>
      </c>
      <c r="AO8729" t="s">
        <v>11606</v>
      </c>
    </row>
    <row r="8730" spans="39:41" ht="12" customHeight="1" x14ac:dyDescent="0.2">
      <c r="AM8730" t="str">
        <f t="shared" si="136"/>
        <v>Lovanger [SELVR]</v>
      </c>
      <c r="AN8730" t="s">
        <v>27735</v>
      </c>
      <c r="AO8730" t="s">
        <v>36478</v>
      </c>
    </row>
    <row r="8731" spans="39:41" ht="12" customHeight="1" x14ac:dyDescent="0.2">
      <c r="AM8731" t="str">
        <f t="shared" si="136"/>
        <v>Lovbole [FILVB]</v>
      </c>
      <c r="AN8731" t="s">
        <v>10453</v>
      </c>
      <c r="AO8731" t="s">
        <v>35738</v>
      </c>
    </row>
    <row r="8732" spans="39:41" ht="12" customHeight="1" x14ac:dyDescent="0.2">
      <c r="AM8732" t="str">
        <f t="shared" si="136"/>
        <v>Lovendegem [BELVO]</v>
      </c>
      <c r="AN8732" t="s">
        <v>36785</v>
      </c>
      <c r="AO8732" t="s">
        <v>36786</v>
      </c>
    </row>
    <row r="8733" spans="39:41" ht="12" customHeight="1" x14ac:dyDescent="0.2">
      <c r="AM8733" t="str">
        <f t="shared" si="136"/>
        <v>Loves Park [USQLI]</v>
      </c>
      <c r="AN8733" t="s">
        <v>30472</v>
      </c>
      <c r="AO8733" t="s">
        <v>30473</v>
      </c>
    </row>
    <row r="8734" spans="39:41" ht="12" customHeight="1" x14ac:dyDescent="0.2">
      <c r="AM8734" t="str">
        <f t="shared" si="136"/>
        <v>Lovettsville [USVTT]</v>
      </c>
      <c r="AN8734" t="s">
        <v>30474</v>
      </c>
      <c r="AO8734" t="s">
        <v>30475</v>
      </c>
    </row>
    <row r="8735" spans="39:41" ht="12" customHeight="1" x14ac:dyDescent="0.2">
      <c r="AM8735" t="str">
        <f t="shared" si="136"/>
        <v>Lovholmen [SELUN]</v>
      </c>
      <c r="AN8735" t="s">
        <v>27736</v>
      </c>
      <c r="AO8735" t="s">
        <v>36479</v>
      </c>
    </row>
    <row r="8736" spans="39:41" ht="12" customHeight="1" x14ac:dyDescent="0.2">
      <c r="AM8736" t="str">
        <f t="shared" si="136"/>
        <v>Loviisa (Lovisa) [FILOV]</v>
      </c>
      <c r="AN8736" t="s">
        <v>10454</v>
      </c>
      <c r="AO8736" t="s">
        <v>10455</v>
      </c>
    </row>
    <row r="8737" spans="39:41" ht="12" customHeight="1" x14ac:dyDescent="0.2">
      <c r="AM8737" t="str">
        <f t="shared" si="136"/>
        <v>Lovund [NOLOV]</v>
      </c>
      <c r="AN8737" t="s">
        <v>24447</v>
      </c>
      <c r="AO8737" t="s">
        <v>24448</v>
      </c>
    </row>
    <row r="8738" spans="39:41" ht="12" customHeight="1" x14ac:dyDescent="0.2">
      <c r="AM8738" t="str">
        <f t="shared" si="136"/>
        <v>Low Moor [USTOZ]</v>
      </c>
      <c r="AN8738" t="s">
        <v>30476</v>
      </c>
      <c r="AO8738" t="s">
        <v>30477</v>
      </c>
    </row>
    <row r="8739" spans="39:41" ht="12" customHeight="1" x14ac:dyDescent="0.2">
      <c r="AM8739" t="str">
        <f t="shared" si="136"/>
        <v>Lowbanks [CALWB]</v>
      </c>
      <c r="AN8739" t="s">
        <v>4055</v>
      </c>
      <c r="AO8739" t="s">
        <v>4056</v>
      </c>
    </row>
    <row r="8740" spans="39:41" ht="12" customHeight="1" x14ac:dyDescent="0.2">
      <c r="AM8740" t="str">
        <f t="shared" si="136"/>
        <v>Lowden [US7SD]</v>
      </c>
      <c r="AN8740" t="s">
        <v>30478</v>
      </c>
      <c r="AO8740" t="s">
        <v>30479</v>
      </c>
    </row>
    <row r="8741" spans="39:41" ht="12" customHeight="1" x14ac:dyDescent="0.2">
      <c r="AM8741" t="str">
        <f t="shared" si="136"/>
        <v>Lowell [USLWY]</v>
      </c>
      <c r="AN8741" t="s">
        <v>30480</v>
      </c>
      <c r="AO8741" t="s">
        <v>30481</v>
      </c>
    </row>
    <row r="8742" spans="39:41" ht="12" customHeight="1" x14ac:dyDescent="0.2">
      <c r="AM8742" t="str">
        <f t="shared" si="136"/>
        <v>Lower Buchanan [LRLOB]</v>
      </c>
      <c r="AN8742" t="s">
        <v>21873</v>
      </c>
      <c r="AO8742" t="s">
        <v>21874</v>
      </c>
    </row>
    <row r="8743" spans="39:41" ht="12" customHeight="1" x14ac:dyDescent="0.2">
      <c r="AM8743" t="str">
        <f t="shared" si="136"/>
        <v>Lower Cove [CALCV]</v>
      </c>
      <c r="AN8743" t="s">
        <v>4057</v>
      </c>
      <c r="AO8743" t="s">
        <v>4058</v>
      </c>
    </row>
    <row r="8744" spans="39:41" ht="12" customHeight="1" x14ac:dyDescent="0.2">
      <c r="AM8744" t="str">
        <f t="shared" si="136"/>
        <v>Lower Sackville [CASKL]</v>
      </c>
      <c r="AN8744" t="s">
        <v>4059</v>
      </c>
      <c r="AO8744" t="s">
        <v>4060</v>
      </c>
    </row>
    <row r="8745" spans="39:41" ht="12" customHeight="1" x14ac:dyDescent="0.2">
      <c r="AM8745" t="str">
        <f t="shared" si="136"/>
        <v>Lower Woods Harbour [CALWH]</v>
      </c>
      <c r="AN8745" t="s">
        <v>4061</v>
      </c>
      <c r="AO8745" t="s">
        <v>4062</v>
      </c>
    </row>
    <row r="8746" spans="39:41" ht="12" customHeight="1" x14ac:dyDescent="0.2">
      <c r="AM8746" t="str">
        <f t="shared" si="136"/>
        <v>Lowestoft [GBLOW]</v>
      </c>
      <c r="AN8746" t="s">
        <v>13748</v>
      </c>
      <c r="AO8746" t="s">
        <v>13749</v>
      </c>
    </row>
    <row r="8747" spans="39:41" ht="12" customHeight="1" x14ac:dyDescent="0.2">
      <c r="AM8747" t="str">
        <f t="shared" si="136"/>
        <v>Loxley [GBLXY]</v>
      </c>
      <c r="AN8747" t="s">
        <v>13750</v>
      </c>
      <c r="AO8747" t="s">
        <v>13751</v>
      </c>
    </row>
    <row r="8748" spans="39:41" ht="12" customHeight="1" x14ac:dyDescent="0.2">
      <c r="AM8748" t="str">
        <f t="shared" si="136"/>
        <v>Lozen [BELOZ]</v>
      </c>
      <c r="AN8748" t="s">
        <v>2678</v>
      </c>
      <c r="AO8748" t="s">
        <v>2679</v>
      </c>
    </row>
    <row r="8749" spans="39:41" ht="12" customHeight="1" x14ac:dyDescent="0.2">
      <c r="AM8749" t="str">
        <f t="shared" si="136"/>
        <v>Lu'an [CNLUN]</v>
      </c>
      <c r="AN8749" t="s">
        <v>5678</v>
      </c>
      <c r="AO8749" t="s">
        <v>5679</v>
      </c>
    </row>
    <row r="8750" spans="39:41" ht="12" customHeight="1" x14ac:dyDescent="0.2">
      <c r="AM8750" t="str">
        <f t="shared" si="136"/>
        <v>Luanda [AOLAD]</v>
      </c>
      <c r="AN8750" t="s">
        <v>871</v>
      </c>
      <c r="AO8750" t="s">
        <v>872</v>
      </c>
    </row>
    <row r="8751" spans="39:41" ht="12" customHeight="1" x14ac:dyDescent="0.2">
      <c r="AM8751" t="str">
        <f t="shared" si="136"/>
        <v>Luanjiakou [CNLJK]</v>
      </c>
      <c r="AN8751" t="s">
        <v>5680</v>
      </c>
      <c r="AO8751" t="s">
        <v>5681</v>
      </c>
    </row>
    <row r="8752" spans="39:41" ht="12" customHeight="1" x14ac:dyDescent="0.2">
      <c r="AM8752" t="str">
        <f t="shared" si="136"/>
        <v>Luba [GQLUB]</v>
      </c>
      <c r="AN8752" t="s">
        <v>15071</v>
      </c>
      <c r="AO8752" t="s">
        <v>15072</v>
      </c>
    </row>
    <row r="8753" spans="39:41" ht="12" customHeight="1" x14ac:dyDescent="0.2">
      <c r="AM8753" t="str">
        <f t="shared" si="136"/>
        <v>Lubec [USLB2]</v>
      </c>
      <c r="AN8753" t="s">
        <v>30482</v>
      </c>
      <c r="AO8753" t="s">
        <v>30483</v>
      </c>
    </row>
    <row r="8754" spans="39:41" ht="12" customHeight="1" x14ac:dyDescent="0.2">
      <c r="AM8754" t="str">
        <f t="shared" ref="AM8754:AM8817" si="137">AO8754 &amp; " [" &amp; AN8754 &amp; "]"</f>
        <v>Lubeck [DELBC]</v>
      </c>
      <c r="AN8754" t="s">
        <v>7849</v>
      </c>
      <c r="AO8754" t="s">
        <v>35465</v>
      </c>
    </row>
    <row r="8755" spans="39:41" ht="12" customHeight="1" x14ac:dyDescent="0.2">
      <c r="AM8755" t="str">
        <f t="shared" si="137"/>
        <v>Lubenec [CZLBC]</v>
      </c>
      <c r="AN8755" t="s">
        <v>6883</v>
      </c>
      <c r="AO8755" t="s">
        <v>6884</v>
      </c>
    </row>
    <row r="8756" spans="39:41" ht="12" customHeight="1" x14ac:dyDescent="0.2">
      <c r="AM8756" t="str">
        <f t="shared" si="137"/>
        <v>Lubmin [DELBM]</v>
      </c>
      <c r="AN8756" t="s">
        <v>7850</v>
      </c>
      <c r="AO8756" t="s">
        <v>7851</v>
      </c>
    </row>
    <row r="8757" spans="39:41" ht="12" customHeight="1" x14ac:dyDescent="0.2">
      <c r="AM8757" t="str">
        <f t="shared" si="137"/>
        <v>Lubu [CNUBU]</v>
      </c>
      <c r="AN8757" t="s">
        <v>5682</v>
      </c>
      <c r="AO8757" t="s">
        <v>5683</v>
      </c>
    </row>
    <row r="8758" spans="39:41" ht="12" customHeight="1" x14ac:dyDescent="0.2">
      <c r="AM8758" t="str">
        <f t="shared" si="137"/>
        <v>Lucanin [PHLUC]</v>
      </c>
      <c r="AN8758" t="s">
        <v>25881</v>
      </c>
      <c r="AO8758" t="s">
        <v>25882</v>
      </c>
    </row>
    <row r="8759" spans="39:41" ht="12" customHeight="1" x14ac:dyDescent="0.2">
      <c r="AM8759" t="str">
        <f t="shared" si="137"/>
        <v>Lucaya [BSLUC]</v>
      </c>
      <c r="AN8759" t="s">
        <v>3456</v>
      </c>
      <c r="AO8759" t="s">
        <v>3457</v>
      </c>
    </row>
    <row r="8760" spans="39:41" ht="12" customHeight="1" x14ac:dyDescent="0.2">
      <c r="AM8760" t="str">
        <f t="shared" si="137"/>
        <v>Lucciana [FRQUO]</v>
      </c>
      <c r="AN8760" t="s">
        <v>11607</v>
      </c>
      <c r="AO8760" t="s">
        <v>11608</v>
      </c>
    </row>
    <row r="8761" spans="39:41" ht="12" customHeight="1" x14ac:dyDescent="0.2">
      <c r="AM8761" t="str">
        <f t="shared" si="137"/>
        <v>Lucheng Pt [CNLCP]</v>
      </c>
      <c r="AN8761" t="s">
        <v>5684</v>
      </c>
      <c r="AO8761" t="s">
        <v>5685</v>
      </c>
    </row>
    <row r="8762" spans="39:41" ht="12" customHeight="1" x14ac:dyDescent="0.2">
      <c r="AM8762" t="str">
        <f t="shared" si="137"/>
        <v>Lucina [GALUC]</v>
      </c>
      <c r="AN8762" t="s">
        <v>12233</v>
      </c>
      <c r="AO8762" t="s">
        <v>12234</v>
      </c>
    </row>
    <row r="8763" spans="39:41" ht="12" customHeight="1" x14ac:dyDescent="0.2">
      <c r="AM8763" t="str">
        <f t="shared" si="137"/>
        <v>Lucinda [AULUC]</v>
      </c>
      <c r="AN8763" t="s">
        <v>1811</v>
      </c>
      <c r="AO8763" t="s">
        <v>1812</v>
      </c>
    </row>
    <row r="8764" spans="39:41" ht="12" customHeight="1" x14ac:dyDescent="0.2">
      <c r="AM8764" t="str">
        <f t="shared" si="137"/>
        <v>Lucira [AOLUC]</v>
      </c>
      <c r="AN8764" t="s">
        <v>873</v>
      </c>
      <c r="AO8764" t="s">
        <v>874</v>
      </c>
    </row>
    <row r="8765" spans="39:41" ht="12" customHeight="1" x14ac:dyDescent="0.2">
      <c r="AM8765" t="str">
        <f t="shared" si="137"/>
        <v>Luderitz [NALUD]</v>
      </c>
      <c r="AN8765" t="s">
        <v>22872</v>
      </c>
      <c r="AO8765" t="s">
        <v>36105</v>
      </c>
    </row>
    <row r="8766" spans="39:41" ht="12" customHeight="1" x14ac:dyDescent="0.2">
      <c r="AM8766" t="str">
        <f t="shared" si="137"/>
        <v>Ludington [USLDM]</v>
      </c>
      <c r="AN8766" t="s">
        <v>30484</v>
      </c>
      <c r="AO8766" t="s">
        <v>30485</v>
      </c>
    </row>
    <row r="8767" spans="39:41" ht="12" customHeight="1" x14ac:dyDescent="0.2">
      <c r="AM8767" t="str">
        <f t="shared" si="137"/>
        <v>Ludwigsau [DELSU]</v>
      </c>
      <c r="AN8767" t="s">
        <v>7852</v>
      </c>
      <c r="AO8767" t="s">
        <v>7853</v>
      </c>
    </row>
    <row r="8768" spans="39:41" ht="12" customHeight="1" x14ac:dyDescent="0.2">
      <c r="AM8768" t="str">
        <f t="shared" si="137"/>
        <v>Ludwigshafen [DELUH]</v>
      </c>
      <c r="AN8768" t="s">
        <v>7854</v>
      </c>
      <c r="AO8768" t="s">
        <v>7855</v>
      </c>
    </row>
    <row r="8769" spans="39:41" ht="12" customHeight="1" x14ac:dyDescent="0.2">
      <c r="AM8769" t="str">
        <f t="shared" si="137"/>
        <v>Ludwigshohe [DELGX]</v>
      </c>
      <c r="AN8769" t="s">
        <v>7856</v>
      </c>
      <c r="AO8769" t="s">
        <v>35466</v>
      </c>
    </row>
    <row r="8770" spans="39:41" ht="12" customHeight="1" x14ac:dyDescent="0.2">
      <c r="AM8770" t="str">
        <f t="shared" si="137"/>
        <v>Ludza [LVBNH]</v>
      </c>
      <c r="AN8770" t="s">
        <v>21935</v>
      </c>
      <c r="AO8770" t="s">
        <v>21936</v>
      </c>
    </row>
    <row r="8771" spans="39:41" ht="12" customHeight="1" x14ac:dyDescent="0.2">
      <c r="AM8771" t="str">
        <f t="shared" si="137"/>
        <v>Lufeng [CNLFN]</v>
      </c>
      <c r="AN8771" t="s">
        <v>5686</v>
      </c>
      <c r="AO8771" t="s">
        <v>5687</v>
      </c>
    </row>
    <row r="8772" spans="39:41" ht="12" customHeight="1" x14ac:dyDescent="0.2">
      <c r="AM8772" t="str">
        <f t="shared" si="137"/>
        <v>Lugait [PHLUG]</v>
      </c>
      <c r="AN8772" t="s">
        <v>25883</v>
      </c>
      <c r="AO8772" t="s">
        <v>25884</v>
      </c>
    </row>
    <row r="8773" spans="39:41" ht="12" customHeight="1" x14ac:dyDescent="0.2">
      <c r="AM8773" t="str">
        <f t="shared" si="137"/>
        <v>Luganville [VULUG]</v>
      </c>
      <c r="AN8773" t="s">
        <v>32528</v>
      </c>
      <c r="AO8773" t="s">
        <v>32529</v>
      </c>
    </row>
    <row r="8774" spans="39:41" ht="12" customHeight="1" x14ac:dyDescent="0.2">
      <c r="AM8774" t="str">
        <f t="shared" si="137"/>
        <v>Lugnvik [SELUG]</v>
      </c>
      <c r="AN8774" t="s">
        <v>27737</v>
      </c>
      <c r="AO8774" t="s">
        <v>27738</v>
      </c>
    </row>
    <row r="8775" spans="39:41" ht="12" customHeight="1" x14ac:dyDescent="0.2">
      <c r="AM8775" t="str">
        <f t="shared" si="137"/>
        <v>Lugovoye [RULUG]</v>
      </c>
      <c r="AN8775" t="s">
        <v>27069</v>
      </c>
      <c r="AO8775" t="s">
        <v>27070</v>
      </c>
    </row>
    <row r="8776" spans="39:41" ht="12" customHeight="1" x14ac:dyDescent="0.2">
      <c r="AM8776" t="str">
        <f t="shared" si="137"/>
        <v>Lugrin [FRLUQ]</v>
      </c>
      <c r="AN8776" t="s">
        <v>11609</v>
      </c>
      <c r="AO8776" t="s">
        <v>11610</v>
      </c>
    </row>
    <row r="8777" spans="39:41" ht="12" customHeight="1" x14ac:dyDescent="0.2">
      <c r="AM8777" t="str">
        <f t="shared" si="137"/>
        <v>Lugton [GBLUG]</v>
      </c>
      <c r="AN8777" t="s">
        <v>13752</v>
      </c>
      <c r="AO8777" t="s">
        <v>13753</v>
      </c>
    </row>
    <row r="8778" spans="39:41" ht="12" customHeight="1" x14ac:dyDescent="0.2">
      <c r="AM8778" t="str">
        <f t="shared" si="137"/>
        <v>Lu-hua Shan [CNLUH]</v>
      </c>
      <c r="AN8778" t="s">
        <v>5688</v>
      </c>
      <c r="AO8778" t="s">
        <v>35371</v>
      </c>
    </row>
    <row r="8779" spans="39:41" ht="12" customHeight="1" x14ac:dyDescent="0.2">
      <c r="AM8779" t="str">
        <f t="shared" si="137"/>
        <v>Luige Vaikesadam [EELUI]</v>
      </c>
      <c r="AN8779" t="s">
        <v>9251</v>
      </c>
      <c r="AO8779" t="s">
        <v>35629</v>
      </c>
    </row>
    <row r="8780" spans="39:41" ht="12" customHeight="1" x14ac:dyDescent="0.2">
      <c r="AM8780" t="str">
        <f t="shared" si="137"/>
        <v>Lujan [ARLUJ]</v>
      </c>
      <c r="AN8780" t="s">
        <v>1040</v>
      </c>
      <c r="AO8780" t="s">
        <v>35244</v>
      </c>
    </row>
    <row r="8781" spans="39:41" ht="12" customHeight="1" x14ac:dyDescent="0.2">
      <c r="AM8781" t="str">
        <f t="shared" si="137"/>
        <v>Lujan de Cuyo [ARLCU]</v>
      </c>
      <c r="AN8781" t="s">
        <v>1041</v>
      </c>
      <c r="AO8781" t="s">
        <v>1042</v>
      </c>
    </row>
    <row r="8782" spans="39:41" ht="12" customHeight="1" x14ac:dyDescent="0.2">
      <c r="AM8782" t="str">
        <f t="shared" si="137"/>
        <v>Lukovica pri Domzalah [SISLV]</v>
      </c>
      <c r="AN8782" t="s">
        <v>28008</v>
      </c>
      <c r="AO8782" t="s">
        <v>28009</v>
      </c>
    </row>
    <row r="8783" spans="39:41" ht="12" customHeight="1" x14ac:dyDescent="0.2">
      <c r="AM8783" t="str">
        <f t="shared" si="137"/>
        <v>Lukunor Atoll [FMLUK]</v>
      </c>
      <c r="AN8783" t="s">
        <v>10653</v>
      </c>
      <c r="AO8783" t="s">
        <v>10654</v>
      </c>
    </row>
    <row r="8784" spans="39:41" ht="12" customHeight="1" x14ac:dyDescent="0.2">
      <c r="AM8784" t="str">
        <f t="shared" si="137"/>
        <v>Lula [USYLU]</v>
      </c>
      <c r="AN8784" t="s">
        <v>30486</v>
      </c>
      <c r="AO8784" t="s">
        <v>30487</v>
      </c>
    </row>
    <row r="8785" spans="39:41" ht="12" customHeight="1" x14ac:dyDescent="0.2">
      <c r="AM8785" t="str">
        <f t="shared" si="137"/>
        <v>Lulea [SELLA]</v>
      </c>
      <c r="AN8785" t="s">
        <v>27739</v>
      </c>
      <c r="AO8785" t="s">
        <v>36480</v>
      </c>
    </row>
    <row r="8786" spans="39:41" ht="12" customHeight="1" x14ac:dyDescent="0.2">
      <c r="AM8786" t="str">
        <f t="shared" si="137"/>
        <v>Lulec [CZLCC]</v>
      </c>
      <c r="AN8786" t="s">
        <v>6885</v>
      </c>
      <c r="AO8786" t="s">
        <v>6886</v>
      </c>
    </row>
    <row r="8787" spans="39:41" ht="12" customHeight="1" x14ac:dyDescent="0.2">
      <c r="AM8787" t="str">
        <f t="shared" si="137"/>
        <v>Lullington [GBLL3]</v>
      </c>
      <c r="AN8787" t="s">
        <v>13754</v>
      </c>
      <c r="AO8787" t="s">
        <v>13755</v>
      </c>
    </row>
    <row r="8788" spans="39:41" ht="12" customHeight="1" x14ac:dyDescent="0.2">
      <c r="AM8788" t="str">
        <f t="shared" si="137"/>
        <v>Lulsdorf [DELLS]</v>
      </c>
      <c r="AN8788" t="s">
        <v>7857</v>
      </c>
      <c r="AO8788" t="s">
        <v>35467</v>
      </c>
    </row>
    <row r="8789" spans="39:41" ht="12" customHeight="1" x14ac:dyDescent="0.2">
      <c r="AM8789" t="str">
        <f t="shared" si="137"/>
        <v>Lulworth Camp [GBLUL]</v>
      </c>
      <c r="AN8789" t="s">
        <v>13756</v>
      </c>
      <c r="AO8789" t="s">
        <v>13757</v>
      </c>
    </row>
    <row r="8790" spans="39:41" ht="12" customHeight="1" x14ac:dyDescent="0.2">
      <c r="AM8790" t="str">
        <f t="shared" si="137"/>
        <v>Lulworth Cove [GBLWC]</v>
      </c>
      <c r="AN8790" t="s">
        <v>13758</v>
      </c>
      <c r="AO8790" t="s">
        <v>13759</v>
      </c>
    </row>
    <row r="8791" spans="39:41" ht="12" customHeight="1" x14ac:dyDescent="0.2">
      <c r="AM8791" t="str">
        <f t="shared" si="137"/>
        <v>Lumasal/Dadiangas [PHLUM]</v>
      </c>
      <c r="AN8791" t="s">
        <v>25885</v>
      </c>
      <c r="AO8791" t="s">
        <v>25886</v>
      </c>
    </row>
    <row r="8792" spans="39:41" ht="12" customHeight="1" x14ac:dyDescent="0.2">
      <c r="AM8792" t="str">
        <f t="shared" si="137"/>
        <v>Luminita [ROLUM]</v>
      </c>
      <c r="AN8792" t="s">
        <v>26775</v>
      </c>
      <c r="AO8792" t="s">
        <v>26776</v>
      </c>
    </row>
    <row r="8793" spans="39:41" ht="12" customHeight="1" x14ac:dyDescent="0.2">
      <c r="AM8793" t="str">
        <f t="shared" si="137"/>
        <v>Lummen [BELUM]</v>
      </c>
      <c r="AN8793" t="s">
        <v>2680</v>
      </c>
      <c r="AO8793" t="s">
        <v>2681</v>
      </c>
    </row>
    <row r="8794" spans="39:41" ht="12" customHeight="1" x14ac:dyDescent="0.2">
      <c r="AM8794" t="str">
        <f t="shared" si="137"/>
        <v>Lumut [BNLUM]</v>
      </c>
      <c r="AN8794" t="s">
        <v>3214</v>
      </c>
      <c r="AO8794" t="s">
        <v>3215</v>
      </c>
    </row>
    <row r="8795" spans="39:41" ht="12" customHeight="1" x14ac:dyDescent="0.2">
      <c r="AM8795" t="str">
        <f t="shared" si="137"/>
        <v>Lumut [MYLUM]</v>
      </c>
      <c r="AN8795" t="s">
        <v>22640</v>
      </c>
      <c r="AO8795" t="s">
        <v>3215</v>
      </c>
    </row>
    <row r="8796" spans="39:41" ht="12" customHeight="1" x14ac:dyDescent="0.2">
      <c r="AM8796" t="str">
        <f t="shared" si="137"/>
        <v>Lunan [CNLNN]</v>
      </c>
      <c r="AN8796" t="s">
        <v>5689</v>
      </c>
      <c r="AO8796" t="s">
        <v>5690</v>
      </c>
    </row>
    <row r="8797" spans="39:41" ht="12" customHeight="1" x14ac:dyDescent="0.2">
      <c r="AM8797" t="str">
        <f t="shared" si="137"/>
        <v>Lunao [PHLNO]</v>
      </c>
      <c r="AN8797" t="s">
        <v>25887</v>
      </c>
      <c r="AO8797" t="s">
        <v>25888</v>
      </c>
    </row>
    <row r="8798" spans="39:41" ht="12" customHeight="1" x14ac:dyDescent="0.2">
      <c r="AM8798" t="str">
        <f t="shared" si="137"/>
        <v>Lundeborg [DKLUN]</v>
      </c>
      <c r="AN8798" t="s">
        <v>8799</v>
      </c>
      <c r="AO8798" t="s">
        <v>8800</v>
      </c>
    </row>
    <row r="8799" spans="39:41" ht="12" customHeight="1" x14ac:dyDescent="0.2">
      <c r="AM8799" t="str">
        <f t="shared" si="137"/>
        <v>Lundu, Sarawak [MYLUN]</v>
      </c>
      <c r="AN8799" t="s">
        <v>22641</v>
      </c>
      <c r="AO8799" t="s">
        <v>22642</v>
      </c>
    </row>
    <row r="8800" spans="39:41" ht="12" customHeight="1" x14ac:dyDescent="0.2">
      <c r="AM8800" t="str">
        <f t="shared" si="137"/>
        <v>Lunenburg [CALUN]</v>
      </c>
      <c r="AN8800" t="s">
        <v>4063</v>
      </c>
      <c r="AO8800" t="s">
        <v>4064</v>
      </c>
    </row>
    <row r="8801" spans="39:41" ht="12" customHeight="1" x14ac:dyDescent="0.2">
      <c r="AM8801" t="str">
        <f t="shared" si="137"/>
        <v>Luneray [FRXRY]</v>
      </c>
      <c r="AN8801" t="s">
        <v>11611</v>
      </c>
      <c r="AO8801" t="s">
        <v>11612</v>
      </c>
    </row>
    <row r="8802" spans="39:41" ht="12" customHeight="1" x14ac:dyDescent="0.2">
      <c r="AM8802" t="str">
        <f t="shared" si="137"/>
        <v>Lung-men [TWLGM]</v>
      </c>
      <c r="AN8802" t="s">
        <v>28675</v>
      </c>
      <c r="AO8802" t="s">
        <v>28676</v>
      </c>
    </row>
    <row r="8803" spans="39:41" ht="12" customHeight="1" x14ac:dyDescent="0.2">
      <c r="AM8803" t="str">
        <f t="shared" si="137"/>
        <v>Lunow [DELOW]</v>
      </c>
      <c r="AN8803" t="s">
        <v>7858</v>
      </c>
      <c r="AO8803" t="s">
        <v>7859</v>
      </c>
    </row>
    <row r="8804" spans="39:41" ht="12" customHeight="1" x14ac:dyDescent="0.2">
      <c r="AM8804" t="str">
        <f t="shared" si="137"/>
        <v>Luobei [CNLUB]</v>
      </c>
      <c r="AN8804" t="s">
        <v>5691</v>
      </c>
      <c r="AO8804" t="s">
        <v>5692</v>
      </c>
    </row>
    <row r="8805" spans="39:41" ht="12" customHeight="1" x14ac:dyDescent="0.2">
      <c r="AM8805" t="str">
        <f t="shared" si="137"/>
        <v>Luohuang [CNLOH]</v>
      </c>
      <c r="AN8805" t="s">
        <v>5693</v>
      </c>
      <c r="AO8805" t="s">
        <v>5694</v>
      </c>
    </row>
    <row r="8806" spans="39:41" ht="12" customHeight="1" x14ac:dyDescent="0.2">
      <c r="AM8806" t="str">
        <f t="shared" si="137"/>
        <v>Luojingtan [CNLJT]</v>
      </c>
      <c r="AN8806" t="s">
        <v>5695</v>
      </c>
      <c r="AO8806" t="s">
        <v>5696</v>
      </c>
    </row>
    <row r="8807" spans="39:41" ht="12" customHeight="1" x14ac:dyDescent="0.2">
      <c r="AM8807" t="str">
        <f t="shared" si="137"/>
        <v>Luoqi [CNLQI]</v>
      </c>
      <c r="AN8807" t="s">
        <v>5697</v>
      </c>
      <c r="AO8807" t="s">
        <v>5698</v>
      </c>
    </row>
    <row r="8808" spans="39:41" ht="12" customHeight="1" x14ac:dyDescent="0.2">
      <c r="AM8808" t="str">
        <f t="shared" si="137"/>
        <v>Lupton [USLP2]</v>
      </c>
      <c r="AN8808" t="s">
        <v>30488</v>
      </c>
      <c r="AO8808" t="s">
        <v>30489</v>
      </c>
    </row>
    <row r="8809" spans="39:41" ht="12" customHeight="1" x14ac:dyDescent="0.2">
      <c r="AM8809" t="str">
        <f t="shared" si="137"/>
        <v>Luque [ESLUQ]</v>
      </c>
      <c r="AN8809" t="s">
        <v>9921</v>
      </c>
      <c r="AO8809" t="s">
        <v>9922</v>
      </c>
    </row>
    <row r="8810" spans="39:41" ht="12" customHeight="1" x14ac:dyDescent="0.2">
      <c r="AM8810" t="str">
        <f t="shared" si="137"/>
        <v>Lura [NOLRA]</v>
      </c>
      <c r="AN8810" t="s">
        <v>24449</v>
      </c>
      <c r="AO8810" t="s">
        <v>24450</v>
      </c>
    </row>
    <row r="8811" spans="39:41" ht="12" customHeight="1" x14ac:dyDescent="0.2">
      <c r="AM8811" t="str">
        <f t="shared" si="137"/>
        <v>Lurganm Armagh [IELAR]</v>
      </c>
      <c r="AN8811" t="s">
        <v>16861</v>
      </c>
      <c r="AO8811" t="s">
        <v>16862</v>
      </c>
    </row>
    <row r="8812" spans="39:41" ht="12" customHeight="1" x14ac:dyDescent="0.2">
      <c r="AM8812" t="str">
        <f t="shared" si="137"/>
        <v>Luroy [NOLUR]</v>
      </c>
      <c r="AN8812" t="s">
        <v>24451</v>
      </c>
      <c r="AO8812" t="s">
        <v>36245</v>
      </c>
    </row>
    <row r="8813" spans="39:41" ht="12" customHeight="1" x14ac:dyDescent="0.2">
      <c r="AM8813" t="str">
        <f t="shared" si="137"/>
        <v>Lushun New Pt [CNLSH]</v>
      </c>
      <c r="AN8813" t="s">
        <v>5699</v>
      </c>
      <c r="AO8813" t="s">
        <v>5700</v>
      </c>
    </row>
    <row r="8814" spans="39:41" ht="12" customHeight="1" x14ac:dyDescent="0.2">
      <c r="AM8814" t="str">
        <f t="shared" si="137"/>
        <v>Lusi [CNLUS]</v>
      </c>
      <c r="AN8814" t="s">
        <v>5701</v>
      </c>
      <c r="AO8814" t="s">
        <v>5702</v>
      </c>
    </row>
    <row r="8815" spans="39:41" ht="12" customHeight="1" x14ac:dyDescent="0.2">
      <c r="AM8815" t="str">
        <f t="shared" si="137"/>
        <v>Luster [NOLUS]</v>
      </c>
      <c r="AN8815" t="s">
        <v>24452</v>
      </c>
      <c r="AO8815" t="s">
        <v>24453</v>
      </c>
    </row>
    <row r="8816" spans="39:41" ht="12" customHeight="1" x14ac:dyDescent="0.2">
      <c r="AM8816" t="str">
        <f t="shared" si="137"/>
        <v>Lustin [BELUI]</v>
      </c>
      <c r="AN8816" t="s">
        <v>2682</v>
      </c>
      <c r="AO8816" t="s">
        <v>2683</v>
      </c>
    </row>
    <row r="8817" spans="39:41" ht="12" customHeight="1" x14ac:dyDescent="0.2">
      <c r="AM8817" t="str">
        <f t="shared" si="137"/>
        <v>Lutelandet [NOLUL]</v>
      </c>
      <c r="AN8817" t="s">
        <v>24454</v>
      </c>
      <c r="AO8817" t="s">
        <v>24455</v>
      </c>
    </row>
    <row r="8818" spans="39:41" ht="12" customHeight="1" x14ac:dyDescent="0.2">
      <c r="AM8818" t="str">
        <f t="shared" ref="AM8818:AM8881" si="138">AO8818 &amp; " [" &amp; AN8818 &amp; "]"</f>
        <v>Lutgenrode [DELT9]</v>
      </c>
      <c r="AN8818" t="s">
        <v>7860</v>
      </c>
      <c r="AO8818" t="s">
        <v>35468</v>
      </c>
    </row>
    <row r="8819" spans="39:41" ht="12" customHeight="1" x14ac:dyDescent="0.2">
      <c r="AM8819" t="str">
        <f t="shared" si="138"/>
        <v>Lutita [ROLUT]</v>
      </c>
      <c r="AN8819" t="s">
        <v>26777</v>
      </c>
      <c r="AO8819" t="s">
        <v>26778</v>
      </c>
    </row>
    <row r="8820" spans="39:41" ht="12" customHeight="1" x14ac:dyDescent="0.2">
      <c r="AM8820" t="str">
        <f t="shared" si="138"/>
        <v>Lutjenburg [DETJE]</v>
      </c>
      <c r="AN8820" t="s">
        <v>7861</v>
      </c>
      <c r="AO8820" t="s">
        <v>7862</v>
      </c>
    </row>
    <row r="8821" spans="39:41" ht="12" customHeight="1" x14ac:dyDescent="0.2">
      <c r="AM8821" t="str">
        <f t="shared" si="138"/>
        <v>Lutong, Sarawak [MYLUT]</v>
      </c>
      <c r="AN8821" t="s">
        <v>22643</v>
      </c>
      <c r="AO8821" t="s">
        <v>22644</v>
      </c>
    </row>
    <row r="8822" spans="39:41" ht="12" customHeight="1" x14ac:dyDescent="0.2">
      <c r="AM8822" t="str">
        <f t="shared" si="138"/>
        <v>Lutz [USLTZ]</v>
      </c>
      <c r="AN8822" t="s">
        <v>30490</v>
      </c>
      <c r="AO8822" t="s">
        <v>30491</v>
      </c>
    </row>
    <row r="8823" spans="39:41" ht="12" customHeight="1" x14ac:dyDescent="0.2">
      <c r="AM8823" t="str">
        <f t="shared" si="138"/>
        <v>Lutzelbourg [FROSH]</v>
      </c>
      <c r="AN8823" t="s">
        <v>11613</v>
      </c>
      <c r="AO8823" t="s">
        <v>11614</v>
      </c>
    </row>
    <row r="8824" spans="39:41" ht="12" customHeight="1" x14ac:dyDescent="0.2">
      <c r="AM8824" t="str">
        <f t="shared" si="138"/>
        <v>Luumaki [FILUA]</v>
      </c>
      <c r="AN8824" t="s">
        <v>10456</v>
      </c>
      <c r="AO8824" t="s">
        <v>35739</v>
      </c>
    </row>
    <row r="8825" spans="39:41" ht="12" customHeight="1" x14ac:dyDescent="0.2">
      <c r="AM8825" t="str">
        <f t="shared" si="138"/>
        <v>Luvia [FILUV]</v>
      </c>
      <c r="AN8825" t="s">
        <v>10457</v>
      </c>
      <c r="AO8825" t="s">
        <v>10458</v>
      </c>
    </row>
    <row r="8826" spans="39:41" ht="12" customHeight="1" x14ac:dyDescent="0.2">
      <c r="AM8826" t="str">
        <f t="shared" si="138"/>
        <v>Luwuk [IDLUW]</v>
      </c>
      <c r="AN8826" t="s">
        <v>16382</v>
      </c>
      <c r="AO8826" t="s">
        <v>16383</v>
      </c>
    </row>
    <row r="8827" spans="39:41" ht="12" customHeight="1" x14ac:dyDescent="0.2">
      <c r="AM8827" t="str">
        <f t="shared" si="138"/>
        <v>Luxborough [GBLXG]</v>
      </c>
      <c r="AN8827" t="s">
        <v>13760</v>
      </c>
      <c r="AO8827" t="s">
        <v>13761</v>
      </c>
    </row>
    <row r="8828" spans="39:41" ht="12" customHeight="1" x14ac:dyDescent="0.2">
      <c r="AM8828" t="str">
        <f t="shared" si="138"/>
        <v>Luxembourg [LULUX]</v>
      </c>
      <c r="AN8828" t="s">
        <v>21908</v>
      </c>
      <c r="AO8828" t="s">
        <v>21909</v>
      </c>
    </row>
    <row r="8829" spans="39:41" ht="12" customHeight="1" x14ac:dyDescent="0.2">
      <c r="AM8829" t="str">
        <f t="shared" si="138"/>
        <v>Luxikou Pt [CNLXP]</v>
      </c>
      <c r="AN8829" t="s">
        <v>5703</v>
      </c>
      <c r="AO8829" t="s">
        <v>5704</v>
      </c>
    </row>
    <row r="8830" spans="39:41" ht="12" customHeight="1" x14ac:dyDescent="0.2">
      <c r="AM8830" t="str">
        <f t="shared" si="138"/>
        <v>Luxulyan [GBLUX]</v>
      </c>
      <c r="AN8830" t="s">
        <v>13762</v>
      </c>
      <c r="AO8830" t="s">
        <v>13763</v>
      </c>
    </row>
    <row r="8831" spans="39:41" ht="12" customHeight="1" x14ac:dyDescent="0.2">
      <c r="AM8831" t="str">
        <f t="shared" si="138"/>
        <v>Luzancy [FRZCY]</v>
      </c>
      <c r="AN8831" t="s">
        <v>11615</v>
      </c>
      <c r="AO8831" t="s">
        <v>11616</v>
      </c>
    </row>
    <row r="8832" spans="39:41" ht="12" customHeight="1" x14ac:dyDescent="0.2">
      <c r="AM8832" t="str">
        <f t="shared" si="138"/>
        <v>Luzhai [CNLZI]</v>
      </c>
      <c r="AN8832" t="s">
        <v>5705</v>
      </c>
      <c r="AO8832" t="s">
        <v>5706</v>
      </c>
    </row>
    <row r="8833" spans="39:41" ht="12" customHeight="1" x14ac:dyDescent="0.2">
      <c r="AM8833" t="str">
        <f t="shared" si="138"/>
        <v>Luzhou [CNLUZ]</v>
      </c>
      <c r="AN8833" t="s">
        <v>5707</v>
      </c>
      <c r="AO8833" t="s">
        <v>5708</v>
      </c>
    </row>
    <row r="8834" spans="39:41" ht="12" customHeight="1" x14ac:dyDescent="0.2">
      <c r="AM8834" t="str">
        <f t="shared" si="138"/>
        <v>Luzuriaga [ARLZG]</v>
      </c>
      <c r="AN8834" t="s">
        <v>1043</v>
      </c>
      <c r="AO8834" t="s">
        <v>1044</v>
      </c>
    </row>
    <row r="8835" spans="39:41" ht="12" customHeight="1" x14ac:dyDescent="0.2">
      <c r="AM8835" t="str">
        <f t="shared" si="138"/>
        <v>Lybster [GBLYB]</v>
      </c>
      <c r="AN8835" t="s">
        <v>13764</v>
      </c>
      <c r="AO8835" t="s">
        <v>13765</v>
      </c>
    </row>
    <row r="8836" spans="39:41" ht="12" customHeight="1" x14ac:dyDescent="0.2">
      <c r="AM8836" t="str">
        <f t="shared" si="138"/>
        <v>Lydd on Sea [GBYOS]</v>
      </c>
      <c r="AN8836" t="s">
        <v>13766</v>
      </c>
      <c r="AO8836" t="s">
        <v>13767</v>
      </c>
    </row>
    <row r="8837" spans="39:41" ht="12" customHeight="1" x14ac:dyDescent="0.2">
      <c r="AM8837" t="str">
        <f t="shared" si="138"/>
        <v>Lydney [GBLYD]</v>
      </c>
      <c r="AN8837" t="s">
        <v>13768</v>
      </c>
      <c r="AO8837" t="s">
        <v>13769</v>
      </c>
    </row>
    <row r="8838" spans="39:41" ht="12" customHeight="1" x14ac:dyDescent="0.2">
      <c r="AM8838" t="str">
        <f t="shared" si="138"/>
        <v>Lyerly [USLYR]</v>
      </c>
      <c r="AN8838" t="s">
        <v>30492</v>
      </c>
      <c r="AO8838" t="s">
        <v>30493</v>
      </c>
    </row>
    <row r="8839" spans="39:41" ht="12" customHeight="1" x14ac:dyDescent="0.2">
      <c r="AM8839" t="str">
        <f t="shared" si="138"/>
        <v>Lyle [US3WA]</v>
      </c>
      <c r="AN8839" t="s">
        <v>30494</v>
      </c>
      <c r="AO8839" t="s">
        <v>30495</v>
      </c>
    </row>
    <row r="8840" spans="39:41" ht="12" customHeight="1" x14ac:dyDescent="0.2">
      <c r="AM8840" t="str">
        <f t="shared" si="138"/>
        <v>Lyles [USQLY]</v>
      </c>
      <c r="AN8840" t="s">
        <v>30496</v>
      </c>
      <c r="AO8840" t="s">
        <v>30497</v>
      </c>
    </row>
    <row r="8841" spans="39:41" ht="12" customHeight="1" x14ac:dyDescent="0.2">
      <c r="AM8841" t="str">
        <f t="shared" si="138"/>
        <v>Lyme Regis [GBLYR]</v>
      </c>
      <c r="AN8841" t="s">
        <v>13770</v>
      </c>
      <c r="AO8841" t="s">
        <v>13771</v>
      </c>
    </row>
    <row r="8842" spans="39:41" ht="12" customHeight="1" x14ac:dyDescent="0.2">
      <c r="AM8842" t="str">
        <f t="shared" si="138"/>
        <v>Lymington [GBLYM]</v>
      </c>
      <c r="AN8842" t="s">
        <v>13772</v>
      </c>
      <c r="AO8842" t="s">
        <v>13773</v>
      </c>
    </row>
    <row r="8843" spans="39:41" ht="12" customHeight="1" x14ac:dyDescent="0.2">
      <c r="AM8843" t="str">
        <f t="shared" si="138"/>
        <v>Lyndiane [SNLYN]</v>
      </c>
      <c r="AN8843" t="s">
        <v>28096</v>
      </c>
      <c r="AO8843" t="s">
        <v>28097</v>
      </c>
    </row>
    <row r="8844" spans="39:41" ht="12" customHeight="1" x14ac:dyDescent="0.2">
      <c r="AM8844" t="str">
        <f t="shared" si="138"/>
        <v>Lyness [GBLYS]</v>
      </c>
      <c r="AN8844" t="s">
        <v>13774</v>
      </c>
      <c r="AO8844" t="s">
        <v>13775</v>
      </c>
    </row>
    <row r="8845" spans="39:41" ht="12" customHeight="1" x14ac:dyDescent="0.2">
      <c r="AM8845" t="str">
        <f t="shared" si="138"/>
        <v>Lyngdal [NOLND]</v>
      </c>
      <c r="AN8845" t="s">
        <v>37092</v>
      </c>
      <c r="AO8845" t="s">
        <v>37093</v>
      </c>
    </row>
    <row r="8846" spans="39:41" ht="12" customHeight="1" x14ac:dyDescent="0.2">
      <c r="AM8846" t="str">
        <f t="shared" si="138"/>
        <v>Lyngen [NOLYN]</v>
      </c>
      <c r="AN8846" t="s">
        <v>24456</v>
      </c>
      <c r="AO8846" t="s">
        <v>24457</v>
      </c>
    </row>
    <row r="8847" spans="39:41" ht="12" customHeight="1" x14ac:dyDescent="0.2">
      <c r="AM8847" t="str">
        <f t="shared" si="138"/>
        <v>Lyngs Odde Havn [DKLYO]</v>
      </c>
      <c r="AN8847" t="s">
        <v>8801</v>
      </c>
      <c r="AO8847" t="s">
        <v>8802</v>
      </c>
    </row>
    <row r="8848" spans="39:41" ht="12" customHeight="1" x14ac:dyDescent="0.2">
      <c r="AM8848" t="str">
        <f t="shared" si="138"/>
        <v>Lyngseidet [NOLYD]</v>
      </c>
      <c r="AN8848" t="s">
        <v>24458</v>
      </c>
      <c r="AO8848" t="s">
        <v>24459</v>
      </c>
    </row>
    <row r="8849" spans="39:41" ht="12" customHeight="1" x14ac:dyDescent="0.2">
      <c r="AM8849" t="str">
        <f t="shared" si="138"/>
        <v>Lynmouth [GBLNM]</v>
      </c>
      <c r="AN8849" t="s">
        <v>13776</v>
      </c>
      <c r="AO8849" t="s">
        <v>13777</v>
      </c>
    </row>
    <row r="8850" spans="39:41" ht="12" customHeight="1" x14ac:dyDescent="0.2">
      <c r="AM8850" t="str">
        <f t="shared" si="138"/>
        <v>Lynn Haven [USLYM]</v>
      </c>
      <c r="AN8850" t="s">
        <v>30498</v>
      </c>
      <c r="AO8850" t="s">
        <v>30499</v>
      </c>
    </row>
    <row r="8851" spans="39:41" ht="12" customHeight="1" x14ac:dyDescent="0.2">
      <c r="AM8851" t="str">
        <f t="shared" si="138"/>
        <v>Lynnfield [US7YT]</v>
      </c>
      <c r="AN8851" t="s">
        <v>30500</v>
      </c>
      <c r="AO8851" t="s">
        <v>30501</v>
      </c>
    </row>
    <row r="8852" spans="39:41" ht="12" customHeight="1" x14ac:dyDescent="0.2">
      <c r="AM8852" t="str">
        <f t="shared" si="138"/>
        <v>Lynnhaven Roads [USYVO]</v>
      </c>
      <c r="AN8852" t="s">
        <v>30502</v>
      </c>
      <c r="AO8852" t="s">
        <v>30503</v>
      </c>
    </row>
    <row r="8853" spans="39:41" ht="12" customHeight="1" x14ac:dyDescent="0.2">
      <c r="AM8853" t="str">
        <f t="shared" si="138"/>
        <v>Lynton [GBLYT]</v>
      </c>
      <c r="AN8853" t="s">
        <v>13778</v>
      </c>
      <c r="AO8853" t="s">
        <v>13779</v>
      </c>
    </row>
    <row r="8854" spans="39:41" ht="12" customHeight="1" x14ac:dyDescent="0.2">
      <c r="AM8854" t="str">
        <f t="shared" si="138"/>
        <v>Lyon [FRLIO]</v>
      </c>
      <c r="AN8854" t="s">
        <v>11617</v>
      </c>
      <c r="AO8854" t="s">
        <v>11618</v>
      </c>
    </row>
    <row r="8855" spans="39:41" ht="12" customHeight="1" x14ac:dyDescent="0.2">
      <c r="AM8855" t="str">
        <f t="shared" si="138"/>
        <v>Lysaker [NOLYS]</v>
      </c>
      <c r="AN8855" t="s">
        <v>24460</v>
      </c>
      <c r="AO8855" t="s">
        <v>24461</v>
      </c>
    </row>
    <row r="8856" spans="39:41" ht="12" customHeight="1" x14ac:dyDescent="0.2">
      <c r="AM8856" t="str">
        <f t="shared" si="138"/>
        <v>Lysebotn [NOLYF]</v>
      </c>
      <c r="AN8856" t="s">
        <v>24462</v>
      </c>
      <c r="AO8856" t="s">
        <v>24463</v>
      </c>
    </row>
    <row r="8857" spans="39:41" ht="12" customHeight="1" x14ac:dyDescent="0.2">
      <c r="AM8857" t="str">
        <f t="shared" si="138"/>
        <v>Lysekil [SELYS]</v>
      </c>
      <c r="AN8857" t="s">
        <v>27740</v>
      </c>
      <c r="AO8857" t="s">
        <v>27741</v>
      </c>
    </row>
    <row r="8858" spans="39:41" ht="12" customHeight="1" x14ac:dyDescent="0.2">
      <c r="AM8858" t="str">
        <f t="shared" si="138"/>
        <v>Lysoysund [NOLSU]</v>
      </c>
      <c r="AN8858" t="s">
        <v>24464</v>
      </c>
      <c r="AO8858" t="s">
        <v>36246</v>
      </c>
    </row>
    <row r="8859" spans="39:41" ht="12" customHeight="1" x14ac:dyDescent="0.2">
      <c r="AM8859" t="str">
        <f t="shared" si="138"/>
        <v>Lytchett Minster [GBLCM]</v>
      </c>
      <c r="AN8859" t="s">
        <v>13780</v>
      </c>
      <c r="AO8859" t="s">
        <v>13781</v>
      </c>
    </row>
    <row r="8860" spans="39:41" ht="12" customHeight="1" x14ac:dyDescent="0.2">
      <c r="AM8860" t="str">
        <f t="shared" si="138"/>
        <v>Lyttelton [NZLYT]</v>
      </c>
      <c r="AN8860" t="s">
        <v>25072</v>
      </c>
      <c r="AO8860" t="s">
        <v>25073</v>
      </c>
    </row>
    <row r="8861" spans="39:41" ht="12" customHeight="1" x14ac:dyDescent="0.2">
      <c r="AM8861" t="str">
        <f t="shared" si="138"/>
        <v>Lyubim [RULBU]</v>
      </c>
      <c r="AN8861" t="s">
        <v>27071</v>
      </c>
      <c r="AO8861" t="s">
        <v>27072</v>
      </c>
    </row>
    <row r="8862" spans="39:41" ht="12" customHeight="1" x14ac:dyDescent="0.2">
      <c r="AM8862" t="str">
        <f t="shared" si="138"/>
        <v>Maaninka [FIMAA]</v>
      </c>
      <c r="AN8862" t="s">
        <v>10459</v>
      </c>
      <c r="AO8862" t="s">
        <v>10460</v>
      </c>
    </row>
    <row r="8863" spans="39:41" ht="12" customHeight="1" x14ac:dyDescent="0.2">
      <c r="AM8863" t="str">
        <f t="shared" si="138"/>
        <v>Maanshan Pt [CNMAA]</v>
      </c>
      <c r="AN8863" t="s">
        <v>5709</v>
      </c>
      <c r="AO8863" t="s">
        <v>5710</v>
      </c>
    </row>
    <row r="8864" spans="39:41" ht="12" customHeight="1" x14ac:dyDescent="0.2">
      <c r="AM8864" t="str">
        <f t="shared" si="138"/>
        <v>Maarhuizen [NLMHU]</v>
      </c>
      <c r="AN8864" t="s">
        <v>23382</v>
      </c>
      <c r="AO8864" t="s">
        <v>23383</v>
      </c>
    </row>
    <row r="8865" spans="39:41" ht="12" customHeight="1" x14ac:dyDescent="0.2">
      <c r="AM8865" t="str">
        <f t="shared" si="138"/>
        <v>Maari Terminal FPSO [NZMAR]</v>
      </c>
      <c r="AN8865" t="s">
        <v>25074</v>
      </c>
      <c r="AO8865" t="s">
        <v>25075</v>
      </c>
    </row>
    <row r="8866" spans="39:41" ht="12" customHeight="1" x14ac:dyDescent="0.2">
      <c r="AM8866" t="str">
        <f t="shared" si="138"/>
        <v>Maarianhamina (Mariehamn) [AXMHQ]</v>
      </c>
      <c r="AN8866" t="s">
        <v>2152</v>
      </c>
      <c r="AO8866" t="s">
        <v>2153</v>
      </c>
    </row>
    <row r="8867" spans="39:41" ht="12" customHeight="1" x14ac:dyDescent="0.2">
      <c r="AM8867" t="str">
        <f t="shared" si="138"/>
        <v>Maarianhamina (Mariehamn) [FIMHQ]</v>
      </c>
      <c r="AN8867" t="s">
        <v>10461</v>
      </c>
      <c r="AO8867" t="s">
        <v>2153</v>
      </c>
    </row>
    <row r="8868" spans="39:41" ht="12" customHeight="1" x14ac:dyDescent="0.2">
      <c r="AM8868" t="str">
        <f t="shared" si="138"/>
        <v>Maarmorliik [GLMML]</v>
      </c>
      <c r="AN8868" t="s">
        <v>14997</v>
      </c>
      <c r="AO8868" t="s">
        <v>14998</v>
      </c>
    </row>
    <row r="8869" spans="39:41" ht="12" customHeight="1" x14ac:dyDescent="0.2">
      <c r="AM8869" t="str">
        <f t="shared" si="138"/>
        <v>Maasbracht [NLMSB]</v>
      </c>
      <c r="AN8869" t="s">
        <v>23384</v>
      </c>
      <c r="AO8869" t="s">
        <v>23385</v>
      </c>
    </row>
    <row r="8870" spans="39:41" ht="12" customHeight="1" x14ac:dyDescent="0.2">
      <c r="AM8870" t="str">
        <f t="shared" si="138"/>
        <v>Maaseik [BEMSK]</v>
      </c>
      <c r="AN8870" t="s">
        <v>2684</v>
      </c>
      <c r="AO8870" t="s">
        <v>2685</v>
      </c>
    </row>
    <row r="8871" spans="39:41" ht="12" customHeight="1" x14ac:dyDescent="0.2">
      <c r="AM8871" t="str">
        <f t="shared" si="138"/>
        <v>Maasmechelen [BEMMN]</v>
      </c>
      <c r="AN8871" t="s">
        <v>2686</v>
      </c>
      <c r="AO8871" t="s">
        <v>2687</v>
      </c>
    </row>
    <row r="8872" spans="39:41" ht="12" customHeight="1" x14ac:dyDescent="0.2">
      <c r="AM8872" t="str">
        <f t="shared" si="138"/>
        <v>Maassluis [NLMSL]</v>
      </c>
      <c r="AN8872" t="s">
        <v>23386</v>
      </c>
      <c r="AO8872" t="s">
        <v>23387</v>
      </c>
    </row>
    <row r="8873" spans="39:41" ht="12" customHeight="1" x14ac:dyDescent="0.2">
      <c r="AM8873" t="str">
        <f t="shared" si="138"/>
        <v>Maastricht [NLMST]</v>
      </c>
      <c r="AN8873" t="s">
        <v>23388</v>
      </c>
      <c r="AO8873" t="s">
        <v>23389</v>
      </c>
    </row>
    <row r="8874" spans="39:41" ht="12" customHeight="1" x14ac:dyDescent="0.2">
      <c r="AM8874" t="str">
        <f t="shared" si="138"/>
        <v>Maasvlakte [NLMSV]</v>
      </c>
      <c r="AN8874" t="s">
        <v>36109</v>
      </c>
      <c r="AO8874" t="s">
        <v>36110</v>
      </c>
    </row>
    <row r="8875" spans="39:41" ht="12" customHeight="1" x14ac:dyDescent="0.2">
      <c r="AM8875" t="str">
        <f t="shared" si="138"/>
        <v>Mab Tapud [THMAT]</v>
      </c>
      <c r="AN8875" t="s">
        <v>28250</v>
      </c>
      <c r="AO8875" t="s">
        <v>28251</v>
      </c>
    </row>
    <row r="8876" spans="39:41" ht="12" customHeight="1" x14ac:dyDescent="0.2">
      <c r="AM8876" t="str">
        <f t="shared" si="138"/>
        <v>Mabaguid [PHMGD]</v>
      </c>
      <c r="AN8876" t="s">
        <v>25889</v>
      </c>
      <c r="AO8876" t="s">
        <v>25890</v>
      </c>
    </row>
    <row r="8877" spans="39:41" ht="12" customHeight="1" x14ac:dyDescent="0.2">
      <c r="AM8877" t="str">
        <f t="shared" si="138"/>
        <v>Mabian Island [CNMBI]</v>
      </c>
      <c r="AN8877" t="s">
        <v>5711</v>
      </c>
      <c r="AO8877" t="s">
        <v>5712</v>
      </c>
    </row>
    <row r="8878" spans="39:41" ht="12" customHeight="1" x14ac:dyDescent="0.2">
      <c r="AM8878" t="str">
        <f t="shared" si="138"/>
        <v>Mabini, Mindanao [PHMAB]</v>
      </c>
      <c r="AN8878" t="s">
        <v>25891</v>
      </c>
      <c r="AO8878" t="s">
        <v>25892</v>
      </c>
    </row>
    <row r="8879" spans="39:41" ht="12" customHeight="1" x14ac:dyDescent="0.2">
      <c r="AM8879" t="str">
        <f t="shared" si="138"/>
        <v>Mablethorpe [GBMTP]</v>
      </c>
      <c r="AN8879" t="s">
        <v>13782</v>
      </c>
      <c r="AO8879" t="s">
        <v>13783</v>
      </c>
    </row>
    <row r="8880" spans="39:41" ht="12" customHeight="1" x14ac:dyDescent="0.2">
      <c r="AM8880" t="str">
        <f t="shared" si="138"/>
        <v>Mabou [CAMAB]</v>
      </c>
      <c r="AN8880" t="s">
        <v>4065</v>
      </c>
      <c r="AO8880" t="s">
        <v>4066</v>
      </c>
    </row>
    <row r="8881" spans="39:41" ht="12" customHeight="1" x14ac:dyDescent="0.2">
      <c r="AM8881" t="str">
        <f t="shared" si="138"/>
        <v>Mabscott [US3SD]</v>
      </c>
      <c r="AN8881" t="s">
        <v>30504</v>
      </c>
      <c r="AO8881" t="s">
        <v>30505</v>
      </c>
    </row>
    <row r="8882" spans="39:41" ht="12" customHeight="1" x14ac:dyDescent="0.2">
      <c r="AM8882" t="str">
        <f t="shared" ref="AM8882:AM8945" si="139">AO8882 &amp; " [" &amp; AN8882 &amp; "]"</f>
        <v>Mabton [USZAN]</v>
      </c>
      <c r="AN8882" t="s">
        <v>30506</v>
      </c>
      <c r="AO8882" t="s">
        <v>30507</v>
      </c>
    </row>
    <row r="8883" spans="39:41" ht="12" customHeight="1" x14ac:dyDescent="0.2">
      <c r="AM8883" t="str">
        <f t="shared" si="139"/>
        <v>Macaiba [BRMAI]</v>
      </c>
      <c r="AN8883" t="s">
        <v>3335</v>
      </c>
      <c r="AO8883" t="s">
        <v>3336</v>
      </c>
    </row>
    <row r="8884" spans="39:41" ht="12" customHeight="1" x14ac:dyDescent="0.2">
      <c r="AM8884" t="str">
        <f t="shared" si="139"/>
        <v>Macapa [BRMCP]</v>
      </c>
      <c r="AN8884" t="s">
        <v>3337</v>
      </c>
      <c r="AO8884" t="s">
        <v>3338</v>
      </c>
    </row>
    <row r="8885" spans="39:41" ht="12" customHeight="1" x14ac:dyDescent="0.2">
      <c r="AM8885" t="str">
        <f t="shared" si="139"/>
        <v>Macau [BRMCU]</v>
      </c>
      <c r="AN8885" t="s">
        <v>3339</v>
      </c>
      <c r="AO8885" t="s">
        <v>3340</v>
      </c>
    </row>
    <row r="8886" spans="39:41" ht="12" customHeight="1" x14ac:dyDescent="0.2">
      <c r="AM8886" t="str">
        <f t="shared" si="139"/>
        <v>Macau [FRMCQ]</v>
      </c>
      <c r="AN8886" t="s">
        <v>11619</v>
      </c>
      <c r="AO8886" t="s">
        <v>3340</v>
      </c>
    </row>
    <row r="8887" spans="39:41" ht="12" customHeight="1" x14ac:dyDescent="0.2">
      <c r="AM8887" t="str">
        <f t="shared" si="139"/>
        <v>Macau [MOMFM]</v>
      </c>
      <c r="AN8887" t="s">
        <v>22222</v>
      </c>
      <c r="AO8887" t="s">
        <v>3340</v>
      </c>
    </row>
    <row r="8888" spans="39:41" ht="12" customHeight="1" x14ac:dyDescent="0.2">
      <c r="AM8888" t="str">
        <f t="shared" si="139"/>
        <v>Macclesfield [GBMCL]</v>
      </c>
      <c r="AN8888" t="s">
        <v>13784</v>
      </c>
      <c r="AO8888" t="s">
        <v>13785</v>
      </c>
    </row>
    <row r="8889" spans="39:41" ht="12" customHeight="1" x14ac:dyDescent="0.2">
      <c r="AM8889" t="str">
        <f t="shared" si="139"/>
        <v>Macduff [GBMCD]</v>
      </c>
      <c r="AN8889" t="s">
        <v>13786</v>
      </c>
      <c r="AO8889" t="s">
        <v>13787</v>
      </c>
    </row>
    <row r="8890" spans="39:41" ht="12" customHeight="1" x14ac:dyDescent="0.2">
      <c r="AM8890" t="str">
        <f t="shared" si="139"/>
        <v>Maceio [BRMCZ]</v>
      </c>
      <c r="AN8890" t="s">
        <v>3341</v>
      </c>
      <c r="AO8890" t="s">
        <v>35297</v>
      </c>
    </row>
    <row r="8891" spans="39:41" ht="12" customHeight="1" x14ac:dyDescent="0.2">
      <c r="AM8891" t="str">
        <f t="shared" si="139"/>
        <v>Maceira [PTLE2]</v>
      </c>
      <c r="AN8891" t="s">
        <v>26533</v>
      </c>
      <c r="AO8891" t="s">
        <v>26534</v>
      </c>
    </row>
    <row r="8892" spans="39:41" ht="12" customHeight="1" x14ac:dyDescent="0.2">
      <c r="AM8892" t="str">
        <f t="shared" si="139"/>
        <v>Machelen [BEMCN]</v>
      </c>
      <c r="AN8892" t="s">
        <v>36787</v>
      </c>
      <c r="AO8892" t="s">
        <v>36788</v>
      </c>
    </row>
    <row r="8893" spans="39:41" ht="12" customHeight="1" x14ac:dyDescent="0.2">
      <c r="AM8893" t="str">
        <f t="shared" si="139"/>
        <v>Machesney Park [USMP5]</v>
      </c>
      <c r="AN8893" t="s">
        <v>30508</v>
      </c>
      <c r="AO8893" t="s">
        <v>30509</v>
      </c>
    </row>
    <row r="8894" spans="39:41" ht="12" customHeight="1" x14ac:dyDescent="0.2">
      <c r="AM8894" t="str">
        <f t="shared" si="139"/>
        <v>Machico [PTMCH]</v>
      </c>
      <c r="AN8894" t="s">
        <v>26535</v>
      </c>
      <c r="AO8894" t="s">
        <v>26536</v>
      </c>
    </row>
    <row r="8895" spans="39:41" ht="12" customHeight="1" x14ac:dyDescent="0.2">
      <c r="AM8895" t="str">
        <f t="shared" si="139"/>
        <v>Macin [ROMAC]</v>
      </c>
      <c r="AN8895" t="s">
        <v>26779</v>
      </c>
      <c r="AO8895" t="s">
        <v>26780</v>
      </c>
    </row>
    <row r="8896" spans="39:41" ht="12" customHeight="1" x14ac:dyDescent="0.2">
      <c r="AM8896" t="str">
        <f t="shared" si="139"/>
        <v>Mackay [AUMKY]</v>
      </c>
      <c r="AN8896" t="s">
        <v>1813</v>
      </c>
      <c r="AO8896" t="s">
        <v>1814</v>
      </c>
    </row>
    <row r="8897" spans="39:41" ht="12" customHeight="1" x14ac:dyDescent="0.2">
      <c r="AM8897" t="str">
        <f t="shared" si="139"/>
        <v>Mackinac Island [USMCD]</v>
      </c>
      <c r="AN8897" t="s">
        <v>30510</v>
      </c>
      <c r="AO8897" t="s">
        <v>30511</v>
      </c>
    </row>
    <row r="8898" spans="39:41" ht="12" customHeight="1" x14ac:dyDescent="0.2">
      <c r="AM8898" t="str">
        <f t="shared" si="139"/>
        <v>Macks Creek [USEJK]</v>
      </c>
      <c r="AN8898" t="s">
        <v>30512</v>
      </c>
      <c r="AO8898" t="s">
        <v>30513</v>
      </c>
    </row>
    <row r="8899" spans="39:41" ht="12" customHeight="1" x14ac:dyDescent="0.2">
      <c r="AM8899" t="str">
        <f t="shared" si="139"/>
        <v>Maco/Davao [PHMCO]</v>
      </c>
      <c r="AN8899" t="s">
        <v>25893</v>
      </c>
      <c r="AO8899" t="s">
        <v>25894</v>
      </c>
    </row>
    <row r="8900" spans="39:41" ht="12" customHeight="1" x14ac:dyDescent="0.2">
      <c r="AM8900" t="str">
        <f t="shared" si="139"/>
        <v>Macojalan/Ozamis [PHMCJ]</v>
      </c>
      <c r="AN8900" t="s">
        <v>25895</v>
      </c>
      <c r="AO8900" t="s">
        <v>25896</v>
      </c>
    </row>
    <row r="8901" spans="39:41" ht="12" customHeight="1" x14ac:dyDescent="0.2">
      <c r="AM8901" t="str">
        <f t="shared" si="139"/>
        <v>Macon [FRMAC]</v>
      </c>
      <c r="AN8901" t="s">
        <v>11620</v>
      </c>
      <c r="AO8901" t="s">
        <v>35823</v>
      </c>
    </row>
    <row r="8902" spans="39:41" ht="12" customHeight="1" x14ac:dyDescent="0.2">
      <c r="AM8902" t="str">
        <f t="shared" si="139"/>
        <v>Macquarie Island [AUMQI]</v>
      </c>
      <c r="AN8902" t="s">
        <v>1815</v>
      </c>
      <c r="AO8902" t="s">
        <v>1816</v>
      </c>
    </row>
    <row r="8903" spans="39:41" ht="12" customHeight="1" x14ac:dyDescent="0.2">
      <c r="AM8903" t="str">
        <f t="shared" si="139"/>
        <v>Macquarie Park [AUMRK]</v>
      </c>
      <c r="AN8903" t="s">
        <v>1817</v>
      </c>
      <c r="AO8903" t="s">
        <v>1818</v>
      </c>
    </row>
    <row r="8904" spans="39:41" ht="12" customHeight="1" x14ac:dyDescent="0.2">
      <c r="AM8904" t="str">
        <f t="shared" si="139"/>
        <v>Mactan Island Apt [PHNOP]</v>
      </c>
      <c r="AN8904" t="s">
        <v>25897</v>
      </c>
      <c r="AO8904" t="s">
        <v>25898</v>
      </c>
    </row>
    <row r="8905" spans="39:41" ht="12" customHeight="1" x14ac:dyDescent="0.2">
      <c r="AM8905" t="str">
        <f t="shared" si="139"/>
        <v>Mactaquac [CAMTQ]</v>
      </c>
      <c r="AN8905" t="s">
        <v>4067</v>
      </c>
      <c r="AO8905" t="s">
        <v>4068</v>
      </c>
    </row>
    <row r="8906" spans="39:41" ht="12" customHeight="1" x14ac:dyDescent="0.2">
      <c r="AM8906" t="str">
        <f t="shared" si="139"/>
        <v>Macun [CNMAC]</v>
      </c>
      <c r="AN8906" t="s">
        <v>5713</v>
      </c>
      <c r="AO8906" t="s">
        <v>5714</v>
      </c>
    </row>
    <row r="8907" spans="39:41" ht="12" customHeight="1" x14ac:dyDescent="0.2">
      <c r="AM8907" t="str">
        <f t="shared" si="139"/>
        <v>Macuse [MZMCU]</v>
      </c>
      <c r="AN8907" t="s">
        <v>22843</v>
      </c>
      <c r="AO8907" t="s">
        <v>22844</v>
      </c>
    </row>
    <row r="8908" spans="39:41" ht="12" customHeight="1" x14ac:dyDescent="0.2">
      <c r="AM8908" t="str">
        <f t="shared" si="139"/>
        <v>Madalena (Madalena do Pico) [PTMAD]</v>
      </c>
      <c r="AN8908" t="s">
        <v>26537</v>
      </c>
      <c r="AO8908" t="s">
        <v>26538</v>
      </c>
    </row>
    <row r="8909" spans="39:41" ht="12" customHeight="1" x14ac:dyDescent="0.2">
      <c r="AM8909" t="str">
        <f t="shared" si="139"/>
        <v>Madalena do Mar [PTMDM]</v>
      </c>
      <c r="AN8909" t="s">
        <v>26539</v>
      </c>
      <c r="AO8909" t="s">
        <v>26540</v>
      </c>
    </row>
    <row r="8910" spans="39:41" ht="12" customHeight="1" x14ac:dyDescent="0.2">
      <c r="AM8910" t="str">
        <f t="shared" si="139"/>
        <v>Madang [PGMAG]</v>
      </c>
      <c r="AN8910" t="s">
        <v>25432</v>
      </c>
      <c r="AO8910" t="s">
        <v>25433</v>
      </c>
    </row>
    <row r="8911" spans="39:41" ht="12" customHeight="1" x14ac:dyDescent="0.2">
      <c r="AM8911" t="str">
        <f t="shared" si="139"/>
        <v>Madantsane [ZAMD3]</v>
      </c>
      <c r="AN8911" t="s">
        <v>32705</v>
      </c>
      <c r="AO8911" t="s">
        <v>32706</v>
      </c>
    </row>
    <row r="8912" spans="39:41" ht="12" customHeight="1" x14ac:dyDescent="0.2">
      <c r="AM8912" t="str">
        <f t="shared" si="139"/>
        <v>Madaum/Davao [PHMAD]</v>
      </c>
      <c r="AN8912" t="s">
        <v>25899</v>
      </c>
      <c r="AO8912" t="s">
        <v>25900</v>
      </c>
    </row>
    <row r="8913" spans="39:41" ht="12" customHeight="1" x14ac:dyDescent="0.2">
      <c r="AM8913" t="str">
        <f t="shared" si="139"/>
        <v>Madeira Beach [USEIF]</v>
      </c>
      <c r="AN8913" t="s">
        <v>30514</v>
      </c>
      <c r="AO8913" t="s">
        <v>30515</v>
      </c>
    </row>
    <row r="8914" spans="39:41" ht="12" customHeight="1" x14ac:dyDescent="0.2">
      <c r="AM8914" t="str">
        <f t="shared" si="139"/>
        <v>Madison Park [USYMD]</v>
      </c>
      <c r="AN8914" t="s">
        <v>30516</v>
      </c>
      <c r="AO8914" t="s">
        <v>30517</v>
      </c>
    </row>
    <row r="8915" spans="39:41" ht="12" customHeight="1" x14ac:dyDescent="0.2">
      <c r="AM8915" t="str">
        <f t="shared" si="139"/>
        <v>Madisonville [USINV]</v>
      </c>
      <c r="AN8915" t="s">
        <v>30518</v>
      </c>
      <c r="AO8915" t="s">
        <v>30519</v>
      </c>
    </row>
    <row r="8916" spans="39:41" ht="12" customHeight="1" x14ac:dyDescent="0.2">
      <c r="AM8916" t="str">
        <f t="shared" si="139"/>
        <v>Madrid [ESMAD]</v>
      </c>
      <c r="AN8916" t="s">
        <v>36906</v>
      </c>
      <c r="AO8916" t="s">
        <v>36907</v>
      </c>
    </row>
    <row r="8917" spans="39:41" ht="12" customHeight="1" x14ac:dyDescent="0.2">
      <c r="AM8917" t="str">
        <f t="shared" si="139"/>
        <v>Madridejos [ESMRJ]</v>
      </c>
      <c r="AN8917" t="s">
        <v>9923</v>
      </c>
      <c r="AO8917" t="s">
        <v>9924</v>
      </c>
    </row>
    <row r="8918" spans="39:41" ht="12" customHeight="1" x14ac:dyDescent="0.2">
      <c r="AM8918" t="str">
        <f t="shared" si="139"/>
        <v>Madura Terminal [IDMDR]</v>
      </c>
      <c r="AN8918" t="s">
        <v>16384</v>
      </c>
      <c r="AO8918" t="s">
        <v>16385</v>
      </c>
    </row>
    <row r="8919" spans="39:41" ht="12" customHeight="1" x14ac:dyDescent="0.2">
      <c r="AM8919" t="str">
        <f t="shared" si="139"/>
        <v>Madurai [INIXM]</v>
      </c>
      <c r="AN8919" t="s">
        <v>17270</v>
      </c>
      <c r="AO8919" t="s">
        <v>17271</v>
      </c>
    </row>
    <row r="8920" spans="39:41" ht="12" customHeight="1" x14ac:dyDescent="0.2">
      <c r="AM8920" t="str">
        <f t="shared" si="139"/>
        <v>Maedomari/Iheya [JPMAD]</v>
      </c>
      <c r="AN8920" t="s">
        <v>19796</v>
      </c>
      <c r="AO8920" t="s">
        <v>19797</v>
      </c>
    </row>
    <row r="8921" spans="39:41" ht="12" customHeight="1" x14ac:dyDescent="0.2">
      <c r="AM8921" t="str">
        <f t="shared" si="139"/>
        <v>Maedomari/Tarama [JPMDR]</v>
      </c>
      <c r="AN8921" t="s">
        <v>19798</v>
      </c>
      <c r="AO8921" t="s">
        <v>19799</v>
      </c>
    </row>
    <row r="8922" spans="39:41" ht="12" customHeight="1" x14ac:dyDescent="0.2">
      <c r="AM8922" t="str">
        <f t="shared" si="139"/>
        <v>Maehama [JPMHM]</v>
      </c>
      <c r="AN8922" t="s">
        <v>19800</v>
      </c>
      <c r="AO8922" t="s">
        <v>19801</v>
      </c>
    </row>
    <row r="8923" spans="39:41" ht="12" customHeight="1" x14ac:dyDescent="0.2">
      <c r="AM8923" t="str">
        <f t="shared" si="139"/>
        <v>Maenohama [JPMMA]</v>
      </c>
      <c r="AN8923" t="s">
        <v>19802</v>
      </c>
      <c r="AO8923" t="s">
        <v>19803</v>
      </c>
    </row>
    <row r="8924" spans="39:41" ht="12" customHeight="1" x14ac:dyDescent="0.2">
      <c r="AM8924" t="str">
        <f t="shared" si="139"/>
        <v>Maesycwmmer [GBMYW]</v>
      </c>
      <c r="AN8924" t="s">
        <v>13788</v>
      </c>
      <c r="AO8924" t="s">
        <v>13789</v>
      </c>
    </row>
    <row r="8925" spans="39:41" ht="12" customHeight="1" x14ac:dyDescent="0.2">
      <c r="AM8925" t="str">
        <f t="shared" si="139"/>
        <v>Maeura [JPMER]</v>
      </c>
      <c r="AN8925" t="s">
        <v>19804</v>
      </c>
      <c r="AO8925" t="s">
        <v>19805</v>
      </c>
    </row>
    <row r="8926" spans="39:41" ht="12" customHeight="1" x14ac:dyDescent="0.2">
      <c r="AM8926" t="str">
        <f t="shared" si="139"/>
        <v>Mafang [CNSHM]</v>
      </c>
      <c r="AN8926" t="s">
        <v>5715</v>
      </c>
      <c r="AO8926" t="s">
        <v>5716</v>
      </c>
    </row>
    <row r="8927" spans="39:41" ht="12" customHeight="1" x14ac:dyDescent="0.2">
      <c r="AM8927" t="str">
        <f t="shared" si="139"/>
        <v>Maffle [BEMFF]</v>
      </c>
      <c r="AN8927" t="s">
        <v>2688</v>
      </c>
      <c r="AO8927" t="s">
        <v>2689</v>
      </c>
    </row>
    <row r="8928" spans="39:41" ht="12" customHeight="1" x14ac:dyDescent="0.2">
      <c r="AM8928" t="str">
        <f t="shared" si="139"/>
        <v>Magadansky, Port [RUMAG]</v>
      </c>
      <c r="AN8928" t="s">
        <v>27073</v>
      </c>
      <c r="AO8928" t="s">
        <v>27074</v>
      </c>
    </row>
    <row r="8929" spans="39:41" ht="12" customHeight="1" x14ac:dyDescent="0.2">
      <c r="AM8929" t="str">
        <f t="shared" si="139"/>
        <v>Magalona/Iloilo [PHMGA]</v>
      </c>
      <c r="AN8929" t="s">
        <v>25901</v>
      </c>
      <c r="AO8929" t="s">
        <v>25902</v>
      </c>
    </row>
    <row r="8930" spans="39:41" ht="12" customHeight="1" x14ac:dyDescent="0.2">
      <c r="AM8930" t="str">
        <f t="shared" si="139"/>
        <v>Magan [ESMGN]</v>
      </c>
      <c r="AN8930" t="s">
        <v>9925</v>
      </c>
      <c r="AO8930" t="s">
        <v>9926</v>
      </c>
    </row>
    <row r="8931" spans="39:41" ht="12" customHeight="1" x14ac:dyDescent="0.2">
      <c r="AM8931" t="str">
        <f t="shared" si="139"/>
        <v>Magdalen Is [CAMGD]</v>
      </c>
      <c r="AN8931" t="s">
        <v>4069</v>
      </c>
      <c r="AO8931" t="s">
        <v>4070</v>
      </c>
    </row>
    <row r="8932" spans="39:41" ht="12" customHeight="1" x14ac:dyDescent="0.2">
      <c r="AM8932" t="str">
        <f t="shared" si="139"/>
        <v>Magdalena/Hostotipaquillo [MXMHT]</v>
      </c>
      <c r="AN8932" t="s">
        <v>22389</v>
      </c>
      <c r="AO8932" t="s">
        <v>22390</v>
      </c>
    </row>
    <row r="8933" spans="39:41" ht="12" customHeight="1" x14ac:dyDescent="0.2">
      <c r="AM8933" t="str">
        <f t="shared" si="139"/>
        <v>Magdalla [INMDA]</v>
      </c>
      <c r="AN8933" t="s">
        <v>17272</v>
      </c>
      <c r="AO8933" t="s">
        <v>17273</v>
      </c>
    </row>
    <row r="8934" spans="39:41" ht="12" customHeight="1" x14ac:dyDescent="0.2">
      <c r="AM8934" t="str">
        <f t="shared" si="139"/>
        <v>Magdeburg [DEMAG]</v>
      </c>
      <c r="AN8934" t="s">
        <v>7863</v>
      </c>
      <c r="AO8934" t="s">
        <v>7864</v>
      </c>
    </row>
    <row r="8935" spans="39:41" ht="12" customHeight="1" x14ac:dyDescent="0.2">
      <c r="AM8935" t="str">
        <f t="shared" si="139"/>
        <v>Magellanes/Masao [PHMLS]</v>
      </c>
      <c r="AN8935" t="s">
        <v>25903</v>
      </c>
      <c r="AO8935" t="s">
        <v>25904</v>
      </c>
    </row>
    <row r="8936" spans="39:41" ht="12" customHeight="1" x14ac:dyDescent="0.2">
      <c r="AM8936" t="str">
        <f t="shared" si="139"/>
        <v>Mageshimamisaki [JPMMM]</v>
      </c>
      <c r="AN8936" t="s">
        <v>19806</v>
      </c>
      <c r="AO8936" t="s">
        <v>19807</v>
      </c>
    </row>
    <row r="8937" spans="39:41" ht="12" customHeight="1" x14ac:dyDescent="0.2">
      <c r="AM8937" t="str">
        <f t="shared" si="139"/>
        <v>Maghera [GBMGH]</v>
      </c>
      <c r="AN8937" t="s">
        <v>13790</v>
      </c>
      <c r="AO8937" t="s">
        <v>13791</v>
      </c>
    </row>
    <row r="8938" spans="39:41" ht="12" customHeight="1" x14ac:dyDescent="0.2">
      <c r="AM8938" t="str">
        <f t="shared" si="139"/>
        <v>Maghera [IEMAG]</v>
      </c>
      <c r="AN8938" t="s">
        <v>16863</v>
      </c>
      <c r="AO8938" t="s">
        <v>13791</v>
      </c>
    </row>
    <row r="8939" spans="39:41" ht="12" customHeight="1" x14ac:dyDescent="0.2">
      <c r="AM8939" t="str">
        <f t="shared" si="139"/>
        <v>Magheramorne [GBMGO]</v>
      </c>
      <c r="AN8939" t="s">
        <v>13792</v>
      </c>
      <c r="AO8939" t="s">
        <v>13793</v>
      </c>
    </row>
    <row r="8940" spans="39:41" ht="12" customHeight="1" x14ac:dyDescent="0.2">
      <c r="AM8940" t="str">
        <f t="shared" si="139"/>
        <v>Magheraroarty [IEMRT]</v>
      </c>
      <c r="AN8940" t="s">
        <v>16864</v>
      </c>
      <c r="AO8940" t="s">
        <v>16865</v>
      </c>
    </row>
    <row r="8941" spans="39:41" ht="12" customHeight="1" x14ac:dyDescent="0.2">
      <c r="AM8941" t="str">
        <f t="shared" si="139"/>
        <v>Magilligan Point Ferry Terminal, Lough Foyle [GBMGP]</v>
      </c>
      <c r="AN8941" t="s">
        <v>13794</v>
      </c>
      <c r="AO8941" t="s">
        <v>13795</v>
      </c>
    </row>
    <row r="8942" spans="39:41" ht="12" customHeight="1" x14ac:dyDescent="0.2">
      <c r="AM8942" t="str">
        <f t="shared" si="139"/>
        <v>Maglaj [BAMAG]</v>
      </c>
      <c r="AN8942" t="s">
        <v>2174</v>
      </c>
      <c r="AO8942" t="s">
        <v>2175</v>
      </c>
    </row>
    <row r="8943" spans="39:41" ht="12" customHeight="1" x14ac:dyDescent="0.2">
      <c r="AM8943" t="str">
        <f t="shared" si="139"/>
        <v>Magnanville [FRMVG]</v>
      </c>
      <c r="AN8943" t="s">
        <v>11621</v>
      </c>
      <c r="AO8943" t="s">
        <v>11622</v>
      </c>
    </row>
    <row r="8944" spans="39:41" ht="12" customHeight="1" x14ac:dyDescent="0.2">
      <c r="AM8944" t="str">
        <f t="shared" si="139"/>
        <v>Mago [RUMGO]</v>
      </c>
      <c r="AN8944" t="s">
        <v>27075</v>
      </c>
      <c r="AO8944" t="s">
        <v>27076</v>
      </c>
    </row>
    <row r="8945" spans="39:41" ht="12" customHeight="1" x14ac:dyDescent="0.2">
      <c r="AM8945" t="str">
        <f t="shared" si="139"/>
        <v>Magog [CAMAG]</v>
      </c>
      <c r="AN8945" t="s">
        <v>4071</v>
      </c>
      <c r="AO8945" t="s">
        <v>4072</v>
      </c>
    </row>
    <row r="8946" spans="39:41" ht="12" customHeight="1" x14ac:dyDescent="0.2">
      <c r="AM8946" t="str">
        <f t="shared" ref="AM8946:AM9009" si="140">AO8946 &amp; " [" &amp; AN8946 &amp; "]"</f>
        <v>Magome [JPMGM]</v>
      </c>
      <c r="AN8946" t="s">
        <v>19808</v>
      </c>
      <c r="AO8946" t="s">
        <v>19809</v>
      </c>
    </row>
    <row r="8947" spans="39:41" ht="12" customHeight="1" x14ac:dyDescent="0.2">
      <c r="AM8947" t="str">
        <f t="shared" si="140"/>
        <v>Magoula [GRM8L]</v>
      </c>
      <c r="AN8947" t="s">
        <v>15348</v>
      </c>
      <c r="AO8947" t="s">
        <v>35931</v>
      </c>
    </row>
    <row r="8948" spans="39:41" ht="12" customHeight="1" x14ac:dyDescent="0.2">
      <c r="AM8948" t="str">
        <f t="shared" si="140"/>
        <v>Magoula [GRMGL]</v>
      </c>
      <c r="AN8948" t="s">
        <v>15349</v>
      </c>
      <c r="AO8948" t="s">
        <v>35931</v>
      </c>
    </row>
    <row r="8949" spans="39:41" ht="12" customHeight="1" x14ac:dyDescent="0.2">
      <c r="AM8949" t="str">
        <f t="shared" si="140"/>
        <v>Magshimim [ILM8A]</v>
      </c>
      <c r="AN8949" t="s">
        <v>16972</v>
      </c>
      <c r="AO8949" t="s">
        <v>16973</v>
      </c>
    </row>
    <row r="8950" spans="39:41" ht="12" customHeight="1" x14ac:dyDescent="0.2">
      <c r="AM8950" t="str">
        <f t="shared" si="140"/>
        <v>Maguchi [JPMGC]</v>
      </c>
      <c r="AN8950" t="s">
        <v>19810</v>
      </c>
      <c r="AO8950" t="s">
        <v>19811</v>
      </c>
    </row>
    <row r="8951" spans="39:41" ht="12" customHeight="1" x14ac:dyDescent="0.2">
      <c r="AM8951" t="str">
        <f t="shared" si="140"/>
        <v>Magueda Bay/Catbalogan [PHMGB]</v>
      </c>
      <c r="AN8951" t="s">
        <v>25905</v>
      </c>
      <c r="AO8951" t="s">
        <v>25906</v>
      </c>
    </row>
    <row r="8952" spans="39:41" ht="12" customHeight="1" x14ac:dyDescent="0.2">
      <c r="AM8952" t="str">
        <f t="shared" si="140"/>
        <v>Magureni [ROMGU]</v>
      </c>
      <c r="AN8952" t="s">
        <v>26781</v>
      </c>
      <c r="AO8952" t="s">
        <v>26782</v>
      </c>
    </row>
    <row r="8953" spans="39:41" ht="12" customHeight="1" x14ac:dyDescent="0.2">
      <c r="AM8953" t="str">
        <f t="shared" si="140"/>
        <v>Magusa [JPMGU]</v>
      </c>
      <c r="AN8953" t="s">
        <v>19812</v>
      </c>
      <c r="AO8953" t="s">
        <v>19813</v>
      </c>
    </row>
    <row r="8954" spans="39:41" ht="12" customHeight="1" x14ac:dyDescent="0.2">
      <c r="AM8954" t="str">
        <f t="shared" si="140"/>
        <v>Mahalapye [BWMAH]</v>
      </c>
      <c r="AN8954" t="s">
        <v>3488</v>
      </c>
      <c r="AO8954" t="s">
        <v>3489</v>
      </c>
    </row>
    <row r="8955" spans="39:41" ht="12" customHeight="1" x14ac:dyDescent="0.2">
      <c r="AM8955" t="str">
        <f t="shared" si="140"/>
        <v>Mahanoro [MGVVB]</v>
      </c>
      <c r="AN8955" t="s">
        <v>22124</v>
      </c>
      <c r="AO8955" t="s">
        <v>22125</v>
      </c>
    </row>
    <row r="8956" spans="39:41" ht="12" customHeight="1" x14ac:dyDescent="0.2">
      <c r="AM8956" t="str">
        <f t="shared" si="140"/>
        <v>Mahdia [TNMAD]</v>
      </c>
      <c r="AN8956" t="s">
        <v>28356</v>
      </c>
      <c r="AO8956" t="s">
        <v>28357</v>
      </c>
    </row>
    <row r="8957" spans="39:41" ht="12" customHeight="1" x14ac:dyDescent="0.2">
      <c r="AM8957" t="str">
        <f t="shared" si="140"/>
        <v>Mahe [INMAH]</v>
      </c>
      <c r="AN8957" t="s">
        <v>17274</v>
      </c>
      <c r="AO8957" t="s">
        <v>17275</v>
      </c>
    </row>
    <row r="8958" spans="39:41" ht="12" customHeight="1" x14ac:dyDescent="0.2">
      <c r="AM8958" t="str">
        <f t="shared" si="140"/>
        <v>Mahe [SCMAW]</v>
      </c>
      <c r="AN8958" t="s">
        <v>27467</v>
      </c>
      <c r="AO8958" t="s">
        <v>17275</v>
      </c>
    </row>
    <row r="8959" spans="39:41" ht="12" customHeight="1" x14ac:dyDescent="0.2">
      <c r="AM8959" t="str">
        <f t="shared" si="140"/>
        <v>Mahmudia [ROMAH]</v>
      </c>
      <c r="AN8959" t="s">
        <v>26783</v>
      </c>
      <c r="AO8959" t="s">
        <v>26784</v>
      </c>
    </row>
    <row r="8960" spans="39:41" ht="12" customHeight="1" x14ac:dyDescent="0.2">
      <c r="AM8960" t="str">
        <f t="shared" si="140"/>
        <v>Mahon, Menorca [ESMAH]</v>
      </c>
      <c r="AN8960" t="s">
        <v>9927</v>
      </c>
      <c r="AO8960" t="s">
        <v>35676</v>
      </c>
    </row>
    <row r="8961" spans="39:41" ht="12" customHeight="1" x14ac:dyDescent="0.2">
      <c r="AM8961" t="str">
        <f t="shared" si="140"/>
        <v>Mahone Bay [CAMHB]</v>
      </c>
      <c r="AN8961" t="s">
        <v>4073</v>
      </c>
      <c r="AO8961" t="s">
        <v>4074</v>
      </c>
    </row>
    <row r="8962" spans="39:41" ht="12" customHeight="1" x14ac:dyDescent="0.2">
      <c r="AM8962" t="str">
        <f t="shared" si="140"/>
        <v>Mahuva [INMHA]</v>
      </c>
      <c r="AN8962" t="s">
        <v>17276</v>
      </c>
      <c r="AO8962" t="s">
        <v>17277</v>
      </c>
    </row>
    <row r="8963" spans="39:41" ht="12" customHeight="1" x14ac:dyDescent="0.2">
      <c r="AM8963" t="str">
        <f t="shared" si="140"/>
        <v>Maidens [GBMAI]</v>
      </c>
      <c r="AN8963" t="s">
        <v>13796</v>
      </c>
      <c r="AO8963" t="s">
        <v>13797</v>
      </c>
    </row>
    <row r="8964" spans="39:41" ht="12" customHeight="1" x14ac:dyDescent="0.2">
      <c r="AM8964" t="str">
        <f t="shared" si="140"/>
        <v>Mai-Liai [TWMAL]</v>
      </c>
      <c r="AN8964" t="s">
        <v>28677</v>
      </c>
      <c r="AO8964" t="s">
        <v>28678</v>
      </c>
    </row>
    <row r="8965" spans="39:41" ht="12" customHeight="1" x14ac:dyDescent="0.2">
      <c r="AM8965" t="str">
        <f t="shared" si="140"/>
        <v>Mai-liao [TWMLI]</v>
      </c>
      <c r="AN8965" t="s">
        <v>28679</v>
      </c>
      <c r="AO8965" t="s">
        <v>28680</v>
      </c>
    </row>
    <row r="8966" spans="39:41" ht="12" customHeight="1" x14ac:dyDescent="0.2">
      <c r="AM8966" t="str">
        <f t="shared" si="140"/>
        <v>Mailly-le-Chateau [FRM89]</v>
      </c>
      <c r="AN8966" t="s">
        <v>11623</v>
      </c>
      <c r="AO8966" t="s">
        <v>35824</v>
      </c>
    </row>
    <row r="8967" spans="39:41" ht="12" customHeight="1" x14ac:dyDescent="0.2">
      <c r="AM8967" t="str">
        <f t="shared" si="140"/>
        <v>Main Brook [CAMBR]</v>
      </c>
      <c r="AN8967" t="s">
        <v>4075</v>
      </c>
      <c r="AO8967" t="s">
        <v>4076</v>
      </c>
    </row>
    <row r="8968" spans="39:41" ht="12" customHeight="1" x14ac:dyDescent="0.2">
      <c r="AM8968" t="str">
        <f t="shared" si="140"/>
        <v>Maintirano [MGMXT]</v>
      </c>
      <c r="AN8968" t="s">
        <v>22126</v>
      </c>
      <c r="AO8968" t="s">
        <v>22127</v>
      </c>
    </row>
    <row r="8969" spans="39:41" ht="12" customHeight="1" x14ac:dyDescent="0.2">
      <c r="AM8969" t="str">
        <f t="shared" si="140"/>
        <v>Mainz [DEMAI]</v>
      </c>
      <c r="AN8969" t="s">
        <v>7865</v>
      </c>
      <c r="AO8969" t="s">
        <v>7866</v>
      </c>
    </row>
    <row r="8970" spans="39:41" ht="12" customHeight="1" x14ac:dyDescent="0.2">
      <c r="AM8970" t="str">
        <f t="shared" si="140"/>
        <v>Mainzlar [DEGYM]</v>
      </c>
      <c r="AN8970" t="s">
        <v>7867</v>
      </c>
      <c r="AO8970" t="s">
        <v>7868</v>
      </c>
    </row>
    <row r="8971" spans="39:41" ht="12" customHeight="1" x14ac:dyDescent="0.2">
      <c r="AM8971" t="str">
        <f t="shared" si="140"/>
        <v>Maiori [ITIOI]</v>
      </c>
      <c r="AN8971" t="s">
        <v>18027</v>
      </c>
      <c r="AO8971" t="s">
        <v>18028</v>
      </c>
    </row>
    <row r="8972" spans="39:41" ht="12" customHeight="1" x14ac:dyDescent="0.2">
      <c r="AM8972" t="str">
        <f t="shared" si="140"/>
        <v>Maisieres [BEMSR]</v>
      </c>
      <c r="AN8972" t="s">
        <v>2690</v>
      </c>
      <c r="AO8972" t="s">
        <v>35273</v>
      </c>
    </row>
    <row r="8973" spans="39:41" ht="12" customHeight="1" x14ac:dyDescent="0.2">
      <c r="AM8973" t="str">
        <f t="shared" si="140"/>
        <v>Maitresse Island [GBMSD]</v>
      </c>
      <c r="AN8973" t="s">
        <v>13798</v>
      </c>
      <c r="AO8973" t="s">
        <v>13799</v>
      </c>
    </row>
    <row r="8974" spans="39:41" ht="12" customHeight="1" x14ac:dyDescent="0.2">
      <c r="AM8974" t="str">
        <f t="shared" si="140"/>
        <v>Maitum/Dadiangas [PHMAI]</v>
      </c>
      <c r="AN8974" t="s">
        <v>25907</v>
      </c>
      <c r="AO8974" t="s">
        <v>25908</v>
      </c>
    </row>
    <row r="8975" spans="39:41" ht="12" customHeight="1" x14ac:dyDescent="0.2">
      <c r="AM8975" t="str">
        <f t="shared" si="140"/>
        <v>Maizuru [JPMAI]</v>
      </c>
      <c r="AN8975" t="s">
        <v>19814</v>
      </c>
      <c r="AO8975" t="s">
        <v>19815</v>
      </c>
    </row>
    <row r="8976" spans="39:41" ht="12" customHeight="1" x14ac:dyDescent="0.2">
      <c r="AM8976" t="str">
        <f t="shared" si="140"/>
        <v>Majene, Sv [IDMAJ]</v>
      </c>
      <c r="AN8976" t="s">
        <v>16386</v>
      </c>
      <c r="AO8976" t="s">
        <v>16387</v>
      </c>
    </row>
    <row r="8977" spans="39:41" ht="12" customHeight="1" x14ac:dyDescent="0.2">
      <c r="AM8977" t="str">
        <f t="shared" si="140"/>
        <v>Maji Shan [CNMJS]</v>
      </c>
      <c r="AN8977" t="s">
        <v>5717</v>
      </c>
      <c r="AO8977" t="s">
        <v>5718</v>
      </c>
    </row>
    <row r="8978" spans="39:41" ht="12" customHeight="1" x14ac:dyDescent="0.2">
      <c r="AM8978" t="str">
        <f t="shared" si="140"/>
        <v>Majiadian [CNMJD]</v>
      </c>
      <c r="AN8978" t="s">
        <v>5719</v>
      </c>
      <c r="AO8978" t="s">
        <v>5720</v>
      </c>
    </row>
    <row r="8979" spans="39:41" ht="12" customHeight="1" x14ac:dyDescent="0.2">
      <c r="AM8979" t="str">
        <f t="shared" si="140"/>
        <v>Majistan/Zhoushan [CNMAJ]</v>
      </c>
      <c r="AN8979" t="s">
        <v>5721</v>
      </c>
      <c r="AO8979" t="s">
        <v>5722</v>
      </c>
    </row>
    <row r="8980" spans="39:41" ht="12" customHeight="1" x14ac:dyDescent="0.2">
      <c r="AM8980" t="str">
        <f t="shared" si="140"/>
        <v>Majunga (Mahajanga) [MGMJN]</v>
      </c>
      <c r="AN8980" t="s">
        <v>22128</v>
      </c>
      <c r="AO8980" t="s">
        <v>22129</v>
      </c>
    </row>
    <row r="8981" spans="39:41" ht="12" customHeight="1" x14ac:dyDescent="0.2">
      <c r="AM8981" t="str">
        <f t="shared" si="140"/>
        <v>Majuro [MHMAJ]</v>
      </c>
      <c r="AN8981" t="s">
        <v>22164</v>
      </c>
      <c r="AO8981" t="s">
        <v>22165</v>
      </c>
    </row>
    <row r="8982" spans="39:41" ht="12" customHeight="1" x14ac:dyDescent="0.2">
      <c r="AM8982" t="str">
        <f t="shared" si="140"/>
        <v>Makala [CDMKL]</v>
      </c>
      <c r="AN8982" t="s">
        <v>4623</v>
      </c>
      <c r="AO8982" t="s">
        <v>4624</v>
      </c>
    </row>
    <row r="8983" spans="39:41" ht="12" customHeight="1" x14ac:dyDescent="0.2">
      <c r="AM8983" t="str">
        <f t="shared" si="140"/>
        <v>Makar/Dadiangas [PHMAK]</v>
      </c>
      <c r="AN8983" t="s">
        <v>25909</v>
      </c>
      <c r="AO8983" t="s">
        <v>25910</v>
      </c>
    </row>
    <row r="8984" spans="39:41" ht="12" customHeight="1" x14ac:dyDescent="0.2">
      <c r="AM8984" t="str">
        <f t="shared" si="140"/>
        <v>Makarovo [RUMKR]</v>
      </c>
      <c r="AN8984" t="s">
        <v>27077</v>
      </c>
      <c r="AO8984" t="s">
        <v>27078</v>
      </c>
    </row>
    <row r="8985" spans="39:41" ht="12" customHeight="1" x14ac:dyDescent="0.2">
      <c r="AM8985" t="str">
        <f t="shared" si="140"/>
        <v>Makarska [HRMAK]</v>
      </c>
      <c r="AN8985" t="s">
        <v>15800</v>
      </c>
      <c r="AO8985" t="s">
        <v>15801</v>
      </c>
    </row>
    <row r="8986" spans="39:41" ht="12" customHeight="1" x14ac:dyDescent="0.2">
      <c r="AM8986" t="str">
        <f t="shared" si="140"/>
        <v>Makassar [IDMAK]</v>
      </c>
      <c r="AN8986" t="s">
        <v>16388</v>
      </c>
      <c r="AO8986" t="s">
        <v>16389</v>
      </c>
    </row>
    <row r="8987" spans="39:41" ht="12" customHeight="1" x14ac:dyDescent="0.2">
      <c r="AM8987" t="str">
        <f t="shared" si="140"/>
        <v>Makati [PHMTI]</v>
      </c>
      <c r="AN8987" t="s">
        <v>25911</v>
      </c>
      <c r="AO8987" t="s">
        <v>25912</v>
      </c>
    </row>
    <row r="8988" spans="39:41" ht="12" customHeight="1" x14ac:dyDescent="0.2">
      <c r="AM8988" t="str">
        <f t="shared" si="140"/>
        <v>Makati City [PHMKC]</v>
      </c>
      <c r="AN8988" t="s">
        <v>25913</v>
      </c>
      <c r="AO8988" t="s">
        <v>25914</v>
      </c>
    </row>
    <row r="8989" spans="39:41" ht="12" customHeight="1" x14ac:dyDescent="0.2">
      <c r="AM8989" t="str">
        <f t="shared" si="140"/>
        <v>Makhachkala [RUMCX]</v>
      </c>
      <c r="AN8989" t="s">
        <v>27079</v>
      </c>
      <c r="AO8989" t="s">
        <v>27080</v>
      </c>
    </row>
    <row r="8990" spans="39:41" ht="12" customHeight="1" x14ac:dyDescent="0.2">
      <c r="AM8990" t="str">
        <f t="shared" si="140"/>
        <v>Makigawa [JPMKG]</v>
      </c>
      <c r="AN8990" t="s">
        <v>19816</v>
      </c>
      <c r="AO8990" t="s">
        <v>19817</v>
      </c>
    </row>
    <row r="8991" spans="39:41" ht="12" customHeight="1" x14ac:dyDescent="0.2">
      <c r="AM8991" t="str">
        <f t="shared" si="140"/>
        <v>Makiyama [JPMAK]</v>
      </c>
      <c r="AN8991" t="s">
        <v>19818</v>
      </c>
      <c r="AO8991" t="s">
        <v>19819</v>
      </c>
    </row>
    <row r="8992" spans="39:41" ht="12" customHeight="1" x14ac:dyDescent="0.2">
      <c r="AM8992" t="str">
        <f t="shared" si="140"/>
        <v>Makkah [SAMAK]</v>
      </c>
      <c r="AN8992" t="s">
        <v>27399</v>
      </c>
      <c r="AO8992" t="s">
        <v>27400</v>
      </c>
    </row>
    <row r="8993" spans="39:41" ht="12" customHeight="1" x14ac:dyDescent="0.2">
      <c r="AM8993" t="str">
        <f t="shared" si="140"/>
        <v>Makkum [NLMAK]</v>
      </c>
      <c r="AN8993" t="s">
        <v>23390</v>
      </c>
      <c r="AO8993" t="s">
        <v>23391</v>
      </c>
    </row>
    <row r="8994" spans="39:41" ht="12" customHeight="1" x14ac:dyDescent="0.2">
      <c r="AM8994" t="str">
        <f t="shared" si="140"/>
        <v>Makung [TWMZG]</v>
      </c>
      <c r="AN8994" t="s">
        <v>37184</v>
      </c>
      <c r="AO8994" t="s">
        <v>37185</v>
      </c>
    </row>
    <row r="8995" spans="39:41" ht="12" customHeight="1" x14ac:dyDescent="0.2">
      <c r="AM8995" t="str">
        <f t="shared" si="140"/>
        <v>Makurazaki [JPMKK]</v>
      </c>
      <c r="AN8995" t="s">
        <v>19820</v>
      </c>
      <c r="AO8995" t="s">
        <v>19821</v>
      </c>
    </row>
    <row r="8996" spans="39:41" ht="12" customHeight="1" x14ac:dyDescent="0.2">
      <c r="AM8996" t="str">
        <f t="shared" si="140"/>
        <v>Mala Nedelja [SISML]</v>
      </c>
      <c r="AN8996" t="s">
        <v>28010</v>
      </c>
      <c r="AO8996" t="s">
        <v>28011</v>
      </c>
    </row>
    <row r="8997" spans="39:41" ht="12" customHeight="1" x14ac:dyDescent="0.2">
      <c r="AM8997" t="str">
        <f t="shared" si="140"/>
        <v>Mala Trna [SKXCV]</v>
      </c>
      <c r="AN8997" t="s">
        <v>28049</v>
      </c>
      <c r="AO8997" t="s">
        <v>36552</v>
      </c>
    </row>
    <row r="8998" spans="39:41" ht="12" customHeight="1" x14ac:dyDescent="0.2">
      <c r="AM8998" t="str">
        <f t="shared" si="140"/>
        <v>Malabo [GQSSG]</v>
      </c>
      <c r="AN8998" t="s">
        <v>35000</v>
      </c>
      <c r="AO8998" t="s">
        <v>35871</v>
      </c>
    </row>
    <row r="8999" spans="39:41" ht="12" customHeight="1" x14ac:dyDescent="0.2">
      <c r="AM8999" t="str">
        <f t="shared" si="140"/>
        <v>Malacca [MYMKZ]</v>
      </c>
      <c r="AN8999" t="s">
        <v>22645</v>
      </c>
      <c r="AO8999" t="s">
        <v>22646</v>
      </c>
    </row>
    <row r="9000" spans="39:41" ht="12" customHeight="1" x14ac:dyDescent="0.2">
      <c r="AM9000" t="str">
        <f t="shared" si="140"/>
        <v>Malaga [ESAGP]</v>
      </c>
      <c r="AN9000" t="s">
        <v>9928</v>
      </c>
      <c r="AO9000" t="s">
        <v>30521</v>
      </c>
    </row>
    <row r="9001" spans="39:41" ht="12" customHeight="1" x14ac:dyDescent="0.2">
      <c r="AM9001" t="str">
        <f t="shared" si="140"/>
        <v>Malaga [USMG5]</v>
      </c>
      <c r="AN9001" t="s">
        <v>30520</v>
      </c>
      <c r="AO9001" t="s">
        <v>30521</v>
      </c>
    </row>
    <row r="9002" spans="39:41" ht="12" customHeight="1" x14ac:dyDescent="0.2">
      <c r="AM9002" t="str">
        <f t="shared" si="140"/>
        <v>Malalag/Davao [PHMLL]</v>
      </c>
      <c r="AN9002" t="s">
        <v>25915</v>
      </c>
      <c r="AO9002" t="s">
        <v>25916</v>
      </c>
    </row>
    <row r="9003" spans="39:41" ht="12" customHeight="1" x14ac:dyDescent="0.2">
      <c r="AM9003" t="str">
        <f t="shared" si="140"/>
        <v>Malampaya [PHMAL]</v>
      </c>
      <c r="AN9003" t="s">
        <v>25917</v>
      </c>
      <c r="AO9003" t="s">
        <v>25918</v>
      </c>
    </row>
    <row r="9004" spans="39:41" ht="12" customHeight="1" x14ac:dyDescent="0.2">
      <c r="AM9004" t="str">
        <f t="shared" si="140"/>
        <v>Malappuram [INMRK]</v>
      </c>
      <c r="AN9004" t="s">
        <v>17278</v>
      </c>
      <c r="AO9004" t="s">
        <v>17279</v>
      </c>
    </row>
    <row r="9005" spans="39:41" ht="12" customHeight="1" x14ac:dyDescent="0.2">
      <c r="AM9005" t="str">
        <f t="shared" si="140"/>
        <v>Malartic [CAMTI]</v>
      </c>
      <c r="AN9005" t="s">
        <v>4077</v>
      </c>
      <c r="AO9005" t="s">
        <v>4078</v>
      </c>
    </row>
    <row r="9006" spans="39:41" ht="12" customHeight="1" x14ac:dyDescent="0.2">
      <c r="AM9006" t="str">
        <f t="shared" si="140"/>
        <v>Malasugat Bay/Zamboanga [PHMSB]</v>
      </c>
      <c r="AN9006" t="s">
        <v>25919</v>
      </c>
      <c r="AO9006" t="s">
        <v>25920</v>
      </c>
    </row>
    <row r="9007" spans="39:41" ht="12" customHeight="1" x14ac:dyDescent="0.2">
      <c r="AM9007" t="str">
        <f t="shared" si="140"/>
        <v>Malatapay [PHMTP]</v>
      </c>
      <c r="AN9007" t="s">
        <v>25921</v>
      </c>
      <c r="AO9007" t="s">
        <v>25922</v>
      </c>
    </row>
    <row r="9008" spans="39:41" ht="12" customHeight="1" x14ac:dyDescent="0.2">
      <c r="AM9008" t="str">
        <f t="shared" si="140"/>
        <v>Malau (Labasa) [FJMAL]</v>
      </c>
      <c r="AN9008" t="s">
        <v>10618</v>
      </c>
      <c r="AO9008" t="s">
        <v>10619</v>
      </c>
    </row>
    <row r="9009" spans="39:41" ht="12" customHeight="1" x14ac:dyDescent="0.2">
      <c r="AM9009" t="str">
        <f t="shared" si="140"/>
        <v>Malaya Kheta [RUKMM]</v>
      </c>
      <c r="AN9009" t="s">
        <v>27081</v>
      </c>
      <c r="AO9009" t="s">
        <v>27082</v>
      </c>
    </row>
    <row r="9010" spans="39:41" ht="12" customHeight="1" x14ac:dyDescent="0.2">
      <c r="AM9010" t="str">
        <f t="shared" ref="AM9010:AM9073" si="141">AO9010 &amp; " [" &amp; AN9010 &amp; "]"</f>
        <v>Maldon [GBMAL]</v>
      </c>
      <c r="AN9010" t="s">
        <v>13800</v>
      </c>
      <c r="AO9010" t="s">
        <v>13801</v>
      </c>
    </row>
    <row r="9011" spans="39:41" ht="12" customHeight="1" x14ac:dyDescent="0.2">
      <c r="AM9011" t="str">
        <f t="shared" si="141"/>
        <v>Male [MMMXE]</v>
      </c>
      <c r="AN9011" t="s">
        <v>22192</v>
      </c>
      <c r="AO9011" t="s">
        <v>22193</v>
      </c>
    </row>
    <row r="9012" spans="39:41" ht="12" customHeight="1" x14ac:dyDescent="0.2">
      <c r="AM9012" t="str">
        <f t="shared" si="141"/>
        <v>Male [MVMLE]</v>
      </c>
      <c r="AN9012" t="s">
        <v>22294</v>
      </c>
      <c r="AO9012" t="s">
        <v>22193</v>
      </c>
    </row>
    <row r="9013" spans="39:41" ht="12" customHeight="1" x14ac:dyDescent="0.2">
      <c r="AM9013" t="str">
        <f t="shared" si="141"/>
        <v>Malente [DEMAM]</v>
      </c>
      <c r="AN9013" t="s">
        <v>7869</v>
      </c>
      <c r="AO9013" t="s">
        <v>7870</v>
      </c>
    </row>
    <row r="9014" spans="39:41" ht="12" customHeight="1" x14ac:dyDescent="0.2">
      <c r="AM9014" t="str">
        <f t="shared" si="141"/>
        <v>Malessina [GRMSA]</v>
      </c>
      <c r="AN9014" t="s">
        <v>15350</v>
      </c>
      <c r="AO9014" t="s">
        <v>15351</v>
      </c>
    </row>
    <row r="9015" spans="39:41" ht="12" customHeight="1" x14ac:dyDescent="0.2">
      <c r="AM9015" t="str">
        <f t="shared" si="141"/>
        <v>Malgrat de Mar [ESMMA]</v>
      </c>
      <c r="AN9015" t="s">
        <v>9929</v>
      </c>
      <c r="AO9015" t="s">
        <v>9930</v>
      </c>
    </row>
    <row r="9016" spans="39:41" ht="12" customHeight="1" x14ac:dyDescent="0.2">
      <c r="AM9016" t="str">
        <f t="shared" si="141"/>
        <v>Mali Iz [HRMIZ]</v>
      </c>
      <c r="AN9016" t="s">
        <v>15802</v>
      </c>
      <c r="AO9016" t="s">
        <v>15803</v>
      </c>
    </row>
    <row r="9017" spans="39:41" ht="12" customHeight="1" x14ac:dyDescent="0.2">
      <c r="AM9017" t="str">
        <f t="shared" si="141"/>
        <v>Mali Losinj [HRLSZ]</v>
      </c>
      <c r="AN9017" t="s">
        <v>15804</v>
      </c>
      <c r="AO9017" t="s">
        <v>15805</v>
      </c>
    </row>
    <row r="9018" spans="39:41" ht="12" customHeight="1" x14ac:dyDescent="0.2">
      <c r="AM9018" t="str">
        <f t="shared" si="141"/>
        <v>Maliano [ESMLO]</v>
      </c>
      <c r="AN9018" t="s">
        <v>9931</v>
      </c>
      <c r="AO9018" t="s">
        <v>35677</v>
      </c>
    </row>
    <row r="9019" spans="39:41" ht="12" customHeight="1" x14ac:dyDescent="0.2">
      <c r="AM9019" t="str">
        <f t="shared" si="141"/>
        <v>Malili, Sulawesi [IDMLI]</v>
      </c>
      <c r="AN9019" t="s">
        <v>16390</v>
      </c>
      <c r="AO9019" t="s">
        <v>16391</v>
      </c>
    </row>
    <row r="9020" spans="39:41" ht="12" customHeight="1" x14ac:dyDescent="0.2">
      <c r="AM9020" t="str">
        <f t="shared" si="141"/>
        <v>Malindi [KEMYD]</v>
      </c>
      <c r="AN9020" t="s">
        <v>21532</v>
      </c>
      <c r="AO9020" t="s">
        <v>21533</v>
      </c>
    </row>
    <row r="9021" spans="39:41" ht="12" customHeight="1" x14ac:dyDescent="0.2">
      <c r="AM9021" t="str">
        <f t="shared" si="141"/>
        <v>Malino [RUMA2]</v>
      </c>
      <c r="AN9021" t="s">
        <v>27083</v>
      </c>
      <c r="AO9021" t="s">
        <v>27084</v>
      </c>
    </row>
    <row r="9022" spans="39:41" ht="12" customHeight="1" x14ac:dyDescent="0.2">
      <c r="AM9022" t="str">
        <f t="shared" si="141"/>
        <v>Malinska [HRMAL]</v>
      </c>
      <c r="AN9022" t="s">
        <v>15806</v>
      </c>
      <c r="AO9022" t="s">
        <v>15807</v>
      </c>
    </row>
    <row r="9023" spans="39:41" ht="12" customHeight="1" x14ac:dyDescent="0.2">
      <c r="AM9023" t="str">
        <f t="shared" si="141"/>
        <v>Malkerns [SZMAL]</v>
      </c>
      <c r="AN9023" t="s">
        <v>28178</v>
      </c>
      <c r="AO9023" t="s">
        <v>28179</v>
      </c>
    </row>
    <row r="9024" spans="39:41" ht="12" customHeight="1" x14ac:dyDescent="0.2">
      <c r="AM9024" t="str">
        <f t="shared" si="141"/>
        <v>Malku ilankos juru uosto PVP/Klaipeda [LTMLM]</v>
      </c>
      <c r="AN9024" t="s">
        <v>21894</v>
      </c>
      <c r="AO9024" t="s">
        <v>21895</v>
      </c>
    </row>
    <row r="9025" spans="39:41" ht="12" customHeight="1" x14ac:dyDescent="0.2">
      <c r="AM9025" t="str">
        <f t="shared" si="141"/>
        <v>Mallaig [GBMLG]</v>
      </c>
      <c r="AN9025" t="s">
        <v>13802</v>
      </c>
      <c r="AO9025" t="s">
        <v>13803</v>
      </c>
    </row>
    <row r="9026" spans="39:41" ht="12" customHeight="1" x14ac:dyDescent="0.2">
      <c r="AM9026" t="str">
        <f t="shared" si="141"/>
        <v>Malleval [FRMV2]</v>
      </c>
      <c r="AN9026" t="s">
        <v>11624</v>
      </c>
      <c r="AO9026" t="s">
        <v>11625</v>
      </c>
    </row>
    <row r="9027" spans="39:41" ht="12" customHeight="1" x14ac:dyDescent="0.2">
      <c r="AM9027" t="str">
        <f t="shared" si="141"/>
        <v>Mallipuram [INMLP]</v>
      </c>
      <c r="AN9027" t="s">
        <v>17280</v>
      </c>
      <c r="AO9027" t="s">
        <v>17281</v>
      </c>
    </row>
    <row r="9028" spans="39:41" ht="12" customHeight="1" x14ac:dyDescent="0.2">
      <c r="AM9028" t="str">
        <f t="shared" si="141"/>
        <v>Mallorca [ESMLL]</v>
      </c>
      <c r="AN9028" t="s">
        <v>36908</v>
      </c>
      <c r="AO9028" t="s">
        <v>36909</v>
      </c>
    </row>
    <row r="9029" spans="39:41" ht="12" customHeight="1" x14ac:dyDescent="0.2">
      <c r="AM9029" t="str">
        <f t="shared" si="141"/>
        <v>Malm [NOMLM]</v>
      </c>
      <c r="AN9029" t="s">
        <v>24465</v>
      </c>
      <c r="AO9029" t="s">
        <v>24466</v>
      </c>
    </row>
    <row r="9030" spans="39:41" ht="12" customHeight="1" x14ac:dyDescent="0.2">
      <c r="AM9030" t="str">
        <f t="shared" si="141"/>
        <v>Malmo [SEMMA]</v>
      </c>
      <c r="AN9030" t="s">
        <v>27742</v>
      </c>
      <c r="AO9030" t="s">
        <v>36481</v>
      </c>
    </row>
    <row r="9031" spans="39:41" ht="12" customHeight="1" x14ac:dyDescent="0.2">
      <c r="AM9031" t="str">
        <f t="shared" si="141"/>
        <v>Malmy [FRMMV]</v>
      </c>
      <c r="AN9031" t="s">
        <v>11626</v>
      </c>
      <c r="AO9031" t="s">
        <v>11627</v>
      </c>
    </row>
    <row r="9032" spans="39:41" ht="12" customHeight="1" x14ac:dyDescent="0.2">
      <c r="AM9032" t="str">
        <f t="shared" si="141"/>
        <v>Malongo [AOMAL]</v>
      </c>
      <c r="AN9032" t="s">
        <v>36749</v>
      </c>
      <c r="AO9032" t="s">
        <v>36750</v>
      </c>
    </row>
    <row r="9033" spans="39:41" ht="12" customHeight="1" x14ac:dyDescent="0.2">
      <c r="AM9033" t="str">
        <f t="shared" si="141"/>
        <v>Maloy [NOMAY]</v>
      </c>
      <c r="AN9033" t="s">
        <v>24467</v>
      </c>
      <c r="AO9033" t="s">
        <v>36247</v>
      </c>
    </row>
    <row r="9034" spans="39:41" ht="12" customHeight="1" x14ac:dyDescent="0.2">
      <c r="AM9034" t="str">
        <f t="shared" si="141"/>
        <v>Malpe [INMAL]</v>
      </c>
      <c r="AN9034" t="s">
        <v>17282</v>
      </c>
      <c r="AO9034" t="s">
        <v>17283</v>
      </c>
    </row>
    <row r="9035" spans="39:41" ht="12" customHeight="1" x14ac:dyDescent="0.2">
      <c r="AM9035" t="str">
        <f t="shared" si="141"/>
        <v>Malpica (Malpica de Bergantinos) [ESMAI]</v>
      </c>
      <c r="AN9035" t="s">
        <v>9932</v>
      </c>
      <c r="AO9035" t="s">
        <v>35678</v>
      </c>
    </row>
    <row r="9036" spans="39:41" ht="12" customHeight="1" x14ac:dyDescent="0.2">
      <c r="AM9036" t="str">
        <f t="shared" si="141"/>
        <v>Malselv [NOMAV]</v>
      </c>
      <c r="AN9036" t="s">
        <v>24468</v>
      </c>
      <c r="AO9036" t="s">
        <v>36248</v>
      </c>
    </row>
    <row r="9037" spans="39:41" ht="12" customHeight="1" x14ac:dyDescent="0.2">
      <c r="AM9037" t="str">
        <f t="shared" si="141"/>
        <v>Malsfeld [DEMFL]</v>
      </c>
      <c r="AN9037" t="s">
        <v>7871</v>
      </c>
      <c r="AO9037" t="s">
        <v>7872</v>
      </c>
    </row>
    <row r="9038" spans="39:41" ht="12" customHeight="1" x14ac:dyDescent="0.2">
      <c r="AM9038" t="str">
        <f t="shared" si="141"/>
        <v>Malta Freeport Distripark [MTDIS]</v>
      </c>
      <c r="AN9038" t="s">
        <v>22260</v>
      </c>
      <c r="AO9038" t="s">
        <v>22261</v>
      </c>
    </row>
    <row r="9039" spans="39:41" ht="12" customHeight="1" x14ac:dyDescent="0.2">
      <c r="AM9039" t="str">
        <f t="shared" si="141"/>
        <v>Maltby [USAQJ]</v>
      </c>
      <c r="AN9039" t="s">
        <v>30522</v>
      </c>
      <c r="AO9039" t="s">
        <v>30523</v>
      </c>
    </row>
    <row r="9040" spans="39:41" ht="12" customHeight="1" x14ac:dyDescent="0.2">
      <c r="AM9040" t="str">
        <f t="shared" si="141"/>
        <v>Maltepe [TRMAL]</v>
      </c>
      <c r="AN9040" t="s">
        <v>28539</v>
      </c>
      <c r="AO9040" t="s">
        <v>28540</v>
      </c>
    </row>
    <row r="9041" spans="39:41" ht="12" customHeight="1" x14ac:dyDescent="0.2">
      <c r="AM9041" t="str">
        <f t="shared" si="141"/>
        <v>Maluso, Basilan [PHMLB]</v>
      </c>
      <c r="AN9041" t="s">
        <v>25923</v>
      </c>
      <c r="AO9041" t="s">
        <v>25924</v>
      </c>
    </row>
    <row r="9042" spans="39:41" ht="12" customHeight="1" x14ac:dyDescent="0.2">
      <c r="AM9042" t="str">
        <f t="shared" si="141"/>
        <v>Malvik [NOMAK]</v>
      </c>
      <c r="AN9042" t="s">
        <v>24469</v>
      </c>
      <c r="AO9042" t="s">
        <v>24470</v>
      </c>
    </row>
    <row r="9043" spans="39:41" ht="12" customHeight="1" x14ac:dyDescent="0.2">
      <c r="AM9043" t="str">
        <f t="shared" si="141"/>
        <v>Malwan [INMLW]</v>
      </c>
      <c r="AN9043" t="s">
        <v>17284</v>
      </c>
      <c r="AO9043" t="s">
        <v>17285</v>
      </c>
    </row>
    <row r="9044" spans="39:41" ht="12" customHeight="1" x14ac:dyDescent="0.2">
      <c r="AM9044" t="str">
        <f t="shared" si="141"/>
        <v>Mamadysh [RUMDY]</v>
      </c>
      <c r="AN9044" t="s">
        <v>27085</v>
      </c>
      <c r="AO9044" t="s">
        <v>27086</v>
      </c>
    </row>
    <row r="9045" spans="39:41" ht="12" customHeight="1" x14ac:dyDescent="0.2">
      <c r="AM9045" t="str">
        <f t="shared" si="141"/>
        <v>Mambagid [PHMGI]</v>
      </c>
      <c r="AN9045" t="s">
        <v>25925</v>
      </c>
      <c r="AO9045" t="s">
        <v>25926</v>
      </c>
    </row>
    <row r="9046" spans="39:41" ht="12" customHeight="1" x14ac:dyDescent="0.2">
      <c r="AM9046" t="str">
        <f t="shared" si="141"/>
        <v>Mammendorf [DEMMF]</v>
      </c>
      <c r="AN9046" t="s">
        <v>7873</v>
      </c>
      <c r="AO9046" t="s">
        <v>7874</v>
      </c>
    </row>
    <row r="9047" spans="39:41" ht="12" customHeight="1" x14ac:dyDescent="0.2">
      <c r="AM9047" t="str">
        <f t="shared" si="141"/>
        <v>Mamming [DEMMI]</v>
      </c>
      <c r="AN9047" t="s">
        <v>7875</v>
      </c>
      <c r="AO9047" t="s">
        <v>7876</v>
      </c>
    </row>
    <row r="9048" spans="39:41" ht="12" customHeight="1" x14ac:dyDescent="0.2">
      <c r="AM9048" t="str">
        <f t="shared" si="141"/>
        <v>Mamonal [COMAM]</v>
      </c>
      <c r="AN9048" t="s">
        <v>6522</v>
      </c>
      <c r="AO9048" t="s">
        <v>6523</v>
      </c>
    </row>
    <row r="9049" spans="39:41" ht="12" customHeight="1" x14ac:dyDescent="0.2">
      <c r="AM9049" t="str">
        <f t="shared" si="141"/>
        <v>Mamoudzou [YTMAM]</v>
      </c>
      <c r="AN9049" t="s">
        <v>32665</v>
      </c>
      <c r="AO9049" t="s">
        <v>32666</v>
      </c>
    </row>
    <row r="9050" spans="39:41" ht="12" customHeight="1" x14ac:dyDescent="0.2">
      <c r="AM9050" t="str">
        <f t="shared" si="141"/>
        <v>Mamuju [IDMJU]</v>
      </c>
      <c r="AN9050" t="s">
        <v>16392</v>
      </c>
      <c r="AO9050" t="s">
        <v>16393</v>
      </c>
    </row>
    <row r="9051" spans="39:41" ht="12" customHeight="1" x14ac:dyDescent="0.2">
      <c r="AM9051" t="str">
        <f t="shared" si="141"/>
        <v>Manado [IDMDC]</v>
      </c>
      <c r="AN9051" t="s">
        <v>16394</v>
      </c>
      <c r="AO9051" t="s">
        <v>16395</v>
      </c>
    </row>
    <row r="9052" spans="39:41" ht="12" customHeight="1" x14ac:dyDescent="0.2">
      <c r="AM9052" t="str">
        <f t="shared" si="141"/>
        <v>Manage [BEMAN]</v>
      </c>
      <c r="AN9052" t="s">
        <v>2691</v>
      </c>
      <c r="AO9052" t="s">
        <v>2692</v>
      </c>
    </row>
    <row r="9053" spans="39:41" ht="12" customHeight="1" x14ac:dyDescent="0.2">
      <c r="AM9053" t="str">
        <f t="shared" si="141"/>
        <v>Manailih [SAMAN]</v>
      </c>
      <c r="AN9053" t="s">
        <v>27401</v>
      </c>
      <c r="AO9053" t="s">
        <v>27402</v>
      </c>
    </row>
    <row r="9054" spans="39:41" ht="12" customHeight="1" x14ac:dyDescent="0.2">
      <c r="AM9054" t="str">
        <f t="shared" si="141"/>
        <v>Manakara [MGWVK]</v>
      </c>
      <c r="AN9054" t="s">
        <v>22130</v>
      </c>
      <c r="AO9054" t="s">
        <v>22131</v>
      </c>
    </row>
    <row r="9055" spans="39:41" ht="12" customHeight="1" x14ac:dyDescent="0.2">
      <c r="AM9055" t="str">
        <f t="shared" si="141"/>
        <v>Manam Island [PGMAM]</v>
      </c>
      <c r="AN9055" t="s">
        <v>25434</v>
      </c>
      <c r="AO9055" t="s">
        <v>25435</v>
      </c>
    </row>
    <row r="9056" spans="39:41" ht="12" customHeight="1" x14ac:dyDescent="0.2">
      <c r="AM9056" t="str">
        <f t="shared" si="141"/>
        <v>Mananara [MGWMR]</v>
      </c>
      <c r="AN9056" t="s">
        <v>22132</v>
      </c>
      <c r="AO9056" t="s">
        <v>22133</v>
      </c>
    </row>
    <row r="9057" spans="39:41" ht="12" customHeight="1" x14ac:dyDescent="0.2">
      <c r="AM9057" t="str">
        <f t="shared" si="141"/>
        <v>Mananjary [MGMNJ]</v>
      </c>
      <c r="AN9057" t="s">
        <v>22134</v>
      </c>
      <c r="AO9057" t="s">
        <v>22135</v>
      </c>
    </row>
    <row r="9058" spans="39:41" ht="12" customHeight="1" x14ac:dyDescent="0.2">
      <c r="AM9058" t="str">
        <f t="shared" si="141"/>
        <v>Manansalay/Batangas [PHMSY]</v>
      </c>
      <c r="AN9058" t="s">
        <v>25927</v>
      </c>
      <c r="AO9058" t="s">
        <v>25928</v>
      </c>
    </row>
    <row r="9059" spans="39:41" ht="12" customHeight="1" x14ac:dyDescent="0.2">
      <c r="AM9059" t="str">
        <f t="shared" si="141"/>
        <v>Manasquan [USZMQ]</v>
      </c>
      <c r="AN9059" t="s">
        <v>30524</v>
      </c>
      <c r="AO9059" t="s">
        <v>30525</v>
      </c>
    </row>
    <row r="9060" spans="39:41" ht="12" customHeight="1" x14ac:dyDescent="0.2">
      <c r="AM9060" t="str">
        <f t="shared" si="141"/>
        <v>Manaure [COMAU]</v>
      </c>
      <c r="AN9060" t="s">
        <v>6524</v>
      </c>
      <c r="AO9060" t="s">
        <v>6525</v>
      </c>
    </row>
    <row r="9061" spans="39:41" ht="12" customHeight="1" x14ac:dyDescent="0.2">
      <c r="AM9061" t="str">
        <f t="shared" si="141"/>
        <v>Manaus [BRMAO]</v>
      </c>
      <c r="AN9061" t="s">
        <v>3342</v>
      </c>
      <c r="AO9061" t="s">
        <v>3343</v>
      </c>
    </row>
    <row r="9062" spans="39:41" ht="12" customHeight="1" x14ac:dyDescent="0.2">
      <c r="AM9062" t="str">
        <f t="shared" si="141"/>
        <v>Manavgat [TRMVG]</v>
      </c>
      <c r="AN9062" t="s">
        <v>37180</v>
      </c>
      <c r="AO9062" t="s">
        <v>37181</v>
      </c>
    </row>
    <row r="9063" spans="39:41" ht="12" customHeight="1" x14ac:dyDescent="0.2">
      <c r="AM9063" t="str">
        <f t="shared" si="141"/>
        <v>Manay/Mati [PHMNY]</v>
      </c>
      <c r="AN9063" t="s">
        <v>25929</v>
      </c>
      <c r="AO9063" t="s">
        <v>25930</v>
      </c>
    </row>
    <row r="9064" spans="39:41" ht="12" customHeight="1" x14ac:dyDescent="0.2">
      <c r="AM9064" t="str">
        <f t="shared" si="141"/>
        <v>Manazuru [JPMNA]</v>
      </c>
      <c r="AN9064" t="s">
        <v>19822</v>
      </c>
      <c r="AO9064" t="s">
        <v>19823</v>
      </c>
    </row>
    <row r="9065" spans="39:41" ht="12" customHeight="1" x14ac:dyDescent="0.2">
      <c r="AM9065" t="str">
        <f t="shared" si="141"/>
        <v>Manchester [GBMNC]</v>
      </c>
      <c r="AN9065" t="s">
        <v>13804</v>
      </c>
      <c r="AO9065" t="s">
        <v>13805</v>
      </c>
    </row>
    <row r="9066" spans="39:41" ht="12" customHeight="1" x14ac:dyDescent="0.2">
      <c r="AM9066" t="str">
        <f t="shared" si="141"/>
        <v>Manchester [USMCR]</v>
      </c>
      <c r="AN9066" t="s">
        <v>30526</v>
      </c>
      <c r="AO9066" t="s">
        <v>13805</v>
      </c>
    </row>
    <row r="9067" spans="39:41" ht="12" customHeight="1" x14ac:dyDescent="0.2">
      <c r="AM9067" t="str">
        <f t="shared" si="141"/>
        <v>Manchester Ship Canal, Salford [GBMSC]</v>
      </c>
      <c r="AN9067" t="s">
        <v>13806</v>
      </c>
      <c r="AO9067" t="s">
        <v>13807</v>
      </c>
    </row>
    <row r="9068" spans="39:41" ht="12" customHeight="1" x14ac:dyDescent="0.2">
      <c r="AM9068" t="str">
        <f t="shared" si="141"/>
        <v>Mandal [NOMAN]</v>
      </c>
      <c r="AN9068" t="s">
        <v>24471</v>
      </c>
      <c r="AO9068" t="s">
        <v>24472</v>
      </c>
    </row>
    <row r="9069" spans="39:41" ht="12" customHeight="1" x14ac:dyDescent="0.2">
      <c r="AM9069" t="str">
        <f t="shared" si="141"/>
        <v>Mandali [IQMAN]</v>
      </c>
      <c r="AN9069" t="s">
        <v>17572</v>
      </c>
      <c r="AO9069" t="s">
        <v>17573</v>
      </c>
    </row>
    <row r="9070" spans="39:41" ht="12" customHeight="1" x14ac:dyDescent="0.2">
      <c r="AM9070" t="str">
        <f t="shared" si="141"/>
        <v>Mandapam [INMDP]</v>
      </c>
      <c r="AN9070" t="s">
        <v>17286</v>
      </c>
      <c r="AO9070" t="s">
        <v>17287</v>
      </c>
    </row>
    <row r="9071" spans="39:41" ht="12" customHeight="1" x14ac:dyDescent="0.2">
      <c r="AM9071" t="str">
        <f t="shared" si="141"/>
        <v>Mandjeswaard [NLMJA]</v>
      </c>
      <c r="AN9071" t="s">
        <v>23392</v>
      </c>
      <c r="AO9071" t="s">
        <v>23393</v>
      </c>
    </row>
    <row r="9072" spans="39:41" ht="12" customHeight="1" x14ac:dyDescent="0.2">
      <c r="AM9072" t="str">
        <f t="shared" si="141"/>
        <v>Mandvi [INMDV]</v>
      </c>
      <c r="AN9072" t="s">
        <v>17288</v>
      </c>
      <c r="AO9072" t="s">
        <v>36033</v>
      </c>
    </row>
    <row r="9073" spans="39:41" ht="12" customHeight="1" x14ac:dyDescent="0.2">
      <c r="AM9073" t="str">
        <f t="shared" si="141"/>
        <v>Mandwa [INMNW]</v>
      </c>
      <c r="AN9073" t="s">
        <v>17289</v>
      </c>
      <c r="AO9073" t="s">
        <v>17290</v>
      </c>
    </row>
    <row r="9074" spans="39:41" ht="12" customHeight="1" x14ac:dyDescent="0.2">
      <c r="AM9074" t="str">
        <f t="shared" ref="AM9074:AM9137" si="142">AO9074 &amp; " [" &amp; AN9074 &amp; "]"</f>
        <v>Manfouha [SAMUF]</v>
      </c>
      <c r="AN9074" t="s">
        <v>27403</v>
      </c>
      <c r="AO9074" t="s">
        <v>27404</v>
      </c>
    </row>
    <row r="9075" spans="39:41" ht="12" customHeight="1" x14ac:dyDescent="0.2">
      <c r="AM9075" t="str">
        <f t="shared" si="142"/>
        <v>Manfredonia [ITMFR]</v>
      </c>
      <c r="AN9075" t="s">
        <v>18029</v>
      </c>
      <c r="AO9075" t="s">
        <v>18030</v>
      </c>
    </row>
    <row r="9076" spans="39:41" ht="12" customHeight="1" x14ac:dyDescent="0.2">
      <c r="AM9076" t="str">
        <f t="shared" si="142"/>
        <v>Mangaia [CKMGS]</v>
      </c>
      <c r="AN9076" t="s">
        <v>4803</v>
      </c>
      <c r="AO9076" t="s">
        <v>4804</v>
      </c>
    </row>
    <row r="9077" spans="39:41" ht="12" customHeight="1" x14ac:dyDescent="0.2">
      <c r="AM9077" t="str">
        <f t="shared" si="142"/>
        <v>Mangalia [ROMAG]</v>
      </c>
      <c r="AN9077" t="s">
        <v>26785</v>
      </c>
      <c r="AO9077" t="s">
        <v>26786</v>
      </c>
    </row>
    <row r="9078" spans="39:41" ht="12" customHeight="1" x14ac:dyDescent="0.2">
      <c r="AM9078" t="str">
        <f t="shared" si="142"/>
        <v>Mangalore [INIXE]</v>
      </c>
      <c r="AN9078" t="s">
        <v>17291</v>
      </c>
      <c r="AO9078" t="s">
        <v>17292</v>
      </c>
    </row>
    <row r="9079" spans="39:41" ht="12" customHeight="1" x14ac:dyDescent="0.2">
      <c r="AM9079" t="str">
        <f t="shared" si="142"/>
        <v>Manger [NOMGR]</v>
      </c>
      <c r="AN9079" t="s">
        <v>24473</v>
      </c>
      <c r="AO9079" t="s">
        <v>24474</v>
      </c>
    </row>
    <row r="9080" spans="39:41" ht="12" customHeight="1" x14ac:dyDescent="0.2">
      <c r="AM9080" t="str">
        <f t="shared" si="142"/>
        <v>Manggis [IDMGB]</v>
      </c>
      <c r="AN9080" t="s">
        <v>16396</v>
      </c>
      <c r="AO9080" t="s">
        <v>16397</v>
      </c>
    </row>
    <row r="9081" spans="39:41" ht="12" customHeight="1" x14ac:dyDescent="0.2">
      <c r="AM9081" t="str">
        <f t="shared" si="142"/>
        <v>Mangkajang [IDMKJ]</v>
      </c>
      <c r="AN9081" t="s">
        <v>16398</v>
      </c>
      <c r="AO9081" t="s">
        <v>16399</v>
      </c>
    </row>
    <row r="9082" spans="39:41" ht="12" customHeight="1" x14ac:dyDescent="0.2">
      <c r="AM9082" t="str">
        <f t="shared" si="142"/>
        <v>Mangogoy/Bislig [PHMGG]</v>
      </c>
      <c r="AN9082" t="s">
        <v>25931</v>
      </c>
      <c r="AO9082" t="s">
        <v>25932</v>
      </c>
    </row>
    <row r="9083" spans="39:41" ht="12" customHeight="1" x14ac:dyDescent="0.2">
      <c r="AM9083" t="str">
        <f t="shared" si="142"/>
        <v>Mangole [IDMAL]</v>
      </c>
      <c r="AN9083" t="s">
        <v>16400</v>
      </c>
      <c r="AO9083" t="s">
        <v>16401</v>
      </c>
    </row>
    <row r="9084" spans="39:41" ht="12" customHeight="1" x14ac:dyDescent="0.2">
      <c r="AM9084" t="str">
        <f t="shared" si="142"/>
        <v>Mangrol [INMGR]</v>
      </c>
      <c r="AN9084" t="s">
        <v>17293</v>
      </c>
      <c r="AO9084" t="s">
        <v>17294</v>
      </c>
    </row>
    <row r="9085" spans="39:41" ht="12" customHeight="1" x14ac:dyDescent="0.2">
      <c r="AM9085" t="str">
        <f t="shared" si="142"/>
        <v>Manhasset [USMH8]</v>
      </c>
      <c r="AN9085" t="s">
        <v>30527</v>
      </c>
      <c r="AO9085" t="s">
        <v>30528</v>
      </c>
    </row>
    <row r="9086" spans="39:41" ht="12" customHeight="1" x14ac:dyDescent="0.2">
      <c r="AM9086" t="str">
        <f t="shared" si="142"/>
        <v>Manhattan/New York [USMNH]</v>
      </c>
      <c r="AN9086" t="s">
        <v>30529</v>
      </c>
      <c r="AO9086" t="s">
        <v>30530</v>
      </c>
    </row>
    <row r="9087" spans="39:41" ht="12" customHeight="1" x14ac:dyDescent="0.2">
      <c r="AM9087" t="str">
        <f t="shared" si="142"/>
        <v>Manheim Center [USZMY]</v>
      </c>
      <c r="AN9087" t="s">
        <v>30531</v>
      </c>
      <c r="AO9087" t="s">
        <v>30532</v>
      </c>
    </row>
    <row r="9088" spans="39:41" ht="12" customHeight="1" x14ac:dyDescent="0.2">
      <c r="AM9088" t="str">
        <f t="shared" si="142"/>
        <v>Manicani [PHMNI]</v>
      </c>
      <c r="AN9088" t="s">
        <v>25933</v>
      </c>
      <c r="AO9088" t="s">
        <v>25934</v>
      </c>
    </row>
    <row r="9089" spans="39:41" ht="12" customHeight="1" x14ac:dyDescent="0.2">
      <c r="AM9089" t="str">
        <f t="shared" si="142"/>
        <v>Maniitsoq (Sukkertoppen) [GLJSU]</v>
      </c>
      <c r="AN9089" t="s">
        <v>14999</v>
      </c>
      <c r="AO9089" t="s">
        <v>15000</v>
      </c>
    </row>
    <row r="9090" spans="39:41" ht="12" customHeight="1" x14ac:dyDescent="0.2">
      <c r="AM9090" t="str">
        <f t="shared" si="142"/>
        <v>Manila [PHMNL]</v>
      </c>
      <c r="AN9090" t="s">
        <v>25935</v>
      </c>
      <c r="AO9090" t="s">
        <v>25936</v>
      </c>
    </row>
    <row r="9091" spans="39:41" ht="12" customHeight="1" x14ac:dyDescent="0.2">
      <c r="AM9091" t="str">
        <f t="shared" si="142"/>
        <v>Manila North Harbour [PHMNN]</v>
      </c>
      <c r="AN9091" t="s">
        <v>25937</v>
      </c>
      <c r="AO9091" t="s">
        <v>25938</v>
      </c>
    </row>
    <row r="9092" spans="39:41" ht="12" customHeight="1" x14ac:dyDescent="0.2">
      <c r="AM9092" t="str">
        <f t="shared" si="142"/>
        <v>Manila South Harbour [PHMNS]</v>
      </c>
      <c r="AN9092" t="s">
        <v>25939</v>
      </c>
      <c r="AO9092" t="s">
        <v>25940</v>
      </c>
    </row>
    <row r="9093" spans="39:41" ht="12" customHeight="1" x14ac:dyDescent="0.2">
      <c r="AM9093" t="str">
        <f t="shared" si="142"/>
        <v>Manilaiu [EEMAN]</v>
      </c>
      <c r="AN9093" t="s">
        <v>9252</v>
      </c>
      <c r="AO9093" t="s">
        <v>9253</v>
      </c>
    </row>
    <row r="9094" spans="39:41" ht="12" customHeight="1" x14ac:dyDescent="0.2">
      <c r="AM9094" t="str">
        <f t="shared" si="142"/>
        <v>Manitowoc [USMTW]</v>
      </c>
      <c r="AN9094" t="s">
        <v>30533</v>
      </c>
      <c r="AO9094" t="s">
        <v>30534</v>
      </c>
    </row>
    <row r="9095" spans="39:41" ht="12" customHeight="1" x14ac:dyDescent="0.2">
      <c r="AM9095" t="str">
        <f t="shared" si="142"/>
        <v>Manjung [MYMAN]</v>
      </c>
      <c r="AN9095" t="s">
        <v>22647</v>
      </c>
      <c r="AO9095" t="s">
        <v>22648</v>
      </c>
    </row>
    <row r="9096" spans="39:41" ht="12" customHeight="1" x14ac:dyDescent="0.2">
      <c r="AM9096" t="str">
        <f t="shared" si="142"/>
        <v>Mannar [LKMAN]</v>
      </c>
      <c r="AN9096" t="s">
        <v>21841</v>
      </c>
      <c r="AO9096" t="s">
        <v>21842</v>
      </c>
    </row>
    <row r="9097" spans="39:41" ht="12" customHeight="1" x14ac:dyDescent="0.2">
      <c r="AM9097" t="str">
        <f t="shared" si="142"/>
        <v>Mannedorf [CHMDF]</v>
      </c>
      <c r="AN9097" t="s">
        <v>4715</v>
      </c>
      <c r="AO9097" t="s">
        <v>35343</v>
      </c>
    </row>
    <row r="9098" spans="39:41" ht="12" customHeight="1" x14ac:dyDescent="0.2">
      <c r="AM9098" t="str">
        <f t="shared" si="142"/>
        <v>Mannheim [DEMHG]</v>
      </c>
      <c r="AN9098" t="s">
        <v>7877</v>
      </c>
      <c r="AO9098" t="s">
        <v>7878</v>
      </c>
    </row>
    <row r="9099" spans="39:41" ht="12" customHeight="1" x14ac:dyDescent="0.2">
      <c r="AM9099" t="str">
        <f t="shared" si="142"/>
        <v>Manni [EEMNI]</v>
      </c>
      <c r="AN9099" t="s">
        <v>9254</v>
      </c>
      <c r="AO9099" t="s">
        <v>35630</v>
      </c>
    </row>
    <row r="9100" spans="39:41" ht="12" customHeight="1" x14ac:dyDescent="0.2">
      <c r="AM9100" t="str">
        <f t="shared" si="142"/>
        <v>Manning [ATMAN]</v>
      </c>
      <c r="AN9100" t="s">
        <v>1268</v>
      </c>
      <c r="AO9100" t="s">
        <v>1269</v>
      </c>
    </row>
    <row r="9101" spans="39:41" ht="12" customHeight="1" x14ac:dyDescent="0.2">
      <c r="AM9101" t="str">
        <f t="shared" si="142"/>
        <v>Manning [USIA2]</v>
      </c>
      <c r="AN9101" t="s">
        <v>30535</v>
      </c>
      <c r="AO9101" t="s">
        <v>1269</v>
      </c>
    </row>
    <row r="9102" spans="39:41" ht="12" customHeight="1" x14ac:dyDescent="0.2">
      <c r="AM9102" t="str">
        <f t="shared" si="142"/>
        <v>Mannsville [USNSV]</v>
      </c>
      <c r="AN9102" t="s">
        <v>30536</v>
      </c>
      <c r="AO9102" t="s">
        <v>30537</v>
      </c>
    </row>
    <row r="9103" spans="39:41" ht="12" customHeight="1" x14ac:dyDescent="0.2">
      <c r="AM9103" t="str">
        <f t="shared" si="142"/>
        <v>Manokwari, Irian Jaya [IDMKW]</v>
      </c>
      <c r="AN9103" t="s">
        <v>16402</v>
      </c>
      <c r="AO9103" t="s">
        <v>16403</v>
      </c>
    </row>
    <row r="9104" spans="39:41" ht="12" customHeight="1" x14ac:dyDescent="0.2">
      <c r="AM9104" t="str">
        <f t="shared" si="142"/>
        <v>Manombo [MGMOB]</v>
      </c>
      <c r="AN9104" t="s">
        <v>22136</v>
      </c>
      <c r="AO9104" t="s">
        <v>22137</v>
      </c>
    </row>
    <row r="9105" spans="39:41" ht="12" customHeight="1" x14ac:dyDescent="0.2">
      <c r="AM9105" t="str">
        <f t="shared" si="142"/>
        <v>Manori [INMNR]</v>
      </c>
      <c r="AN9105" t="s">
        <v>17295</v>
      </c>
      <c r="AO9105" t="s">
        <v>17296</v>
      </c>
    </row>
    <row r="9106" spans="39:41" ht="12" customHeight="1" x14ac:dyDescent="0.2">
      <c r="AM9106" t="str">
        <f t="shared" si="142"/>
        <v>Manta [ECMEC]</v>
      </c>
      <c r="AN9106" t="s">
        <v>9101</v>
      </c>
      <c r="AO9106" t="s">
        <v>9102</v>
      </c>
    </row>
    <row r="9107" spans="39:41" ht="12" customHeight="1" x14ac:dyDescent="0.2">
      <c r="AM9107" t="str">
        <f t="shared" si="142"/>
        <v>Mantang, Riau [IDMNT]</v>
      </c>
      <c r="AN9107" t="s">
        <v>16404</v>
      </c>
      <c r="AO9107" t="s">
        <v>16405</v>
      </c>
    </row>
    <row r="9108" spans="39:41" ht="12" customHeight="1" x14ac:dyDescent="0.2">
      <c r="AM9108" t="str">
        <f t="shared" si="142"/>
        <v>Mantes-la-Jolie [FRMAN]</v>
      </c>
      <c r="AN9108" t="s">
        <v>36974</v>
      </c>
      <c r="AO9108" t="s">
        <v>36975</v>
      </c>
    </row>
    <row r="9109" spans="39:41" ht="12" customHeight="1" x14ac:dyDescent="0.2">
      <c r="AM9109" t="str">
        <f t="shared" si="142"/>
        <v>Mantua [USQMU]</v>
      </c>
      <c r="AN9109" t="s">
        <v>30538</v>
      </c>
      <c r="AO9109" t="s">
        <v>30539</v>
      </c>
    </row>
    <row r="9110" spans="39:41" ht="12" customHeight="1" x14ac:dyDescent="0.2">
      <c r="AM9110" t="str">
        <f t="shared" si="142"/>
        <v>Mantyluoto [FIMTY]</v>
      </c>
      <c r="AN9110" t="s">
        <v>10462</v>
      </c>
      <c r="AO9110" t="s">
        <v>35740</v>
      </c>
    </row>
    <row r="9111" spans="39:41" ht="12" customHeight="1" x14ac:dyDescent="0.2">
      <c r="AM9111" t="str">
        <f t="shared" si="142"/>
        <v>Manzanillo [CUMZO]</v>
      </c>
      <c r="AN9111" t="s">
        <v>6695</v>
      </c>
      <c r="AO9111" t="s">
        <v>6696</v>
      </c>
    </row>
    <row r="9112" spans="39:41" ht="12" customHeight="1" x14ac:dyDescent="0.2">
      <c r="AM9112" t="str">
        <f t="shared" si="142"/>
        <v>Manzanillo [DOMAN]</v>
      </c>
      <c r="AN9112" t="s">
        <v>9007</v>
      </c>
      <c r="AO9112" t="s">
        <v>6696</v>
      </c>
    </row>
    <row r="9113" spans="39:41" ht="12" customHeight="1" x14ac:dyDescent="0.2">
      <c r="AM9113" t="str">
        <f t="shared" si="142"/>
        <v>Manzanillo [MXZLO]</v>
      </c>
      <c r="AN9113" t="s">
        <v>22391</v>
      </c>
      <c r="AO9113" t="s">
        <v>6696</v>
      </c>
    </row>
    <row r="9114" spans="39:41" ht="12" customHeight="1" x14ac:dyDescent="0.2">
      <c r="AM9114" t="str">
        <f t="shared" si="142"/>
        <v>Manzanillo [PAMIT]</v>
      </c>
      <c r="AN9114" t="s">
        <v>25204</v>
      </c>
      <c r="AO9114" t="s">
        <v>6696</v>
      </c>
    </row>
    <row r="9115" spans="39:41" ht="12" customHeight="1" x14ac:dyDescent="0.2">
      <c r="AM9115" t="str">
        <f t="shared" si="142"/>
        <v>Maogang [CNMOG]</v>
      </c>
      <c r="AN9115" t="s">
        <v>5723</v>
      </c>
      <c r="AO9115" t="s">
        <v>5724</v>
      </c>
    </row>
    <row r="9116" spans="39:41" ht="12" customHeight="1" x14ac:dyDescent="0.2">
      <c r="AM9116" t="str">
        <f t="shared" si="142"/>
        <v>Maoling [CNMLG]</v>
      </c>
      <c r="AN9116" t="s">
        <v>5725</v>
      </c>
      <c r="AO9116" t="s">
        <v>5726</v>
      </c>
    </row>
    <row r="9117" spans="39:41" ht="12" customHeight="1" x14ac:dyDescent="0.2">
      <c r="AM9117" t="str">
        <f t="shared" si="142"/>
        <v>Maoping Pt [CNMPP]</v>
      </c>
      <c r="AN9117" t="s">
        <v>5727</v>
      </c>
      <c r="AO9117" t="s">
        <v>5728</v>
      </c>
    </row>
    <row r="9118" spans="39:41" ht="12" customHeight="1" x14ac:dyDescent="0.2">
      <c r="AM9118" t="str">
        <f t="shared" si="142"/>
        <v>Maoshan Pt [CNMSP]</v>
      </c>
      <c r="AN9118" t="s">
        <v>5729</v>
      </c>
      <c r="AO9118" t="s">
        <v>5730</v>
      </c>
    </row>
    <row r="9119" spans="39:41" ht="12" customHeight="1" x14ac:dyDescent="0.2">
      <c r="AM9119" t="str">
        <f t="shared" si="142"/>
        <v>Mapia Island [IDMAI]</v>
      </c>
      <c r="AN9119" t="s">
        <v>16406</v>
      </c>
      <c r="AO9119" t="s">
        <v>16407</v>
      </c>
    </row>
    <row r="9120" spans="39:41" ht="12" customHeight="1" x14ac:dyDescent="0.2">
      <c r="AM9120" t="str">
        <f t="shared" si="142"/>
        <v>Maple Bluff [USZPU]</v>
      </c>
      <c r="AN9120" t="s">
        <v>30540</v>
      </c>
      <c r="AO9120" t="s">
        <v>30541</v>
      </c>
    </row>
    <row r="9121" spans="39:41" ht="12" customHeight="1" x14ac:dyDescent="0.2">
      <c r="AM9121" t="str">
        <f t="shared" si="142"/>
        <v>Maple Ridge [CAMRI]</v>
      </c>
      <c r="AN9121" t="s">
        <v>4079</v>
      </c>
      <c r="AO9121" t="s">
        <v>4080</v>
      </c>
    </row>
    <row r="9122" spans="39:41" ht="12" customHeight="1" x14ac:dyDescent="0.2">
      <c r="AM9122" t="str">
        <f t="shared" si="142"/>
        <v>Mapleton [USXUY]</v>
      </c>
      <c r="AN9122" t="s">
        <v>30542</v>
      </c>
      <c r="AO9122" t="s">
        <v>30543</v>
      </c>
    </row>
    <row r="9123" spans="39:41" ht="12" customHeight="1" x14ac:dyDescent="0.2">
      <c r="AM9123" t="str">
        <f t="shared" si="142"/>
        <v>Maputo [MZMPM]</v>
      </c>
      <c r="AN9123" t="s">
        <v>22845</v>
      </c>
      <c r="AO9123" t="s">
        <v>22846</v>
      </c>
    </row>
    <row r="9124" spans="39:41" ht="12" customHeight="1" x14ac:dyDescent="0.2">
      <c r="AM9124" t="str">
        <f t="shared" si="142"/>
        <v>Mar del Plata [ARMDQ]</v>
      </c>
      <c r="AN9124" t="s">
        <v>1045</v>
      </c>
      <c r="AO9124" t="s">
        <v>1046</v>
      </c>
    </row>
    <row r="9125" spans="39:41" ht="12" customHeight="1" x14ac:dyDescent="0.2">
      <c r="AM9125" t="str">
        <f t="shared" si="142"/>
        <v>Marabahan [IDMAR]</v>
      </c>
      <c r="AN9125" t="s">
        <v>16408</v>
      </c>
      <c r="AO9125" t="s">
        <v>16409</v>
      </c>
    </row>
    <row r="9126" spans="39:41" ht="12" customHeight="1" x14ac:dyDescent="0.2">
      <c r="AM9126" t="str">
        <f t="shared" si="142"/>
        <v>Maracaibo [VEMAR]</v>
      </c>
      <c r="AN9126" t="s">
        <v>32206</v>
      </c>
      <c r="AO9126" t="s">
        <v>32207</v>
      </c>
    </row>
    <row r="9127" spans="39:41" ht="12" customHeight="1" x14ac:dyDescent="0.2">
      <c r="AM9127" t="str">
        <f t="shared" si="142"/>
        <v>Maracena [ESMRN]</v>
      </c>
      <c r="AN9127" t="s">
        <v>9933</v>
      </c>
      <c r="AO9127" t="s">
        <v>9934</v>
      </c>
    </row>
    <row r="9128" spans="39:41" ht="12" customHeight="1" x14ac:dyDescent="0.2">
      <c r="AM9128" t="str">
        <f t="shared" si="142"/>
        <v>Marambio [AQMRB]</v>
      </c>
      <c r="AN9128" t="s">
        <v>944</v>
      </c>
      <c r="AO9128" t="s">
        <v>945</v>
      </c>
    </row>
    <row r="9129" spans="39:41" ht="12" customHeight="1" x14ac:dyDescent="0.2">
      <c r="AM9129" t="str">
        <f t="shared" si="142"/>
        <v>Marano Lagunare [ITMAJ]</v>
      </c>
      <c r="AN9129" t="s">
        <v>18031</v>
      </c>
      <c r="AO9129" t="s">
        <v>18032</v>
      </c>
    </row>
    <row r="9130" spans="39:41" ht="12" customHeight="1" x14ac:dyDescent="0.2">
      <c r="AM9130" t="str">
        <f t="shared" si="142"/>
        <v>Marans [FRMRN]</v>
      </c>
      <c r="AN9130" t="s">
        <v>11628</v>
      </c>
      <c r="AO9130" t="s">
        <v>11629</v>
      </c>
    </row>
    <row r="9131" spans="39:41" ht="12" customHeight="1" x14ac:dyDescent="0.2">
      <c r="AM9131" t="str">
        <f t="shared" si="142"/>
        <v>Maransart [BEWBR]</v>
      </c>
      <c r="AN9131" t="s">
        <v>2693</v>
      </c>
      <c r="AO9131" t="s">
        <v>2694</v>
      </c>
    </row>
    <row r="9132" spans="39:41" ht="12" customHeight="1" x14ac:dyDescent="0.2">
      <c r="AM9132" t="str">
        <f t="shared" si="142"/>
        <v>Maratea [ITTEA]</v>
      </c>
      <c r="AN9132" t="s">
        <v>18033</v>
      </c>
      <c r="AO9132" t="s">
        <v>18034</v>
      </c>
    </row>
    <row r="9133" spans="39:41" ht="12" customHeight="1" x14ac:dyDescent="0.2">
      <c r="AM9133" t="str">
        <f t="shared" si="142"/>
        <v>Marathokampos Samou [GRMKP]</v>
      </c>
      <c r="AN9133" t="s">
        <v>34090</v>
      </c>
      <c r="AO9133" t="s">
        <v>34136</v>
      </c>
    </row>
    <row r="9134" spans="39:41" ht="12" customHeight="1" x14ac:dyDescent="0.2">
      <c r="AM9134" t="str">
        <f t="shared" si="142"/>
        <v>Marathon [CAMAR]</v>
      </c>
      <c r="AN9134" t="s">
        <v>4081</v>
      </c>
      <c r="AO9134" t="s">
        <v>4082</v>
      </c>
    </row>
    <row r="9135" spans="39:41" ht="12" customHeight="1" x14ac:dyDescent="0.2">
      <c r="AM9135" t="str">
        <f t="shared" si="142"/>
        <v>Marau Sound, Guadalcanal Is [SBRUS]</v>
      </c>
      <c r="AN9135" t="s">
        <v>27449</v>
      </c>
      <c r="AO9135" t="s">
        <v>27450</v>
      </c>
    </row>
    <row r="9136" spans="39:41" ht="12" customHeight="1" x14ac:dyDescent="0.2">
      <c r="AM9136" t="str">
        <f t="shared" si="142"/>
        <v>Marbach an der Donau [ATMAB]</v>
      </c>
      <c r="AN9136" t="s">
        <v>1270</v>
      </c>
      <c r="AO9136" t="s">
        <v>1271</v>
      </c>
    </row>
    <row r="9137" spans="39:41" ht="12" customHeight="1" x14ac:dyDescent="0.2">
      <c r="AM9137" t="str">
        <f t="shared" si="142"/>
        <v>Marbak Havn [DKMRB]</v>
      </c>
      <c r="AN9137" t="s">
        <v>8803</v>
      </c>
      <c r="AO9137" t="s">
        <v>35555</v>
      </c>
    </row>
    <row r="9138" spans="39:41" ht="12" customHeight="1" x14ac:dyDescent="0.2">
      <c r="AM9138" t="str">
        <f t="shared" ref="AM9138:AM9201" si="143">AO9138 &amp; " [" &amp; AN9138 &amp; "]"</f>
        <v>Marblehead [USMH2]</v>
      </c>
      <c r="AN9138" t="s">
        <v>30544</v>
      </c>
      <c r="AO9138" t="s">
        <v>30545</v>
      </c>
    </row>
    <row r="9139" spans="39:41" ht="12" customHeight="1" x14ac:dyDescent="0.2">
      <c r="AM9139" t="str">
        <f t="shared" si="143"/>
        <v>Marcardsmoor [DEMRM]</v>
      </c>
      <c r="AN9139" t="s">
        <v>7879</v>
      </c>
      <c r="AO9139" t="s">
        <v>7880</v>
      </c>
    </row>
    <row r="9140" spans="39:41" ht="12" customHeight="1" x14ac:dyDescent="0.2">
      <c r="AM9140" t="str">
        <f t="shared" si="143"/>
        <v>Marche-les-Dames [BEMLD]</v>
      </c>
      <c r="AN9140" t="s">
        <v>2695</v>
      </c>
      <c r="AO9140" t="s">
        <v>2696</v>
      </c>
    </row>
    <row r="9141" spans="39:41" ht="12" customHeight="1" x14ac:dyDescent="0.2">
      <c r="AM9141" t="str">
        <f t="shared" si="143"/>
        <v>Marchevo [BGMAB]</v>
      </c>
      <c r="AN9141" t="s">
        <v>3148</v>
      </c>
      <c r="AO9141" t="s">
        <v>3149</v>
      </c>
    </row>
    <row r="9142" spans="39:41" ht="12" customHeight="1" x14ac:dyDescent="0.2">
      <c r="AM9142" t="str">
        <f t="shared" si="143"/>
        <v>Marchienne-au-Pont [BEMAP]</v>
      </c>
      <c r="AN9142" t="s">
        <v>2697</v>
      </c>
      <c r="AO9142" t="s">
        <v>2698</v>
      </c>
    </row>
    <row r="9143" spans="39:41" ht="12" customHeight="1" x14ac:dyDescent="0.2">
      <c r="AM9143" t="str">
        <f t="shared" si="143"/>
        <v>Marchwood [GBMAW]</v>
      </c>
      <c r="AN9143" t="s">
        <v>13808</v>
      </c>
      <c r="AO9143" t="s">
        <v>13809</v>
      </c>
    </row>
    <row r="9144" spans="39:41" ht="12" customHeight="1" x14ac:dyDescent="0.2">
      <c r="AM9144" t="str">
        <f t="shared" si="143"/>
        <v>Marciana Marina [ITMAM]</v>
      </c>
      <c r="AN9144" t="s">
        <v>18035</v>
      </c>
      <c r="AO9144" t="s">
        <v>18036</v>
      </c>
    </row>
    <row r="9145" spans="39:41" ht="12" customHeight="1" x14ac:dyDescent="0.2">
      <c r="AM9145" t="str">
        <f t="shared" si="143"/>
        <v>Marcus Hook [USMAH]</v>
      </c>
      <c r="AN9145" t="s">
        <v>34118</v>
      </c>
      <c r="AO9145" t="s">
        <v>34164</v>
      </c>
    </row>
    <row r="9146" spans="39:41" ht="12" customHeight="1" x14ac:dyDescent="0.2">
      <c r="AM9146" t="str">
        <f t="shared" si="143"/>
        <v>Marcy [USZAY]</v>
      </c>
      <c r="AN9146" t="s">
        <v>30546</v>
      </c>
      <c r="AO9146" t="s">
        <v>30547</v>
      </c>
    </row>
    <row r="9147" spans="39:41" ht="12" customHeight="1" x14ac:dyDescent="0.2">
      <c r="AM9147" t="str">
        <f t="shared" si="143"/>
        <v>Mardas [TRMAD]</v>
      </c>
      <c r="AN9147" t="s">
        <v>28541</v>
      </c>
      <c r="AO9147" t="s">
        <v>28542</v>
      </c>
    </row>
    <row r="9148" spans="39:41" ht="12" customHeight="1" x14ac:dyDescent="0.2">
      <c r="AM9148" t="str">
        <f t="shared" si="143"/>
        <v>Mareb [YEMYN]</v>
      </c>
      <c r="AN9148" t="s">
        <v>32644</v>
      </c>
      <c r="AO9148" t="s">
        <v>32645</v>
      </c>
    </row>
    <row r="9149" spans="39:41" ht="12" customHeight="1" x14ac:dyDescent="0.2">
      <c r="AM9149" t="str">
        <f t="shared" si="143"/>
        <v>Marettimo [ITMMO]</v>
      </c>
      <c r="AN9149" t="s">
        <v>18037</v>
      </c>
      <c r="AO9149" t="s">
        <v>18038</v>
      </c>
    </row>
    <row r="9150" spans="39:41" ht="12" customHeight="1" x14ac:dyDescent="0.2">
      <c r="AM9150" t="str">
        <f t="shared" si="143"/>
        <v>Mareuil-le-Port [FRULP]</v>
      </c>
      <c r="AN9150" t="s">
        <v>11630</v>
      </c>
      <c r="AO9150" t="s">
        <v>11631</v>
      </c>
    </row>
    <row r="9151" spans="39:41" ht="12" customHeight="1" x14ac:dyDescent="0.2">
      <c r="AM9151" t="str">
        <f t="shared" si="143"/>
        <v>Mareuil-les-Meaux [FRUMX]</v>
      </c>
      <c r="AN9151" t="s">
        <v>11632</v>
      </c>
      <c r="AO9151" t="s">
        <v>11633</v>
      </c>
    </row>
    <row r="9152" spans="39:41" ht="12" customHeight="1" x14ac:dyDescent="0.2">
      <c r="AM9152" t="str">
        <f t="shared" si="143"/>
        <v>Margate [GBMGT]</v>
      </c>
      <c r="AN9152" t="s">
        <v>13810</v>
      </c>
      <c r="AO9152" t="s">
        <v>13811</v>
      </c>
    </row>
    <row r="9153" spans="39:41" ht="12" customHeight="1" x14ac:dyDescent="0.2">
      <c r="AM9153" t="str">
        <f t="shared" si="143"/>
        <v>Marghera [ITPMA]</v>
      </c>
      <c r="AN9153" t="s">
        <v>18039</v>
      </c>
      <c r="AO9153" t="s">
        <v>18040</v>
      </c>
    </row>
    <row r="9154" spans="39:41" ht="12" customHeight="1" x14ac:dyDescent="0.2">
      <c r="AM9154" t="str">
        <f t="shared" si="143"/>
        <v>Margherita di Savoia [ITMDW]</v>
      </c>
      <c r="AN9154" t="s">
        <v>18041</v>
      </c>
      <c r="AO9154" t="s">
        <v>18042</v>
      </c>
    </row>
    <row r="9155" spans="39:41" ht="12" customHeight="1" x14ac:dyDescent="0.2">
      <c r="AM9155" t="str">
        <f t="shared" si="143"/>
        <v>Margonin [PLMNN]</v>
      </c>
      <c r="AN9155" t="s">
        <v>26341</v>
      </c>
      <c r="AO9155" t="s">
        <v>26342</v>
      </c>
    </row>
    <row r="9156" spans="39:41" ht="12" customHeight="1" x14ac:dyDescent="0.2">
      <c r="AM9156" t="str">
        <f t="shared" si="143"/>
        <v>Mariager [DKMRR]</v>
      </c>
      <c r="AN9156" t="s">
        <v>8804</v>
      </c>
      <c r="AO9156" t="s">
        <v>8805</v>
      </c>
    </row>
    <row r="9157" spans="39:41" ht="12" customHeight="1" x14ac:dyDescent="0.2">
      <c r="AM9157" t="str">
        <f t="shared" si="143"/>
        <v>Mariakerke [BEMRI]</v>
      </c>
      <c r="AN9157" t="s">
        <v>36789</v>
      </c>
      <c r="AO9157" t="s">
        <v>36790</v>
      </c>
    </row>
    <row r="9158" spans="39:41" ht="12" customHeight="1" x14ac:dyDescent="0.2">
      <c r="AM9158" t="str">
        <f t="shared" si="143"/>
        <v>Maribyrnong [AUMBY]</v>
      </c>
      <c r="AN9158" t="s">
        <v>1819</v>
      </c>
      <c r="AO9158" t="s">
        <v>1820</v>
      </c>
    </row>
    <row r="9159" spans="39:41" ht="12" customHeight="1" x14ac:dyDescent="0.2">
      <c r="AM9159" t="str">
        <f t="shared" si="143"/>
        <v>MARICA [HRMAR]</v>
      </c>
      <c r="AN9159" t="s">
        <v>36731</v>
      </c>
      <c r="AO9159" t="s">
        <v>36732</v>
      </c>
    </row>
    <row r="9160" spans="39:41" ht="12" customHeight="1" x14ac:dyDescent="0.2">
      <c r="AM9160" t="str">
        <f t="shared" si="143"/>
        <v>Marieberg [SEMAR]</v>
      </c>
      <c r="AN9160" t="s">
        <v>27743</v>
      </c>
      <c r="AO9160" t="s">
        <v>27744</v>
      </c>
    </row>
    <row r="9161" spans="39:41" ht="12" customHeight="1" x14ac:dyDescent="0.2">
      <c r="AM9161" t="str">
        <f t="shared" si="143"/>
        <v>Mariefred [SEMRF]</v>
      </c>
      <c r="AN9161" t="s">
        <v>27745</v>
      </c>
      <c r="AO9161" t="s">
        <v>27746</v>
      </c>
    </row>
    <row r="9162" spans="39:41" ht="12" customHeight="1" x14ac:dyDescent="0.2">
      <c r="AM9162" t="str">
        <f t="shared" si="143"/>
        <v>Mariel [CUMAR]</v>
      </c>
      <c r="AN9162" t="s">
        <v>6697</v>
      </c>
      <c r="AO9162" t="s">
        <v>6698</v>
      </c>
    </row>
    <row r="9163" spans="39:41" ht="12" customHeight="1" x14ac:dyDescent="0.2">
      <c r="AM9163" t="str">
        <f t="shared" si="143"/>
        <v>Mariensiel [DEMRS]</v>
      </c>
      <c r="AN9163" t="s">
        <v>7881</v>
      </c>
      <c r="AO9163" t="s">
        <v>7882</v>
      </c>
    </row>
    <row r="9164" spans="39:41" ht="12" customHeight="1" x14ac:dyDescent="0.2">
      <c r="AM9164" t="str">
        <f t="shared" si="143"/>
        <v>Mariestad [SEMAD]</v>
      </c>
      <c r="AN9164" t="s">
        <v>27747</v>
      </c>
      <c r="AO9164" t="s">
        <v>27748</v>
      </c>
    </row>
    <row r="9165" spans="39:41" ht="12" customHeight="1" x14ac:dyDescent="0.2">
      <c r="AM9165" t="str">
        <f t="shared" si="143"/>
        <v>Marigot [MFMAR]</v>
      </c>
      <c r="AN9165" t="s">
        <v>22100</v>
      </c>
      <c r="AO9165" t="s">
        <v>22101</v>
      </c>
    </row>
    <row r="9166" spans="39:41" ht="12" customHeight="1" x14ac:dyDescent="0.2">
      <c r="AM9166" t="str">
        <f t="shared" si="143"/>
        <v>Marigot [SXMAR]</v>
      </c>
      <c r="AN9166" t="s">
        <v>28158</v>
      </c>
      <c r="AO9166" t="s">
        <v>22101</v>
      </c>
    </row>
    <row r="9167" spans="39:41" ht="12" customHeight="1" x14ac:dyDescent="0.2">
      <c r="AM9167" t="str">
        <f t="shared" si="143"/>
        <v>Marigot [GPMSB]</v>
      </c>
      <c r="AN9167" t="s">
        <v>36994</v>
      </c>
      <c r="AO9167" t="s">
        <v>22101</v>
      </c>
    </row>
    <row r="9168" spans="39:41" ht="12" customHeight="1" x14ac:dyDescent="0.2">
      <c r="AM9168" t="str">
        <f t="shared" si="143"/>
        <v>Marihatag, Mindanao [PHMHT]</v>
      </c>
      <c r="AN9168" t="s">
        <v>25941</v>
      </c>
      <c r="AO9168" t="s">
        <v>25942</v>
      </c>
    </row>
    <row r="9169" spans="39:41" ht="12" customHeight="1" x14ac:dyDescent="0.2">
      <c r="AM9169" t="str">
        <f t="shared" si="143"/>
        <v>Marin, Pontevedra [ESMPG]</v>
      </c>
      <c r="AN9169" t="s">
        <v>9935</v>
      </c>
      <c r="AO9169" t="s">
        <v>9936</v>
      </c>
    </row>
    <row r="9170" spans="39:41" ht="12" customHeight="1" x14ac:dyDescent="0.2">
      <c r="AM9170" t="str">
        <f t="shared" si="143"/>
        <v>Marina della Lobra [ITMLB]</v>
      </c>
      <c r="AN9170" t="s">
        <v>18043</v>
      </c>
      <c r="AO9170" t="s">
        <v>18044</v>
      </c>
    </row>
    <row r="9171" spans="39:41" ht="12" customHeight="1" x14ac:dyDescent="0.2">
      <c r="AM9171" t="str">
        <f t="shared" si="143"/>
        <v>Marina di Camerota [ITMIT]</v>
      </c>
      <c r="AN9171" t="s">
        <v>18045</v>
      </c>
      <c r="AO9171" t="s">
        <v>18046</v>
      </c>
    </row>
    <row r="9172" spans="39:41" ht="12" customHeight="1" x14ac:dyDescent="0.2">
      <c r="AM9172" t="str">
        <f t="shared" si="143"/>
        <v>Marina di Campo [ITMRP]</v>
      </c>
      <c r="AN9172" t="s">
        <v>18047</v>
      </c>
      <c r="AO9172" t="s">
        <v>18048</v>
      </c>
    </row>
    <row r="9173" spans="39:41" ht="12" customHeight="1" x14ac:dyDescent="0.2">
      <c r="AM9173" t="str">
        <f t="shared" si="143"/>
        <v>Marina di Carrara [ITMDC]</v>
      </c>
      <c r="AN9173" t="s">
        <v>18049</v>
      </c>
      <c r="AO9173" t="s">
        <v>18050</v>
      </c>
    </row>
    <row r="9174" spans="39:41" ht="12" customHeight="1" x14ac:dyDescent="0.2">
      <c r="AM9174" t="str">
        <f t="shared" si="143"/>
        <v>Marina di Davoli [ITAAS]</v>
      </c>
      <c r="AN9174" t="s">
        <v>18051</v>
      </c>
      <c r="AO9174" t="s">
        <v>18052</v>
      </c>
    </row>
    <row r="9175" spans="39:41" ht="12" customHeight="1" x14ac:dyDescent="0.2">
      <c r="AM9175" t="str">
        <f t="shared" si="143"/>
        <v>Marina di Ginosa [ITMAH]</v>
      </c>
      <c r="AN9175" t="s">
        <v>18053</v>
      </c>
      <c r="AO9175" t="s">
        <v>18054</v>
      </c>
    </row>
    <row r="9176" spans="39:41" ht="12" customHeight="1" x14ac:dyDescent="0.2">
      <c r="AM9176" t="str">
        <f t="shared" si="143"/>
        <v>Marina di Grosseto [ITMSD]</v>
      </c>
      <c r="AN9176" t="s">
        <v>18055</v>
      </c>
      <c r="AO9176" t="s">
        <v>18056</v>
      </c>
    </row>
    <row r="9177" spans="39:41" ht="12" customHeight="1" x14ac:dyDescent="0.2">
      <c r="AM9177" t="str">
        <f t="shared" si="143"/>
        <v>Marina di Massa [ITQMM]</v>
      </c>
      <c r="AN9177" t="s">
        <v>18057</v>
      </c>
      <c r="AO9177" t="s">
        <v>18058</v>
      </c>
    </row>
    <row r="9178" spans="39:41" ht="12" customHeight="1" x14ac:dyDescent="0.2">
      <c r="AM9178" t="str">
        <f t="shared" si="143"/>
        <v>Marina di Pisa [ITMPA]</v>
      </c>
      <c r="AN9178" t="s">
        <v>18059</v>
      </c>
      <c r="AO9178" t="s">
        <v>18060</v>
      </c>
    </row>
    <row r="9179" spans="39:41" ht="12" customHeight="1" x14ac:dyDescent="0.2">
      <c r="AM9179" t="str">
        <f t="shared" si="143"/>
        <v>Marina di Pisciotta [ITMSB]</v>
      </c>
      <c r="AN9179" t="s">
        <v>18061</v>
      </c>
      <c r="AO9179" t="s">
        <v>18062</v>
      </c>
    </row>
    <row r="9180" spans="39:41" ht="12" customHeight="1" x14ac:dyDescent="0.2">
      <c r="AM9180" t="str">
        <f t="shared" si="143"/>
        <v>Marina di Ragusa [ITM2R]</v>
      </c>
      <c r="AN9180" t="s">
        <v>36661</v>
      </c>
      <c r="AO9180" t="s">
        <v>36662</v>
      </c>
    </row>
    <row r="9181" spans="39:41" ht="12" customHeight="1" x14ac:dyDescent="0.2">
      <c r="AM9181" t="str">
        <f t="shared" si="143"/>
        <v>Marina Grande [ITMGE]</v>
      </c>
      <c r="AN9181" t="s">
        <v>18063</v>
      </c>
      <c r="AO9181" t="s">
        <v>18064</v>
      </c>
    </row>
    <row r="9182" spans="39:41" ht="12" customHeight="1" x14ac:dyDescent="0.2">
      <c r="AM9182" t="str">
        <f t="shared" si="143"/>
        <v>Marinella di Selinunte [ITMNU]</v>
      </c>
      <c r="AN9182" t="s">
        <v>18065</v>
      </c>
      <c r="AO9182" t="s">
        <v>18066</v>
      </c>
    </row>
    <row r="9183" spans="39:41" ht="12" customHeight="1" x14ac:dyDescent="0.2">
      <c r="AM9183" t="str">
        <f t="shared" si="143"/>
        <v>Marino Point [IEMAP]</v>
      </c>
      <c r="AN9183" t="s">
        <v>16866</v>
      </c>
      <c r="AO9183" t="s">
        <v>16867</v>
      </c>
    </row>
    <row r="9184" spans="39:41" ht="12" customHeight="1" x14ac:dyDescent="0.2">
      <c r="AM9184" t="str">
        <f t="shared" si="143"/>
        <v>Mario Zucchelli [AQMZU]</v>
      </c>
      <c r="AN9184" t="s">
        <v>946</v>
      </c>
      <c r="AO9184" t="s">
        <v>947</v>
      </c>
    </row>
    <row r="9185" spans="39:41" ht="12" customHeight="1" x14ac:dyDescent="0.2">
      <c r="AM9185" t="str">
        <f t="shared" si="143"/>
        <v>Mariupol (ex Zhdanov) [UAMPW]</v>
      </c>
      <c r="AN9185" t="s">
        <v>28753</v>
      </c>
      <c r="AO9185" t="s">
        <v>28754</v>
      </c>
    </row>
    <row r="9186" spans="39:41" ht="12" customHeight="1" x14ac:dyDescent="0.2">
      <c r="AM9186" t="str">
        <f t="shared" si="143"/>
        <v>Mariveles, Luzon [PHMVS]</v>
      </c>
      <c r="AN9186" t="s">
        <v>25943</v>
      </c>
      <c r="AO9186" t="s">
        <v>25944</v>
      </c>
    </row>
    <row r="9187" spans="39:41" ht="12" customHeight="1" x14ac:dyDescent="0.2">
      <c r="AM9187" t="str">
        <f t="shared" si="143"/>
        <v>Markelo [NLMAR]</v>
      </c>
      <c r="AN9187" t="s">
        <v>33909</v>
      </c>
      <c r="AO9187" t="s">
        <v>34031</v>
      </c>
    </row>
    <row r="9188" spans="39:41" ht="12" customHeight="1" x14ac:dyDescent="0.2">
      <c r="AM9188" t="str">
        <f t="shared" si="143"/>
        <v>Marken [NLMKN]</v>
      </c>
      <c r="AN9188" t="s">
        <v>23394</v>
      </c>
      <c r="AO9188" t="s">
        <v>23395</v>
      </c>
    </row>
    <row r="9189" spans="39:41" ht="12" customHeight="1" x14ac:dyDescent="0.2">
      <c r="AM9189" t="str">
        <f t="shared" si="143"/>
        <v>Market Bosworth [GBMBT]</v>
      </c>
      <c r="AN9189" t="s">
        <v>13812</v>
      </c>
      <c r="AO9189" t="s">
        <v>13813</v>
      </c>
    </row>
    <row r="9190" spans="39:41" ht="12" customHeight="1" x14ac:dyDescent="0.2">
      <c r="AM9190" t="str">
        <f t="shared" si="143"/>
        <v>Markleville [USQMK]</v>
      </c>
      <c r="AN9190" t="s">
        <v>30548</v>
      </c>
      <c r="AO9190" t="s">
        <v>30549</v>
      </c>
    </row>
    <row r="9191" spans="39:41" ht="12" customHeight="1" x14ac:dyDescent="0.2">
      <c r="AM9191" t="str">
        <f t="shared" si="143"/>
        <v>Markt Allhau [ATMKA]</v>
      </c>
      <c r="AN9191" t="s">
        <v>1272</v>
      </c>
      <c r="AO9191" t="s">
        <v>1273</v>
      </c>
    </row>
    <row r="9192" spans="39:41" ht="12" customHeight="1" x14ac:dyDescent="0.2">
      <c r="AM9192" t="str">
        <f t="shared" si="143"/>
        <v>Marktrodach [DEMTD]</v>
      </c>
      <c r="AN9192" t="s">
        <v>7883</v>
      </c>
      <c r="AO9192" t="s">
        <v>7884</v>
      </c>
    </row>
    <row r="9193" spans="39:41" ht="12" customHeight="1" x14ac:dyDescent="0.2">
      <c r="AM9193" t="str">
        <f t="shared" si="143"/>
        <v>Marlow [DEMLO]</v>
      </c>
      <c r="AN9193" t="s">
        <v>7885</v>
      </c>
      <c r="AO9193" t="s">
        <v>7886</v>
      </c>
    </row>
    <row r="9194" spans="39:41" ht="12" customHeight="1" x14ac:dyDescent="0.2">
      <c r="AM9194" t="str">
        <f t="shared" si="143"/>
        <v>Marly [BEMLY]</v>
      </c>
      <c r="AN9194" t="s">
        <v>2699</v>
      </c>
      <c r="AO9194" t="s">
        <v>2700</v>
      </c>
    </row>
    <row r="9195" spans="39:41" ht="12" customHeight="1" x14ac:dyDescent="0.2">
      <c r="AM9195" t="str">
        <f t="shared" si="143"/>
        <v>Marmagao (Marmugao) [INMRM]</v>
      </c>
      <c r="AN9195" t="s">
        <v>17297</v>
      </c>
      <c r="AO9195" t="s">
        <v>17298</v>
      </c>
    </row>
    <row r="9196" spans="39:41" ht="12" customHeight="1" x14ac:dyDescent="0.2">
      <c r="AM9196" t="str">
        <f t="shared" si="143"/>
        <v>Marmara [TRMRA]</v>
      </c>
      <c r="AN9196" t="s">
        <v>28543</v>
      </c>
      <c r="AO9196" t="s">
        <v>28544</v>
      </c>
    </row>
    <row r="9197" spans="39:41" ht="12" customHeight="1" x14ac:dyDescent="0.2">
      <c r="AM9197" t="str">
        <f t="shared" si="143"/>
        <v>Marmari [GRMRM]</v>
      </c>
      <c r="AN9197" t="s">
        <v>15352</v>
      </c>
      <c r="AO9197" t="s">
        <v>15353</v>
      </c>
    </row>
    <row r="9198" spans="39:41" ht="12" customHeight="1" x14ac:dyDescent="0.2">
      <c r="AM9198" t="str">
        <f t="shared" si="143"/>
        <v>Marmaris [TRMRM]</v>
      </c>
      <c r="AN9198" t="s">
        <v>28545</v>
      </c>
      <c r="AO9198" t="s">
        <v>28546</v>
      </c>
    </row>
    <row r="9199" spans="39:41" ht="12" customHeight="1" x14ac:dyDescent="0.2">
      <c r="AM9199" t="str">
        <f t="shared" si="143"/>
        <v>Marne [USQMM]</v>
      </c>
      <c r="AN9199" t="s">
        <v>30550</v>
      </c>
      <c r="AO9199" t="s">
        <v>30551</v>
      </c>
    </row>
    <row r="9200" spans="39:41" ht="12" customHeight="1" x14ac:dyDescent="0.2">
      <c r="AM9200" t="str">
        <f t="shared" si="143"/>
        <v>Maroantsetra [MGWMN]</v>
      </c>
      <c r="AN9200" t="s">
        <v>22138</v>
      </c>
      <c r="AO9200" t="s">
        <v>22139</v>
      </c>
    </row>
    <row r="9201" spans="39:41" ht="12" customHeight="1" x14ac:dyDescent="0.2">
      <c r="AM9201" t="str">
        <f t="shared" si="143"/>
        <v>Maroli [INMLI]</v>
      </c>
      <c r="AN9201" t="s">
        <v>17299</v>
      </c>
      <c r="AO9201" t="s">
        <v>17300</v>
      </c>
    </row>
    <row r="9202" spans="39:41" ht="12" customHeight="1" x14ac:dyDescent="0.2">
      <c r="AM9202" t="str">
        <f t="shared" ref="AM9202:AM9265" si="144">AO9202 &amp; " [" &amp; AN9202 &amp; "]"</f>
        <v>Marolles [FRMR7]</v>
      </c>
      <c r="AN9202" t="s">
        <v>11634</v>
      </c>
      <c r="AO9202" t="s">
        <v>11635</v>
      </c>
    </row>
    <row r="9203" spans="39:41" ht="12" customHeight="1" x14ac:dyDescent="0.2">
      <c r="AM9203" t="str">
        <f t="shared" si="144"/>
        <v>Marotta [ITRTT]</v>
      </c>
      <c r="AN9203" t="s">
        <v>18067</v>
      </c>
      <c r="AO9203" t="s">
        <v>18068</v>
      </c>
    </row>
    <row r="9204" spans="39:41" ht="12" customHeight="1" x14ac:dyDescent="0.2">
      <c r="AM9204" t="str">
        <f t="shared" si="144"/>
        <v>Marport [TRMPT]</v>
      </c>
      <c r="AN9204" t="s">
        <v>28547</v>
      </c>
      <c r="AO9204" t="s">
        <v>28548</v>
      </c>
    </row>
    <row r="9205" spans="39:41" ht="12" customHeight="1" x14ac:dyDescent="0.2">
      <c r="AM9205" t="str">
        <f t="shared" si="144"/>
        <v>Marrickville [AUMAR]</v>
      </c>
      <c r="AN9205" t="s">
        <v>1821</v>
      </c>
      <c r="AO9205" t="s">
        <v>1822</v>
      </c>
    </row>
    <row r="9206" spans="39:41" ht="12" customHeight="1" x14ac:dyDescent="0.2">
      <c r="AM9206" t="str">
        <f t="shared" si="144"/>
        <v>Marsa [MTMSA]</v>
      </c>
      <c r="AN9206" t="s">
        <v>22262</v>
      </c>
      <c r="AO9206" t="s">
        <v>22263</v>
      </c>
    </row>
    <row r="9207" spans="39:41" ht="12" customHeight="1" x14ac:dyDescent="0.2">
      <c r="AM9207" t="str">
        <f t="shared" si="144"/>
        <v>Marsa Bashayer [SDMBH]</v>
      </c>
      <c r="AN9207" t="s">
        <v>27471</v>
      </c>
      <c r="AO9207" t="s">
        <v>27472</v>
      </c>
    </row>
    <row r="9208" spans="39:41" ht="12" customHeight="1" x14ac:dyDescent="0.2">
      <c r="AM9208" t="str">
        <f t="shared" si="144"/>
        <v>Marsa Brega [LYLMQ]</v>
      </c>
      <c r="AN9208" t="s">
        <v>21987</v>
      </c>
      <c r="AO9208" t="s">
        <v>21988</v>
      </c>
    </row>
    <row r="9209" spans="39:41" ht="12" customHeight="1" x14ac:dyDescent="0.2">
      <c r="AM9209" t="str">
        <f t="shared" si="144"/>
        <v>Marsa El Hania [LYMEH]</v>
      </c>
      <c r="AN9209" t="s">
        <v>21989</v>
      </c>
      <c r="AO9209" t="s">
        <v>21990</v>
      </c>
    </row>
    <row r="9210" spans="39:41" ht="12" customHeight="1" x14ac:dyDescent="0.2">
      <c r="AM9210" t="str">
        <f t="shared" si="144"/>
        <v>Marsa el Hariga [LYMHR]</v>
      </c>
      <c r="AN9210" t="s">
        <v>21991</v>
      </c>
      <c r="AO9210" t="s">
        <v>21992</v>
      </c>
    </row>
    <row r="9211" spans="39:41" ht="12" customHeight="1" x14ac:dyDescent="0.2">
      <c r="AM9211" t="str">
        <f t="shared" si="144"/>
        <v>Marsala [ITMRA]</v>
      </c>
      <c r="AN9211" t="s">
        <v>18069</v>
      </c>
      <c r="AO9211" t="s">
        <v>18070</v>
      </c>
    </row>
    <row r="9212" spans="39:41" ht="12" customHeight="1" x14ac:dyDescent="0.2">
      <c r="AM9212" t="str">
        <f t="shared" si="144"/>
        <v>Marsamxett [MTMSX]</v>
      </c>
      <c r="AN9212" t="s">
        <v>22264</v>
      </c>
      <c r="AO9212" t="s">
        <v>22265</v>
      </c>
    </row>
    <row r="9213" spans="39:41" ht="12" customHeight="1" x14ac:dyDescent="0.2">
      <c r="AM9213" t="str">
        <f t="shared" si="144"/>
        <v>Marsaskala [MTMSS]</v>
      </c>
      <c r="AN9213" t="s">
        <v>22266</v>
      </c>
      <c r="AO9213" t="s">
        <v>22267</v>
      </c>
    </row>
    <row r="9214" spans="39:41" ht="12" customHeight="1" x14ac:dyDescent="0.2">
      <c r="AM9214" t="str">
        <f t="shared" si="144"/>
        <v>Marsaxlokk [MTMAR]</v>
      </c>
      <c r="AN9214" t="s">
        <v>22268</v>
      </c>
      <c r="AO9214" t="s">
        <v>22269</v>
      </c>
    </row>
    <row r="9215" spans="39:41" ht="12" customHeight="1" x14ac:dyDescent="0.2">
      <c r="AM9215" t="str">
        <f t="shared" si="144"/>
        <v>Marsden Point [NZMAP]</v>
      </c>
      <c r="AN9215" t="s">
        <v>25076</v>
      </c>
      <c r="AO9215" t="s">
        <v>25077</v>
      </c>
    </row>
    <row r="9216" spans="39:41" ht="12" customHeight="1" x14ac:dyDescent="0.2">
      <c r="AM9216" t="str">
        <f t="shared" si="144"/>
        <v>Marseillan [FRMWR]</v>
      </c>
      <c r="AN9216" t="s">
        <v>11636</v>
      </c>
      <c r="AO9216" t="s">
        <v>11637</v>
      </c>
    </row>
    <row r="9217" spans="39:41" ht="12" customHeight="1" x14ac:dyDescent="0.2">
      <c r="AM9217" t="str">
        <f t="shared" si="144"/>
        <v>Marseille [FRMRS]</v>
      </c>
      <c r="AN9217" t="s">
        <v>11638</v>
      </c>
      <c r="AO9217" t="s">
        <v>11639</v>
      </c>
    </row>
    <row r="9218" spans="39:41" ht="12" customHeight="1" x14ac:dyDescent="0.2">
      <c r="AM9218" t="str">
        <f t="shared" si="144"/>
        <v>Marseilles [USMR2]</v>
      </c>
      <c r="AN9218" t="s">
        <v>30552</v>
      </c>
      <c r="AO9218" t="s">
        <v>30553</v>
      </c>
    </row>
    <row r="9219" spans="39:41" ht="12" customHeight="1" x14ac:dyDescent="0.2">
      <c r="AM9219" t="str">
        <f t="shared" si="144"/>
        <v>Marsh Harbour [BSMHH]</v>
      </c>
      <c r="AN9219" t="s">
        <v>3458</v>
      </c>
      <c r="AO9219" t="s">
        <v>3459</v>
      </c>
    </row>
    <row r="9220" spans="39:41" ht="12" customHeight="1" x14ac:dyDescent="0.2">
      <c r="AM9220" t="str">
        <f t="shared" si="144"/>
        <v>Marshall [LRMAR]</v>
      </c>
      <c r="AN9220" t="s">
        <v>21875</v>
      </c>
      <c r="AO9220" t="s">
        <v>21876</v>
      </c>
    </row>
    <row r="9221" spans="39:41" ht="12" customHeight="1" x14ac:dyDescent="0.2">
      <c r="AM9221" t="str">
        <f t="shared" si="144"/>
        <v>Marshall [USNMA]</v>
      </c>
      <c r="AN9221" t="s">
        <v>30554</v>
      </c>
      <c r="AO9221" t="s">
        <v>21876</v>
      </c>
    </row>
    <row r="9222" spans="39:41" ht="12" customHeight="1" x14ac:dyDescent="0.2">
      <c r="AM9222" t="str">
        <f t="shared" si="144"/>
        <v>Marshmeadows/New Ross [IEMAR]</v>
      </c>
      <c r="AN9222" t="s">
        <v>16868</v>
      </c>
      <c r="AO9222" t="s">
        <v>16869</v>
      </c>
    </row>
    <row r="9223" spans="39:41" ht="12" customHeight="1" x14ac:dyDescent="0.2">
      <c r="AM9223" t="str">
        <f t="shared" si="144"/>
        <v>Marstal [DKMRS]</v>
      </c>
      <c r="AN9223" t="s">
        <v>8806</v>
      </c>
      <c r="AO9223" t="s">
        <v>8807</v>
      </c>
    </row>
    <row r="9224" spans="39:41" ht="12" customHeight="1" x14ac:dyDescent="0.2">
      <c r="AM9224" t="str">
        <f t="shared" si="144"/>
        <v>Marstrand [SEMSD]</v>
      </c>
      <c r="AN9224" t="s">
        <v>27749</v>
      </c>
      <c r="AO9224" t="s">
        <v>27750</v>
      </c>
    </row>
    <row r="9225" spans="39:41" ht="12" customHeight="1" x14ac:dyDescent="0.2">
      <c r="AM9225" t="str">
        <f t="shared" si="144"/>
        <v>Marsund [FIMRS]</v>
      </c>
      <c r="AN9225" t="s">
        <v>10463</v>
      </c>
      <c r="AO9225" t="s">
        <v>10464</v>
      </c>
    </row>
    <row r="9226" spans="39:41" ht="12" customHeight="1" x14ac:dyDescent="0.2">
      <c r="AM9226" t="str">
        <f t="shared" si="144"/>
        <v>Marsviken [SEMAN]</v>
      </c>
      <c r="AN9226" t="s">
        <v>27751</v>
      </c>
      <c r="AO9226" t="s">
        <v>27752</v>
      </c>
    </row>
    <row r="9227" spans="39:41" ht="12" customHeight="1" x14ac:dyDescent="0.2">
      <c r="AM9227" t="str">
        <f t="shared" si="144"/>
        <v>Martaban [MMMAR]</v>
      </c>
      <c r="AN9227" t="s">
        <v>22194</v>
      </c>
      <c r="AO9227" t="s">
        <v>22195</v>
      </c>
    </row>
    <row r="9228" spans="39:41" ht="12" customHeight="1" x14ac:dyDescent="0.2">
      <c r="AM9228" t="str">
        <f t="shared" si="144"/>
        <v>Martely [HUMTY]</v>
      </c>
      <c r="AN9228" t="s">
        <v>16110</v>
      </c>
      <c r="AO9228" t="s">
        <v>36022</v>
      </c>
    </row>
    <row r="9229" spans="39:41" ht="12" customHeight="1" x14ac:dyDescent="0.2">
      <c r="AM9229" t="str">
        <f t="shared" si="144"/>
        <v>Martinscica [HRMTA]</v>
      </c>
      <c r="AN9229" t="s">
        <v>15808</v>
      </c>
      <c r="AO9229" t="s">
        <v>15809</v>
      </c>
    </row>
    <row r="9230" spans="39:41" ht="12" customHeight="1" x14ac:dyDescent="0.2">
      <c r="AM9230" t="str">
        <f t="shared" si="144"/>
        <v>Martinskirchen [DEMSK]</v>
      </c>
      <c r="AN9230" t="s">
        <v>7887</v>
      </c>
      <c r="AO9230" t="s">
        <v>7888</v>
      </c>
    </row>
    <row r="9231" spans="39:41" ht="12" customHeight="1" x14ac:dyDescent="0.2">
      <c r="AM9231" t="str">
        <f t="shared" si="144"/>
        <v>Martlesham Heath [GBMHT]</v>
      </c>
      <c r="AN9231" t="s">
        <v>13814</v>
      </c>
      <c r="AO9231" t="s">
        <v>13815</v>
      </c>
    </row>
    <row r="9232" spans="39:41" ht="12" customHeight="1" x14ac:dyDescent="0.2">
      <c r="AM9232" t="str">
        <f t="shared" si="144"/>
        <v>Martot [FRMQA]</v>
      </c>
      <c r="AN9232" t="s">
        <v>11640</v>
      </c>
      <c r="AO9232" t="s">
        <v>11641</v>
      </c>
    </row>
    <row r="9233" spans="39:41" ht="12" customHeight="1" x14ac:dyDescent="0.2">
      <c r="AM9233" t="str">
        <f t="shared" si="144"/>
        <v>Martovce [SKMAT]</v>
      </c>
      <c r="AN9233" t="s">
        <v>28050</v>
      </c>
      <c r="AO9233" t="s">
        <v>28051</v>
      </c>
    </row>
    <row r="9234" spans="39:41" ht="12" customHeight="1" x14ac:dyDescent="0.2">
      <c r="AM9234" t="str">
        <f t="shared" si="144"/>
        <v>Marudi, Sarawak [MYMUR]</v>
      </c>
      <c r="AN9234" t="s">
        <v>22649</v>
      </c>
      <c r="AO9234" t="s">
        <v>22650</v>
      </c>
    </row>
    <row r="9235" spans="39:41" ht="12" customHeight="1" x14ac:dyDescent="0.2">
      <c r="AM9235" t="str">
        <f t="shared" si="144"/>
        <v>Marugame [JPMAR]</v>
      </c>
      <c r="AN9235" t="s">
        <v>19824</v>
      </c>
      <c r="AO9235" t="s">
        <v>19825</v>
      </c>
    </row>
    <row r="9236" spans="39:41" ht="12" customHeight="1" x14ac:dyDescent="0.2">
      <c r="AM9236" t="str">
        <f t="shared" si="144"/>
        <v>Maruichibi [JPMAB]</v>
      </c>
      <c r="AN9236" t="s">
        <v>19826</v>
      </c>
      <c r="AO9236" t="s">
        <v>19827</v>
      </c>
    </row>
    <row r="9237" spans="39:41" ht="12" customHeight="1" x14ac:dyDescent="0.2">
      <c r="AM9237" t="str">
        <f t="shared" si="144"/>
        <v>Maruiwa [JPMWA]</v>
      </c>
      <c r="AN9237" t="s">
        <v>19828</v>
      </c>
      <c r="AO9237" t="s">
        <v>19829</v>
      </c>
    </row>
    <row r="9238" spans="39:41" ht="12" customHeight="1" x14ac:dyDescent="0.2">
      <c r="AM9238" t="str">
        <f t="shared" si="144"/>
        <v>Maruo [JPMRU]</v>
      </c>
      <c r="AN9238" t="s">
        <v>19830</v>
      </c>
      <c r="AO9238" t="s">
        <v>19831</v>
      </c>
    </row>
    <row r="9239" spans="39:41" ht="12" customHeight="1" x14ac:dyDescent="0.2">
      <c r="AM9239" t="str">
        <f t="shared" si="144"/>
        <v>Marupe [LVZVT]</v>
      </c>
      <c r="AN9239" t="s">
        <v>21937</v>
      </c>
      <c r="AO9239" t="s">
        <v>21938</v>
      </c>
    </row>
    <row r="9240" spans="39:41" ht="12" customHeight="1" x14ac:dyDescent="0.2">
      <c r="AM9240" t="str">
        <f t="shared" si="144"/>
        <v>Marviken [SEMAV]</v>
      </c>
      <c r="AN9240" t="s">
        <v>27753</v>
      </c>
      <c r="AO9240" t="s">
        <v>27754</v>
      </c>
    </row>
    <row r="9241" spans="39:41" ht="12" customHeight="1" x14ac:dyDescent="0.2">
      <c r="AM9241" t="str">
        <f t="shared" si="144"/>
        <v>Maryborough [AUMBH]</v>
      </c>
      <c r="AN9241" t="s">
        <v>1823</v>
      </c>
      <c r="AO9241" t="s">
        <v>1824</v>
      </c>
    </row>
    <row r="9242" spans="39:41" ht="12" customHeight="1" x14ac:dyDescent="0.2">
      <c r="AM9242" t="str">
        <f t="shared" si="144"/>
        <v>Maryborough [AUSAD]</v>
      </c>
      <c r="AN9242" t="s">
        <v>1825</v>
      </c>
      <c r="AO9242" t="s">
        <v>1824</v>
      </c>
    </row>
    <row r="9243" spans="39:41" ht="12" customHeight="1" x14ac:dyDescent="0.2">
      <c r="AM9243" t="str">
        <f t="shared" si="144"/>
        <v>Maryfield, Bressay [GBMRB]</v>
      </c>
      <c r="AN9243" t="s">
        <v>13816</v>
      </c>
      <c r="AO9243" t="s">
        <v>13817</v>
      </c>
    </row>
    <row r="9244" spans="39:41" ht="12" customHeight="1" x14ac:dyDescent="0.2">
      <c r="AM9244" t="str">
        <f t="shared" si="144"/>
        <v>Maryknoll [AUKLL]</v>
      </c>
      <c r="AN9244" t="s">
        <v>1826</v>
      </c>
      <c r="AO9244" t="s">
        <v>1827</v>
      </c>
    </row>
    <row r="9245" spans="39:41" ht="12" customHeight="1" x14ac:dyDescent="0.2">
      <c r="AM9245" t="str">
        <f t="shared" si="144"/>
        <v>Maryport [GBMRY]</v>
      </c>
      <c r="AN9245" t="s">
        <v>13818</v>
      </c>
      <c r="AO9245" t="s">
        <v>13819</v>
      </c>
    </row>
    <row r="9246" spans="39:41" ht="12" customHeight="1" x14ac:dyDescent="0.2">
      <c r="AM9246" t="str">
        <f t="shared" si="144"/>
        <v>Mary's Harbour [CAYMH]</v>
      </c>
      <c r="AN9246" t="s">
        <v>4083</v>
      </c>
      <c r="AO9246" t="s">
        <v>4084</v>
      </c>
    </row>
    <row r="9247" spans="39:41" ht="12" customHeight="1" x14ac:dyDescent="0.2">
      <c r="AM9247" t="str">
        <f t="shared" si="144"/>
        <v>Marystown [CAMTN]</v>
      </c>
      <c r="AN9247" t="s">
        <v>4085</v>
      </c>
      <c r="AO9247" t="s">
        <v>4086</v>
      </c>
    </row>
    <row r="9248" spans="39:41" ht="12" customHeight="1" x14ac:dyDescent="0.2">
      <c r="AM9248" t="str">
        <f t="shared" si="144"/>
        <v>Masachapa [NIMAC]</v>
      </c>
      <c r="AN9248" t="s">
        <v>22996</v>
      </c>
      <c r="AO9248" t="s">
        <v>22997</v>
      </c>
    </row>
    <row r="9249" spans="39:41" ht="12" customHeight="1" x14ac:dyDescent="0.2">
      <c r="AM9249" t="str">
        <f t="shared" si="144"/>
        <v>Masaki [JPMAS]</v>
      </c>
      <c r="AN9249" t="s">
        <v>19832</v>
      </c>
      <c r="AO9249" t="s">
        <v>19833</v>
      </c>
    </row>
    <row r="9250" spans="39:41" ht="12" customHeight="1" x14ac:dyDescent="0.2">
      <c r="AM9250" t="str">
        <f t="shared" si="144"/>
        <v>Masan [KRMAS]</v>
      </c>
      <c r="AN9250" t="s">
        <v>21686</v>
      </c>
      <c r="AO9250" t="s">
        <v>21687</v>
      </c>
    </row>
    <row r="9251" spans="39:41" ht="12" customHeight="1" x14ac:dyDescent="0.2">
      <c r="AM9251" t="str">
        <f t="shared" si="144"/>
        <v>Masao [PHMAS]</v>
      </c>
      <c r="AN9251" t="s">
        <v>25945</v>
      </c>
      <c r="AO9251" t="s">
        <v>25946</v>
      </c>
    </row>
    <row r="9252" spans="39:41" ht="12" customHeight="1" x14ac:dyDescent="0.2">
      <c r="AM9252" t="str">
        <f t="shared" si="144"/>
        <v>Masatepe [NIMSP]</v>
      </c>
      <c r="AN9252" t="s">
        <v>22998</v>
      </c>
      <c r="AO9252" t="s">
        <v>22999</v>
      </c>
    </row>
    <row r="9253" spans="39:41" ht="12" customHeight="1" x14ac:dyDescent="0.2">
      <c r="AM9253" t="str">
        <f t="shared" si="144"/>
        <v>Masbate [PHMBT]</v>
      </c>
      <c r="AN9253" t="s">
        <v>25947</v>
      </c>
      <c r="AO9253" t="s">
        <v>25948</v>
      </c>
    </row>
    <row r="9254" spans="39:41" ht="12" customHeight="1" x14ac:dyDescent="0.2">
      <c r="AM9254" t="str">
        <f t="shared" si="144"/>
        <v>Masfjorden [NOMSF]</v>
      </c>
      <c r="AN9254" t="s">
        <v>24475</v>
      </c>
      <c r="AO9254" t="s">
        <v>24476</v>
      </c>
    </row>
    <row r="9255" spans="39:41" ht="12" customHeight="1" x14ac:dyDescent="0.2">
      <c r="AM9255" t="str">
        <f t="shared" si="144"/>
        <v>Mashike [JPMSK]</v>
      </c>
      <c r="AN9255" t="s">
        <v>19834</v>
      </c>
      <c r="AO9255" t="s">
        <v>19835</v>
      </c>
    </row>
    <row r="9256" spans="39:41" ht="12" customHeight="1" x14ac:dyDescent="0.2">
      <c r="AM9256" t="str">
        <f t="shared" si="144"/>
        <v>Masinloc/Sual [PHMSC]</v>
      </c>
      <c r="AN9256" t="s">
        <v>25949</v>
      </c>
      <c r="AO9256" t="s">
        <v>25950</v>
      </c>
    </row>
    <row r="9257" spans="39:41" ht="12" customHeight="1" x14ac:dyDescent="0.2">
      <c r="AM9257" t="str">
        <f t="shared" si="144"/>
        <v>Maslenica [HRMAS]</v>
      </c>
      <c r="AN9257" t="s">
        <v>15810</v>
      </c>
      <c r="AO9257" t="s">
        <v>15811</v>
      </c>
    </row>
    <row r="9258" spans="39:41" ht="12" customHeight="1" x14ac:dyDescent="0.2">
      <c r="AM9258" t="str">
        <f t="shared" si="144"/>
        <v>Masnedo [DKMAS]</v>
      </c>
      <c r="AN9258" t="s">
        <v>8808</v>
      </c>
      <c r="AO9258" t="s">
        <v>35556</v>
      </c>
    </row>
    <row r="9259" spans="39:41" ht="12" customHeight="1" x14ac:dyDescent="0.2">
      <c r="AM9259" t="str">
        <f t="shared" si="144"/>
        <v>Masnedovaerkets Havn/Vordingborg [DKMKH]</v>
      </c>
      <c r="AN9259" t="s">
        <v>8809</v>
      </c>
      <c r="AO9259" t="s">
        <v>8810</v>
      </c>
    </row>
    <row r="9260" spans="39:41" ht="12" customHeight="1" x14ac:dyDescent="0.2">
      <c r="AM9260" t="str">
        <f t="shared" si="144"/>
        <v>Masnedsund [DKMNS]</v>
      </c>
      <c r="AN9260" t="s">
        <v>8811</v>
      </c>
      <c r="AO9260" t="s">
        <v>8812</v>
      </c>
    </row>
    <row r="9261" spans="39:41" ht="12" customHeight="1" x14ac:dyDescent="0.2">
      <c r="AM9261" t="str">
        <f t="shared" si="144"/>
        <v>Masnedsund Godningshamn [DKUNX]</v>
      </c>
      <c r="AN9261" t="s">
        <v>8813</v>
      </c>
      <c r="AO9261" t="s">
        <v>8814</v>
      </c>
    </row>
    <row r="9262" spans="39:41" ht="12" customHeight="1" x14ac:dyDescent="0.2">
      <c r="AM9262" t="str">
        <f t="shared" si="144"/>
        <v>Masnou [ESMSN]</v>
      </c>
      <c r="AN9262" t="s">
        <v>9937</v>
      </c>
      <c r="AO9262" t="s">
        <v>9938</v>
      </c>
    </row>
    <row r="9263" spans="39:41" ht="12" customHeight="1" x14ac:dyDescent="0.2">
      <c r="AM9263" t="str">
        <f t="shared" si="144"/>
        <v>Masoy [NOMSY]</v>
      </c>
      <c r="AN9263" t="s">
        <v>24477</v>
      </c>
      <c r="AO9263" t="s">
        <v>36249</v>
      </c>
    </row>
    <row r="9264" spans="39:41" ht="12" customHeight="1" x14ac:dyDescent="0.2">
      <c r="AM9264" t="str">
        <f t="shared" si="144"/>
        <v>Massa Lubrense [ITMLU]</v>
      </c>
      <c r="AN9264" t="s">
        <v>18071</v>
      </c>
      <c r="AO9264" t="s">
        <v>18072</v>
      </c>
    </row>
    <row r="9265" spans="39:41" ht="12" customHeight="1" x14ac:dyDescent="0.2">
      <c r="AM9265" t="str">
        <f t="shared" si="144"/>
        <v>Massawa (Mitsiwa) [ERMSW]</v>
      </c>
      <c r="AN9265" t="s">
        <v>9550</v>
      </c>
      <c r="AO9265" t="s">
        <v>9551</v>
      </c>
    </row>
    <row r="9266" spans="39:41" ht="12" customHeight="1" x14ac:dyDescent="0.2">
      <c r="AM9266" t="str">
        <f t="shared" ref="AM9266:AM9329" si="145">AO9266 &amp; " [" &amp; AN9266 &amp; "]"</f>
        <v>Massenhoven [BEMHN]</v>
      </c>
      <c r="AN9266" t="s">
        <v>2701</v>
      </c>
      <c r="AO9266" t="s">
        <v>2702</v>
      </c>
    </row>
    <row r="9267" spans="39:41" ht="12" customHeight="1" x14ac:dyDescent="0.2">
      <c r="AM9267" t="str">
        <f t="shared" si="145"/>
        <v>Masset [CAMSS]</v>
      </c>
      <c r="AN9267" t="s">
        <v>4087</v>
      </c>
      <c r="AO9267" t="s">
        <v>4088</v>
      </c>
    </row>
    <row r="9268" spans="39:41" ht="12" customHeight="1" x14ac:dyDescent="0.2">
      <c r="AM9268" t="str">
        <f t="shared" si="145"/>
        <v>Massinga [MZMSG]</v>
      </c>
      <c r="AN9268" t="s">
        <v>22847</v>
      </c>
      <c r="AO9268" t="s">
        <v>22848</v>
      </c>
    </row>
    <row r="9269" spans="39:41" ht="12" customHeight="1" x14ac:dyDescent="0.2">
      <c r="AM9269" t="str">
        <f t="shared" si="145"/>
        <v>Massongo Terminal [CMMSG]</v>
      </c>
      <c r="AN9269" t="s">
        <v>5010</v>
      </c>
      <c r="AO9269" t="s">
        <v>5011</v>
      </c>
    </row>
    <row r="9270" spans="39:41" ht="12" customHeight="1" x14ac:dyDescent="0.2">
      <c r="AM9270" t="str">
        <f t="shared" si="145"/>
        <v>Mas-Thibert [FRMT8]</v>
      </c>
      <c r="AN9270" t="s">
        <v>11642</v>
      </c>
      <c r="AO9270" t="s">
        <v>11643</v>
      </c>
    </row>
    <row r="9271" spans="39:41" ht="12" customHeight="1" x14ac:dyDescent="0.2">
      <c r="AM9271" t="str">
        <f t="shared" si="145"/>
        <v>Mastichari Kos [GRMXK]</v>
      </c>
      <c r="AN9271" t="s">
        <v>15354</v>
      </c>
      <c r="AO9271" t="s">
        <v>15355</v>
      </c>
    </row>
    <row r="9272" spans="39:41" ht="12" customHeight="1" x14ac:dyDescent="0.2">
      <c r="AM9272" t="str">
        <f t="shared" si="145"/>
        <v>Masuda, Kagoshima [JPMDJ]</v>
      </c>
      <c r="AN9272" t="s">
        <v>19836</v>
      </c>
      <c r="AO9272" t="s">
        <v>19837</v>
      </c>
    </row>
    <row r="9273" spans="39:41" ht="12" customHeight="1" x14ac:dyDescent="0.2">
      <c r="AM9273" t="str">
        <f t="shared" si="145"/>
        <v>Masuda, Shimane [JPMSD]</v>
      </c>
      <c r="AN9273" t="s">
        <v>19838</v>
      </c>
      <c r="AO9273" t="s">
        <v>19839</v>
      </c>
    </row>
    <row r="9274" spans="39:41" ht="12" customHeight="1" x14ac:dyDescent="0.2">
      <c r="AM9274" t="str">
        <f t="shared" si="145"/>
        <v>Masulipatnam [INMAP]</v>
      </c>
      <c r="AN9274" t="s">
        <v>17301</v>
      </c>
      <c r="AO9274" t="s">
        <v>17302</v>
      </c>
    </row>
    <row r="9275" spans="39:41" ht="12" customHeight="1" x14ac:dyDescent="0.2">
      <c r="AM9275" t="str">
        <f t="shared" si="145"/>
        <v>Matadi [CDMAT]</v>
      </c>
      <c r="AN9275" t="s">
        <v>4625</v>
      </c>
      <c r="AO9275" t="s">
        <v>4626</v>
      </c>
    </row>
    <row r="9276" spans="39:41" ht="12" customHeight="1" x14ac:dyDescent="0.2">
      <c r="AM9276" t="str">
        <f t="shared" si="145"/>
        <v>Matama [JPMAM]</v>
      </c>
      <c r="AN9276" t="s">
        <v>19840</v>
      </c>
      <c r="AO9276" t="s">
        <v>19841</v>
      </c>
    </row>
    <row r="9277" spans="39:41" ht="12" customHeight="1" x14ac:dyDescent="0.2">
      <c r="AM9277" t="str">
        <f t="shared" si="145"/>
        <v>Matane [CAMNE]</v>
      </c>
      <c r="AN9277" t="s">
        <v>4089</v>
      </c>
      <c r="AO9277" t="s">
        <v>4090</v>
      </c>
    </row>
    <row r="9278" spans="39:41" ht="12" customHeight="1" x14ac:dyDescent="0.2">
      <c r="AM9278" t="str">
        <f t="shared" si="145"/>
        <v>Matanzas [CUQMA]</v>
      </c>
      <c r="AN9278" t="s">
        <v>6699</v>
      </c>
      <c r="AO9278" t="s">
        <v>6700</v>
      </c>
    </row>
    <row r="9279" spans="39:41" ht="12" customHeight="1" x14ac:dyDescent="0.2">
      <c r="AM9279" t="str">
        <f t="shared" si="145"/>
        <v>Matanzas [VEMTV]</v>
      </c>
      <c r="AN9279" t="s">
        <v>32208</v>
      </c>
      <c r="AO9279" t="s">
        <v>6700</v>
      </c>
    </row>
    <row r="9280" spans="39:41" ht="12" customHeight="1" x14ac:dyDescent="0.2">
      <c r="AM9280" t="str">
        <f t="shared" si="145"/>
        <v>Matarani [PEMRI]</v>
      </c>
      <c r="AN9280" t="s">
        <v>25267</v>
      </c>
      <c r="AO9280" t="s">
        <v>25268</v>
      </c>
    </row>
    <row r="9281" spans="39:41" ht="12" customHeight="1" x14ac:dyDescent="0.2">
      <c r="AM9281" t="str">
        <f t="shared" si="145"/>
        <v>Mata'utu [WFMAU]</v>
      </c>
      <c r="AN9281" t="s">
        <v>32536</v>
      </c>
      <c r="AO9281" t="s">
        <v>36603</v>
      </c>
    </row>
    <row r="9282" spans="39:41" ht="12" customHeight="1" x14ac:dyDescent="0.2">
      <c r="AM9282" t="str">
        <f t="shared" si="145"/>
        <v>Matawan [USTAW]</v>
      </c>
      <c r="AN9282" t="s">
        <v>30555</v>
      </c>
      <c r="AO9282" t="s">
        <v>30556</v>
      </c>
    </row>
    <row r="9283" spans="39:41" ht="12" customHeight="1" x14ac:dyDescent="0.2">
      <c r="AM9283" t="str">
        <f t="shared" si="145"/>
        <v>Mategata [JPMAG]</v>
      </c>
      <c r="AN9283" t="s">
        <v>19842</v>
      </c>
      <c r="AO9283" t="s">
        <v>19843</v>
      </c>
    </row>
    <row r="9284" spans="39:41" ht="12" customHeight="1" x14ac:dyDescent="0.2">
      <c r="AM9284" t="str">
        <f t="shared" si="145"/>
        <v>Matho Cortez/Bislig [PHMAC]</v>
      </c>
      <c r="AN9284" t="s">
        <v>25951</v>
      </c>
      <c r="AO9284" t="s">
        <v>25952</v>
      </c>
    </row>
    <row r="9285" spans="39:41" ht="12" customHeight="1" x14ac:dyDescent="0.2">
      <c r="AM9285" t="str">
        <f t="shared" si="145"/>
        <v>Mathraki Diapontioi Island [GRMTR]</v>
      </c>
      <c r="AN9285" t="s">
        <v>15356</v>
      </c>
      <c r="AO9285" t="s">
        <v>15357</v>
      </c>
    </row>
    <row r="9286" spans="39:41" ht="12" customHeight="1" x14ac:dyDescent="0.2">
      <c r="AM9286" t="str">
        <f t="shared" si="145"/>
        <v>Mati, Mindanao [PHMXI]</v>
      </c>
      <c r="AN9286" t="s">
        <v>25953</v>
      </c>
      <c r="AO9286" t="s">
        <v>25954</v>
      </c>
    </row>
    <row r="9287" spans="39:41" ht="12" customHeight="1" x14ac:dyDescent="0.2">
      <c r="AM9287" t="str">
        <f t="shared" si="145"/>
        <v>Matiatia Bay [NZMAB]</v>
      </c>
      <c r="AN9287" t="s">
        <v>25078</v>
      </c>
      <c r="AO9287" t="s">
        <v>25079</v>
      </c>
    </row>
    <row r="9288" spans="39:41" ht="12" customHeight="1" x14ac:dyDescent="0.2">
      <c r="AM9288" t="str">
        <f t="shared" si="145"/>
        <v>Matina [CRMAT]</v>
      </c>
      <c r="AN9288" t="s">
        <v>6593</v>
      </c>
      <c r="AO9288" t="s">
        <v>6594</v>
      </c>
    </row>
    <row r="9289" spans="39:41" ht="12" customHeight="1" x14ac:dyDescent="0.2">
      <c r="AM9289" t="str">
        <f t="shared" si="145"/>
        <v>Matina Aplaya/Davao [PHMTA]</v>
      </c>
      <c r="AN9289" t="s">
        <v>25955</v>
      </c>
      <c r="AO9289" t="s">
        <v>25956</v>
      </c>
    </row>
    <row r="9290" spans="39:41" ht="12" customHeight="1" x14ac:dyDescent="0.2">
      <c r="AM9290" t="str">
        <f t="shared" si="145"/>
        <v>Matola [MZMAT]</v>
      </c>
      <c r="AN9290" t="s">
        <v>22849</v>
      </c>
      <c r="AO9290" t="s">
        <v>22850</v>
      </c>
    </row>
    <row r="9291" spans="39:41" ht="12" customHeight="1" x14ac:dyDescent="0.2">
      <c r="AM9291" t="str">
        <f t="shared" si="145"/>
        <v>Matosinhos [PTMAT]</v>
      </c>
      <c r="AN9291" t="s">
        <v>26541</v>
      </c>
      <c r="AO9291" t="s">
        <v>26542</v>
      </c>
    </row>
    <row r="9292" spans="39:41" ht="12" customHeight="1" x14ac:dyDescent="0.2">
      <c r="AM9292" t="str">
        <f t="shared" si="145"/>
        <v>Matouzhen [CNMTZ]</v>
      </c>
      <c r="AN9292" t="s">
        <v>5731</v>
      </c>
      <c r="AO9292" t="s">
        <v>5732</v>
      </c>
    </row>
    <row r="9293" spans="39:41" ht="12" customHeight="1" x14ac:dyDescent="0.2">
      <c r="AM9293" t="str">
        <f t="shared" si="145"/>
        <v>Matoya [JPMTY]</v>
      </c>
      <c r="AN9293" t="s">
        <v>19844</v>
      </c>
      <c r="AO9293" t="s">
        <v>19845</v>
      </c>
    </row>
    <row r="9294" spans="39:41" ht="12" customHeight="1" x14ac:dyDescent="0.2">
      <c r="AM9294" t="str">
        <f t="shared" si="145"/>
        <v>Matre - Masfjorden [NOMAT]</v>
      </c>
      <c r="AN9294" t="s">
        <v>24478</v>
      </c>
      <c r="AO9294" t="s">
        <v>24479</v>
      </c>
    </row>
    <row r="9295" spans="39:41" ht="12" customHeight="1" x14ac:dyDescent="0.2">
      <c r="AM9295" t="str">
        <f t="shared" si="145"/>
        <v>Matruh [EGMUH]</v>
      </c>
      <c r="AN9295" t="s">
        <v>9496</v>
      </c>
      <c r="AO9295" t="s">
        <v>9497</v>
      </c>
    </row>
    <row r="9296" spans="39:41" ht="12" customHeight="1" x14ac:dyDescent="0.2">
      <c r="AM9296" t="str">
        <f t="shared" si="145"/>
        <v>Matsue [JPMTE]</v>
      </c>
      <c r="AN9296" t="s">
        <v>19846</v>
      </c>
      <c r="AO9296" t="s">
        <v>19847</v>
      </c>
    </row>
    <row r="9297" spans="39:41" ht="12" customHeight="1" x14ac:dyDescent="0.2">
      <c r="AM9297" t="str">
        <f t="shared" si="145"/>
        <v>Matsugaura [JPMGA]</v>
      </c>
      <c r="AN9297" t="s">
        <v>19848</v>
      </c>
      <c r="AO9297" t="s">
        <v>19849</v>
      </c>
    </row>
    <row r="9298" spans="39:41" ht="12" customHeight="1" x14ac:dyDescent="0.2">
      <c r="AM9298" t="str">
        <f t="shared" si="145"/>
        <v>Matsumae [JPMTM]</v>
      </c>
      <c r="AN9298" t="s">
        <v>19850</v>
      </c>
      <c r="AO9298" t="s">
        <v>19851</v>
      </c>
    </row>
    <row r="9299" spans="39:41" ht="12" customHeight="1" x14ac:dyDescent="0.2">
      <c r="AM9299" t="str">
        <f t="shared" si="145"/>
        <v>Matsunaga [JPMNG]</v>
      </c>
      <c r="AN9299" t="s">
        <v>19852</v>
      </c>
      <c r="AO9299" t="s">
        <v>19853</v>
      </c>
    </row>
    <row r="9300" spans="39:41" ht="12" customHeight="1" x14ac:dyDescent="0.2">
      <c r="AM9300" t="str">
        <f t="shared" si="145"/>
        <v>Matsuo [JPMAO]</v>
      </c>
      <c r="AN9300" t="s">
        <v>19854</v>
      </c>
      <c r="AO9300" t="s">
        <v>19855</v>
      </c>
    </row>
    <row r="9301" spans="39:41" ht="12" customHeight="1" x14ac:dyDescent="0.2">
      <c r="AM9301" t="str">
        <f t="shared" si="145"/>
        <v>Matsusaka [JPMSA]</v>
      </c>
      <c r="AN9301" t="s">
        <v>19856</v>
      </c>
      <c r="AO9301" t="s">
        <v>19857</v>
      </c>
    </row>
    <row r="9302" spans="39:41" ht="12" customHeight="1" x14ac:dyDescent="0.2">
      <c r="AM9302" t="str">
        <f t="shared" si="145"/>
        <v>Matsushima, Miyagi [JPMRA]</v>
      </c>
      <c r="AN9302" t="s">
        <v>19858</v>
      </c>
      <c r="AO9302" t="s">
        <v>19859</v>
      </c>
    </row>
    <row r="9303" spans="39:41" ht="12" customHeight="1" x14ac:dyDescent="0.2">
      <c r="AM9303" t="str">
        <f t="shared" si="145"/>
        <v>Matsushima, Nagasaki [JPMAT]</v>
      </c>
      <c r="AN9303" t="s">
        <v>19860</v>
      </c>
      <c r="AO9303" t="s">
        <v>19861</v>
      </c>
    </row>
    <row r="9304" spans="39:41" ht="12" customHeight="1" x14ac:dyDescent="0.2">
      <c r="AM9304" t="str">
        <f t="shared" si="145"/>
        <v>Matsushima, Okayama [JPMSS]</v>
      </c>
      <c r="AN9304" t="s">
        <v>19862</v>
      </c>
      <c r="AO9304" t="s">
        <v>19863</v>
      </c>
    </row>
    <row r="9305" spans="39:41" ht="12" customHeight="1" x14ac:dyDescent="0.2">
      <c r="AM9305" t="str">
        <f t="shared" si="145"/>
        <v>Matsuura, Kagoshima [JPMAU]</v>
      </c>
      <c r="AN9305" t="s">
        <v>19864</v>
      </c>
      <c r="AO9305" t="s">
        <v>19865</v>
      </c>
    </row>
    <row r="9306" spans="39:41" ht="12" customHeight="1" x14ac:dyDescent="0.2">
      <c r="AM9306" t="str">
        <f t="shared" si="145"/>
        <v>Matsuura, Nagasaki [JPMTS]</v>
      </c>
      <c r="AN9306" t="s">
        <v>19866</v>
      </c>
      <c r="AO9306" t="s">
        <v>19867</v>
      </c>
    </row>
    <row r="9307" spans="39:41" ht="12" customHeight="1" x14ac:dyDescent="0.2">
      <c r="AM9307" t="str">
        <f t="shared" si="145"/>
        <v>Matsuura, Oita [JPMTU]</v>
      </c>
      <c r="AN9307" t="s">
        <v>19868</v>
      </c>
      <c r="AO9307" t="s">
        <v>19869</v>
      </c>
    </row>
    <row r="9308" spans="39:41" ht="12" customHeight="1" x14ac:dyDescent="0.2">
      <c r="AM9308" t="str">
        <f t="shared" si="145"/>
        <v>Matsuyama [JPMYJ]</v>
      </c>
      <c r="AN9308" t="s">
        <v>19870</v>
      </c>
      <c r="AO9308" t="s">
        <v>19871</v>
      </c>
    </row>
    <row r="9309" spans="39:41" ht="12" customHeight="1" x14ac:dyDescent="0.2">
      <c r="AM9309" t="str">
        <f t="shared" si="145"/>
        <v>Matsuzaki [JPMTZ]</v>
      </c>
      <c r="AN9309" t="s">
        <v>19872</v>
      </c>
      <c r="AO9309" t="s">
        <v>19873</v>
      </c>
    </row>
    <row r="9310" spans="39:41" ht="12" customHeight="1" x14ac:dyDescent="0.2">
      <c r="AM9310" t="str">
        <f t="shared" si="145"/>
        <v>Matthew Town [BSMAT]</v>
      </c>
      <c r="AN9310" t="s">
        <v>3460</v>
      </c>
      <c r="AO9310" t="s">
        <v>3461</v>
      </c>
    </row>
    <row r="9311" spans="39:41" ht="12" customHeight="1" x14ac:dyDescent="0.2">
      <c r="AM9311" t="str">
        <f t="shared" si="145"/>
        <v>Maubeuge [FRMAU]</v>
      </c>
      <c r="AN9311" t="s">
        <v>11644</v>
      </c>
      <c r="AO9311" t="s">
        <v>11645</v>
      </c>
    </row>
    <row r="9312" spans="39:41" ht="12" customHeight="1" x14ac:dyDescent="0.2">
      <c r="AM9312" t="str">
        <f t="shared" si="145"/>
        <v>Maubray [BEMBY]</v>
      </c>
      <c r="AN9312" t="s">
        <v>2703</v>
      </c>
      <c r="AO9312" t="s">
        <v>2704</v>
      </c>
    </row>
    <row r="9313" spans="39:41" ht="12" customHeight="1" x14ac:dyDescent="0.2">
      <c r="AM9313" t="str">
        <f t="shared" si="145"/>
        <v>Mauckport [USMP2]</v>
      </c>
      <c r="AN9313" t="s">
        <v>30557</v>
      </c>
      <c r="AO9313" t="s">
        <v>30558</v>
      </c>
    </row>
    <row r="9314" spans="39:41" ht="12" customHeight="1" x14ac:dyDescent="0.2">
      <c r="AM9314" t="str">
        <f t="shared" si="145"/>
        <v>Mauguio [FRMGU]</v>
      </c>
      <c r="AN9314" t="s">
        <v>11646</v>
      </c>
      <c r="AO9314" t="s">
        <v>11647</v>
      </c>
    </row>
    <row r="9315" spans="39:41" ht="12" customHeight="1" x14ac:dyDescent="0.2">
      <c r="AM9315" t="str">
        <f t="shared" si="145"/>
        <v>Maullin [CLMLL]</v>
      </c>
      <c r="AN9315" t="s">
        <v>4896</v>
      </c>
      <c r="AO9315" t="s">
        <v>35359</v>
      </c>
    </row>
    <row r="9316" spans="39:41" ht="12" customHeight="1" x14ac:dyDescent="0.2">
      <c r="AM9316" t="str">
        <f t="shared" si="145"/>
        <v>Maumere, Flores [IDMOF]</v>
      </c>
      <c r="AN9316" t="s">
        <v>16410</v>
      </c>
      <c r="AO9316" t="s">
        <v>16411</v>
      </c>
    </row>
    <row r="9317" spans="39:41" ht="12" customHeight="1" x14ac:dyDescent="0.2">
      <c r="AM9317" t="str">
        <f t="shared" si="145"/>
        <v>Maur [CHMAU]</v>
      </c>
      <c r="AN9317" t="s">
        <v>4716</v>
      </c>
      <c r="AO9317" t="s">
        <v>4717</v>
      </c>
    </row>
    <row r="9318" spans="39:41" ht="12" customHeight="1" x14ac:dyDescent="0.2">
      <c r="AM9318" t="str">
        <f t="shared" si="145"/>
        <v>Maurage [BEMRG]</v>
      </c>
      <c r="AN9318" t="s">
        <v>2705</v>
      </c>
      <c r="AO9318" t="s">
        <v>2706</v>
      </c>
    </row>
    <row r="9319" spans="39:41" ht="12" customHeight="1" x14ac:dyDescent="0.2">
      <c r="AM9319" t="str">
        <f t="shared" si="145"/>
        <v>Maurholen [NOMAH]</v>
      </c>
      <c r="AN9319" t="s">
        <v>24480</v>
      </c>
      <c r="AO9319" t="s">
        <v>24481</v>
      </c>
    </row>
    <row r="9320" spans="39:41" ht="12" customHeight="1" x14ac:dyDescent="0.2">
      <c r="AM9320" t="str">
        <f t="shared" si="145"/>
        <v>Maurik [NLMAU]</v>
      </c>
      <c r="AN9320" t="s">
        <v>33910</v>
      </c>
      <c r="AO9320" t="s">
        <v>34032</v>
      </c>
    </row>
    <row r="9321" spans="39:41" ht="12" customHeight="1" x14ac:dyDescent="0.2">
      <c r="AM9321" t="str">
        <f t="shared" si="145"/>
        <v>Mauston [USTSX]</v>
      </c>
      <c r="AN9321" t="s">
        <v>30559</v>
      </c>
      <c r="AO9321" t="s">
        <v>30560</v>
      </c>
    </row>
    <row r="9322" spans="39:41" ht="12" customHeight="1" x14ac:dyDescent="0.2">
      <c r="AM9322" t="str">
        <f t="shared" si="145"/>
        <v>Mausund [NOMAU]</v>
      </c>
      <c r="AN9322" t="s">
        <v>24482</v>
      </c>
      <c r="AO9322" t="s">
        <v>24483</v>
      </c>
    </row>
    <row r="9323" spans="39:41" ht="12" customHeight="1" x14ac:dyDescent="0.2">
      <c r="AM9323" t="str">
        <f t="shared" si="145"/>
        <v>Mauves [FRUVJ]</v>
      </c>
      <c r="AN9323" t="s">
        <v>11648</v>
      </c>
      <c r="AO9323" t="s">
        <v>11649</v>
      </c>
    </row>
    <row r="9324" spans="39:41" ht="12" customHeight="1" x14ac:dyDescent="0.2">
      <c r="AM9324" t="str">
        <f t="shared" si="145"/>
        <v>Mawan Pt [CNMWN]</v>
      </c>
      <c r="AN9324" t="s">
        <v>5733</v>
      </c>
      <c r="AO9324" t="s">
        <v>5734</v>
      </c>
    </row>
    <row r="9325" spans="39:41" ht="12" customHeight="1" x14ac:dyDescent="0.2">
      <c r="AM9325" t="str">
        <f t="shared" si="145"/>
        <v>Mawari [JPMWR]</v>
      </c>
      <c r="AN9325" t="s">
        <v>19874</v>
      </c>
      <c r="AO9325" t="s">
        <v>19875</v>
      </c>
    </row>
    <row r="9326" spans="39:41" ht="12" customHeight="1" x14ac:dyDescent="0.2">
      <c r="AM9326" t="str">
        <f t="shared" si="145"/>
        <v>Mawei Pt [CNMAW]</v>
      </c>
      <c r="AN9326" t="s">
        <v>5735</v>
      </c>
      <c r="AO9326" t="s">
        <v>5736</v>
      </c>
    </row>
    <row r="9327" spans="39:41" ht="12" customHeight="1" x14ac:dyDescent="0.2">
      <c r="AM9327" t="str">
        <f t="shared" si="145"/>
        <v>Mawella [LKMAW]</v>
      </c>
      <c r="AN9327" t="s">
        <v>21843</v>
      </c>
      <c r="AO9327" t="s">
        <v>21844</v>
      </c>
    </row>
    <row r="9328" spans="39:41" ht="12" customHeight="1" x14ac:dyDescent="0.2">
      <c r="AM9328" t="str">
        <f t="shared" si="145"/>
        <v>Mawlamyine (Moulmein) [MMMNU]</v>
      </c>
      <c r="AN9328" t="s">
        <v>22196</v>
      </c>
      <c r="AO9328" t="s">
        <v>22197</v>
      </c>
    </row>
    <row r="9329" spans="39:41" ht="12" customHeight="1" x14ac:dyDescent="0.2">
      <c r="AM9329" t="str">
        <f t="shared" si="145"/>
        <v>Mawson Station [AQMAW]</v>
      </c>
      <c r="AN9329" t="s">
        <v>948</v>
      </c>
      <c r="AO9329" t="s">
        <v>949</v>
      </c>
    </row>
    <row r="9330" spans="39:41" ht="12" customHeight="1" x14ac:dyDescent="0.2">
      <c r="AM9330" t="str">
        <f t="shared" ref="AM9330:AM9393" si="146">AO9330 &amp; " [" &amp; AN9330 &amp; "]"</f>
        <v>Maxau [DEMXA]</v>
      </c>
      <c r="AN9330" t="s">
        <v>7889</v>
      </c>
      <c r="AO9330" t="s">
        <v>7890</v>
      </c>
    </row>
    <row r="9331" spans="39:41" ht="12" customHeight="1" x14ac:dyDescent="0.2">
      <c r="AM9331" t="str">
        <f t="shared" si="146"/>
        <v>Maximiliansau [DEMXM]</v>
      </c>
      <c r="AN9331" t="s">
        <v>7891</v>
      </c>
      <c r="AO9331" t="s">
        <v>7892</v>
      </c>
    </row>
    <row r="9332" spans="39:41" ht="12" customHeight="1" x14ac:dyDescent="0.2">
      <c r="AM9332" t="str">
        <f t="shared" si="146"/>
        <v>Mayabandar [INMYB]</v>
      </c>
      <c r="AN9332" t="s">
        <v>17303</v>
      </c>
      <c r="AO9332" t="s">
        <v>17304</v>
      </c>
    </row>
    <row r="9333" spans="39:41" ht="12" customHeight="1" x14ac:dyDescent="0.2">
      <c r="AM9333" t="str">
        <f t="shared" si="146"/>
        <v>Mayaguana Island [BSMYG]</v>
      </c>
      <c r="AN9333" t="s">
        <v>3462</v>
      </c>
      <c r="AO9333" t="s">
        <v>3463</v>
      </c>
    </row>
    <row r="9334" spans="39:41" ht="12" customHeight="1" x14ac:dyDescent="0.2">
      <c r="AM9334" t="str">
        <f t="shared" si="146"/>
        <v>Mayaguez [PRMAZ]</v>
      </c>
      <c r="AN9334" t="s">
        <v>26427</v>
      </c>
      <c r="AO9334" t="s">
        <v>36375</v>
      </c>
    </row>
    <row r="9335" spans="39:41" ht="12" customHeight="1" x14ac:dyDescent="0.2">
      <c r="AM9335" t="str">
        <f t="shared" si="146"/>
        <v>Maydon Whart [ZAMWT]</v>
      </c>
      <c r="AN9335" t="s">
        <v>32707</v>
      </c>
      <c r="AO9335" t="s">
        <v>32708</v>
      </c>
    </row>
    <row r="9336" spans="39:41" ht="12" customHeight="1" x14ac:dyDescent="0.2">
      <c r="AM9336" t="str">
        <f t="shared" si="146"/>
        <v>Maylandsea [GBMYS]</v>
      </c>
      <c r="AN9336" t="s">
        <v>13820</v>
      </c>
      <c r="AO9336" t="s">
        <v>13821</v>
      </c>
    </row>
    <row r="9337" spans="39:41" ht="12" customHeight="1" x14ac:dyDescent="0.2">
      <c r="AM9337" t="str">
        <f t="shared" si="146"/>
        <v>Mayo [USMY6]</v>
      </c>
      <c r="AN9337" t="s">
        <v>30561</v>
      </c>
      <c r="AO9337" t="s">
        <v>30562</v>
      </c>
    </row>
    <row r="9338" spans="39:41" ht="12" customHeight="1" x14ac:dyDescent="0.2">
      <c r="AM9338" t="str">
        <f t="shared" si="146"/>
        <v>Mayong [CNMAY]</v>
      </c>
      <c r="AN9338" t="s">
        <v>5737</v>
      </c>
      <c r="AO9338" t="s">
        <v>5738</v>
      </c>
    </row>
    <row r="9339" spans="39:41" ht="12" customHeight="1" x14ac:dyDescent="0.2">
      <c r="AM9339" t="str">
        <f t="shared" si="146"/>
        <v>Mayville [USAY7]</v>
      </c>
      <c r="AN9339" t="s">
        <v>30563</v>
      </c>
      <c r="AO9339" t="s">
        <v>30564</v>
      </c>
    </row>
    <row r="9340" spans="39:41" ht="12" customHeight="1" x14ac:dyDescent="0.2">
      <c r="AM9340" t="str">
        <f t="shared" si="146"/>
        <v>Mazagon [ESMZA]</v>
      </c>
      <c r="AN9340" t="s">
        <v>36910</v>
      </c>
      <c r="AO9340" t="s">
        <v>36911</v>
      </c>
    </row>
    <row r="9341" spans="39:41" ht="12" customHeight="1" x14ac:dyDescent="0.2">
      <c r="AM9341" t="str">
        <f t="shared" si="146"/>
        <v>Mazamitla [MXMAZ]</v>
      </c>
      <c r="AN9341" t="s">
        <v>22392</v>
      </c>
      <c r="AO9341" t="s">
        <v>22393</v>
      </c>
    </row>
    <row r="9342" spans="39:41" ht="12" customHeight="1" x14ac:dyDescent="0.2">
      <c r="AM9342" t="str">
        <f t="shared" si="146"/>
        <v>Mazara del Vallo [ITMAZ]</v>
      </c>
      <c r="AN9342" t="s">
        <v>18073</v>
      </c>
      <c r="AO9342" t="s">
        <v>18074</v>
      </c>
    </row>
    <row r="9343" spans="39:41" ht="12" customHeight="1" x14ac:dyDescent="0.2">
      <c r="AM9343" t="str">
        <f t="shared" si="146"/>
        <v>Mazatlan [MXMZT]</v>
      </c>
      <c r="AN9343" t="s">
        <v>22394</v>
      </c>
      <c r="AO9343" t="s">
        <v>22395</v>
      </c>
    </row>
    <row r="9344" spans="39:41" ht="12" customHeight="1" x14ac:dyDescent="0.2">
      <c r="AM9344" t="str">
        <f t="shared" si="146"/>
        <v>M'bao Terminal [SNMBA]</v>
      </c>
      <c r="AN9344" t="s">
        <v>28098</v>
      </c>
      <c r="AO9344" t="s">
        <v>28099</v>
      </c>
    </row>
    <row r="9345" spans="39:41" ht="12" customHeight="1" x14ac:dyDescent="0.2">
      <c r="AM9345" t="str">
        <f t="shared" si="146"/>
        <v>M'bya Terminal [GAMBY]</v>
      </c>
      <c r="AN9345" t="s">
        <v>12235</v>
      </c>
      <c r="AO9345" t="s">
        <v>12236</v>
      </c>
    </row>
    <row r="9346" spans="39:41" ht="12" customHeight="1" x14ac:dyDescent="0.2">
      <c r="AM9346" t="str">
        <f t="shared" si="146"/>
        <v>McCleary [USQMW]</v>
      </c>
      <c r="AN9346" t="s">
        <v>30565</v>
      </c>
      <c r="AO9346" t="s">
        <v>30566</v>
      </c>
    </row>
    <row r="9347" spans="39:41" ht="12" customHeight="1" x14ac:dyDescent="0.2">
      <c r="AM9347" t="str">
        <f t="shared" si="146"/>
        <v>McDonald Island [HMMCD]</v>
      </c>
      <c r="AN9347" t="s">
        <v>15667</v>
      </c>
      <c r="AO9347" t="s">
        <v>15668</v>
      </c>
    </row>
    <row r="9348" spans="39:41" ht="12" customHeight="1" x14ac:dyDescent="0.2">
      <c r="AM9348" t="str">
        <f t="shared" si="146"/>
        <v>McEwen [USZWM]</v>
      </c>
      <c r="AN9348" t="s">
        <v>30567</v>
      </c>
      <c r="AO9348" t="s">
        <v>30568</v>
      </c>
    </row>
    <row r="9349" spans="39:41" ht="12" customHeight="1" x14ac:dyDescent="0.2">
      <c r="AM9349" t="str">
        <f t="shared" si="146"/>
        <v>McFarland [USMF6]</v>
      </c>
      <c r="AN9349" t="s">
        <v>30569</v>
      </c>
      <c r="AO9349" t="s">
        <v>30570</v>
      </c>
    </row>
    <row r="9350" spans="39:41" ht="12" customHeight="1" x14ac:dyDescent="0.2">
      <c r="AM9350" t="str">
        <f t="shared" si="146"/>
        <v>Mckean Island [KIMCK]</v>
      </c>
      <c r="AN9350" t="s">
        <v>21553</v>
      </c>
      <c r="AO9350" t="s">
        <v>21554</v>
      </c>
    </row>
    <row r="9351" spans="39:41" ht="12" customHeight="1" x14ac:dyDescent="0.2">
      <c r="AM9351" t="str">
        <f t="shared" si="146"/>
        <v>McKees Rocks [USMKJ]</v>
      </c>
      <c r="AN9351" t="s">
        <v>30571</v>
      </c>
      <c r="AO9351" t="s">
        <v>30572</v>
      </c>
    </row>
    <row r="9352" spans="39:41" ht="12" customHeight="1" x14ac:dyDescent="0.2">
      <c r="AM9352" t="str">
        <f t="shared" si="146"/>
        <v>McLeansville [USQMC]</v>
      </c>
      <c r="AN9352" t="s">
        <v>30573</v>
      </c>
      <c r="AO9352" t="s">
        <v>30574</v>
      </c>
    </row>
    <row r="9353" spans="39:41" ht="12" customHeight="1" x14ac:dyDescent="0.2">
      <c r="AM9353" t="str">
        <f t="shared" si="146"/>
        <v>McMurdo [AQMCM]</v>
      </c>
      <c r="AN9353" t="s">
        <v>950</v>
      </c>
      <c r="AO9353" t="s">
        <v>951</v>
      </c>
    </row>
    <row r="9354" spans="39:41" ht="12" customHeight="1" x14ac:dyDescent="0.2">
      <c r="AM9354" t="str">
        <f t="shared" si="146"/>
        <v>Meadowdale [ZAMDE]</v>
      </c>
      <c r="AN9354" t="s">
        <v>32709</v>
      </c>
      <c r="AO9354" t="s">
        <v>32710</v>
      </c>
    </row>
    <row r="9355" spans="39:41" ht="12" customHeight="1" x14ac:dyDescent="0.2">
      <c r="AM9355" t="str">
        <f t="shared" si="146"/>
        <v>Meadows [INMDW]</v>
      </c>
      <c r="AN9355" t="s">
        <v>17305</v>
      </c>
      <c r="AO9355" t="s">
        <v>17306</v>
      </c>
    </row>
    <row r="9356" spans="39:41" ht="12" customHeight="1" x14ac:dyDescent="0.2">
      <c r="AM9356" t="str">
        <f t="shared" si="146"/>
        <v>Meadows of Dan [USJJQ]</v>
      </c>
      <c r="AN9356" t="s">
        <v>30575</v>
      </c>
      <c r="AO9356" t="s">
        <v>30576</v>
      </c>
    </row>
    <row r="9357" spans="39:41" ht="12" customHeight="1" x14ac:dyDescent="0.2">
      <c r="AM9357" t="str">
        <f t="shared" si="146"/>
        <v>Meads Bay Beach [AIMBB]</v>
      </c>
      <c r="AN9357" t="s">
        <v>806</v>
      </c>
      <c r="AO9357" t="s">
        <v>807</v>
      </c>
    </row>
    <row r="9358" spans="39:41" ht="12" customHeight="1" x14ac:dyDescent="0.2">
      <c r="AM9358" t="str">
        <f t="shared" si="146"/>
        <v>Meaford [CAMFD]</v>
      </c>
      <c r="AN9358" t="s">
        <v>4091</v>
      </c>
      <c r="AO9358" t="s">
        <v>4092</v>
      </c>
    </row>
    <row r="9359" spans="39:41" ht="12" customHeight="1" x14ac:dyDescent="0.2">
      <c r="AM9359" t="str">
        <f t="shared" si="146"/>
        <v>Meaux [FRMEA]</v>
      </c>
      <c r="AN9359" t="s">
        <v>11650</v>
      </c>
      <c r="AO9359" t="s">
        <v>11651</v>
      </c>
    </row>
    <row r="9360" spans="39:41" ht="12" customHeight="1" x14ac:dyDescent="0.2">
      <c r="AM9360" t="str">
        <f t="shared" si="146"/>
        <v>Mebaruzaki [JPMBR]</v>
      </c>
      <c r="AN9360" t="s">
        <v>19876</v>
      </c>
      <c r="AO9360" t="s">
        <v>19877</v>
      </c>
    </row>
    <row r="9361" spans="39:41" ht="12" customHeight="1" x14ac:dyDescent="0.2">
      <c r="AM9361" t="str">
        <f t="shared" si="146"/>
        <v>Mechanic Falls [USEAZ]</v>
      </c>
      <c r="AN9361" t="s">
        <v>30577</v>
      </c>
      <c r="AO9361" t="s">
        <v>30578</v>
      </c>
    </row>
    <row r="9362" spans="39:41" ht="12" customHeight="1" x14ac:dyDescent="0.2">
      <c r="AM9362" t="str">
        <f t="shared" si="146"/>
        <v>Mechelen [BEECH]</v>
      </c>
      <c r="AN9362" t="s">
        <v>2707</v>
      </c>
      <c r="AO9362" t="s">
        <v>2708</v>
      </c>
    </row>
    <row r="9363" spans="39:41" ht="12" customHeight="1" x14ac:dyDescent="0.2">
      <c r="AM9363" t="str">
        <f t="shared" si="146"/>
        <v>Meco [ESMEC]</v>
      </c>
      <c r="AN9363" t="s">
        <v>9939</v>
      </c>
      <c r="AO9363" t="s">
        <v>9940</v>
      </c>
    </row>
    <row r="9364" spans="39:41" ht="12" customHeight="1" x14ac:dyDescent="0.2">
      <c r="AM9364" t="str">
        <f t="shared" si="146"/>
        <v>Mecosta [USUMQ]</v>
      </c>
      <c r="AN9364" t="s">
        <v>30579</v>
      </c>
      <c r="AO9364" t="s">
        <v>30580</v>
      </c>
    </row>
    <row r="9365" spans="39:41" ht="12" customHeight="1" x14ac:dyDescent="0.2">
      <c r="AM9365" t="str">
        <f t="shared" si="146"/>
        <v>Mecseknadasd [HUMKN]</v>
      </c>
      <c r="AN9365" t="s">
        <v>16111</v>
      </c>
      <c r="AO9365" t="s">
        <v>36023</v>
      </c>
    </row>
    <row r="9366" spans="39:41" ht="12" customHeight="1" x14ac:dyDescent="0.2">
      <c r="AM9366" t="str">
        <f t="shared" si="146"/>
        <v>Med [GBMED]</v>
      </c>
      <c r="AN9366" t="s">
        <v>34083</v>
      </c>
      <c r="AO9366" t="s">
        <v>34129</v>
      </c>
    </row>
    <row r="9367" spans="39:41" ht="12" customHeight="1" x14ac:dyDescent="0.2">
      <c r="AM9367" t="str">
        <f t="shared" si="146"/>
        <v>Medan, Sumatra [IDMES]</v>
      </c>
      <c r="AN9367" t="s">
        <v>16412</v>
      </c>
      <c r="AO9367" t="s">
        <v>16413</v>
      </c>
    </row>
    <row r="9368" spans="39:41" ht="12" customHeight="1" x14ac:dyDescent="0.2">
      <c r="AM9368" t="str">
        <f t="shared" si="146"/>
        <v>Medgidia [ROMED]</v>
      </c>
      <c r="AN9368" t="s">
        <v>26787</v>
      </c>
      <c r="AO9368" t="s">
        <v>26788</v>
      </c>
    </row>
    <row r="9369" spans="39:41" ht="12" customHeight="1" x14ac:dyDescent="0.2">
      <c r="AM9369" t="str">
        <f t="shared" si="146"/>
        <v>Media Luna [CUMEL]</v>
      </c>
      <c r="AN9369" t="s">
        <v>6701</v>
      </c>
      <c r="AO9369" t="s">
        <v>6702</v>
      </c>
    </row>
    <row r="9370" spans="39:41" ht="12" customHeight="1" x14ac:dyDescent="0.2">
      <c r="AM9370" t="str">
        <f t="shared" si="146"/>
        <v>Mediapolis [USMP7]</v>
      </c>
      <c r="AN9370" t="s">
        <v>30581</v>
      </c>
      <c r="AO9370" t="s">
        <v>30582</v>
      </c>
    </row>
    <row r="9371" spans="39:41" ht="12" customHeight="1" x14ac:dyDescent="0.2">
      <c r="AM9371" t="str">
        <f t="shared" si="146"/>
        <v>Medina [PHMDN]</v>
      </c>
      <c r="AN9371" t="s">
        <v>25957</v>
      </c>
      <c r="AO9371" t="s">
        <v>25958</v>
      </c>
    </row>
    <row r="9372" spans="39:41" ht="12" customHeight="1" x14ac:dyDescent="0.2">
      <c r="AM9372" t="str">
        <f t="shared" si="146"/>
        <v>Medstead [GBMES]</v>
      </c>
      <c r="AN9372" t="s">
        <v>13822</v>
      </c>
      <c r="AO9372" t="s">
        <v>13823</v>
      </c>
    </row>
    <row r="9373" spans="39:41" ht="12" customHeight="1" x14ac:dyDescent="0.2">
      <c r="AM9373" t="str">
        <f t="shared" si="146"/>
        <v>Medvezhyegorsk [RUMEG]</v>
      </c>
      <c r="AN9373" t="s">
        <v>27087</v>
      </c>
      <c r="AO9373" t="s">
        <v>27088</v>
      </c>
    </row>
    <row r="9374" spans="39:41" ht="12" customHeight="1" x14ac:dyDescent="0.2">
      <c r="AM9374" t="str">
        <f t="shared" si="146"/>
        <v>Meer [BEMEE]</v>
      </c>
      <c r="AN9374" t="s">
        <v>2709</v>
      </c>
      <c r="AO9374" t="s">
        <v>2710</v>
      </c>
    </row>
    <row r="9375" spans="39:41" ht="12" customHeight="1" x14ac:dyDescent="0.2">
      <c r="AM9375" t="str">
        <f t="shared" si="146"/>
        <v>Meerhout [BEMEH]</v>
      </c>
      <c r="AN9375" t="s">
        <v>2711</v>
      </c>
      <c r="AO9375" t="s">
        <v>2712</v>
      </c>
    </row>
    <row r="9376" spans="39:41" ht="12" customHeight="1" x14ac:dyDescent="0.2">
      <c r="AM9376" t="str">
        <f t="shared" si="146"/>
        <v>Meerlo-Wansum [NLMEW]</v>
      </c>
      <c r="AN9376" t="s">
        <v>23396</v>
      </c>
      <c r="AO9376" t="s">
        <v>23397</v>
      </c>
    </row>
    <row r="9377" spans="39:41" ht="12" customHeight="1" x14ac:dyDescent="0.2">
      <c r="AM9377" t="str">
        <f t="shared" si="146"/>
        <v>Meeruse [EEMRS]</v>
      </c>
      <c r="AN9377" t="s">
        <v>9255</v>
      </c>
      <c r="AO9377" t="s">
        <v>9256</v>
      </c>
    </row>
    <row r="9378" spans="39:41" ht="12" customHeight="1" x14ac:dyDescent="0.2">
      <c r="AM9378" t="str">
        <f t="shared" si="146"/>
        <v>Megalon Livadion [GRMEG]</v>
      </c>
      <c r="AN9378" t="s">
        <v>15358</v>
      </c>
      <c r="AO9378" t="s">
        <v>35932</v>
      </c>
    </row>
    <row r="9379" spans="39:41" ht="12" customHeight="1" x14ac:dyDescent="0.2">
      <c r="AM9379" t="str">
        <f t="shared" si="146"/>
        <v>Meganisi [GRMGN]</v>
      </c>
      <c r="AN9379" t="s">
        <v>15359</v>
      </c>
      <c r="AO9379" t="s">
        <v>35933</v>
      </c>
    </row>
    <row r="9380" spans="39:41" ht="12" customHeight="1" x14ac:dyDescent="0.2">
      <c r="AM9380" t="str">
        <f t="shared" si="146"/>
        <v>Megi [JPMEG]</v>
      </c>
      <c r="AN9380" t="s">
        <v>19878</v>
      </c>
      <c r="AO9380" t="s">
        <v>19879</v>
      </c>
    </row>
    <row r="9381" spans="39:41" ht="12" customHeight="1" x14ac:dyDescent="0.2">
      <c r="AM9381" t="str">
        <f t="shared" si="146"/>
        <v>Megoshima [JPMGS]</v>
      </c>
      <c r="AN9381" t="s">
        <v>19880</v>
      </c>
      <c r="AO9381" t="s">
        <v>19881</v>
      </c>
    </row>
    <row r="9382" spans="39:41" ht="12" customHeight="1" x14ac:dyDescent="0.2">
      <c r="AM9382" t="str">
        <f t="shared" si="146"/>
        <v>Mehamn [NOMEH]</v>
      </c>
      <c r="AN9382" t="s">
        <v>24484</v>
      </c>
      <c r="AO9382" t="s">
        <v>24485</v>
      </c>
    </row>
    <row r="9383" spans="39:41" ht="12" customHeight="1" x14ac:dyDescent="0.2">
      <c r="AM9383" t="str">
        <f t="shared" si="146"/>
        <v>Mehikoorma Sadam [EEMEH]</v>
      </c>
      <c r="AN9383" t="s">
        <v>34074</v>
      </c>
      <c r="AO9383" t="s">
        <v>34120</v>
      </c>
    </row>
    <row r="9384" spans="39:41" ht="12" customHeight="1" x14ac:dyDescent="0.2">
      <c r="AM9384" t="str">
        <f t="shared" si="146"/>
        <v>Mehring [DEMHR]</v>
      </c>
      <c r="AN9384" t="s">
        <v>7893</v>
      </c>
      <c r="AO9384" t="s">
        <v>7894</v>
      </c>
    </row>
    <row r="9385" spans="39:41" ht="12" customHeight="1" x14ac:dyDescent="0.2">
      <c r="AM9385" t="str">
        <f t="shared" si="146"/>
        <v>Mehrum [DEMRU]</v>
      </c>
      <c r="AN9385" t="s">
        <v>7895</v>
      </c>
      <c r="AO9385" t="s">
        <v>7896</v>
      </c>
    </row>
    <row r="9386" spans="39:41" ht="12" customHeight="1" x14ac:dyDescent="0.2">
      <c r="AM9386" t="str">
        <f t="shared" si="146"/>
        <v>Mei [JPMEN]</v>
      </c>
      <c r="AN9386" t="s">
        <v>19882</v>
      </c>
      <c r="AO9386" t="s">
        <v>19883</v>
      </c>
    </row>
    <row r="9387" spans="39:41" ht="12" customHeight="1" x14ac:dyDescent="0.2">
      <c r="AM9387" t="str">
        <f t="shared" si="146"/>
        <v>Meiao [CNMIO]</v>
      </c>
      <c r="AN9387" t="s">
        <v>5739</v>
      </c>
      <c r="AO9387" t="s">
        <v>5740</v>
      </c>
    </row>
    <row r="9388" spans="39:41" ht="12" customHeight="1" x14ac:dyDescent="0.2">
      <c r="AM9388" t="str">
        <f t="shared" si="146"/>
        <v>Meiderich [DEMDI]</v>
      </c>
      <c r="AN9388" t="s">
        <v>7897</v>
      </c>
      <c r="AO9388" t="s">
        <v>7898</v>
      </c>
    </row>
    <row r="9389" spans="39:41" ht="12" customHeight="1" x14ac:dyDescent="0.2">
      <c r="AM9389" t="str">
        <f t="shared" si="146"/>
        <v>Meigem [BEMGM]</v>
      </c>
      <c r="AN9389" t="s">
        <v>2713</v>
      </c>
      <c r="AO9389" t="s">
        <v>2714</v>
      </c>
    </row>
    <row r="9390" spans="39:41" ht="12" customHeight="1" x14ac:dyDescent="0.2">
      <c r="AM9390" t="str">
        <f t="shared" si="146"/>
        <v>Meigeng [CNMGG]</v>
      </c>
      <c r="AN9390" t="s">
        <v>5741</v>
      </c>
      <c r="AO9390" t="s">
        <v>5742</v>
      </c>
    </row>
    <row r="9391" spans="39:41" ht="12" customHeight="1" x14ac:dyDescent="0.2">
      <c r="AM9391" t="str">
        <f t="shared" si="146"/>
        <v>Meihama [JPMEI]</v>
      </c>
      <c r="AN9391" t="s">
        <v>19884</v>
      </c>
      <c r="AO9391" t="s">
        <v>19885</v>
      </c>
    </row>
    <row r="9392" spans="39:41" ht="12" customHeight="1" x14ac:dyDescent="0.2">
      <c r="AM9392" t="str">
        <f t="shared" si="146"/>
        <v>Meikle Ferry [GBMFY]</v>
      </c>
      <c r="AN9392" t="s">
        <v>13824</v>
      </c>
      <c r="AO9392" t="s">
        <v>13825</v>
      </c>
    </row>
    <row r="9393" spans="39:41" ht="12" customHeight="1" x14ac:dyDescent="0.2">
      <c r="AM9393" t="str">
        <f t="shared" si="146"/>
        <v>Meilegem [BEMEG]</v>
      </c>
      <c r="AN9393" t="s">
        <v>2715</v>
      </c>
      <c r="AO9393" t="s">
        <v>2716</v>
      </c>
    </row>
    <row r="9394" spans="39:41" ht="12" customHeight="1" x14ac:dyDescent="0.2">
      <c r="AM9394" t="str">
        <f t="shared" ref="AM9394:AM9457" si="147">AO9394 &amp; " [" &amp; AN9394 &amp; "]"</f>
        <v>Meilen [CHMLN]</v>
      </c>
      <c r="AN9394" t="s">
        <v>4718</v>
      </c>
      <c r="AO9394" t="s">
        <v>4719</v>
      </c>
    </row>
    <row r="9395" spans="39:41" ht="12" customHeight="1" x14ac:dyDescent="0.2">
      <c r="AM9395" t="str">
        <f t="shared" si="147"/>
        <v>Meilin [CNMLI]</v>
      </c>
      <c r="AN9395" t="s">
        <v>5743</v>
      </c>
      <c r="AO9395" t="s">
        <v>5744</v>
      </c>
    </row>
    <row r="9396" spans="39:41" ht="12" customHeight="1" x14ac:dyDescent="0.2">
      <c r="AM9396" t="str">
        <f t="shared" si="147"/>
        <v>Meineweh [DEME8]</v>
      </c>
      <c r="AN9396" t="s">
        <v>7899</v>
      </c>
      <c r="AO9396" t="s">
        <v>7900</v>
      </c>
    </row>
    <row r="9397" spans="39:41" ht="12" customHeight="1" x14ac:dyDescent="0.2">
      <c r="AM9397" t="str">
        <f t="shared" si="147"/>
        <v>Meisenheim [DEMIM]</v>
      </c>
      <c r="AN9397" t="s">
        <v>7901</v>
      </c>
      <c r="AO9397" t="s">
        <v>7902</v>
      </c>
    </row>
    <row r="9398" spans="39:41" ht="12" customHeight="1" x14ac:dyDescent="0.2">
      <c r="AM9398" t="str">
        <f t="shared" si="147"/>
        <v>Meisha Pt [CNMSA]</v>
      </c>
      <c r="AN9398" t="s">
        <v>5745</v>
      </c>
      <c r="AO9398" t="s">
        <v>5746</v>
      </c>
    </row>
    <row r="9399" spans="39:41" ht="12" customHeight="1" x14ac:dyDescent="0.2">
      <c r="AM9399" t="str">
        <f t="shared" si="147"/>
        <v>Meishan [CNMSN]</v>
      </c>
      <c r="AN9399" t="s">
        <v>5747</v>
      </c>
      <c r="AO9399" t="s">
        <v>5748</v>
      </c>
    </row>
    <row r="9400" spans="39:41" ht="12" customHeight="1" x14ac:dyDescent="0.2">
      <c r="AM9400" t="str">
        <f t="shared" si="147"/>
        <v>Meishan Pt [CNMSG]</v>
      </c>
      <c r="AN9400" t="s">
        <v>5749</v>
      </c>
      <c r="AO9400" t="s">
        <v>5750</v>
      </c>
    </row>
    <row r="9401" spans="39:41" ht="12" customHeight="1" x14ac:dyDescent="0.2">
      <c r="AM9401" t="str">
        <f t="shared" si="147"/>
        <v>Meissen [DEMEI]</v>
      </c>
      <c r="AN9401" t="s">
        <v>7903</v>
      </c>
      <c r="AO9401" t="s">
        <v>7904</v>
      </c>
    </row>
    <row r="9402" spans="39:41" ht="12" customHeight="1" x14ac:dyDescent="0.2">
      <c r="AM9402" t="str">
        <f t="shared" si="147"/>
        <v>Meisterschwanden [CHMWA]</v>
      </c>
      <c r="AN9402" t="s">
        <v>4720</v>
      </c>
      <c r="AO9402" t="s">
        <v>4721</v>
      </c>
    </row>
    <row r="9403" spans="39:41" ht="12" customHeight="1" x14ac:dyDescent="0.2">
      <c r="AM9403" t="str">
        <f t="shared" si="147"/>
        <v>Meitsu [JPMET]</v>
      </c>
      <c r="AN9403" t="s">
        <v>19886</v>
      </c>
      <c r="AO9403" t="s">
        <v>19887</v>
      </c>
    </row>
    <row r="9404" spans="39:41" ht="12" customHeight="1" x14ac:dyDescent="0.2">
      <c r="AM9404" t="str">
        <f t="shared" si="147"/>
        <v>Meizhouwan [CNMZW]</v>
      </c>
      <c r="AN9404" t="s">
        <v>5751</v>
      </c>
      <c r="AO9404" t="s">
        <v>5752</v>
      </c>
    </row>
    <row r="9405" spans="39:41" ht="12" customHeight="1" x14ac:dyDescent="0.2">
      <c r="AM9405" t="str">
        <f t="shared" si="147"/>
        <v>Mejillones [CLMJS]</v>
      </c>
      <c r="AN9405" t="s">
        <v>4897</v>
      </c>
      <c r="AO9405" t="s">
        <v>4898</v>
      </c>
    </row>
    <row r="9406" spans="39:41" ht="12" customHeight="1" x14ac:dyDescent="0.2">
      <c r="AM9406" t="str">
        <f t="shared" si="147"/>
        <v>Meklong [THMEK]</v>
      </c>
      <c r="AN9406" t="s">
        <v>28252</v>
      </c>
      <c r="AO9406" t="s">
        <v>28253</v>
      </c>
    </row>
    <row r="9407" spans="39:41" ht="12" customHeight="1" x14ac:dyDescent="0.2">
      <c r="AM9407" t="str">
        <f t="shared" si="147"/>
        <v>Meland [NOMLD]</v>
      </c>
      <c r="AN9407" t="s">
        <v>24486</v>
      </c>
      <c r="AO9407" t="s">
        <v>24487</v>
      </c>
    </row>
    <row r="9408" spans="39:41" ht="12" customHeight="1" x14ac:dyDescent="0.2">
      <c r="AM9408" t="str">
        <f t="shared" si="147"/>
        <v>Melbourne [AUMEL]</v>
      </c>
      <c r="AN9408" t="s">
        <v>1828</v>
      </c>
      <c r="AO9408" t="s">
        <v>1829</v>
      </c>
    </row>
    <row r="9409" spans="39:41" ht="12" customHeight="1" x14ac:dyDescent="0.2">
      <c r="AM9409" t="str">
        <f t="shared" si="147"/>
        <v>Melbu [NOMEL]</v>
      </c>
      <c r="AN9409" t="s">
        <v>24488</v>
      </c>
      <c r="AO9409" t="s">
        <v>24489</v>
      </c>
    </row>
    <row r="9410" spans="39:41" ht="12" customHeight="1" x14ac:dyDescent="0.2">
      <c r="AM9410" t="str">
        <f t="shared" si="147"/>
        <v>Meldorf [DEMEL]</v>
      </c>
      <c r="AN9410" t="s">
        <v>7905</v>
      </c>
      <c r="AO9410" t="s">
        <v>7906</v>
      </c>
    </row>
    <row r="9411" spans="39:41" ht="12" customHeight="1" x14ac:dyDescent="0.2">
      <c r="AM9411" t="str">
        <f t="shared" si="147"/>
        <v>Meldrum Bay [CAMDB]</v>
      </c>
      <c r="AN9411" t="s">
        <v>4093</v>
      </c>
      <c r="AO9411" t="s">
        <v>4094</v>
      </c>
    </row>
    <row r="9412" spans="39:41" ht="12" customHeight="1" x14ac:dyDescent="0.2">
      <c r="AM9412" t="str">
        <f t="shared" si="147"/>
        <v>Melhus [NOMLS]</v>
      </c>
      <c r="AN9412" t="s">
        <v>24490</v>
      </c>
      <c r="AO9412" t="s">
        <v>24491</v>
      </c>
    </row>
    <row r="9413" spans="39:41" ht="12" customHeight="1" x14ac:dyDescent="0.2">
      <c r="AM9413" t="str">
        <f t="shared" si="147"/>
        <v>Melide [CHJJO]</v>
      </c>
      <c r="AN9413" t="s">
        <v>4722</v>
      </c>
      <c r="AO9413" t="s">
        <v>4723</v>
      </c>
    </row>
    <row r="9414" spans="39:41" ht="12" customHeight="1" x14ac:dyDescent="0.2">
      <c r="AM9414" t="str">
        <f t="shared" si="147"/>
        <v>Melilla [ESMLN]</v>
      </c>
      <c r="AN9414" t="s">
        <v>9941</v>
      </c>
      <c r="AO9414" t="s">
        <v>9942</v>
      </c>
    </row>
    <row r="9415" spans="39:41" ht="12" customHeight="1" x14ac:dyDescent="0.2">
      <c r="AM9415" t="str">
        <f t="shared" si="147"/>
        <v>Melinka [CLMLI]</v>
      </c>
      <c r="AN9415" t="s">
        <v>4899</v>
      </c>
      <c r="AO9415" t="s">
        <v>4900</v>
      </c>
    </row>
    <row r="9416" spans="39:41" ht="12" customHeight="1" x14ac:dyDescent="0.2">
      <c r="AM9416" t="str">
        <f t="shared" si="147"/>
        <v>Melito di Porto Salvo [ITMPS]</v>
      </c>
      <c r="AN9416" t="s">
        <v>18075</v>
      </c>
      <c r="AO9416" t="s">
        <v>18076</v>
      </c>
    </row>
    <row r="9417" spans="39:41" ht="12" customHeight="1" x14ac:dyDescent="0.2">
      <c r="AM9417" t="str">
        <f t="shared" si="147"/>
        <v>Melittah [LYMTH]</v>
      </c>
      <c r="AN9417" t="s">
        <v>21993</v>
      </c>
      <c r="AO9417" t="s">
        <v>21994</v>
      </c>
    </row>
    <row r="9418" spans="39:41" ht="12" customHeight="1" x14ac:dyDescent="0.2">
      <c r="AM9418" t="str">
        <f t="shared" si="147"/>
        <v>Melkoya [NOMLK]</v>
      </c>
      <c r="AN9418" t="s">
        <v>24492</v>
      </c>
      <c r="AO9418" t="s">
        <v>36250</v>
      </c>
    </row>
    <row r="9419" spans="39:41" ht="12" customHeight="1" x14ac:dyDescent="0.2">
      <c r="AM9419" t="str">
        <f t="shared" si="147"/>
        <v>Melle [BEMEL]</v>
      </c>
      <c r="AN9419" t="s">
        <v>2717</v>
      </c>
      <c r="AO9419" t="s">
        <v>2718</v>
      </c>
    </row>
    <row r="9420" spans="39:41" ht="12" customHeight="1" x14ac:dyDescent="0.2">
      <c r="AM9420" t="str">
        <f t="shared" si="147"/>
        <v>Mellensee [DEMZE]</v>
      </c>
      <c r="AN9420" t="s">
        <v>7907</v>
      </c>
      <c r="AO9420" t="s">
        <v>7908</v>
      </c>
    </row>
    <row r="9421" spans="39:41" ht="12" customHeight="1" x14ac:dyDescent="0.2">
      <c r="AM9421" t="str">
        <f t="shared" si="147"/>
        <v>Mellitah (Qasr Ahmed) [LYMEL]</v>
      </c>
      <c r="AN9421" t="s">
        <v>21995</v>
      </c>
      <c r="AO9421" t="s">
        <v>21996</v>
      </c>
    </row>
    <row r="9422" spans="39:41" ht="12" customHeight="1" x14ac:dyDescent="0.2">
      <c r="AM9422" t="str">
        <f t="shared" si="147"/>
        <v>Melmerby [GBMML]</v>
      </c>
      <c r="AN9422" t="s">
        <v>13826</v>
      </c>
      <c r="AO9422" t="s">
        <v>13827</v>
      </c>
    </row>
    <row r="9423" spans="39:41" ht="12" customHeight="1" x14ac:dyDescent="0.2">
      <c r="AM9423" t="str">
        <f t="shared" si="147"/>
        <v>Melones [PAMEL]</v>
      </c>
      <c r="AN9423" t="s">
        <v>25205</v>
      </c>
      <c r="AO9423" t="s">
        <v>25206</v>
      </c>
    </row>
    <row r="9424" spans="39:41" ht="12" customHeight="1" x14ac:dyDescent="0.2">
      <c r="AM9424" t="str">
        <f t="shared" si="147"/>
        <v>Meloy [NOMEY]</v>
      </c>
      <c r="AN9424" t="s">
        <v>24493</v>
      </c>
      <c r="AO9424" t="s">
        <v>36251</v>
      </c>
    </row>
    <row r="9425" spans="39:41" ht="12" customHeight="1" x14ac:dyDescent="0.2">
      <c r="AM9425" t="str">
        <f t="shared" si="147"/>
        <v>Melrose [AUMRS]</v>
      </c>
      <c r="AN9425" t="s">
        <v>1830</v>
      </c>
      <c r="AO9425" t="s">
        <v>1831</v>
      </c>
    </row>
    <row r="9426" spans="39:41" ht="12" customHeight="1" x14ac:dyDescent="0.2">
      <c r="AM9426" t="str">
        <f t="shared" si="147"/>
        <v>Melsen [BEELS]</v>
      </c>
      <c r="AN9426" t="s">
        <v>2719</v>
      </c>
      <c r="AO9426" t="s">
        <v>2720</v>
      </c>
    </row>
    <row r="9427" spans="39:41" ht="12" customHeight="1" x14ac:dyDescent="0.2">
      <c r="AM9427" t="str">
        <f t="shared" si="147"/>
        <v>Melsomvik [NOMEV]</v>
      </c>
      <c r="AN9427" t="s">
        <v>24494</v>
      </c>
      <c r="AO9427" t="s">
        <v>24495</v>
      </c>
    </row>
    <row r="9428" spans="39:41" ht="12" customHeight="1" x14ac:dyDescent="0.2">
      <c r="AM9428" t="str">
        <f t="shared" si="147"/>
        <v>Melun [FRMEL]</v>
      </c>
      <c r="AN9428" t="s">
        <v>11652</v>
      </c>
      <c r="AO9428" t="s">
        <v>11653</v>
      </c>
    </row>
    <row r="9429" spans="39:41" ht="12" customHeight="1" x14ac:dyDescent="0.2">
      <c r="AM9429" t="str">
        <f t="shared" si="147"/>
        <v>Melville Island [AUMLI]</v>
      </c>
      <c r="AN9429" t="s">
        <v>1832</v>
      </c>
      <c r="AO9429" t="s">
        <v>1833</v>
      </c>
    </row>
    <row r="9430" spans="39:41" ht="12" customHeight="1" x14ac:dyDescent="0.2">
      <c r="AM9430" t="str">
        <f t="shared" si="147"/>
        <v>Melvindale [USMGF]</v>
      </c>
      <c r="AN9430" t="s">
        <v>30583</v>
      </c>
      <c r="AO9430" t="s">
        <v>30584</v>
      </c>
    </row>
    <row r="9431" spans="39:41" ht="12" customHeight="1" x14ac:dyDescent="0.2">
      <c r="AM9431" t="str">
        <f t="shared" si="147"/>
        <v>Mem [SEMEM]</v>
      </c>
      <c r="AN9431" t="s">
        <v>27755</v>
      </c>
      <c r="AO9431" t="s">
        <v>27756</v>
      </c>
    </row>
    <row r="9432" spans="39:41" ht="12" customHeight="1" x14ac:dyDescent="0.2">
      <c r="AM9432" t="str">
        <f t="shared" si="147"/>
        <v>Memba [MZMEM]</v>
      </c>
      <c r="AN9432" t="s">
        <v>22851</v>
      </c>
      <c r="AO9432" t="s">
        <v>22852</v>
      </c>
    </row>
    <row r="9433" spans="39:41" ht="12" customHeight="1" x14ac:dyDescent="0.2">
      <c r="AM9433" t="str">
        <f t="shared" si="147"/>
        <v>Memmert [DEMEM]</v>
      </c>
      <c r="AN9433" t="s">
        <v>7909</v>
      </c>
      <c r="AO9433" t="s">
        <v>7910</v>
      </c>
    </row>
    <row r="9434" spans="39:41" ht="12" customHeight="1" x14ac:dyDescent="0.2">
      <c r="AM9434" t="str">
        <f t="shared" si="147"/>
        <v>Mempakul, Sabah [MYMEM]</v>
      </c>
      <c r="AN9434" t="s">
        <v>22651</v>
      </c>
      <c r="AO9434" t="s">
        <v>22652</v>
      </c>
    </row>
    <row r="9435" spans="39:41" ht="12" customHeight="1" x14ac:dyDescent="0.2">
      <c r="AM9435" t="str">
        <f t="shared" si="147"/>
        <v>Memphis [USMEM]</v>
      </c>
      <c r="AN9435" t="s">
        <v>30585</v>
      </c>
      <c r="AO9435" t="s">
        <v>30586</v>
      </c>
    </row>
    <row r="9436" spans="39:41" ht="12" customHeight="1" x14ac:dyDescent="0.2">
      <c r="AM9436" t="str">
        <f t="shared" si="147"/>
        <v>Menai Bridge [GBMEB]</v>
      </c>
      <c r="AN9436" t="s">
        <v>13828</v>
      </c>
      <c r="AO9436" t="s">
        <v>13829</v>
      </c>
    </row>
    <row r="9437" spans="39:41" ht="12" customHeight="1" x14ac:dyDescent="0.2">
      <c r="AM9437" t="str">
        <f t="shared" si="147"/>
        <v>Menaldum [NLMNU]</v>
      </c>
      <c r="AN9437" t="s">
        <v>23398</v>
      </c>
      <c r="AO9437" t="s">
        <v>23399</v>
      </c>
    </row>
    <row r="9438" spans="39:41" ht="12" customHeight="1" x14ac:dyDescent="0.2">
      <c r="AM9438" t="str">
        <f t="shared" si="147"/>
        <v>Mendon [USM8N]</v>
      </c>
      <c r="AN9438" t="s">
        <v>30587</v>
      </c>
      <c r="AO9438" t="s">
        <v>30588</v>
      </c>
    </row>
    <row r="9439" spans="39:41" ht="12" customHeight="1" x14ac:dyDescent="0.2">
      <c r="AM9439" t="str">
        <f t="shared" si="147"/>
        <v>Menemsha [USMN5]</v>
      </c>
      <c r="AN9439" t="s">
        <v>30589</v>
      </c>
      <c r="AO9439" t="s">
        <v>30590</v>
      </c>
    </row>
    <row r="9440" spans="39:41" ht="12" customHeight="1" x14ac:dyDescent="0.2">
      <c r="AM9440" t="str">
        <f t="shared" si="147"/>
        <v>Menen [BEMEN]</v>
      </c>
      <c r="AN9440" t="s">
        <v>2721</v>
      </c>
      <c r="AO9440" t="s">
        <v>2722</v>
      </c>
    </row>
    <row r="9441" spans="39:41" ht="12" customHeight="1" x14ac:dyDescent="0.2">
      <c r="AM9441" t="str">
        <f t="shared" si="147"/>
        <v>Mengkofen [DEGJ9]</v>
      </c>
      <c r="AN9441" t="s">
        <v>7911</v>
      </c>
      <c r="AO9441" t="s">
        <v>7912</v>
      </c>
    </row>
    <row r="9442" spans="39:41" ht="12" customHeight="1" x14ac:dyDescent="0.2">
      <c r="AM9442" t="str">
        <f t="shared" si="147"/>
        <v>Menidi [GRMEN]</v>
      </c>
      <c r="AN9442" t="s">
        <v>15360</v>
      </c>
      <c r="AO9442" t="s">
        <v>15361</v>
      </c>
    </row>
    <row r="9443" spans="39:41" ht="12" customHeight="1" x14ac:dyDescent="0.2">
      <c r="AM9443" t="str">
        <f t="shared" si="147"/>
        <v>Mensingeweer [NLMSW]</v>
      </c>
      <c r="AN9443" t="s">
        <v>23400</v>
      </c>
      <c r="AO9443" t="s">
        <v>23401</v>
      </c>
    </row>
    <row r="9444" spans="39:41" ht="12" customHeight="1" x14ac:dyDescent="0.2">
      <c r="AM9444" t="str">
        <f t="shared" si="147"/>
        <v>Menstad [NOMEN]</v>
      </c>
      <c r="AN9444" t="s">
        <v>24496</v>
      </c>
      <c r="AO9444" t="s">
        <v>24497</v>
      </c>
    </row>
    <row r="9445" spans="39:41" ht="12" customHeight="1" x14ac:dyDescent="0.2">
      <c r="AM9445" t="str">
        <f t="shared" si="147"/>
        <v>Menton [FRETN]</v>
      </c>
      <c r="AN9445" t="s">
        <v>11654</v>
      </c>
      <c r="AO9445" t="s">
        <v>11655</v>
      </c>
    </row>
    <row r="9446" spans="39:41" ht="12" customHeight="1" x14ac:dyDescent="0.2">
      <c r="AM9446" t="str">
        <f t="shared" si="147"/>
        <v>Mentone [USMT6]</v>
      </c>
      <c r="AN9446" t="s">
        <v>30591</v>
      </c>
      <c r="AO9446" t="s">
        <v>30592</v>
      </c>
    </row>
    <row r="9447" spans="39:41" ht="12" customHeight="1" x14ac:dyDescent="0.2">
      <c r="AM9447" t="str">
        <f t="shared" si="147"/>
        <v>Mentrida [ESNTR]</v>
      </c>
      <c r="AN9447" t="s">
        <v>9943</v>
      </c>
      <c r="AO9447" t="s">
        <v>9944</v>
      </c>
    </row>
    <row r="9448" spans="39:41" ht="12" customHeight="1" x14ac:dyDescent="0.2">
      <c r="AM9448" t="str">
        <f t="shared" si="147"/>
        <v>Menzel Bourguiba [TNMBA]</v>
      </c>
      <c r="AN9448" t="s">
        <v>28358</v>
      </c>
      <c r="AO9448" t="s">
        <v>28359</v>
      </c>
    </row>
    <row r="9449" spans="39:41" ht="12" customHeight="1" x14ac:dyDescent="0.2">
      <c r="AM9449" t="str">
        <f t="shared" si="147"/>
        <v>Menzies Bay [CAMEB]</v>
      </c>
      <c r="AN9449" t="s">
        <v>4095</v>
      </c>
      <c r="AO9449" t="s">
        <v>4096</v>
      </c>
    </row>
    <row r="9450" spans="39:41" ht="12" customHeight="1" x14ac:dyDescent="0.2">
      <c r="AM9450" t="str">
        <f t="shared" si="147"/>
        <v>Meppel [NLMEP]</v>
      </c>
      <c r="AN9450" t="s">
        <v>23402</v>
      </c>
      <c r="AO9450" t="s">
        <v>23403</v>
      </c>
    </row>
    <row r="9451" spans="39:41" ht="12" customHeight="1" x14ac:dyDescent="0.2">
      <c r="AM9451" t="str">
        <f t="shared" si="147"/>
        <v>Meppershall [GBMHJ]</v>
      </c>
      <c r="AN9451" t="s">
        <v>13830</v>
      </c>
      <c r="AO9451" t="s">
        <v>13831</v>
      </c>
    </row>
    <row r="9452" spans="39:41" ht="12" customHeight="1" x14ac:dyDescent="0.2">
      <c r="AM9452" t="str">
        <f t="shared" si="147"/>
        <v>Mer Rouge [USZXE]</v>
      </c>
      <c r="AN9452" t="s">
        <v>30593</v>
      </c>
      <c r="AO9452" t="s">
        <v>30594</v>
      </c>
    </row>
    <row r="9453" spans="39:41" ht="12" customHeight="1" x14ac:dyDescent="0.2">
      <c r="AM9453" t="str">
        <f t="shared" si="147"/>
        <v>Merag [HRMRG]</v>
      </c>
      <c r="AN9453" t="s">
        <v>15812</v>
      </c>
      <c r="AO9453" t="s">
        <v>15813</v>
      </c>
    </row>
    <row r="9454" spans="39:41" ht="12" customHeight="1" x14ac:dyDescent="0.2">
      <c r="AM9454" t="str">
        <f t="shared" si="147"/>
        <v>Merak, Java [IDMRK]</v>
      </c>
      <c r="AN9454" t="s">
        <v>16414</v>
      </c>
      <c r="AO9454" t="s">
        <v>16415</v>
      </c>
    </row>
    <row r="9455" spans="39:41" ht="12" customHeight="1" x14ac:dyDescent="0.2">
      <c r="AM9455" t="str">
        <f t="shared" si="147"/>
        <v>Merantibunting, Sumatra [IDMRB]</v>
      </c>
      <c r="AN9455" t="s">
        <v>16416</v>
      </c>
      <c r="AO9455" t="s">
        <v>16417</v>
      </c>
    </row>
    <row r="9456" spans="39:41" ht="12" customHeight="1" x14ac:dyDescent="0.2">
      <c r="AM9456" t="str">
        <f t="shared" si="147"/>
        <v>Merauke, Irian Jaya [IDMKQ]</v>
      </c>
      <c r="AN9456" t="s">
        <v>16418</v>
      </c>
      <c r="AO9456" t="s">
        <v>16419</v>
      </c>
    </row>
    <row r="9457" spans="39:41" ht="12" customHeight="1" x14ac:dyDescent="0.2">
      <c r="AM9457" t="str">
        <f t="shared" si="147"/>
        <v>Meraux [USMXP]</v>
      </c>
      <c r="AN9457" t="s">
        <v>30595</v>
      </c>
      <c r="AO9457" t="s">
        <v>30596</v>
      </c>
    </row>
    <row r="9458" spans="39:41" ht="12" customHeight="1" x14ac:dyDescent="0.2">
      <c r="AM9458" t="str">
        <f t="shared" ref="AM9458:AM9521" si="148">AO9458 &amp; " [" &amp; AN9458 &amp; "]"</f>
        <v>Merbes-le-Chateau [BEMCA]</v>
      </c>
      <c r="AN9458" t="s">
        <v>36791</v>
      </c>
      <c r="AO9458" t="s">
        <v>36792</v>
      </c>
    </row>
    <row r="9459" spans="39:41" ht="12" customHeight="1" x14ac:dyDescent="0.2">
      <c r="AM9459" t="str">
        <f t="shared" si="148"/>
        <v>Merbok [MYMBK]</v>
      </c>
      <c r="AN9459" t="s">
        <v>22653</v>
      </c>
      <c r="AO9459" t="s">
        <v>22654</v>
      </c>
    </row>
    <row r="9460" spans="39:41" ht="12" customHeight="1" x14ac:dyDescent="0.2">
      <c r="AM9460" t="str">
        <f t="shared" si="148"/>
        <v>Merca [SOMER]</v>
      </c>
      <c r="AN9460" t="s">
        <v>28112</v>
      </c>
      <c r="AO9460" t="s">
        <v>28113</v>
      </c>
    </row>
    <row r="9461" spans="39:41" ht="12" customHeight="1" x14ac:dyDescent="0.2">
      <c r="AM9461" t="str">
        <f t="shared" si="148"/>
        <v>Mercedes [UYMER]</v>
      </c>
      <c r="AN9461" t="s">
        <v>32117</v>
      </c>
      <c r="AO9461" t="s">
        <v>32118</v>
      </c>
    </row>
    <row r="9462" spans="39:41" ht="12" customHeight="1" x14ac:dyDescent="0.2">
      <c r="AM9462" t="str">
        <f t="shared" si="148"/>
        <v>Mercedes/Jose Panganiban [PHMCD]</v>
      </c>
      <c r="AN9462" t="s">
        <v>25959</v>
      </c>
      <c r="AO9462" t="s">
        <v>25960</v>
      </c>
    </row>
    <row r="9463" spans="39:41" ht="12" customHeight="1" x14ac:dyDescent="0.2">
      <c r="AM9463" t="str">
        <f t="shared" si="148"/>
        <v>Meredith [USMD5]</v>
      </c>
      <c r="AN9463" t="s">
        <v>30597</v>
      </c>
      <c r="AO9463" t="s">
        <v>30598</v>
      </c>
    </row>
    <row r="9464" spans="39:41" ht="12" customHeight="1" x14ac:dyDescent="0.2">
      <c r="AM9464" t="str">
        <f t="shared" si="148"/>
        <v>Meredoisa [USOIS]</v>
      </c>
      <c r="AN9464" t="s">
        <v>30599</v>
      </c>
      <c r="AO9464" t="s">
        <v>30600</v>
      </c>
    </row>
    <row r="9465" spans="39:41" ht="12" customHeight="1" x14ac:dyDescent="0.2">
      <c r="AM9465" t="str">
        <f t="shared" si="148"/>
        <v>Merelaiu [EEMRL]</v>
      </c>
      <c r="AN9465" t="s">
        <v>9257</v>
      </c>
      <c r="AO9465" t="s">
        <v>9258</v>
      </c>
    </row>
    <row r="9466" spans="39:41" ht="12" customHeight="1" x14ac:dyDescent="0.2">
      <c r="AM9466" t="str">
        <f t="shared" si="148"/>
        <v>Merelbeke [BEMRL]</v>
      </c>
      <c r="AN9466" t="s">
        <v>2723</v>
      </c>
      <c r="AO9466" t="s">
        <v>2724</v>
      </c>
    </row>
    <row r="9467" spans="39:41" ht="12" customHeight="1" x14ac:dyDescent="0.2">
      <c r="AM9467" t="str">
        <f t="shared" si="148"/>
        <v>Merendree [BEMRD]</v>
      </c>
      <c r="AN9467" t="s">
        <v>2725</v>
      </c>
      <c r="AO9467" t="s">
        <v>2726</v>
      </c>
    </row>
    <row r="9468" spans="39:41" ht="12" customHeight="1" x14ac:dyDescent="0.2">
      <c r="AM9468" t="str">
        <f t="shared" si="148"/>
        <v>Mergui [MMMER]</v>
      </c>
      <c r="AN9468" t="s">
        <v>22198</v>
      </c>
      <c r="AO9468" t="s">
        <v>22199</v>
      </c>
    </row>
    <row r="9469" spans="39:41" ht="12" customHeight="1" x14ac:dyDescent="0.2">
      <c r="AM9469" t="str">
        <f t="shared" si="148"/>
        <v>Merida [MXMID]</v>
      </c>
      <c r="AN9469" t="s">
        <v>22396</v>
      </c>
      <c r="AO9469" t="s">
        <v>36096</v>
      </c>
    </row>
    <row r="9470" spans="39:41" ht="12" customHeight="1" x14ac:dyDescent="0.2">
      <c r="AM9470" t="str">
        <f t="shared" si="148"/>
        <v>Merifons [FRME4]</v>
      </c>
      <c r="AN9470" t="s">
        <v>11656</v>
      </c>
      <c r="AO9470" t="s">
        <v>11657</v>
      </c>
    </row>
    <row r="9471" spans="39:41" ht="12" customHeight="1" x14ac:dyDescent="0.2">
      <c r="AM9471" t="str">
        <f t="shared" si="148"/>
        <v>Merignat [FRMR6]</v>
      </c>
      <c r="AN9471" t="s">
        <v>11658</v>
      </c>
      <c r="AO9471" t="s">
        <v>11659</v>
      </c>
    </row>
    <row r="9472" spans="39:41" ht="12" customHeight="1" x14ac:dyDescent="0.2">
      <c r="AM9472" t="str">
        <f t="shared" si="148"/>
        <v>Merigomish [CAMGH]</v>
      </c>
      <c r="AN9472" t="s">
        <v>4097</v>
      </c>
      <c r="AO9472" t="s">
        <v>4098</v>
      </c>
    </row>
    <row r="9473" spans="39:41" ht="12" customHeight="1" x14ac:dyDescent="0.2">
      <c r="AM9473" t="str">
        <f t="shared" si="148"/>
        <v>Merikarvia (Sastmola) [FIMER]</v>
      </c>
      <c r="AN9473" t="s">
        <v>10465</v>
      </c>
      <c r="AO9473" t="s">
        <v>10466</v>
      </c>
    </row>
    <row r="9474" spans="39:41" ht="12" customHeight="1" x14ac:dyDescent="0.2">
      <c r="AM9474" t="str">
        <f t="shared" si="148"/>
        <v>Merkem [BEMRM]</v>
      </c>
      <c r="AN9474" t="s">
        <v>2727</v>
      </c>
      <c r="AO9474" t="s">
        <v>2728</v>
      </c>
    </row>
    <row r="9475" spans="39:41" ht="12" customHeight="1" x14ac:dyDescent="0.2">
      <c r="AM9475" t="str">
        <f t="shared" si="148"/>
        <v>Merksem [BEMRK]</v>
      </c>
      <c r="AN9475" t="s">
        <v>2729</v>
      </c>
      <c r="AO9475" t="s">
        <v>2730</v>
      </c>
    </row>
    <row r="9476" spans="39:41" ht="12" customHeight="1" x14ac:dyDescent="0.2">
      <c r="AM9476" t="str">
        <f t="shared" si="148"/>
        <v>Mersa El Hamra [EGMAH]</v>
      </c>
      <c r="AN9476" t="s">
        <v>9498</v>
      </c>
      <c r="AO9476" t="s">
        <v>9499</v>
      </c>
    </row>
    <row r="9477" spans="39:41" ht="12" customHeight="1" x14ac:dyDescent="0.2">
      <c r="AM9477" t="str">
        <f t="shared" si="148"/>
        <v>Mersin [TRMER]</v>
      </c>
      <c r="AN9477" t="s">
        <v>28549</v>
      </c>
      <c r="AO9477" t="s">
        <v>28550</v>
      </c>
    </row>
    <row r="9478" spans="39:41" ht="12" customHeight="1" x14ac:dyDescent="0.2">
      <c r="AM9478" t="str">
        <f t="shared" si="148"/>
        <v>Mersin-Free Zone [TRMFZ]</v>
      </c>
      <c r="AN9478" t="s">
        <v>28551</v>
      </c>
      <c r="AO9478" t="s">
        <v>28552</v>
      </c>
    </row>
    <row r="9479" spans="39:41" ht="12" customHeight="1" x14ac:dyDescent="0.2">
      <c r="AM9479" t="str">
        <f t="shared" si="148"/>
        <v>Mersing [MYMEP]</v>
      </c>
      <c r="AN9479" t="s">
        <v>22655</v>
      </c>
      <c r="AO9479" t="s">
        <v>22656</v>
      </c>
    </row>
    <row r="9480" spans="39:41" ht="12" customHeight="1" x14ac:dyDescent="0.2">
      <c r="AM9480" t="str">
        <f t="shared" si="148"/>
        <v>Mersrags [LVMRX]</v>
      </c>
      <c r="AN9480" t="s">
        <v>21939</v>
      </c>
      <c r="AO9480" t="s">
        <v>21940</v>
      </c>
    </row>
    <row r="9481" spans="39:41" ht="12" customHeight="1" x14ac:dyDescent="0.2">
      <c r="AM9481" t="str">
        <f t="shared" si="148"/>
        <v>Mertert [LUMRT]</v>
      </c>
      <c r="AN9481" t="s">
        <v>21910</v>
      </c>
      <c r="AO9481" t="s">
        <v>21911</v>
      </c>
    </row>
    <row r="9482" spans="39:41" ht="12" customHeight="1" x14ac:dyDescent="0.2">
      <c r="AM9482" t="str">
        <f t="shared" si="148"/>
        <v>Mery-sur-Oise [FRMSI]</v>
      </c>
      <c r="AN9482" t="s">
        <v>11660</v>
      </c>
      <c r="AO9482" t="s">
        <v>35825</v>
      </c>
    </row>
    <row r="9483" spans="39:41" ht="12" customHeight="1" x14ac:dyDescent="0.2">
      <c r="AM9483" t="str">
        <f t="shared" si="148"/>
        <v>Mesaieed [QAMES]</v>
      </c>
      <c r="AN9483" t="s">
        <v>26699</v>
      </c>
      <c r="AO9483" t="s">
        <v>26700</v>
      </c>
    </row>
    <row r="9484" spans="39:41" ht="12" customHeight="1" x14ac:dyDescent="0.2">
      <c r="AM9484" t="str">
        <f t="shared" si="148"/>
        <v>Mesarci [RSMSD]</v>
      </c>
      <c r="AN9484" t="s">
        <v>26846</v>
      </c>
      <c r="AO9484" t="s">
        <v>26847</v>
      </c>
    </row>
    <row r="9485" spans="39:41" ht="12" customHeight="1" x14ac:dyDescent="0.2">
      <c r="AM9485" t="str">
        <f t="shared" si="148"/>
        <v>Mesch [NLMEH]</v>
      </c>
      <c r="AN9485" t="s">
        <v>23404</v>
      </c>
      <c r="AO9485" t="s">
        <v>23405</v>
      </c>
    </row>
    <row r="9486" spans="39:41" ht="12" customHeight="1" x14ac:dyDescent="0.2">
      <c r="AM9486" t="str">
        <f t="shared" si="148"/>
        <v>Mescherin [DEMSH]</v>
      </c>
      <c r="AN9486" t="s">
        <v>7913</v>
      </c>
      <c r="AO9486" t="s">
        <v>7914</v>
      </c>
    </row>
    <row r="9487" spans="39:41" ht="12" customHeight="1" x14ac:dyDescent="0.2">
      <c r="AM9487" t="str">
        <f t="shared" si="148"/>
        <v>Mesia [ESMIA]</v>
      </c>
      <c r="AN9487" t="s">
        <v>9945</v>
      </c>
      <c r="AO9487" t="s">
        <v>9946</v>
      </c>
    </row>
    <row r="9488" spans="39:41" ht="12" customHeight="1" x14ac:dyDescent="0.2">
      <c r="AM9488" t="str">
        <f t="shared" si="148"/>
        <v>Mesolongion [GRMEL]</v>
      </c>
      <c r="AN9488" t="s">
        <v>15362</v>
      </c>
      <c r="AO9488" t="s">
        <v>35934</v>
      </c>
    </row>
    <row r="9489" spans="39:41" ht="12" customHeight="1" x14ac:dyDescent="0.2">
      <c r="AM9489" t="str">
        <f t="shared" si="148"/>
        <v>Mespelare [BEMSP]</v>
      </c>
      <c r="AN9489" t="s">
        <v>2731</v>
      </c>
      <c r="AO9489" t="s">
        <v>2732</v>
      </c>
    </row>
    <row r="9490" spans="39:41" ht="12" customHeight="1" x14ac:dyDescent="0.2">
      <c r="AM9490" t="str">
        <f t="shared" si="148"/>
        <v>Messina [ITMSN]</v>
      </c>
      <c r="AN9490" t="s">
        <v>18077</v>
      </c>
      <c r="AO9490" t="s">
        <v>18078</v>
      </c>
    </row>
    <row r="9491" spans="39:41" ht="12" customHeight="1" x14ac:dyDescent="0.2">
      <c r="AM9491" t="str">
        <f t="shared" si="148"/>
        <v>Mesta Hiou [GRMHI]</v>
      </c>
      <c r="AN9491" t="s">
        <v>15363</v>
      </c>
      <c r="AO9491" t="s">
        <v>15364</v>
      </c>
    </row>
    <row r="9492" spans="39:41" ht="12" customHeight="1" x14ac:dyDescent="0.2">
      <c r="AM9492" t="str">
        <f t="shared" si="148"/>
        <v>Mesters Vig [GLMRG]</v>
      </c>
      <c r="AN9492" t="s">
        <v>15001</v>
      </c>
      <c r="AO9492" t="s">
        <v>15002</v>
      </c>
    </row>
    <row r="9493" spans="39:41" ht="12" customHeight="1" x14ac:dyDescent="0.2">
      <c r="AM9493" t="str">
        <f t="shared" si="148"/>
        <v>Meta [ITMTH]</v>
      </c>
      <c r="AN9493" t="s">
        <v>18079</v>
      </c>
      <c r="AO9493" t="s">
        <v>18080</v>
      </c>
    </row>
    <row r="9494" spans="39:41" ht="12" customHeight="1" x14ac:dyDescent="0.2">
      <c r="AM9494" t="str">
        <f t="shared" si="148"/>
        <v>Meteghan [CAMET]</v>
      </c>
      <c r="AN9494" t="s">
        <v>4099</v>
      </c>
      <c r="AO9494" t="s">
        <v>4100</v>
      </c>
    </row>
    <row r="9495" spans="39:41" ht="12" customHeight="1" x14ac:dyDescent="0.2">
      <c r="AM9495" t="str">
        <f t="shared" si="148"/>
        <v>Meteren [NLGE7]</v>
      </c>
      <c r="AN9495" t="s">
        <v>23406</v>
      </c>
      <c r="AO9495" t="s">
        <v>23407</v>
      </c>
    </row>
    <row r="9496" spans="39:41" ht="12" customHeight="1" x14ac:dyDescent="0.2">
      <c r="AM9496" t="str">
        <f t="shared" si="148"/>
        <v>Methana [GRMEA]</v>
      </c>
      <c r="AN9496" t="s">
        <v>34089</v>
      </c>
      <c r="AO9496" t="s">
        <v>34135</v>
      </c>
    </row>
    <row r="9497" spans="39:41" ht="12" customHeight="1" x14ac:dyDescent="0.2">
      <c r="AM9497" t="str">
        <f t="shared" si="148"/>
        <v>Methil [GBMTH]</v>
      </c>
      <c r="AN9497" t="s">
        <v>13832</v>
      </c>
      <c r="AO9497" t="s">
        <v>13833</v>
      </c>
    </row>
    <row r="9498" spans="39:41" ht="12" customHeight="1" x14ac:dyDescent="0.2">
      <c r="AM9498" t="str">
        <f t="shared" si="148"/>
        <v>Methoni [GRMET]</v>
      </c>
      <c r="AN9498" t="s">
        <v>15365</v>
      </c>
      <c r="AO9498" t="s">
        <v>15366</v>
      </c>
    </row>
    <row r="9499" spans="39:41" ht="12" customHeight="1" x14ac:dyDescent="0.2">
      <c r="AM9499" t="str">
        <f t="shared" si="148"/>
        <v>Metiskow [CAMSW]</v>
      </c>
      <c r="AN9499" t="s">
        <v>4101</v>
      </c>
      <c r="AO9499" t="s">
        <v>4102</v>
      </c>
    </row>
    <row r="9500" spans="39:41" ht="12" customHeight="1" x14ac:dyDescent="0.2">
      <c r="AM9500" t="str">
        <f t="shared" si="148"/>
        <v>Metkovic [HRMET]</v>
      </c>
      <c r="AN9500" t="s">
        <v>15814</v>
      </c>
      <c r="AO9500" t="s">
        <v>15815</v>
      </c>
    </row>
    <row r="9501" spans="39:41" ht="12" customHeight="1" x14ac:dyDescent="0.2">
      <c r="AM9501" t="str">
        <f t="shared" si="148"/>
        <v>Metlakatla [USMTM]</v>
      </c>
      <c r="AN9501" t="s">
        <v>30601</v>
      </c>
      <c r="AO9501" t="s">
        <v>30602</v>
      </c>
    </row>
    <row r="9502" spans="39:41" ht="12" customHeight="1" x14ac:dyDescent="0.2">
      <c r="AM9502" t="str">
        <f t="shared" si="148"/>
        <v>Metwad [INMTW]</v>
      </c>
      <c r="AN9502" t="s">
        <v>17307</v>
      </c>
      <c r="AO9502" t="s">
        <v>17308</v>
      </c>
    </row>
    <row r="9503" spans="39:41" ht="12" customHeight="1" x14ac:dyDescent="0.2">
      <c r="AM9503" t="str">
        <f t="shared" si="148"/>
        <v>Metz [FRMZM]</v>
      </c>
      <c r="AN9503" t="s">
        <v>11661</v>
      </c>
      <c r="AO9503" t="s">
        <v>11662</v>
      </c>
    </row>
    <row r="9504" spans="39:41" ht="12" customHeight="1" x14ac:dyDescent="0.2">
      <c r="AM9504" t="str">
        <f t="shared" si="148"/>
        <v>Meulaboh, Sumatra [IDMEQ]</v>
      </c>
      <c r="AN9504" t="s">
        <v>16420</v>
      </c>
      <c r="AO9504" t="s">
        <v>16421</v>
      </c>
    </row>
    <row r="9505" spans="39:41" ht="12" customHeight="1" x14ac:dyDescent="0.2">
      <c r="AM9505" t="str">
        <f t="shared" si="148"/>
        <v>Mevagissey [GBMVG]</v>
      </c>
      <c r="AN9505" t="s">
        <v>13834</v>
      </c>
      <c r="AO9505" t="s">
        <v>13835</v>
      </c>
    </row>
    <row r="9506" spans="39:41" ht="12" customHeight="1" x14ac:dyDescent="0.2">
      <c r="AM9506" t="str">
        <f t="shared" si="148"/>
        <v>Mexican Gulf [XZMEX]</v>
      </c>
      <c r="AN9506" t="s">
        <v>36630</v>
      </c>
      <c r="AO9506" t="s">
        <v>36631</v>
      </c>
    </row>
    <row r="9507" spans="39:41" ht="12" customHeight="1" x14ac:dyDescent="0.2">
      <c r="AM9507" t="str">
        <f t="shared" si="148"/>
        <v>Mexico [USXXX]</v>
      </c>
      <c r="AN9507" t="s">
        <v>30603</v>
      </c>
      <c r="AO9507" t="s">
        <v>30604</v>
      </c>
    </row>
    <row r="9508" spans="39:41" ht="12" customHeight="1" x14ac:dyDescent="0.2">
      <c r="AM9508" t="str">
        <f t="shared" si="148"/>
        <v>Mezen [RUMEZ]</v>
      </c>
      <c r="AN9508" t="s">
        <v>27089</v>
      </c>
      <c r="AO9508" t="s">
        <v>27090</v>
      </c>
    </row>
    <row r="9509" spans="39:41" ht="12" customHeight="1" x14ac:dyDescent="0.2">
      <c r="AM9509" t="str">
        <f t="shared" si="148"/>
        <v>Mezieres-sur-Seine [FRMZS]</v>
      </c>
      <c r="AN9509" t="s">
        <v>11663</v>
      </c>
      <c r="AO9509" t="s">
        <v>35826</v>
      </c>
    </row>
    <row r="9510" spans="39:41" ht="12" customHeight="1" x14ac:dyDescent="0.2">
      <c r="AM9510" t="str">
        <f t="shared" si="148"/>
        <v>Mezoargues [FRWQA]</v>
      </c>
      <c r="AN9510" t="s">
        <v>11664</v>
      </c>
      <c r="AO9510" t="s">
        <v>35827</v>
      </c>
    </row>
    <row r="9511" spans="39:41" ht="12" customHeight="1" x14ac:dyDescent="0.2">
      <c r="AM9511" t="str">
        <f t="shared" si="148"/>
        <v>Mgarr, Gozo [MTMGZ]</v>
      </c>
      <c r="AN9511" t="s">
        <v>22270</v>
      </c>
      <c r="AO9511" t="s">
        <v>22271</v>
      </c>
    </row>
    <row r="9512" spans="39:41" ht="12" customHeight="1" x14ac:dyDescent="0.2">
      <c r="AM9512" t="str">
        <f t="shared" si="148"/>
        <v>Miami [USMIA]</v>
      </c>
      <c r="AN9512" t="s">
        <v>30605</v>
      </c>
      <c r="AO9512" t="s">
        <v>30606</v>
      </c>
    </row>
    <row r="9513" spans="39:41" ht="12" customHeight="1" x14ac:dyDescent="0.2">
      <c r="AM9513" t="str">
        <f t="shared" si="148"/>
        <v>Miami Beach [USIYH]</v>
      </c>
      <c r="AN9513" t="s">
        <v>30607</v>
      </c>
      <c r="AO9513" t="s">
        <v>30608</v>
      </c>
    </row>
    <row r="9514" spans="39:41" ht="12" customHeight="1" x14ac:dyDescent="0.2">
      <c r="AM9514" t="str">
        <f t="shared" si="148"/>
        <v>Miami Gardens [USZMG]</v>
      </c>
      <c r="AN9514" t="s">
        <v>30609</v>
      </c>
      <c r="AO9514" t="s">
        <v>30610</v>
      </c>
    </row>
    <row r="9515" spans="39:41" ht="12" customHeight="1" x14ac:dyDescent="0.2">
      <c r="AM9515" t="str">
        <f t="shared" si="148"/>
        <v>Miami River [USKKV]</v>
      </c>
      <c r="AN9515" t="s">
        <v>30611</v>
      </c>
      <c r="AO9515" t="s">
        <v>30612</v>
      </c>
    </row>
    <row r="9516" spans="39:41" ht="12" customHeight="1" x14ac:dyDescent="0.2">
      <c r="AM9516" t="str">
        <f t="shared" si="148"/>
        <v>Miami Shores [USM4I]</v>
      </c>
      <c r="AN9516" t="s">
        <v>30613</v>
      </c>
      <c r="AO9516" t="s">
        <v>30614</v>
      </c>
    </row>
    <row r="9517" spans="39:41" ht="12" customHeight="1" x14ac:dyDescent="0.2">
      <c r="AM9517" t="str">
        <f t="shared" si="148"/>
        <v>Miamisburg [USIAM]</v>
      </c>
      <c r="AN9517" t="s">
        <v>30615</v>
      </c>
      <c r="AO9517" t="s">
        <v>30616</v>
      </c>
    </row>
    <row r="9518" spans="39:41" ht="12" customHeight="1" x14ac:dyDescent="0.2">
      <c r="AM9518" t="str">
        <f t="shared" si="148"/>
        <v>Miaotou [CNMOT]</v>
      </c>
      <c r="AN9518" t="s">
        <v>5753</v>
      </c>
      <c r="AO9518" t="s">
        <v>5754</v>
      </c>
    </row>
    <row r="9519" spans="39:41" ht="12" customHeight="1" x14ac:dyDescent="0.2">
      <c r="AM9519" t="str">
        <f t="shared" si="148"/>
        <v>Miass [RUMAS]</v>
      </c>
      <c r="AN9519" t="s">
        <v>27091</v>
      </c>
      <c r="AO9519" t="s">
        <v>27092</v>
      </c>
    </row>
    <row r="9520" spans="39:41" ht="12" customHeight="1" x14ac:dyDescent="0.2">
      <c r="AM9520" t="str">
        <f t="shared" si="148"/>
        <v>Michelbach am Heuchelberg [DEZ4Z]</v>
      </c>
      <c r="AN9520" t="s">
        <v>7915</v>
      </c>
      <c r="AO9520" t="s">
        <v>7916</v>
      </c>
    </row>
    <row r="9521" spans="39:41" ht="12" customHeight="1" x14ac:dyDescent="0.2">
      <c r="AM9521" t="str">
        <f t="shared" si="148"/>
        <v>Michilla [CLMIC]</v>
      </c>
      <c r="AN9521" t="s">
        <v>4901</v>
      </c>
      <c r="AO9521" t="s">
        <v>4902</v>
      </c>
    </row>
    <row r="9522" spans="39:41" ht="12" customHeight="1" x14ac:dyDescent="0.2">
      <c r="AM9522" t="str">
        <f t="shared" ref="AM9522:AM9585" si="149">AO9522 &amp; " [" &amp; AN9522 &amp; "]"</f>
        <v>Michipicoten [CAMIH]</v>
      </c>
      <c r="AN9522" t="s">
        <v>4103</v>
      </c>
      <c r="AO9522" t="s">
        <v>4104</v>
      </c>
    </row>
    <row r="9523" spans="39:41" ht="12" customHeight="1" x14ac:dyDescent="0.2">
      <c r="AM9523" t="str">
        <f t="shared" si="149"/>
        <v>Michiuja [TZMIC]</v>
      </c>
      <c r="AN9523" t="s">
        <v>28716</v>
      </c>
      <c r="AO9523" t="s">
        <v>28717</v>
      </c>
    </row>
    <row r="9524" spans="39:41" ht="12" customHeight="1" x14ac:dyDescent="0.2">
      <c r="AM9524" t="str">
        <f t="shared" si="149"/>
        <v>Michnov [CZMNV]</v>
      </c>
      <c r="AN9524" t="s">
        <v>6887</v>
      </c>
      <c r="AO9524" t="s">
        <v>6888</v>
      </c>
    </row>
    <row r="9525" spans="39:41" ht="12" customHeight="1" x14ac:dyDescent="0.2">
      <c r="AM9525" t="str">
        <f t="shared" si="149"/>
        <v>Mid Glamorgan [GBRGN]</v>
      </c>
      <c r="AN9525" t="s">
        <v>13836</v>
      </c>
      <c r="AO9525" t="s">
        <v>13837</v>
      </c>
    </row>
    <row r="9526" spans="39:41" ht="12" customHeight="1" x14ac:dyDescent="0.2">
      <c r="AM9526" t="str">
        <f t="shared" si="149"/>
        <v>Mid Yell [GBMYE]</v>
      </c>
      <c r="AN9526" t="s">
        <v>13838</v>
      </c>
      <c r="AO9526" t="s">
        <v>13839</v>
      </c>
    </row>
    <row r="9527" spans="39:41" ht="12" customHeight="1" x14ac:dyDescent="0.2">
      <c r="AM9527" t="str">
        <f t="shared" si="149"/>
        <v>Middelaar [NLMLA]</v>
      </c>
      <c r="AN9527" t="s">
        <v>23408</v>
      </c>
      <c r="AO9527" t="s">
        <v>23409</v>
      </c>
    </row>
    <row r="9528" spans="39:41" ht="12" customHeight="1" x14ac:dyDescent="0.2">
      <c r="AM9528" t="str">
        <f t="shared" si="149"/>
        <v>Middelburg [NLMID]</v>
      </c>
      <c r="AN9528" t="s">
        <v>23410</v>
      </c>
      <c r="AO9528" t="s">
        <v>23411</v>
      </c>
    </row>
    <row r="9529" spans="39:41" ht="12" customHeight="1" x14ac:dyDescent="0.2">
      <c r="AM9529" t="str">
        <f t="shared" si="149"/>
        <v>Middelfart [DKMID]</v>
      </c>
      <c r="AN9529" t="s">
        <v>8815</v>
      </c>
      <c r="AO9529" t="s">
        <v>8816</v>
      </c>
    </row>
    <row r="9530" spans="39:41" ht="12" customHeight="1" x14ac:dyDescent="0.2">
      <c r="AM9530" t="str">
        <f t="shared" si="149"/>
        <v>Middelharnis [NLMIH]</v>
      </c>
      <c r="AN9530" t="s">
        <v>23412</v>
      </c>
      <c r="AO9530" t="s">
        <v>23413</v>
      </c>
    </row>
    <row r="9531" spans="39:41" ht="12" customHeight="1" x14ac:dyDescent="0.2">
      <c r="AM9531" t="str">
        <f t="shared" si="149"/>
        <v>Middelstum [NLMDU]</v>
      </c>
      <c r="AN9531" t="s">
        <v>23414</v>
      </c>
      <c r="AO9531" t="s">
        <v>23415</v>
      </c>
    </row>
    <row r="9532" spans="39:41" ht="12" customHeight="1" x14ac:dyDescent="0.2">
      <c r="AM9532" t="str">
        <f t="shared" si="149"/>
        <v>Middenbeemster [NLMDI]</v>
      </c>
      <c r="AN9532" t="s">
        <v>23416</v>
      </c>
      <c r="AO9532" t="s">
        <v>23417</v>
      </c>
    </row>
    <row r="9533" spans="39:41" ht="12" customHeight="1" x14ac:dyDescent="0.2">
      <c r="AM9533" t="str">
        <f t="shared" si="149"/>
        <v>Middle Island [USZIX]</v>
      </c>
      <c r="AN9533" t="s">
        <v>30617</v>
      </c>
      <c r="AO9533" t="s">
        <v>30618</v>
      </c>
    </row>
    <row r="9534" spans="39:41" ht="12" customHeight="1" x14ac:dyDescent="0.2">
      <c r="AM9534" t="str">
        <f t="shared" si="149"/>
        <v>Middleham [GBMDL]</v>
      </c>
      <c r="AN9534" t="s">
        <v>13840</v>
      </c>
      <c r="AO9534" t="s">
        <v>13841</v>
      </c>
    </row>
    <row r="9535" spans="39:41" ht="12" customHeight="1" x14ac:dyDescent="0.2">
      <c r="AM9535" t="str">
        <f t="shared" si="149"/>
        <v>Middlesbrough [GBMID]</v>
      </c>
      <c r="AN9535" t="s">
        <v>13842</v>
      </c>
      <c r="AO9535" t="s">
        <v>13843</v>
      </c>
    </row>
    <row r="9536" spans="39:41" ht="12" customHeight="1" x14ac:dyDescent="0.2">
      <c r="AM9536" t="str">
        <f t="shared" si="149"/>
        <v>Middletown [USM44]</v>
      </c>
      <c r="AN9536" t="s">
        <v>30619</v>
      </c>
      <c r="AO9536" t="s">
        <v>30620</v>
      </c>
    </row>
    <row r="9537" spans="39:41" ht="12" customHeight="1" x14ac:dyDescent="0.2">
      <c r="AM9537" t="str">
        <f t="shared" si="149"/>
        <v>Middlewich [GBMDW]</v>
      </c>
      <c r="AN9537" t="s">
        <v>13844</v>
      </c>
      <c r="AO9537" t="s">
        <v>13845</v>
      </c>
    </row>
    <row r="9538" spans="39:41" ht="12" customHeight="1" x14ac:dyDescent="0.2">
      <c r="AM9538" t="str">
        <f t="shared" si="149"/>
        <v>Midia [ROMID]</v>
      </c>
      <c r="AN9538" t="s">
        <v>26789</v>
      </c>
      <c r="AO9538" t="s">
        <v>26790</v>
      </c>
    </row>
    <row r="9539" spans="39:41" ht="12" customHeight="1" x14ac:dyDescent="0.2">
      <c r="AM9539" t="str">
        <f t="shared" si="149"/>
        <v>Midland [AUMID]</v>
      </c>
      <c r="AN9539" t="s">
        <v>1834</v>
      </c>
      <c r="AO9539" t="s">
        <v>1835</v>
      </c>
    </row>
    <row r="9540" spans="39:41" ht="12" customHeight="1" x14ac:dyDescent="0.2">
      <c r="AM9540" t="str">
        <f t="shared" si="149"/>
        <v>Midland [CAMID]</v>
      </c>
      <c r="AN9540" t="s">
        <v>4105</v>
      </c>
      <c r="AO9540" t="s">
        <v>1835</v>
      </c>
    </row>
    <row r="9541" spans="39:41" ht="12" customHeight="1" x14ac:dyDescent="0.2">
      <c r="AM9541" t="str">
        <f t="shared" si="149"/>
        <v>Midsund [NOMID]</v>
      </c>
      <c r="AN9541" t="s">
        <v>24498</v>
      </c>
      <c r="AO9541" t="s">
        <v>24499</v>
      </c>
    </row>
    <row r="9542" spans="39:41" ht="12" customHeight="1" x14ac:dyDescent="0.2">
      <c r="AM9542" t="str">
        <f t="shared" si="149"/>
        <v>Midway Islands [UMMDY]</v>
      </c>
      <c r="AN9542" t="s">
        <v>28781</v>
      </c>
      <c r="AO9542" t="s">
        <v>28782</v>
      </c>
    </row>
    <row r="9543" spans="39:41" ht="12" customHeight="1" x14ac:dyDescent="0.2">
      <c r="AM9543" t="str">
        <f t="shared" si="149"/>
        <v>Midway Park [USM2P]</v>
      </c>
      <c r="AN9543" t="s">
        <v>30621</v>
      </c>
      <c r="AO9543" t="s">
        <v>30622</v>
      </c>
    </row>
    <row r="9544" spans="39:41" ht="12" customHeight="1" x14ac:dyDescent="0.2">
      <c r="AM9544" t="str">
        <f t="shared" si="149"/>
        <v>Midwolda [NLMWD]</v>
      </c>
      <c r="AN9544" t="s">
        <v>23418</v>
      </c>
      <c r="AO9544" t="s">
        <v>23419</v>
      </c>
    </row>
    <row r="9545" spans="39:41" ht="12" customHeight="1" x14ac:dyDescent="0.2">
      <c r="AM9545" t="str">
        <f t="shared" si="149"/>
        <v>Miedzyzdroje [PLMID]</v>
      </c>
      <c r="AN9545" t="s">
        <v>26343</v>
      </c>
      <c r="AO9545" t="s">
        <v>26344</v>
      </c>
    </row>
    <row r="9546" spans="39:41" ht="12" customHeight="1" x14ac:dyDescent="0.2">
      <c r="AM9546" t="str">
        <f t="shared" si="149"/>
        <v>Miege [CHMIG]</v>
      </c>
      <c r="AN9546" t="s">
        <v>4724</v>
      </c>
      <c r="AO9546" t="s">
        <v>4725</v>
      </c>
    </row>
    <row r="9547" spans="39:41" ht="12" customHeight="1" x14ac:dyDescent="0.2">
      <c r="AM9547" t="str">
        <f t="shared" si="149"/>
        <v>Mielelek [PGMIE]</v>
      </c>
      <c r="AN9547" t="s">
        <v>25436</v>
      </c>
      <c r="AO9547" t="s">
        <v>25437</v>
      </c>
    </row>
    <row r="9548" spans="39:41" ht="12" customHeight="1" x14ac:dyDescent="0.2">
      <c r="AM9548" t="str">
        <f t="shared" si="149"/>
        <v>Mierlo [NLMIE]</v>
      </c>
      <c r="AN9548" t="s">
        <v>23420</v>
      </c>
      <c r="AO9548" t="s">
        <v>23421</v>
      </c>
    </row>
    <row r="9549" spans="39:41" ht="12" customHeight="1" x14ac:dyDescent="0.2">
      <c r="AM9549" t="str">
        <f t="shared" si="149"/>
        <v>Mierzyn [PLNXA]</v>
      </c>
      <c r="AN9549" t="s">
        <v>26345</v>
      </c>
      <c r="AO9549" t="s">
        <v>26346</v>
      </c>
    </row>
    <row r="9550" spans="39:41" ht="12" customHeight="1" x14ac:dyDescent="0.2">
      <c r="AM9550" t="str">
        <f t="shared" si="149"/>
        <v>MieShikimi [JPMSI]</v>
      </c>
      <c r="AN9550" t="s">
        <v>19888</v>
      </c>
      <c r="AO9550" t="s">
        <v>19889</v>
      </c>
    </row>
    <row r="9551" spans="39:41" ht="12" customHeight="1" x14ac:dyDescent="0.2">
      <c r="AM9551" t="str">
        <f t="shared" si="149"/>
        <v>Mietkow [PLMKW]</v>
      </c>
      <c r="AN9551" t="s">
        <v>26347</v>
      </c>
      <c r="AO9551" t="s">
        <v>36369</v>
      </c>
    </row>
    <row r="9552" spans="39:41" ht="12" customHeight="1" x14ac:dyDescent="0.2">
      <c r="AM9552" t="str">
        <f t="shared" si="149"/>
        <v>Miguel Esteban [ESMET]</v>
      </c>
      <c r="AN9552" t="s">
        <v>9947</v>
      </c>
      <c r="AO9552" t="s">
        <v>9948</v>
      </c>
    </row>
    <row r="9553" spans="39:41" ht="12" customHeight="1" x14ac:dyDescent="0.2">
      <c r="AM9553" t="str">
        <f t="shared" si="149"/>
        <v>Mihara [JPMHR]</v>
      </c>
      <c r="AN9553" t="s">
        <v>19890</v>
      </c>
      <c r="AO9553" t="s">
        <v>19891</v>
      </c>
    </row>
    <row r="9554" spans="39:41" ht="12" customHeight="1" x14ac:dyDescent="0.2">
      <c r="AM9554" t="str">
        <f t="shared" si="149"/>
        <v>Mihkli Sadam [EEMIH]</v>
      </c>
      <c r="AN9554" t="s">
        <v>36701</v>
      </c>
      <c r="AO9554" t="s">
        <v>36702</v>
      </c>
    </row>
    <row r="9555" spans="39:41" ht="12" customHeight="1" x14ac:dyDescent="0.2">
      <c r="AM9555" t="str">
        <f t="shared" si="149"/>
        <v>Mihonoseki [JPMIH]</v>
      </c>
      <c r="AN9555" t="s">
        <v>19892</v>
      </c>
      <c r="AO9555" t="s">
        <v>19893</v>
      </c>
    </row>
    <row r="9556" spans="39:41" ht="12" customHeight="1" x14ac:dyDescent="0.2">
      <c r="AM9556" t="str">
        <f t="shared" si="149"/>
        <v>Mihowan [JPMHN]</v>
      </c>
      <c r="AN9556" t="s">
        <v>19894</v>
      </c>
      <c r="AO9556" t="s">
        <v>19895</v>
      </c>
    </row>
    <row r="9557" spans="39:41" ht="12" customHeight="1" x14ac:dyDescent="0.2">
      <c r="AM9557" t="str">
        <f t="shared" si="149"/>
        <v>Miiduranna [EEMDR]</v>
      </c>
      <c r="AN9557" t="s">
        <v>9259</v>
      </c>
      <c r="AO9557" t="s">
        <v>9260</v>
      </c>
    </row>
    <row r="9558" spans="39:41" ht="12" customHeight="1" x14ac:dyDescent="0.2">
      <c r="AM9558" t="str">
        <f t="shared" si="149"/>
        <v>Miike, Fukuoka [JPMII]</v>
      </c>
      <c r="AN9558" t="s">
        <v>19896</v>
      </c>
      <c r="AO9558" t="s">
        <v>19897</v>
      </c>
    </row>
    <row r="9559" spans="39:41" ht="12" customHeight="1" x14ac:dyDescent="0.2">
      <c r="AM9559" t="str">
        <f t="shared" si="149"/>
        <v>Miike, Tokyo [JPMIJ]</v>
      </c>
      <c r="AN9559" t="s">
        <v>19898</v>
      </c>
      <c r="AO9559" t="s">
        <v>19899</v>
      </c>
    </row>
    <row r="9560" spans="39:41" ht="12" customHeight="1" x14ac:dyDescent="0.2">
      <c r="AM9560" t="str">
        <f t="shared" si="149"/>
        <v>Mijnsheerenland [NLMNH]</v>
      </c>
      <c r="AN9560" t="s">
        <v>23422</v>
      </c>
      <c r="AO9560" t="s">
        <v>23423</v>
      </c>
    </row>
    <row r="9561" spans="39:41" ht="12" customHeight="1" x14ac:dyDescent="0.2">
      <c r="AM9561" t="str">
        <f t="shared" si="149"/>
        <v>Mikame [JPMKM]</v>
      </c>
      <c r="AN9561" t="s">
        <v>19900</v>
      </c>
      <c r="AO9561" t="s">
        <v>19901</v>
      </c>
    </row>
    <row r="9562" spans="39:41" ht="12" customHeight="1" x14ac:dyDescent="0.2">
      <c r="AM9562" t="str">
        <f t="shared" si="149"/>
        <v>Mikawa [JPMKW]</v>
      </c>
      <c r="AN9562" t="s">
        <v>19902</v>
      </c>
      <c r="AO9562" t="s">
        <v>19903</v>
      </c>
    </row>
    <row r="9563" spans="39:41" ht="12" customHeight="1" x14ac:dyDescent="0.2">
      <c r="AM9563" t="str">
        <f t="shared" si="149"/>
        <v>Mikindani [TZMIK]</v>
      </c>
      <c r="AN9563" t="s">
        <v>28718</v>
      </c>
      <c r="AO9563" t="s">
        <v>28719</v>
      </c>
    </row>
    <row r="9564" spans="39:41" ht="12" customHeight="1" x14ac:dyDescent="0.2">
      <c r="AM9564" t="str">
        <f t="shared" si="149"/>
        <v>Mikisato [JPMKJ]</v>
      </c>
      <c r="AN9564" t="s">
        <v>19904</v>
      </c>
      <c r="AO9564" t="s">
        <v>19905</v>
      </c>
    </row>
    <row r="9565" spans="39:41" ht="12" customHeight="1" x14ac:dyDescent="0.2">
      <c r="AM9565" t="str">
        <f t="shared" si="149"/>
        <v>Mikkel [XZMKL]</v>
      </c>
      <c r="AN9565" t="s">
        <v>32586</v>
      </c>
      <c r="AO9565" t="s">
        <v>32587</v>
      </c>
    </row>
    <row r="9566" spans="39:41" ht="12" customHeight="1" x14ac:dyDescent="0.2">
      <c r="AM9566" t="str">
        <f t="shared" si="149"/>
        <v>Mikkeli (Sankt Michel) [FIMIK]</v>
      </c>
      <c r="AN9566" t="s">
        <v>10467</v>
      </c>
      <c r="AO9566" t="s">
        <v>10468</v>
      </c>
    </row>
    <row r="9567" spans="39:41" ht="12" customHeight="1" x14ac:dyDescent="0.2">
      <c r="AM9567" t="str">
        <f t="shared" si="149"/>
        <v>Mikurajima [JPMKR]</v>
      </c>
      <c r="AN9567" t="s">
        <v>19906</v>
      </c>
      <c r="AO9567" t="s">
        <v>19907</v>
      </c>
    </row>
    <row r="9568" spans="39:41" ht="12" customHeight="1" x14ac:dyDescent="0.2">
      <c r="AM9568" t="str">
        <f t="shared" si="149"/>
        <v>Milazzo [ITMLZ]</v>
      </c>
      <c r="AN9568" t="s">
        <v>18081</v>
      </c>
      <c r="AO9568" t="s">
        <v>18082</v>
      </c>
    </row>
    <row r="9569" spans="39:41" ht="12" customHeight="1" x14ac:dyDescent="0.2">
      <c r="AM9569" t="str">
        <f t="shared" si="149"/>
        <v>Milbuk/Dadiangas [PHMIL]</v>
      </c>
      <c r="AN9569" t="s">
        <v>25961</v>
      </c>
      <c r="AO9569" t="s">
        <v>25962</v>
      </c>
    </row>
    <row r="9570" spans="39:41" ht="12" customHeight="1" x14ac:dyDescent="0.2">
      <c r="AM9570" t="str">
        <f t="shared" si="149"/>
        <v>Milburn [USM2B]</v>
      </c>
      <c r="AN9570" t="s">
        <v>30623</v>
      </c>
      <c r="AO9570" t="s">
        <v>30624</v>
      </c>
    </row>
    <row r="9571" spans="39:41" ht="12" customHeight="1" x14ac:dyDescent="0.2">
      <c r="AM9571" t="str">
        <f t="shared" si="149"/>
        <v>Mildert [NLMDT]</v>
      </c>
      <c r="AN9571" t="s">
        <v>23424</v>
      </c>
      <c r="AO9571" t="s">
        <v>23425</v>
      </c>
    </row>
    <row r="9572" spans="39:41" ht="12" customHeight="1" x14ac:dyDescent="0.2">
      <c r="AM9572" t="str">
        <f t="shared" si="149"/>
        <v>Milford [USMRQ]</v>
      </c>
      <c r="AN9572" t="s">
        <v>30625</v>
      </c>
      <c r="AO9572" t="s">
        <v>30626</v>
      </c>
    </row>
    <row r="9573" spans="39:41" ht="12" customHeight="1" x14ac:dyDescent="0.2">
      <c r="AM9573" t="str">
        <f t="shared" si="149"/>
        <v>Milford Haven [GBMLF]</v>
      </c>
      <c r="AN9573" t="s">
        <v>13846</v>
      </c>
      <c r="AO9573" t="s">
        <v>13847</v>
      </c>
    </row>
    <row r="9574" spans="39:41" ht="12" customHeight="1" x14ac:dyDescent="0.2">
      <c r="AM9574" t="str">
        <f t="shared" si="149"/>
        <v>Milford Sound [NZMFN]</v>
      </c>
      <c r="AN9574" t="s">
        <v>25080</v>
      </c>
      <c r="AO9574" t="s">
        <v>25081</v>
      </c>
    </row>
    <row r="9575" spans="39:41" ht="12" customHeight="1" x14ac:dyDescent="0.2">
      <c r="AM9575" t="str">
        <f t="shared" si="149"/>
        <v>Milford-on-Sea [GBMFS]</v>
      </c>
      <c r="AN9575" t="s">
        <v>13848</v>
      </c>
      <c r="AO9575" t="s">
        <v>13849</v>
      </c>
    </row>
    <row r="9576" spans="39:41" ht="12" customHeight="1" x14ac:dyDescent="0.2">
      <c r="AM9576" t="str">
        <f t="shared" si="149"/>
        <v>Milharado [PTMLR]</v>
      </c>
      <c r="AN9576" t="s">
        <v>26543</v>
      </c>
      <c r="AO9576" t="s">
        <v>26544</v>
      </c>
    </row>
    <row r="9577" spans="39:41" ht="12" customHeight="1" x14ac:dyDescent="0.2">
      <c r="AM9577" t="str">
        <f t="shared" si="149"/>
        <v>Mili Marina [ITMIM]</v>
      </c>
      <c r="AN9577" t="s">
        <v>18083</v>
      </c>
      <c r="AO9577" t="s">
        <v>18084</v>
      </c>
    </row>
    <row r="9578" spans="39:41" ht="12" customHeight="1" x14ac:dyDescent="0.2">
      <c r="AM9578" t="str">
        <f t="shared" si="149"/>
        <v>Mill Creek [USMKW]</v>
      </c>
      <c r="AN9578" t="s">
        <v>30628</v>
      </c>
      <c r="AO9578" t="s">
        <v>30627</v>
      </c>
    </row>
    <row r="9579" spans="39:41" ht="12" customHeight="1" x14ac:dyDescent="0.2">
      <c r="AM9579" t="str">
        <f t="shared" si="149"/>
        <v>Millbank [CAMLK]</v>
      </c>
      <c r="AN9579" t="s">
        <v>4106</v>
      </c>
      <c r="AO9579" t="s">
        <v>4107</v>
      </c>
    </row>
    <row r="9580" spans="39:41" ht="12" customHeight="1" x14ac:dyDescent="0.2">
      <c r="AM9580" t="str">
        <f t="shared" si="149"/>
        <v>Millery [FRMQY]</v>
      </c>
      <c r="AN9580" t="s">
        <v>11665</v>
      </c>
      <c r="AO9580" t="s">
        <v>11666</v>
      </c>
    </row>
    <row r="9581" spans="39:41" ht="12" customHeight="1" x14ac:dyDescent="0.2">
      <c r="AM9581" t="str">
        <f t="shared" si="149"/>
        <v>Millican [UST9X]</v>
      </c>
      <c r="AN9581" t="s">
        <v>30629</v>
      </c>
      <c r="AO9581" t="s">
        <v>30630</v>
      </c>
    </row>
    <row r="9582" spans="39:41" ht="12" customHeight="1" x14ac:dyDescent="0.2">
      <c r="AM9582" t="str">
        <f t="shared" si="149"/>
        <v>Millingen aan de Rijn [NLMLR]</v>
      </c>
      <c r="AN9582" t="s">
        <v>23426</v>
      </c>
      <c r="AO9582" t="s">
        <v>23427</v>
      </c>
    </row>
    <row r="9583" spans="39:41" ht="12" customHeight="1" x14ac:dyDescent="0.2">
      <c r="AM9583" t="str">
        <f t="shared" si="149"/>
        <v>Millom [GBMLM]</v>
      </c>
      <c r="AN9583" t="s">
        <v>13850</v>
      </c>
      <c r="AO9583" t="s">
        <v>13851</v>
      </c>
    </row>
    <row r="9584" spans="39:41" ht="12" customHeight="1" x14ac:dyDescent="0.2">
      <c r="AM9584" t="str">
        <f t="shared" si="149"/>
        <v>Millport [USIPR]</v>
      </c>
      <c r="AN9584" t="s">
        <v>30631</v>
      </c>
      <c r="AO9584" t="s">
        <v>30632</v>
      </c>
    </row>
    <row r="9585" spans="39:41" ht="12" customHeight="1" x14ac:dyDescent="0.2">
      <c r="AM9585" t="str">
        <f t="shared" si="149"/>
        <v>Millport, Great Cumbrae [GBMLP]</v>
      </c>
      <c r="AN9585" t="s">
        <v>13852</v>
      </c>
      <c r="AO9585" t="s">
        <v>13853</v>
      </c>
    </row>
    <row r="9586" spans="39:41" ht="12" customHeight="1" x14ac:dyDescent="0.2">
      <c r="AM9586" t="str">
        <f t="shared" ref="AM9586:AM9649" si="150">AO9586 &amp; " [" &amp; AN9586 &amp; "]"</f>
        <v>Millwood [USMW4]</v>
      </c>
      <c r="AN9586" t="s">
        <v>30633</v>
      </c>
      <c r="AO9586" t="s">
        <v>30634</v>
      </c>
    </row>
    <row r="9587" spans="39:41" ht="12" customHeight="1" x14ac:dyDescent="0.2">
      <c r="AM9587" t="str">
        <f t="shared" si="150"/>
        <v>Milna [HRMIL]</v>
      </c>
      <c r="AN9587" t="s">
        <v>15816</v>
      </c>
      <c r="AO9587" t="s">
        <v>15817</v>
      </c>
    </row>
    <row r="9588" spans="39:41" ht="12" customHeight="1" x14ac:dyDescent="0.2">
      <c r="AM9588" t="str">
        <f t="shared" si="150"/>
        <v>Milne Inlet Port [CAMNI]</v>
      </c>
      <c r="AN9588" t="s">
        <v>4108</v>
      </c>
      <c r="AO9588" t="s">
        <v>4109</v>
      </c>
    </row>
    <row r="9589" spans="39:41" ht="12" customHeight="1" x14ac:dyDescent="0.2">
      <c r="AM9589" t="str">
        <f t="shared" si="150"/>
        <v>Milner Bay [AUMIB]</v>
      </c>
      <c r="AN9589" t="s">
        <v>1836</v>
      </c>
      <c r="AO9589" t="s">
        <v>1837</v>
      </c>
    </row>
    <row r="9590" spans="39:41" ht="12" customHeight="1" x14ac:dyDescent="0.2">
      <c r="AM9590" t="str">
        <f t="shared" si="150"/>
        <v>Milotice nad Becvou [CZMIB]</v>
      </c>
      <c r="AN9590" t="s">
        <v>6889</v>
      </c>
      <c r="AO9590" t="s">
        <v>6890</v>
      </c>
    </row>
    <row r="9591" spans="39:41" ht="12" customHeight="1" x14ac:dyDescent="0.2">
      <c r="AM9591" t="str">
        <f t="shared" si="150"/>
        <v>Milperra [AUMIL]</v>
      </c>
      <c r="AN9591" t="s">
        <v>1838</v>
      </c>
      <c r="AO9591" t="s">
        <v>1839</v>
      </c>
    </row>
    <row r="9592" spans="39:41" ht="12" customHeight="1" x14ac:dyDescent="0.2">
      <c r="AM9592" t="str">
        <f t="shared" si="150"/>
        <v>Miltenberg [DEMIL]</v>
      </c>
      <c r="AN9592" t="s">
        <v>7917</v>
      </c>
      <c r="AO9592" t="s">
        <v>7918</v>
      </c>
    </row>
    <row r="9593" spans="39:41" ht="12" customHeight="1" x14ac:dyDescent="0.2">
      <c r="AM9593" t="str">
        <f t="shared" si="150"/>
        <v>Milton [USMT5]</v>
      </c>
      <c r="AN9593" t="s">
        <v>30635</v>
      </c>
      <c r="AO9593" t="s">
        <v>30636</v>
      </c>
    </row>
    <row r="9594" spans="39:41" ht="12" customHeight="1" x14ac:dyDescent="0.2">
      <c r="AM9594" t="str">
        <f t="shared" si="150"/>
        <v>Milwaukee [USMKE]</v>
      </c>
      <c r="AN9594" t="s">
        <v>30637</v>
      </c>
      <c r="AO9594" t="s">
        <v>30638</v>
      </c>
    </row>
    <row r="9595" spans="39:41" ht="12" customHeight="1" x14ac:dyDescent="0.2">
      <c r="AM9595" t="str">
        <f t="shared" si="150"/>
        <v>Mimarsinan [TRMIM]</v>
      </c>
      <c r="AN9595" t="s">
        <v>28553</v>
      </c>
      <c r="AO9595" t="s">
        <v>28554</v>
      </c>
    </row>
    <row r="9596" spans="39:41" ht="12" customHeight="1" x14ac:dyDescent="0.2">
      <c r="AM9596" t="str">
        <f t="shared" si="150"/>
        <v>Mimitsu [JPMMT]</v>
      </c>
      <c r="AN9596" t="s">
        <v>19908</v>
      </c>
      <c r="AO9596" t="s">
        <v>19909</v>
      </c>
    </row>
    <row r="9597" spans="39:41" ht="12" customHeight="1" x14ac:dyDescent="0.2">
      <c r="AM9597" t="str">
        <f t="shared" si="150"/>
        <v>Mims [USMS6]</v>
      </c>
      <c r="AN9597" t="s">
        <v>30639</v>
      </c>
      <c r="AO9597" t="s">
        <v>30640</v>
      </c>
    </row>
    <row r="9598" spans="39:41" ht="12" customHeight="1" x14ac:dyDescent="0.2">
      <c r="AM9598" t="str">
        <f t="shared" si="150"/>
        <v>Mina' 'Abd Allah [KWMIB]</v>
      </c>
      <c r="AN9598" t="s">
        <v>21762</v>
      </c>
      <c r="AO9598" t="s">
        <v>21763</v>
      </c>
    </row>
    <row r="9599" spans="39:41" ht="12" customHeight="1" x14ac:dyDescent="0.2">
      <c r="AM9599" t="str">
        <f t="shared" si="150"/>
        <v>Mina' al Ahmadi [KWMEA]</v>
      </c>
      <c r="AN9599" t="s">
        <v>21764</v>
      </c>
      <c r="AO9599" t="s">
        <v>21765</v>
      </c>
    </row>
    <row r="9600" spans="39:41" ht="12" customHeight="1" x14ac:dyDescent="0.2">
      <c r="AM9600" t="str">
        <f t="shared" si="150"/>
        <v>Mina' al Fahl [OMMFH]</v>
      </c>
      <c r="AN9600" t="s">
        <v>25147</v>
      </c>
      <c r="AO9600" t="s">
        <v>25148</v>
      </c>
    </row>
    <row r="9601" spans="39:41" ht="12" customHeight="1" x14ac:dyDescent="0.2">
      <c r="AM9601" t="str">
        <f t="shared" si="150"/>
        <v>Mina Khalid [AEMKH]</v>
      </c>
      <c r="AN9601" t="s">
        <v>745</v>
      </c>
      <c r="AO9601" t="s">
        <v>746</v>
      </c>
    </row>
    <row r="9602" spans="39:41" ht="12" customHeight="1" x14ac:dyDescent="0.2">
      <c r="AM9602" t="str">
        <f t="shared" si="150"/>
        <v>Mina Khalifa/Abu Dhabi [AEKHL]</v>
      </c>
      <c r="AN9602" t="s">
        <v>747</v>
      </c>
      <c r="AO9602" t="s">
        <v>748</v>
      </c>
    </row>
    <row r="9603" spans="39:41" ht="12" customHeight="1" x14ac:dyDescent="0.2">
      <c r="AM9603" t="str">
        <f t="shared" si="150"/>
        <v>Mina Rashid Port [AEMRP]</v>
      </c>
      <c r="AN9603" t="s">
        <v>749</v>
      </c>
      <c r="AO9603" t="s">
        <v>750</v>
      </c>
    </row>
    <row r="9604" spans="39:41" ht="12" customHeight="1" x14ac:dyDescent="0.2">
      <c r="AM9604" t="str">
        <f t="shared" si="150"/>
        <v>Mina Saqr [AEMSA]</v>
      </c>
      <c r="AN9604" t="s">
        <v>751</v>
      </c>
      <c r="AO9604" t="s">
        <v>752</v>
      </c>
    </row>
    <row r="9605" spans="39:41" ht="12" customHeight="1" x14ac:dyDescent="0.2">
      <c r="AM9605" t="str">
        <f t="shared" si="150"/>
        <v>Mina Saud [KWMIS]</v>
      </c>
      <c r="AN9605" t="s">
        <v>21766</v>
      </c>
      <c r="AO9605" t="s">
        <v>21767</v>
      </c>
    </row>
    <row r="9606" spans="39:41" ht="12" customHeight="1" x14ac:dyDescent="0.2">
      <c r="AM9606" t="str">
        <f t="shared" si="150"/>
        <v>Mina Sulman Port [BHMIN]</v>
      </c>
      <c r="AN9606" t="s">
        <v>3183</v>
      </c>
      <c r="AO9606" t="s">
        <v>3184</v>
      </c>
    </row>
    <row r="9607" spans="39:41" ht="12" customHeight="1" x14ac:dyDescent="0.2">
      <c r="AM9607" t="str">
        <f t="shared" si="150"/>
        <v>Mina Sultan Qaboos, Muscat [OMSTQ]</v>
      </c>
      <c r="AN9607" t="s">
        <v>25149</v>
      </c>
      <c r="AO9607" t="s">
        <v>25150</v>
      </c>
    </row>
    <row r="9608" spans="39:41" ht="12" customHeight="1" x14ac:dyDescent="0.2">
      <c r="AM9608" t="str">
        <f t="shared" si="150"/>
        <v>Mina Zayed/Abu Dhabi [AEMZD]</v>
      </c>
      <c r="AN9608" t="s">
        <v>753</v>
      </c>
      <c r="AO9608" t="s">
        <v>754</v>
      </c>
    </row>
    <row r="9609" spans="39:41" ht="12" customHeight="1" x14ac:dyDescent="0.2">
      <c r="AM9609" t="str">
        <f t="shared" si="150"/>
        <v>Minamata [JPMIN]</v>
      </c>
      <c r="AN9609" t="s">
        <v>19910</v>
      </c>
      <c r="AO9609" t="s">
        <v>19911</v>
      </c>
    </row>
    <row r="9610" spans="39:41" ht="12" customHeight="1" x14ac:dyDescent="0.2">
      <c r="AM9610" t="str">
        <f t="shared" si="150"/>
        <v>Minami [JPMNM]</v>
      </c>
      <c r="AN9610" t="s">
        <v>19912</v>
      </c>
      <c r="AO9610" t="s">
        <v>19913</v>
      </c>
    </row>
    <row r="9611" spans="39:41" ht="12" customHeight="1" x14ac:dyDescent="0.2">
      <c r="AM9611" t="str">
        <f t="shared" si="150"/>
        <v>Minamidaito [JPMMD]</v>
      </c>
      <c r="AN9611" t="s">
        <v>19914</v>
      </c>
      <c r="AO9611" t="s">
        <v>19915</v>
      </c>
    </row>
    <row r="9612" spans="39:41" ht="12" customHeight="1" x14ac:dyDescent="0.2">
      <c r="AM9612" t="str">
        <f t="shared" si="150"/>
        <v>Minatitlan [MXMTT]</v>
      </c>
      <c r="AN9612" t="s">
        <v>22397</v>
      </c>
      <c r="AO9612" t="s">
        <v>22398</v>
      </c>
    </row>
    <row r="9613" spans="39:41" ht="12" customHeight="1" x14ac:dyDescent="0.2">
      <c r="AM9613" t="str">
        <f t="shared" si="150"/>
        <v>Minato, Hyogo [JPMNT]</v>
      </c>
      <c r="AN9613" t="s">
        <v>19916</v>
      </c>
      <c r="AO9613" t="s">
        <v>19917</v>
      </c>
    </row>
    <row r="9614" spans="39:41" ht="12" customHeight="1" x14ac:dyDescent="0.2">
      <c r="AM9614" t="str">
        <f t="shared" si="150"/>
        <v>Mindelo [CVMIN]</v>
      </c>
      <c r="AN9614" t="s">
        <v>6733</v>
      </c>
      <c r="AO9614" t="s">
        <v>6734</v>
      </c>
    </row>
    <row r="9615" spans="39:41" ht="12" customHeight="1" x14ac:dyDescent="0.2">
      <c r="AM9615" t="str">
        <f t="shared" si="150"/>
        <v>Mindemoya [CAMYO]</v>
      </c>
      <c r="AN9615" t="s">
        <v>4110</v>
      </c>
      <c r="AO9615" t="s">
        <v>4111</v>
      </c>
    </row>
    <row r="9616" spans="39:41" ht="12" customHeight="1" x14ac:dyDescent="0.2">
      <c r="AM9616" t="str">
        <f t="shared" si="150"/>
        <v>Minden [DEMID]</v>
      </c>
      <c r="AN9616" t="s">
        <v>7919</v>
      </c>
      <c r="AO9616" t="s">
        <v>7920</v>
      </c>
    </row>
    <row r="9617" spans="39:41" ht="12" customHeight="1" x14ac:dyDescent="0.2">
      <c r="AM9617" t="str">
        <f t="shared" si="150"/>
        <v>Mine [JPMNE]</v>
      </c>
      <c r="AN9617" t="s">
        <v>19918</v>
      </c>
      <c r="AO9617" t="s">
        <v>19919</v>
      </c>
    </row>
    <row r="9618" spans="39:41" ht="12" customHeight="1" x14ac:dyDescent="0.2">
      <c r="AM9618" t="str">
        <f t="shared" si="150"/>
        <v>Minehead [GBMHD]</v>
      </c>
      <c r="AN9618" t="s">
        <v>13854</v>
      </c>
      <c r="AO9618" t="s">
        <v>13855</v>
      </c>
    </row>
    <row r="9619" spans="39:41" ht="12" customHeight="1" x14ac:dyDescent="0.2">
      <c r="AM9619" t="str">
        <f t="shared" si="150"/>
        <v>Minesville [CAMSV]</v>
      </c>
      <c r="AN9619" t="s">
        <v>4112</v>
      </c>
      <c r="AO9619" t="s">
        <v>4113</v>
      </c>
    </row>
    <row r="9620" spans="39:41" ht="12" customHeight="1" x14ac:dyDescent="0.2">
      <c r="AM9620" t="str">
        <f t="shared" si="150"/>
        <v>Minheim [DEMNM]</v>
      </c>
      <c r="AN9620" t="s">
        <v>7921</v>
      </c>
      <c r="AO9620" t="s">
        <v>7922</v>
      </c>
    </row>
    <row r="9621" spans="39:41" ht="12" customHeight="1" x14ac:dyDescent="0.2">
      <c r="AM9621" t="str">
        <f t="shared" si="150"/>
        <v>Minicoi I [INMCI]</v>
      </c>
      <c r="AN9621" t="s">
        <v>17309</v>
      </c>
      <c r="AO9621" t="s">
        <v>17310</v>
      </c>
    </row>
    <row r="9622" spans="39:41" ht="12" customHeight="1" x14ac:dyDescent="0.2">
      <c r="AM9622" t="str">
        <f t="shared" si="150"/>
        <v>Minmaya [JPMNY]</v>
      </c>
      <c r="AN9622" t="s">
        <v>19920</v>
      </c>
      <c r="AO9622" t="s">
        <v>19921</v>
      </c>
    </row>
    <row r="9623" spans="39:41" ht="12" customHeight="1" x14ac:dyDescent="0.2">
      <c r="AM9623" t="str">
        <f t="shared" si="150"/>
        <v>Minna/Motobu [JPMNJ]</v>
      </c>
      <c r="AN9623" t="s">
        <v>19922</v>
      </c>
      <c r="AO9623" t="s">
        <v>19923</v>
      </c>
    </row>
    <row r="9624" spans="39:41" ht="12" customHeight="1" x14ac:dyDescent="0.2">
      <c r="AM9624" t="str">
        <f t="shared" si="150"/>
        <v>Minna/Tarama [JPMNN]</v>
      </c>
      <c r="AN9624" t="s">
        <v>19924</v>
      </c>
      <c r="AO9624" t="s">
        <v>19925</v>
      </c>
    </row>
    <row r="9625" spans="39:41" ht="12" customHeight="1" x14ac:dyDescent="0.2">
      <c r="AM9625" t="str">
        <f t="shared" si="150"/>
        <v>Minneapolis [USMES]</v>
      </c>
      <c r="AN9625" t="s">
        <v>30641</v>
      </c>
      <c r="AO9625" t="s">
        <v>30642</v>
      </c>
    </row>
    <row r="9626" spans="39:41" ht="12" customHeight="1" x14ac:dyDescent="0.2">
      <c r="AM9626" t="str">
        <f t="shared" si="150"/>
        <v>Minsen [DEMIN]</v>
      </c>
      <c r="AN9626" t="s">
        <v>7923</v>
      </c>
      <c r="AO9626" t="s">
        <v>7924</v>
      </c>
    </row>
    <row r="9627" spans="39:41" ht="12" customHeight="1" x14ac:dyDescent="0.2">
      <c r="AM9627" t="str">
        <f t="shared" si="150"/>
        <v>Minto [CAMTO]</v>
      </c>
      <c r="AN9627" t="s">
        <v>4114</v>
      </c>
      <c r="AO9627" t="s">
        <v>4115</v>
      </c>
    </row>
    <row r="9628" spans="39:41" ht="12" customHeight="1" x14ac:dyDescent="0.2">
      <c r="AM9628" t="str">
        <f t="shared" si="150"/>
        <v>Minxing [CNMHG]</v>
      </c>
      <c r="AN9628" t="s">
        <v>5755</v>
      </c>
      <c r="AO9628" t="s">
        <v>5756</v>
      </c>
    </row>
    <row r="9629" spans="39:41" ht="12" customHeight="1" x14ac:dyDescent="0.2">
      <c r="AM9629" t="str">
        <f t="shared" si="150"/>
        <v>Mipo/Ulsan [KRMIP]</v>
      </c>
      <c r="AN9629" t="s">
        <v>21688</v>
      </c>
      <c r="AO9629" t="s">
        <v>21689</v>
      </c>
    </row>
    <row r="9630" spans="39:41" ht="12" customHeight="1" x14ac:dyDescent="0.2">
      <c r="AM9630" t="str">
        <f t="shared" si="150"/>
        <v>Miraclamp [ESMIC]</v>
      </c>
      <c r="AN9630" t="s">
        <v>9949</v>
      </c>
      <c r="AO9630" t="s">
        <v>9950</v>
      </c>
    </row>
    <row r="9631" spans="39:41" ht="12" customHeight="1" x14ac:dyDescent="0.2">
      <c r="AM9631" t="str">
        <f t="shared" si="150"/>
        <v>Miraflores [PAMFS]</v>
      </c>
      <c r="AN9631" t="s">
        <v>25207</v>
      </c>
      <c r="AO9631" t="s">
        <v>25208</v>
      </c>
    </row>
    <row r="9632" spans="39:41" ht="12" customHeight="1" x14ac:dyDescent="0.2">
      <c r="AM9632" t="str">
        <f t="shared" si="150"/>
        <v>Miragoane [HTMIR]</v>
      </c>
      <c r="AN9632" t="s">
        <v>16041</v>
      </c>
      <c r="AO9632" t="s">
        <v>16042</v>
      </c>
    </row>
    <row r="9633" spans="39:41" ht="12" customHeight="1" x14ac:dyDescent="0.2">
      <c r="AM9633" t="str">
        <f t="shared" si="150"/>
        <v>Miramar [ESMIR]</v>
      </c>
      <c r="AN9633" t="s">
        <v>9951</v>
      </c>
      <c r="AO9633" t="s">
        <v>9952</v>
      </c>
    </row>
    <row r="9634" spans="39:41" ht="12" customHeight="1" x14ac:dyDescent="0.2">
      <c r="AM9634" t="str">
        <f t="shared" si="150"/>
        <v>Miramar [SVMIR]</v>
      </c>
      <c r="AN9634" t="s">
        <v>28147</v>
      </c>
      <c r="AO9634" t="s">
        <v>9952</v>
      </c>
    </row>
    <row r="9635" spans="39:41" ht="12" customHeight="1" x14ac:dyDescent="0.2">
      <c r="AM9635" t="str">
        <f t="shared" si="150"/>
        <v>Miramichi [CAMIR]</v>
      </c>
      <c r="AN9635" t="s">
        <v>4116</v>
      </c>
      <c r="AO9635" t="s">
        <v>4117</v>
      </c>
    </row>
    <row r="9636" spans="39:41" ht="12" customHeight="1" x14ac:dyDescent="0.2">
      <c r="AM9636" t="str">
        <f t="shared" si="150"/>
        <v>Miranda de Ebro [ESMIX]</v>
      </c>
      <c r="AN9636" t="s">
        <v>9953</v>
      </c>
      <c r="AO9636" t="s">
        <v>9954</v>
      </c>
    </row>
    <row r="9637" spans="39:41" ht="12" customHeight="1" x14ac:dyDescent="0.2">
      <c r="AM9637" t="str">
        <f t="shared" si="150"/>
        <v>Mirepeisset [FRWWW]</v>
      </c>
      <c r="AN9637" t="s">
        <v>11667</v>
      </c>
      <c r="AO9637" t="s">
        <v>11668</v>
      </c>
    </row>
    <row r="9638" spans="39:41" ht="12" customHeight="1" x14ac:dyDescent="0.2">
      <c r="AM9638" t="str">
        <f t="shared" si="150"/>
        <v>Mireval [FRMRW]</v>
      </c>
      <c r="AN9638" t="s">
        <v>11669</v>
      </c>
      <c r="AO9638" t="s">
        <v>11670</v>
      </c>
    </row>
    <row r="9639" spans="39:41" ht="12" customHeight="1" x14ac:dyDescent="0.2">
      <c r="AM9639" t="str">
        <f t="shared" si="150"/>
        <v>Mirfa [AERFA]</v>
      </c>
      <c r="AN9639" t="s">
        <v>755</v>
      </c>
      <c r="AO9639" t="s">
        <v>756</v>
      </c>
    </row>
    <row r="9640" spans="39:41" ht="12" customHeight="1" x14ac:dyDescent="0.2">
      <c r="AM9640" t="str">
        <f t="shared" si="150"/>
        <v>Miri, Sarawak [MYMYY]</v>
      </c>
      <c r="AN9640" t="s">
        <v>22657</v>
      </c>
      <c r="AO9640" t="s">
        <v>22658</v>
      </c>
    </row>
    <row r="9641" spans="39:41" ht="12" customHeight="1" x14ac:dyDescent="0.2">
      <c r="AM9641" t="str">
        <f t="shared" si="150"/>
        <v>Mirina [GRMYR]</v>
      </c>
      <c r="AN9641" t="s">
        <v>15367</v>
      </c>
      <c r="AO9641" t="s">
        <v>35935</v>
      </c>
    </row>
    <row r="9642" spans="39:41" ht="12" customHeight="1" x14ac:dyDescent="0.2">
      <c r="AM9642" t="str">
        <f t="shared" si="150"/>
        <v>Mirny [AQMIR]</v>
      </c>
      <c r="AN9642" t="s">
        <v>952</v>
      </c>
      <c r="AO9642" t="s">
        <v>953</v>
      </c>
    </row>
    <row r="9643" spans="39:41" ht="12" customHeight="1" x14ac:dyDescent="0.2">
      <c r="AM9643" t="str">
        <f t="shared" si="150"/>
        <v>Misaki, Ehime [JPMSX]</v>
      </c>
      <c r="AN9643" t="s">
        <v>19926</v>
      </c>
      <c r="AO9643" t="s">
        <v>19927</v>
      </c>
    </row>
    <row r="9644" spans="39:41" ht="12" customHeight="1" x14ac:dyDescent="0.2">
      <c r="AM9644" t="str">
        <f t="shared" si="150"/>
        <v>Misaki, Kanagawa [JPMIK]</v>
      </c>
      <c r="AN9644" t="s">
        <v>19928</v>
      </c>
      <c r="AO9644" t="s">
        <v>19929</v>
      </c>
    </row>
    <row r="9645" spans="39:41" ht="12" customHeight="1" x14ac:dyDescent="0.2">
      <c r="AM9645" t="str">
        <f t="shared" si="150"/>
        <v>Misaki, Kochi [JPMKI]</v>
      </c>
      <c r="AN9645" t="s">
        <v>19930</v>
      </c>
      <c r="AO9645" t="s">
        <v>19931</v>
      </c>
    </row>
    <row r="9646" spans="39:41" ht="12" customHeight="1" x14ac:dyDescent="0.2">
      <c r="AM9646" t="str">
        <f t="shared" si="150"/>
        <v>Misamis Occ./Ozamis [PHMIO]</v>
      </c>
      <c r="AN9646" t="s">
        <v>25963</v>
      </c>
      <c r="AO9646" t="s">
        <v>25964</v>
      </c>
    </row>
    <row r="9647" spans="39:41" ht="12" customHeight="1" x14ac:dyDescent="0.2">
      <c r="AM9647" t="str">
        <f t="shared" si="150"/>
        <v>Misamis Or./Cagayan de Oro [PHMIC]</v>
      </c>
      <c r="AN9647" t="s">
        <v>25965</v>
      </c>
      <c r="AO9647" t="s">
        <v>25966</v>
      </c>
    </row>
    <row r="9648" spans="39:41" ht="12" customHeight="1" x14ac:dyDescent="0.2">
      <c r="AM9648" t="str">
        <f t="shared" si="150"/>
        <v>Misano Adriatico [ITMIS]</v>
      </c>
      <c r="AN9648" t="s">
        <v>18085</v>
      </c>
      <c r="AO9648" t="s">
        <v>18086</v>
      </c>
    </row>
    <row r="9649" spans="39:41" ht="12" customHeight="1" x14ac:dyDescent="0.2">
      <c r="AM9649" t="str">
        <f t="shared" si="150"/>
        <v>Misato [JPMST]</v>
      </c>
      <c r="AN9649" t="s">
        <v>19932</v>
      </c>
      <c r="AO9649" t="s">
        <v>19933</v>
      </c>
    </row>
    <row r="9650" spans="39:41" ht="12" customHeight="1" x14ac:dyDescent="0.2">
      <c r="AM9650" t="str">
        <f t="shared" ref="AM9650:AM9713" si="151">AO9650 &amp; " [" &amp; AN9650 &amp; "]"</f>
        <v>Misburg [DEMIB]</v>
      </c>
      <c r="AN9650" t="s">
        <v>7925</v>
      </c>
      <c r="AO9650" t="s">
        <v>7926</v>
      </c>
    </row>
    <row r="9651" spans="39:41" ht="12" customHeight="1" x14ac:dyDescent="0.2">
      <c r="AM9651" t="str">
        <f t="shared" si="151"/>
        <v>Miserden [GBM89]</v>
      </c>
      <c r="AN9651" t="s">
        <v>13856</v>
      </c>
      <c r="AO9651" t="s">
        <v>13857</v>
      </c>
    </row>
    <row r="9652" spans="39:41" ht="12" customHeight="1" x14ac:dyDescent="0.2">
      <c r="AM9652" t="str">
        <f t="shared" si="151"/>
        <v>Mishima, Kawanoe [JPMKX]</v>
      </c>
      <c r="AN9652" t="s">
        <v>19934</v>
      </c>
      <c r="AO9652" t="s">
        <v>19935</v>
      </c>
    </row>
    <row r="9653" spans="39:41" ht="12" customHeight="1" x14ac:dyDescent="0.2">
      <c r="AM9653" t="str">
        <f t="shared" si="151"/>
        <v>Mishiro [JPMSR]</v>
      </c>
      <c r="AN9653" t="s">
        <v>19936</v>
      </c>
      <c r="AO9653" t="s">
        <v>19937</v>
      </c>
    </row>
    <row r="9654" spans="39:41" ht="12" customHeight="1" x14ac:dyDescent="0.2">
      <c r="AM9654" t="str">
        <f t="shared" si="151"/>
        <v>Misho [JPMSO]</v>
      </c>
      <c r="AN9654" t="s">
        <v>19938</v>
      </c>
      <c r="AO9654" t="s">
        <v>19939</v>
      </c>
    </row>
    <row r="9655" spans="39:41" ht="12" customHeight="1" x14ac:dyDescent="0.2">
      <c r="AM9655" t="str">
        <f t="shared" si="151"/>
        <v>Mishor Adumim [ILAS2]</v>
      </c>
      <c r="AN9655" t="s">
        <v>16974</v>
      </c>
      <c r="AO9655" t="s">
        <v>16975</v>
      </c>
    </row>
    <row r="9656" spans="39:41" ht="12" customHeight="1" x14ac:dyDescent="0.2">
      <c r="AM9656" t="str">
        <f t="shared" si="151"/>
        <v>Misima Island [PGMIS]</v>
      </c>
      <c r="AN9656" t="s">
        <v>25438</v>
      </c>
      <c r="AO9656" t="s">
        <v>25439</v>
      </c>
    </row>
    <row r="9657" spans="39:41" ht="12" customHeight="1" x14ac:dyDescent="0.2">
      <c r="AM9657" t="str">
        <f t="shared" si="151"/>
        <v>Miskolc [HUMCQ]</v>
      </c>
      <c r="AN9657" t="s">
        <v>16112</v>
      </c>
      <c r="AO9657" t="s">
        <v>16113</v>
      </c>
    </row>
    <row r="9658" spans="39:41" ht="12" customHeight="1" x14ac:dyDescent="0.2">
      <c r="AM9658" t="str">
        <f t="shared" si="151"/>
        <v>Misnjak [HRMNK]</v>
      </c>
      <c r="AN9658" t="s">
        <v>15818</v>
      </c>
      <c r="AO9658" t="s">
        <v>15819</v>
      </c>
    </row>
    <row r="9659" spans="39:41" ht="12" customHeight="1" x14ac:dyDescent="0.2">
      <c r="AM9659" t="str">
        <f t="shared" si="151"/>
        <v>Misool Terminal [IDMIT]</v>
      </c>
      <c r="AN9659" t="s">
        <v>16422</v>
      </c>
      <c r="AO9659" t="s">
        <v>16423</v>
      </c>
    </row>
    <row r="9660" spans="39:41" ht="12" customHeight="1" x14ac:dyDescent="0.2">
      <c r="AM9660" t="str">
        <f t="shared" si="151"/>
        <v>Mission [CAMIB]</v>
      </c>
      <c r="AN9660" t="s">
        <v>4118</v>
      </c>
      <c r="AO9660" t="s">
        <v>4119</v>
      </c>
    </row>
    <row r="9661" spans="39:41" ht="12" customHeight="1" x14ac:dyDescent="0.2">
      <c r="AM9661" t="str">
        <f t="shared" si="151"/>
        <v>Mission/Aparri [PHMSS]</v>
      </c>
      <c r="AN9661" t="s">
        <v>25967</v>
      </c>
      <c r="AO9661" t="s">
        <v>25968</v>
      </c>
    </row>
    <row r="9662" spans="39:41" ht="12" customHeight="1" x14ac:dyDescent="0.2">
      <c r="AM9662" t="str">
        <f t="shared" si="151"/>
        <v>Misten [NOMIT]</v>
      </c>
      <c r="AN9662" t="s">
        <v>24500</v>
      </c>
      <c r="AO9662" t="s">
        <v>24501</v>
      </c>
    </row>
    <row r="9663" spans="39:41" ht="12" customHeight="1" x14ac:dyDescent="0.2">
      <c r="AM9663" t="str">
        <f t="shared" si="151"/>
        <v>Mistley [GBMIS]</v>
      </c>
      <c r="AN9663" t="s">
        <v>13858</v>
      </c>
      <c r="AO9663" t="s">
        <v>13859</v>
      </c>
    </row>
    <row r="9664" spans="39:41" ht="12" customHeight="1" x14ac:dyDescent="0.2">
      <c r="AM9664" t="str">
        <f t="shared" si="151"/>
        <v>Misumi, Kumamoto [JPMIS]</v>
      </c>
      <c r="AN9664" t="s">
        <v>19940</v>
      </c>
      <c r="AO9664" t="s">
        <v>19941</v>
      </c>
    </row>
    <row r="9665" spans="39:41" ht="12" customHeight="1" x14ac:dyDescent="0.2">
      <c r="AM9665" t="str">
        <f t="shared" si="151"/>
        <v>Misumi, Shimane [JPMMI]</v>
      </c>
      <c r="AN9665" t="s">
        <v>19942</v>
      </c>
      <c r="AO9665" t="s">
        <v>19943</v>
      </c>
    </row>
    <row r="9666" spans="39:41" ht="12" customHeight="1" x14ac:dyDescent="0.2">
      <c r="AM9666" t="str">
        <f t="shared" si="151"/>
        <v>Misurata [LYMRA]</v>
      </c>
      <c r="AN9666" t="s">
        <v>21997</v>
      </c>
      <c r="AO9666" t="s">
        <v>21998</v>
      </c>
    </row>
    <row r="9667" spans="39:41" ht="12" customHeight="1" x14ac:dyDescent="0.2">
      <c r="AM9667" t="str">
        <f t="shared" si="151"/>
        <v>Misvar [NOMIS]</v>
      </c>
      <c r="AN9667" t="s">
        <v>24502</v>
      </c>
      <c r="AO9667" t="s">
        <v>36252</v>
      </c>
    </row>
    <row r="9668" spans="39:41" ht="12" customHeight="1" x14ac:dyDescent="0.2">
      <c r="AM9668" t="str">
        <f t="shared" si="151"/>
        <v>Mita [JPMXT]</v>
      </c>
      <c r="AN9668" t="s">
        <v>19944</v>
      </c>
      <c r="AO9668" t="s">
        <v>19945</v>
      </c>
    </row>
    <row r="9669" spans="39:41" ht="12" customHeight="1" x14ac:dyDescent="0.2">
      <c r="AM9669" t="str">
        <f t="shared" si="151"/>
        <v>Mitachi [JPMTC]</v>
      </c>
      <c r="AN9669" t="s">
        <v>19946</v>
      </c>
      <c r="AO9669" t="s">
        <v>19947</v>
      </c>
    </row>
    <row r="9670" spans="39:41" ht="12" customHeight="1" x14ac:dyDescent="0.2">
      <c r="AM9670" t="str">
        <f t="shared" si="151"/>
        <v>Mitajiri [JPMJR]</v>
      </c>
      <c r="AN9670" t="s">
        <v>19948</v>
      </c>
      <c r="AO9670" t="s">
        <v>19949</v>
      </c>
    </row>
    <row r="9671" spans="39:41" ht="12" customHeight="1" x14ac:dyDescent="0.2">
      <c r="AM9671" t="str">
        <f t="shared" si="151"/>
        <v>Mitaka, Hiroshima [JPMIT]</v>
      </c>
      <c r="AN9671" t="s">
        <v>19950</v>
      </c>
      <c r="AO9671" t="s">
        <v>19951</v>
      </c>
    </row>
    <row r="9672" spans="39:41" ht="12" customHeight="1" x14ac:dyDescent="0.2">
      <c r="AM9672" t="str">
        <f t="shared" si="151"/>
        <v>Mitaka, Tokyo [JPMTA]</v>
      </c>
      <c r="AN9672" t="s">
        <v>37015</v>
      </c>
      <c r="AO9672" t="s">
        <v>37016</v>
      </c>
    </row>
    <row r="9673" spans="39:41" ht="12" customHeight="1" x14ac:dyDescent="0.2">
      <c r="AM9673" t="str">
        <f t="shared" si="151"/>
        <v>Mitarai [JPMTI]</v>
      </c>
      <c r="AN9673" t="s">
        <v>19952</v>
      </c>
      <c r="AO9673" t="s">
        <v>19953</v>
      </c>
    </row>
    <row r="9674" spans="39:41" ht="12" customHeight="1" x14ac:dyDescent="0.2">
      <c r="AM9674" t="str">
        <f t="shared" si="151"/>
        <v>Mithivirdi [INMRI]</v>
      </c>
      <c r="AN9674" t="s">
        <v>17311</v>
      </c>
      <c r="AO9674" t="s">
        <v>17312</v>
      </c>
    </row>
    <row r="9675" spans="39:41" ht="12" customHeight="1" x14ac:dyDescent="0.2">
      <c r="AM9675" t="str">
        <f t="shared" si="151"/>
        <v>Mitiaro Island [CKMOI]</v>
      </c>
      <c r="AN9675" t="s">
        <v>4805</v>
      </c>
      <c r="AO9675" t="s">
        <v>4806</v>
      </c>
    </row>
    <row r="9676" spans="39:41" ht="12" customHeight="1" x14ac:dyDescent="0.2">
      <c r="AM9676" t="str">
        <f t="shared" si="151"/>
        <v>Mito, Kagawa [JPMQT]</v>
      </c>
      <c r="AN9676" t="s">
        <v>19954</v>
      </c>
      <c r="AO9676" t="s">
        <v>19955</v>
      </c>
    </row>
    <row r="9677" spans="39:41" ht="12" customHeight="1" x14ac:dyDescent="0.2">
      <c r="AM9677" t="str">
        <f t="shared" si="151"/>
        <v>Mitsuhama [JPMTH]</v>
      </c>
      <c r="AN9677" t="s">
        <v>19956</v>
      </c>
      <c r="AO9677" t="s">
        <v>19957</v>
      </c>
    </row>
    <row r="9678" spans="39:41" ht="12" customHeight="1" x14ac:dyDescent="0.2">
      <c r="AM9678" t="str">
        <f t="shared" si="151"/>
        <v>Mitsukoshima [JPMKS]</v>
      </c>
      <c r="AN9678" t="s">
        <v>19958</v>
      </c>
      <c r="AO9678" t="s">
        <v>19959</v>
      </c>
    </row>
    <row r="9679" spans="39:41" ht="12" customHeight="1" x14ac:dyDescent="0.2">
      <c r="AM9679" t="str">
        <f t="shared" si="151"/>
        <v>Mitsukue [JPMTK]</v>
      </c>
      <c r="AN9679" t="s">
        <v>19960</v>
      </c>
      <c r="AO9679" t="s">
        <v>19961</v>
      </c>
    </row>
    <row r="9680" spans="39:41" ht="12" customHeight="1" x14ac:dyDescent="0.2">
      <c r="AM9680" t="str">
        <f t="shared" si="151"/>
        <v>Mittelherwigsdorf [DEMWF]</v>
      </c>
      <c r="AN9680" t="s">
        <v>7927</v>
      </c>
      <c r="AO9680" t="s">
        <v>7928</v>
      </c>
    </row>
    <row r="9681" spans="39:41" ht="12" customHeight="1" x14ac:dyDescent="0.2">
      <c r="AM9681" t="str">
        <f t="shared" si="151"/>
        <v>Mittelsburen [DEMSB]</v>
      </c>
      <c r="AN9681" t="s">
        <v>7929</v>
      </c>
      <c r="AO9681" t="s">
        <v>35469</v>
      </c>
    </row>
    <row r="9682" spans="39:41" ht="12" customHeight="1" x14ac:dyDescent="0.2">
      <c r="AM9682" t="str">
        <f t="shared" si="151"/>
        <v>Mitterkirchen [ATMKC]</v>
      </c>
      <c r="AN9682" t="s">
        <v>1274</v>
      </c>
      <c r="AO9682" t="s">
        <v>1275</v>
      </c>
    </row>
    <row r="9683" spans="39:41" ht="12" customHeight="1" x14ac:dyDescent="0.2">
      <c r="AM9683" t="str">
        <f t="shared" si="151"/>
        <v>Miura/Mitsushima [JPMIR]</v>
      </c>
      <c r="AN9683" t="s">
        <v>19962</v>
      </c>
      <c r="AO9683" t="s">
        <v>19963</v>
      </c>
    </row>
    <row r="9684" spans="39:41" ht="12" customHeight="1" x14ac:dyDescent="0.2">
      <c r="AM9684" t="str">
        <f t="shared" si="151"/>
        <v>Miyagahama [JPMYG]</v>
      </c>
      <c r="AN9684" t="s">
        <v>19964</v>
      </c>
      <c r="AO9684" t="s">
        <v>19965</v>
      </c>
    </row>
    <row r="9685" spans="39:41" ht="12" customHeight="1" x14ac:dyDescent="0.2">
      <c r="AM9685" t="str">
        <f t="shared" si="151"/>
        <v>Miyagi [JPMYI]</v>
      </c>
      <c r="AN9685" t="s">
        <v>19966</v>
      </c>
      <c r="AO9685" t="s">
        <v>19967</v>
      </c>
    </row>
    <row r="9686" spans="39:41" ht="12" customHeight="1" x14ac:dyDescent="0.2">
      <c r="AM9686" t="str">
        <f t="shared" si="151"/>
        <v>Miyako, Iwate [JPMYK]</v>
      </c>
      <c r="AN9686" t="s">
        <v>19968</v>
      </c>
      <c r="AO9686" t="s">
        <v>19969</v>
      </c>
    </row>
    <row r="9687" spans="39:41" ht="12" customHeight="1" x14ac:dyDescent="0.2">
      <c r="AM9687" t="str">
        <f t="shared" si="151"/>
        <v>Miyakojima [JPMMY]</v>
      </c>
      <c r="AN9687" t="s">
        <v>19970</v>
      </c>
      <c r="AO9687" t="s">
        <v>19971</v>
      </c>
    </row>
    <row r="9688" spans="39:41" ht="12" customHeight="1" x14ac:dyDescent="0.2">
      <c r="AM9688" t="str">
        <f t="shared" si="151"/>
        <v>Miyanoura, Kagawa [JPMUY]</v>
      </c>
      <c r="AN9688" t="s">
        <v>19972</v>
      </c>
      <c r="AO9688" t="s">
        <v>19973</v>
      </c>
    </row>
    <row r="9689" spans="39:41" ht="12" customHeight="1" x14ac:dyDescent="0.2">
      <c r="AM9689" t="str">
        <f t="shared" si="151"/>
        <v>Miyanoura, Nagasaki [JPMNR]</v>
      </c>
      <c r="AN9689" t="s">
        <v>19974</v>
      </c>
      <c r="AO9689" t="s">
        <v>19975</v>
      </c>
    </row>
    <row r="9690" spans="39:41" ht="12" customHeight="1" x14ac:dyDescent="0.2">
      <c r="AM9690" t="str">
        <f t="shared" si="151"/>
        <v>Miyanoura/Azuma [JPMYN]</v>
      </c>
      <c r="AN9690" t="s">
        <v>19976</v>
      </c>
      <c r="AO9690" t="s">
        <v>19977</v>
      </c>
    </row>
    <row r="9691" spans="39:41" ht="12" customHeight="1" x14ac:dyDescent="0.2">
      <c r="AM9691" t="str">
        <f t="shared" si="151"/>
        <v>Miyanoura/Kamiyaku [JPMNO]</v>
      </c>
      <c r="AN9691" t="s">
        <v>19978</v>
      </c>
      <c r="AO9691" t="s">
        <v>19979</v>
      </c>
    </row>
    <row r="9692" spans="39:41" ht="12" customHeight="1" x14ac:dyDescent="0.2">
      <c r="AM9692" t="str">
        <f t="shared" si="151"/>
        <v>Miyaura [JPMYU]</v>
      </c>
      <c r="AN9692" t="s">
        <v>19980</v>
      </c>
      <c r="AO9692" t="s">
        <v>19981</v>
      </c>
    </row>
    <row r="9693" spans="39:41" ht="12" customHeight="1" x14ac:dyDescent="0.2">
      <c r="AM9693" t="str">
        <f t="shared" si="151"/>
        <v>Miyazaki, Ehime [JPMZK]</v>
      </c>
      <c r="AN9693" t="s">
        <v>19982</v>
      </c>
      <c r="AO9693" t="s">
        <v>19983</v>
      </c>
    </row>
    <row r="9694" spans="39:41" ht="12" customHeight="1" x14ac:dyDescent="0.2">
      <c r="AM9694" t="str">
        <f t="shared" si="151"/>
        <v>Miyazaki, Miyazaki [JPKMI]</v>
      </c>
      <c r="AN9694" t="s">
        <v>19984</v>
      </c>
      <c r="AO9694" t="s">
        <v>19985</v>
      </c>
    </row>
    <row r="9695" spans="39:41" ht="12" customHeight="1" x14ac:dyDescent="0.2">
      <c r="AM9695" t="str">
        <f t="shared" si="151"/>
        <v>Miyazu [JPMIY]</v>
      </c>
      <c r="AN9695" t="s">
        <v>19986</v>
      </c>
      <c r="AO9695" t="s">
        <v>19987</v>
      </c>
    </row>
    <row r="9696" spans="39:41" ht="12" customHeight="1" x14ac:dyDescent="0.2">
      <c r="AM9696" t="str">
        <f t="shared" si="151"/>
        <v>Miyoshi, Tokushima [JPMYT]</v>
      </c>
      <c r="AN9696" t="s">
        <v>19988</v>
      </c>
      <c r="AO9696" t="s">
        <v>19989</v>
      </c>
    </row>
    <row r="9697" spans="39:41" ht="12" customHeight="1" x14ac:dyDescent="0.2">
      <c r="AM9697" t="str">
        <f t="shared" si="151"/>
        <v>Miyun [CNMIY]</v>
      </c>
      <c r="AN9697" t="s">
        <v>5757</v>
      </c>
      <c r="AO9697" t="s">
        <v>5758</v>
      </c>
    </row>
    <row r="9698" spans="39:41" ht="12" customHeight="1" x14ac:dyDescent="0.2">
      <c r="AM9698" t="str">
        <f t="shared" si="151"/>
        <v>Mizusaki [JPMZS]</v>
      </c>
      <c r="AN9698" t="s">
        <v>19990</v>
      </c>
      <c r="AO9698" t="s">
        <v>19991</v>
      </c>
    </row>
    <row r="9699" spans="39:41" ht="12" customHeight="1" x14ac:dyDescent="0.2">
      <c r="AM9699" t="str">
        <f t="shared" si="151"/>
        <v>Mizushima [JPMIZ]</v>
      </c>
      <c r="AN9699" t="s">
        <v>19992</v>
      </c>
      <c r="AO9699" t="s">
        <v>19993</v>
      </c>
    </row>
    <row r="9700" spans="39:41" ht="12" customHeight="1" x14ac:dyDescent="0.2">
      <c r="AM9700" t="str">
        <f t="shared" si="151"/>
        <v>Mjoeyrarhofn [ISMJH]</v>
      </c>
      <c r="AN9700" t="s">
        <v>17735</v>
      </c>
      <c r="AO9700" t="s">
        <v>17736</v>
      </c>
    </row>
    <row r="9701" spans="39:41" ht="12" customHeight="1" x14ac:dyDescent="0.2">
      <c r="AM9701" t="str">
        <f t="shared" si="151"/>
        <v>Mjofjordur [ISMJO]</v>
      </c>
      <c r="AN9701" t="s">
        <v>17737</v>
      </c>
      <c r="AO9701" t="s">
        <v>36055</v>
      </c>
    </row>
    <row r="9702" spans="39:41" ht="12" customHeight="1" x14ac:dyDescent="0.2">
      <c r="AM9702" t="str">
        <f t="shared" si="151"/>
        <v>Mjolkevikvarden [NOMVV]</v>
      </c>
      <c r="AN9702" t="s">
        <v>24503</v>
      </c>
      <c r="AO9702" t="s">
        <v>36253</v>
      </c>
    </row>
    <row r="9703" spans="39:41" ht="12" customHeight="1" x14ac:dyDescent="0.2">
      <c r="AM9703" t="str">
        <f t="shared" si="151"/>
        <v>Mjolstadneset [NOMSD]</v>
      </c>
      <c r="AN9703" t="s">
        <v>24504</v>
      </c>
      <c r="AO9703" t="s">
        <v>36254</v>
      </c>
    </row>
    <row r="9704" spans="39:41" ht="12" customHeight="1" x14ac:dyDescent="0.2">
      <c r="AM9704" t="str">
        <f t="shared" si="151"/>
        <v>Mjosund [FIMJO]</v>
      </c>
      <c r="AN9704" t="s">
        <v>36934</v>
      </c>
      <c r="AO9704" t="s">
        <v>36935</v>
      </c>
    </row>
    <row r="9705" spans="39:41" ht="12" customHeight="1" x14ac:dyDescent="0.2">
      <c r="AM9705" t="str">
        <f t="shared" si="151"/>
        <v>Mkokotoni, Zanzibar [TZMKO]</v>
      </c>
      <c r="AN9705" t="s">
        <v>28720</v>
      </c>
      <c r="AO9705" t="s">
        <v>28721</v>
      </c>
    </row>
    <row r="9706" spans="39:41" ht="12" customHeight="1" x14ac:dyDescent="0.2">
      <c r="AM9706" t="str">
        <f t="shared" si="151"/>
        <v>Mo [SEMOO]</v>
      </c>
      <c r="AN9706" t="s">
        <v>27757</v>
      </c>
      <c r="AO9706" t="s">
        <v>27758</v>
      </c>
    </row>
    <row r="9707" spans="39:41" ht="12" customHeight="1" x14ac:dyDescent="0.2">
      <c r="AM9707" t="str">
        <f t="shared" si="151"/>
        <v>Mo i Rana [NOMQN]</v>
      </c>
      <c r="AN9707" t="s">
        <v>24505</v>
      </c>
      <c r="AO9707" t="s">
        <v>24506</v>
      </c>
    </row>
    <row r="9708" spans="39:41" ht="12" customHeight="1" x14ac:dyDescent="0.2">
      <c r="AM9708" t="str">
        <f t="shared" si="151"/>
        <v>Moa [CUMOA]</v>
      </c>
      <c r="AN9708" t="s">
        <v>36841</v>
      </c>
      <c r="AO9708" t="s">
        <v>36842</v>
      </c>
    </row>
    <row r="9709" spans="39:41" ht="12" customHeight="1" x14ac:dyDescent="0.2">
      <c r="AM9709" t="str">
        <f t="shared" si="151"/>
        <v>Moana [ESMOA]</v>
      </c>
      <c r="AN9709" t="s">
        <v>9955</v>
      </c>
      <c r="AO9709" t="s">
        <v>35679</v>
      </c>
    </row>
    <row r="9710" spans="39:41" ht="12" customHeight="1" x14ac:dyDescent="0.2">
      <c r="AM9710" t="str">
        <f t="shared" si="151"/>
        <v>Moaness, Hoy [GBMNS]</v>
      </c>
      <c r="AN9710" t="s">
        <v>13860</v>
      </c>
      <c r="AO9710" t="s">
        <v>13861</v>
      </c>
    </row>
    <row r="9711" spans="39:41" ht="12" customHeight="1" x14ac:dyDescent="0.2">
      <c r="AM9711" t="str">
        <f t="shared" si="151"/>
        <v>Mobile [USMOB]</v>
      </c>
      <c r="AN9711" t="s">
        <v>30643</v>
      </c>
      <c r="AO9711" t="s">
        <v>30644</v>
      </c>
    </row>
    <row r="9712" spans="39:41" ht="12" customHeight="1" x14ac:dyDescent="0.2">
      <c r="AM9712" t="str">
        <f t="shared" si="151"/>
        <v>Mocambique [MZMZQ]</v>
      </c>
      <c r="AN9712" t="s">
        <v>22853</v>
      </c>
      <c r="AO9712" t="s">
        <v>22854</v>
      </c>
    </row>
    <row r="9713" spans="39:41" ht="12" customHeight="1" x14ac:dyDescent="0.2">
      <c r="AM9713" t="str">
        <f t="shared" si="151"/>
        <v>Mochidoi [JPMCD]</v>
      </c>
      <c r="AN9713" t="s">
        <v>19994</v>
      </c>
      <c r="AO9713" t="s">
        <v>19995</v>
      </c>
    </row>
    <row r="9714" spans="39:41" ht="12" customHeight="1" x14ac:dyDescent="0.2">
      <c r="AM9714" t="str">
        <f t="shared" ref="AM9714:AM9777" si="152">AO9714 &amp; " [" &amp; AN9714 &amp; "]"</f>
        <v>Mochiishi [JPMCH]</v>
      </c>
      <c r="AN9714" t="s">
        <v>19996</v>
      </c>
      <c r="AO9714" t="s">
        <v>19997</v>
      </c>
    </row>
    <row r="9715" spans="39:41" ht="12" customHeight="1" x14ac:dyDescent="0.2">
      <c r="AM9715" t="str">
        <f t="shared" si="152"/>
        <v>Mocimboa da Praia [MZMZB]</v>
      </c>
      <c r="AN9715" t="s">
        <v>22855</v>
      </c>
      <c r="AO9715" t="s">
        <v>36104</v>
      </c>
    </row>
    <row r="9716" spans="39:41" ht="12" customHeight="1" x14ac:dyDescent="0.2">
      <c r="AM9716" t="str">
        <f t="shared" si="152"/>
        <v>Modalen [NOMOD]</v>
      </c>
      <c r="AN9716" t="s">
        <v>24507</v>
      </c>
      <c r="AO9716" t="s">
        <v>24508</v>
      </c>
    </row>
    <row r="9717" spans="39:41" ht="12" customHeight="1" x14ac:dyDescent="0.2">
      <c r="AM9717" t="str">
        <f t="shared" si="152"/>
        <v>Modec Venture [TLMDV]</v>
      </c>
      <c r="AN9717" t="s">
        <v>28314</v>
      </c>
      <c r="AO9717" t="s">
        <v>28315</v>
      </c>
    </row>
    <row r="9718" spans="39:41" ht="12" customHeight="1" x14ac:dyDescent="0.2">
      <c r="AM9718" t="str">
        <f t="shared" si="152"/>
        <v>Modec Venture 11 [AUMOD]</v>
      </c>
      <c r="AN9718" t="s">
        <v>1840</v>
      </c>
      <c r="AO9718" t="s">
        <v>1841</v>
      </c>
    </row>
    <row r="9719" spans="39:41" ht="12" customHeight="1" x14ac:dyDescent="0.2">
      <c r="AM9719" t="str">
        <f t="shared" si="152"/>
        <v>Modra [SKMOD]</v>
      </c>
      <c r="AN9719" t="s">
        <v>28052</v>
      </c>
      <c r="AO9719" t="s">
        <v>28053</v>
      </c>
    </row>
    <row r="9720" spans="39:41" ht="12" customHeight="1" x14ac:dyDescent="0.2">
      <c r="AM9720" t="str">
        <f t="shared" si="152"/>
        <v>Moelfre Roads [GBMRR]</v>
      </c>
      <c r="AN9720" t="s">
        <v>13862</v>
      </c>
      <c r="AO9720" t="s">
        <v>13863</v>
      </c>
    </row>
    <row r="9721" spans="39:41" ht="12" customHeight="1" x14ac:dyDescent="0.2">
      <c r="AM9721" t="str">
        <f t="shared" si="152"/>
        <v>Moen [BEMNO]</v>
      </c>
      <c r="AN9721" t="s">
        <v>2733</v>
      </c>
      <c r="AO9721" t="s">
        <v>2734</v>
      </c>
    </row>
    <row r="9722" spans="39:41" ht="12" customHeight="1" x14ac:dyDescent="0.2">
      <c r="AM9722" t="str">
        <f t="shared" si="152"/>
        <v>Moengo [SRMOJ]</v>
      </c>
      <c r="AN9722" t="s">
        <v>28118</v>
      </c>
      <c r="AO9722" t="s">
        <v>28119</v>
      </c>
    </row>
    <row r="9723" spans="39:41" ht="12" customHeight="1" x14ac:dyDescent="0.2">
      <c r="AM9723" t="str">
        <f t="shared" si="152"/>
        <v>Moerai [PFMOE]</v>
      </c>
      <c r="AN9723" t="s">
        <v>25328</v>
      </c>
      <c r="AO9723" t="s">
        <v>25329</v>
      </c>
    </row>
    <row r="9724" spans="39:41" ht="12" customHeight="1" x14ac:dyDescent="0.2">
      <c r="AM9724" t="str">
        <f t="shared" si="152"/>
        <v>Moerbeke-Waas [BEMEW]</v>
      </c>
      <c r="AN9724" t="s">
        <v>2735</v>
      </c>
      <c r="AO9724" t="s">
        <v>2736</v>
      </c>
    </row>
    <row r="9725" spans="39:41" ht="12" customHeight="1" x14ac:dyDescent="0.2">
      <c r="AM9725" t="str">
        <f t="shared" si="152"/>
        <v>Moerbrugge [BEMRB]</v>
      </c>
      <c r="AN9725" t="s">
        <v>2737</v>
      </c>
      <c r="AO9725" t="s">
        <v>2738</v>
      </c>
    </row>
    <row r="9726" spans="39:41" ht="12" customHeight="1" x14ac:dyDescent="0.2">
      <c r="AM9726" t="str">
        <f t="shared" si="152"/>
        <v>Moerdijk [NLMOE]</v>
      </c>
      <c r="AN9726" t="s">
        <v>23428</v>
      </c>
      <c r="AO9726" t="s">
        <v>23429</v>
      </c>
    </row>
    <row r="9727" spans="39:41" ht="12" customHeight="1" x14ac:dyDescent="0.2">
      <c r="AM9727" t="str">
        <f t="shared" si="152"/>
        <v>Moerzeke [BEMZK]</v>
      </c>
      <c r="AN9727" t="s">
        <v>2739</v>
      </c>
      <c r="AO9727" t="s">
        <v>2740</v>
      </c>
    </row>
    <row r="9728" spans="39:41" ht="12" customHeight="1" x14ac:dyDescent="0.2">
      <c r="AM9728" t="str">
        <f t="shared" si="152"/>
        <v>Mogadishu [SOMGQ]</v>
      </c>
      <c r="AN9728" t="s">
        <v>28114</v>
      </c>
      <c r="AO9728" t="s">
        <v>28115</v>
      </c>
    </row>
    <row r="9729" spans="39:41" ht="12" customHeight="1" x14ac:dyDescent="0.2">
      <c r="AM9729" t="str">
        <f t="shared" si="152"/>
        <v>Mogarraz [ESMOG]</v>
      </c>
      <c r="AN9729" t="s">
        <v>9956</v>
      </c>
      <c r="AO9729" t="s">
        <v>9957</v>
      </c>
    </row>
    <row r="9730" spans="39:41" ht="12" customHeight="1" x14ac:dyDescent="0.2">
      <c r="AM9730" t="str">
        <f t="shared" si="152"/>
        <v>Mogglingen [DEMGW]</v>
      </c>
      <c r="AN9730" t="s">
        <v>7930</v>
      </c>
      <c r="AO9730" t="s">
        <v>35470</v>
      </c>
    </row>
    <row r="9731" spans="39:41" ht="12" customHeight="1" x14ac:dyDescent="0.2">
      <c r="AM9731" t="str">
        <f t="shared" si="152"/>
        <v>Mogi [JPMOG]</v>
      </c>
      <c r="AN9731" t="s">
        <v>19998</v>
      </c>
      <c r="AO9731" t="s">
        <v>19999</v>
      </c>
    </row>
    <row r="9732" spans="39:41" ht="12" customHeight="1" x14ac:dyDescent="0.2">
      <c r="AM9732" t="str">
        <f t="shared" si="152"/>
        <v>Mogine [JPMGN]</v>
      </c>
      <c r="AN9732" t="s">
        <v>20000</v>
      </c>
      <c r="AO9732" t="s">
        <v>20001</v>
      </c>
    </row>
    <row r="9733" spans="39:41" ht="12" customHeight="1" x14ac:dyDescent="0.2">
      <c r="AM9733" t="str">
        <f t="shared" si="152"/>
        <v>Mogochin [RUMOG]</v>
      </c>
      <c r="AN9733" t="s">
        <v>27093</v>
      </c>
      <c r="AO9733" t="s">
        <v>27094</v>
      </c>
    </row>
    <row r="9734" spans="39:41" ht="12" customHeight="1" x14ac:dyDescent="0.2">
      <c r="AM9734" t="str">
        <f t="shared" si="152"/>
        <v>Mohacs [HUMOH]</v>
      </c>
      <c r="AN9734" t="s">
        <v>16114</v>
      </c>
      <c r="AO9734" t="s">
        <v>36024</v>
      </c>
    </row>
    <row r="9735" spans="39:41" ht="12" customHeight="1" x14ac:dyDescent="0.2">
      <c r="AM9735" t="str">
        <f t="shared" si="152"/>
        <v>Mohammedia [MAMOH]</v>
      </c>
      <c r="AN9735" t="s">
        <v>22048</v>
      </c>
      <c r="AO9735" t="s">
        <v>22049</v>
      </c>
    </row>
    <row r="9736" spans="39:41" ht="12" customHeight="1" x14ac:dyDescent="0.2">
      <c r="AM9736" t="str">
        <f t="shared" si="152"/>
        <v>Mohe [CNMOH]</v>
      </c>
      <c r="AN9736" t="s">
        <v>5759</v>
      </c>
      <c r="AO9736" t="s">
        <v>5760</v>
      </c>
    </row>
    <row r="9737" spans="39:41" ht="12" customHeight="1" x14ac:dyDescent="0.2">
      <c r="AM9737" t="str">
        <f t="shared" si="152"/>
        <v>Mohnton [USZOH]</v>
      </c>
      <c r="AN9737" t="s">
        <v>30645</v>
      </c>
      <c r="AO9737" t="s">
        <v>30646</v>
      </c>
    </row>
    <row r="9738" spans="39:41" ht="12" customHeight="1" x14ac:dyDescent="0.2">
      <c r="AM9738" t="str">
        <f t="shared" si="152"/>
        <v>Moho Bilondo [CDMHB]</v>
      </c>
      <c r="AN9738" t="s">
        <v>4627</v>
      </c>
      <c r="AO9738" t="s">
        <v>4628</v>
      </c>
    </row>
    <row r="9739" spans="39:41" ht="12" customHeight="1" x14ac:dyDescent="0.2">
      <c r="AM9739" t="str">
        <f t="shared" si="152"/>
        <v>Mohoro [TZMOH]</v>
      </c>
      <c r="AN9739" t="s">
        <v>28722</v>
      </c>
      <c r="AO9739" t="s">
        <v>28723</v>
      </c>
    </row>
    <row r="9740" spans="39:41" ht="12" customHeight="1" x14ac:dyDescent="0.2">
      <c r="AM9740" t="str">
        <f t="shared" si="152"/>
        <v>Mohovo [HRMHV]</v>
      </c>
      <c r="AN9740" t="s">
        <v>15820</v>
      </c>
      <c r="AO9740" t="s">
        <v>15821</v>
      </c>
    </row>
    <row r="9741" spans="39:41" ht="12" customHeight="1" x14ac:dyDescent="0.2">
      <c r="AM9741" t="str">
        <f t="shared" si="152"/>
        <v>Moidrey [FRDYJ]</v>
      </c>
      <c r="AN9741" t="s">
        <v>11671</v>
      </c>
      <c r="AO9741" t="s">
        <v>11672</v>
      </c>
    </row>
    <row r="9742" spans="39:41" ht="12" customHeight="1" x14ac:dyDescent="0.2">
      <c r="AM9742" t="str">
        <f t="shared" si="152"/>
        <v>Moignelee [BEMGN]</v>
      </c>
      <c r="AN9742" t="s">
        <v>2741</v>
      </c>
      <c r="AO9742" t="s">
        <v>35274</v>
      </c>
    </row>
    <row r="9743" spans="39:41" ht="12" customHeight="1" x14ac:dyDescent="0.2">
      <c r="AM9743" t="str">
        <f t="shared" si="152"/>
        <v>Moin [CRMOB]</v>
      </c>
      <c r="AN9743" t="s">
        <v>6595</v>
      </c>
      <c r="AO9743" t="s">
        <v>35378</v>
      </c>
    </row>
    <row r="9744" spans="39:41" ht="12" customHeight="1" x14ac:dyDescent="0.2">
      <c r="AM9744" t="str">
        <f t="shared" si="152"/>
        <v>Mojacar [ESMOJ]</v>
      </c>
      <c r="AN9744" t="s">
        <v>9958</v>
      </c>
      <c r="AO9744" t="s">
        <v>35680</v>
      </c>
    </row>
    <row r="9745" spans="39:41" ht="12" customHeight="1" x14ac:dyDescent="0.2">
      <c r="AM9745" t="str">
        <f t="shared" si="152"/>
        <v>Moji/Kitakyushu [JPMOJ]</v>
      </c>
      <c r="AN9745" t="s">
        <v>20002</v>
      </c>
      <c r="AO9745" t="s">
        <v>20003</v>
      </c>
    </row>
    <row r="9746" spans="39:41" ht="12" customHeight="1" x14ac:dyDescent="0.2">
      <c r="AM9746" t="str">
        <f t="shared" si="152"/>
        <v>Mojmirovce [SKHIL]</v>
      </c>
      <c r="AN9746" t="s">
        <v>28054</v>
      </c>
      <c r="AO9746" t="s">
        <v>36553</v>
      </c>
    </row>
    <row r="9747" spans="39:41" ht="12" customHeight="1" x14ac:dyDescent="0.2">
      <c r="AM9747" t="str">
        <f t="shared" si="152"/>
        <v>Mokha [YEMOK]</v>
      </c>
      <c r="AN9747" t="s">
        <v>32646</v>
      </c>
      <c r="AO9747" t="s">
        <v>32647</v>
      </c>
    </row>
    <row r="9748" spans="39:41" ht="12" customHeight="1" x14ac:dyDescent="0.2">
      <c r="AM9748" t="str">
        <f t="shared" si="152"/>
        <v>Mokpo [KRMOK]</v>
      </c>
      <c r="AN9748" t="s">
        <v>21690</v>
      </c>
      <c r="AO9748" t="s">
        <v>21691</v>
      </c>
    </row>
    <row r="9749" spans="39:41" ht="12" customHeight="1" x14ac:dyDescent="0.2">
      <c r="AM9749" t="str">
        <f t="shared" si="152"/>
        <v>Mol [BEMLO]</v>
      </c>
      <c r="AN9749" t="s">
        <v>2742</v>
      </c>
      <c r="AO9749" t="s">
        <v>2743</v>
      </c>
    </row>
    <row r="9750" spans="39:41" ht="12" customHeight="1" x14ac:dyDescent="0.2">
      <c r="AM9750" t="str">
        <f t="shared" si="152"/>
        <v>Mola di Bari [ITODB]</v>
      </c>
      <c r="AN9750" t="s">
        <v>18087</v>
      </c>
      <c r="AO9750" t="s">
        <v>18088</v>
      </c>
    </row>
    <row r="9751" spans="39:41" ht="12" customHeight="1" x14ac:dyDescent="0.2">
      <c r="AM9751" t="str">
        <f t="shared" si="152"/>
        <v>Molchanovo [RUMON]</v>
      </c>
      <c r="AN9751" t="s">
        <v>27095</v>
      </c>
      <c r="AO9751" t="s">
        <v>27096</v>
      </c>
    </row>
    <row r="9752" spans="39:41" ht="12" customHeight="1" x14ac:dyDescent="0.2">
      <c r="AM9752" t="str">
        <f t="shared" si="152"/>
        <v>Molde [NOMOL]</v>
      </c>
      <c r="AN9752" t="s">
        <v>24509</v>
      </c>
      <c r="AO9752" t="s">
        <v>24510</v>
      </c>
    </row>
    <row r="9753" spans="39:41" ht="12" customHeight="1" x14ac:dyDescent="0.2">
      <c r="AM9753" t="str">
        <f t="shared" si="152"/>
        <v>Moldtustranda [NOMLT]</v>
      </c>
      <c r="AN9753" t="s">
        <v>24511</v>
      </c>
      <c r="AO9753" t="s">
        <v>24512</v>
      </c>
    </row>
    <row r="9754" spans="39:41" ht="12" customHeight="1" x14ac:dyDescent="0.2">
      <c r="AM9754" t="str">
        <f t="shared" si="152"/>
        <v>Molena [USM47]</v>
      </c>
      <c r="AN9754" t="s">
        <v>30647</v>
      </c>
      <c r="AO9754" t="s">
        <v>30648</v>
      </c>
    </row>
    <row r="9755" spans="39:41" ht="12" customHeight="1" x14ac:dyDescent="0.2">
      <c r="AM9755" t="str">
        <f t="shared" si="152"/>
        <v>Molenbeek-Saint-Jean (Sint-Jans-Molenbeek)/Brussel (Bruxelles) [BEMSJ]</v>
      </c>
      <c r="AN9755" t="s">
        <v>2744</v>
      </c>
      <c r="AO9755" t="s">
        <v>2745</v>
      </c>
    </row>
    <row r="9756" spans="39:41" ht="12" customHeight="1" x14ac:dyDescent="0.2">
      <c r="AM9756" t="str">
        <f t="shared" si="152"/>
        <v>Molengat [NLMGT]</v>
      </c>
      <c r="AN9756" t="s">
        <v>23430</v>
      </c>
      <c r="AO9756" t="s">
        <v>23431</v>
      </c>
    </row>
    <row r="9757" spans="39:41" ht="12" customHeight="1" x14ac:dyDescent="0.2">
      <c r="AM9757" t="str">
        <f t="shared" si="152"/>
        <v>Molenhoek [NLMOL]</v>
      </c>
      <c r="AN9757" t="s">
        <v>23432</v>
      </c>
      <c r="AO9757" t="s">
        <v>23433</v>
      </c>
    </row>
    <row r="9758" spans="39:41" ht="12" customHeight="1" x14ac:dyDescent="0.2">
      <c r="AM9758" t="str">
        <f t="shared" si="152"/>
        <v>Molfetta [ITMOL]</v>
      </c>
      <c r="AN9758" t="s">
        <v>18089</v>
      </c>
      <c r="AO9758" t="s">
        <v>18090</v>
      </c>
    </row>
    <row r="9759" spans="39:41" ht="12" customHeight="1" x14ac:dyDescent="0.2">
      <c r="AM9759" t="str">
        <f t="shared" si="152"/>
        <v>Molgi [EEMOL]</v>
      </c>
      <c r="AN9759" t="s">
        <v>35001</v>
      </c>
      <c r="AO9759" t="s">
        <v>35002</v>
      </c>
    </row>
    <row r="9760" spans="39:41" ht="12" customHeight="1" x14ac:dyDescent="0.2">
      <c r="AM9760" t="str">
        <f t="shared" si="152"/>
        <v>Molinos [ARNOS]</v>
      </c>
      <c r="AN9760" t="s">
        <v>1047</v>
      </c>
      <c r="AO9760" t="s">
        <v>1048</v>
      </c>
    </row>
    <row r="9761" spans="39:41" ht="12" customHeight="1" x14ac:dyDescent="0.2">
      <c r="AM9761" t="str">
        <f t="shared" si="152"/>
        <v>Molle [SEMLE]</v>
      </c>
      <c r="AN9761" t="s">
        <v>27759</v>
      </c>
      <c r="AO9761" t="s">
        <v>36482</v>
      </c>
    </row>
    <row r="9762" spans="39:41" ht="12" customHeight="1" x14ac:dyDescent="0.2">
      <c r="AM9762" t="str">
        <f t="shared" si="152"/>
        <v>Mollendo [PEMLQ]</v>
      </c>
      <c r="AN9762" t="s">
        <v>25269</v>
      </c>
      <c r="AO9762" t="s">
        <v>25270</v>
      </c>
    </row>
    <row r="9763" spans="39:41" ht="12" customHeight="1" x14ac:dyDescent="0.2">
      <c r="AM9763" t="str">
        <f t="shared" si="152"/>
        <v>Molln [DEMOE]</v>
      </c>
      <c r="AN9763" t="s">
        <v>7931</v>
      </c>
      <c r="AO9763" t="s">
        <v>35471</v>
      </c>
    </row>
    <row r="9764" spans="39:41" ht="12" customHeight="1" x14ac:dyDescent="0.2">
      <c r="AM9764" t="str">
        <f t="shared" si="152"/>
        <v>Mollosund [SEMLO]</v>
      </c>
      <c r="AN9764" t="s">
        <v>27760</v>
      </c>
      <c r="AO9764" t="s">
        <v>36483</v>
      </c>
    </row>
    <row r="9765" spans="39:41" ht="12" customHeight="1" x14ac:dyDescent="0.2">
      <c r="AM9765" t="str">
        <f t="shared" si="152"/>
        <v>Molo juru uosto PVP/Klaipeda [LTMOM]</v>
      </c>
      <c r="AN9765" t="s">
        <v>21896</v>
      </c>
      <c r="AO9765" t="s">
        <v>21897</v>
      </c>
    </row>
    <row r="9766" spans="39:41" ht="12" customHeight="1" x14ac:dyDescent="0.2">
      <c r="AM9766" t="str">
        <f t="shared" si="152"/>
        <v>Molosmes [FRML9]</v>
      </c>
      <c r="AN9766" t="s">
        <v>11673</v>
      </c>
      <c r="AO9766" t="s">
        <v>11674</v>
      </c>
    </row>
    <row r="9767" spans="39:41" ht="12" customHeight="1" x14ac:dyDescent="0.2">
      <c r="AM9767" t="str">
        <f t="shared" si="152"/>
        <v>Molstrevag [NOMOV]</v>
      </c>
      <c r="AN9767" t="s">
        <v>24513</v>
      </c>
      <c r="AO9767" t="s">
        <v>36255</v>
      </c>
    </row>
    <row r="9768" spans="39:41" ht="12" customHeight="1" x14ac:dyDescent="0.2">
      <c r="AM9768" t="str">
        <f t="shared" si="152"/>
        <v>Molyvos [GRMOL]</v>
      </c>
      <c r="AN9768" t="s">
        <v>15368</v>
      </c>
      <c r="AO9768" t="s">
        <v>15369</v>
      </c>
    </row>
    <row r="9769" spans="39:41" ht="12" customHeight="1" x14ac:dyDescent="0.2">
      <c r="AM9769" t="str">
        <f t="shared" si="152"/>
        <v>Moma [MZMMW]</v>
      </c>
      <c r="AN9769" t="s">
        <v>22856</v>
      </c>
      <c r="AO9769" t="s">
        <v>22857</v>
      </c>
    </row>
    <row r="9770" spans="39:41" ht="12" customHeight="1" x14ac:dyDescent="0.2">
      <c r="AM9770" t="str">
        <f t="shared" si="152"/>
        <v>Mombasa [KEMBA]</v>
      </c>
      <c r="AN9770" t="s">
        <v>21534</v>
      </c>
      <c r="AO9770" t="s">
        <v>21535</v>
      </c>
    </row>
    <row r="9771" spans="39:41" ht="12" customHeight="1" x14ac:dyDescent="0.2">
      <c r="AM9771" t="str">
        <f t="shared" si="152"/>
        <v>Mombuey [ESMBY]</v>
      </c>
      <c r="AN9771" t="s">
        <v>9959</v>
      </c>
      <c r="AO9771" t="s">
        <v>9960</v>
      </c>
    </row>
    <row r="9772" spans="39:41" ht="12" customHeight="1" x14ac:dyDescent="0.2">
      <c r="AM9772" t="str">
        <f t="shared" si="152"/>
        <v>Momi [FJMOM]</v>
      </c>
      <c r="AN9772" t="s">
        <v>10620</v>
      </c>
      <c r="AO9772" t="s">
        <v>10621</v>
      </c>
    </row>
    <row r="9773" spans="39:41" ht="12" customHeight="1" x14ac:dyDescent="0.2">
      <c r="AM9773" t="str">
        <f t="shared" si="152"/>
        <v>Momjan [HRMOM]</v>
      </c>
      <c r="AN9773" t="s">
        <v>15822</v>
      </c>
      <c r="AO9773" t="s">
        <v>15823</v>
      </c>
    </row>
    <row r="9774" spans="39:41" ht="12" customHeight="1" x14ac:dyDescent="0.2">
      <c r="AM9774" t="str">
        <f t="shared" si="152"/>
        <v>Mommark [DKMOM]</v>
      </c>
      <c r="AN9774" t="s">
        <v>8817</v>
      </c>
      <c r="AO9774" t="s">
        <v>8818</v>
      </c>
    </row>
    <row r="9775" spans="39:41" ht="12" customHeight="1" x14ac:dyDescent="0.2">
      <c r="AM9775" t="str">
        <f t="shared" si="152"/>
        <v>Mommenheim [DEMMM]</v>
      </c>
      <c r="AN9775" t="s">
        <v>7932</v>
      </c>
      <c r="AO9775" t="s">
        <v>7933</v>
      </c>
    </row>
    <row r="9776" spans="39:41" ht="12" customHeight="1" x14ac:dyDescent="0.2">
      <c r="AM9776" t="str">
        <f t="shared" si="152"/>
        <v>Monaco [MCMON]</v>
      </c>
      <c r="AN9776" t="s">
        <v>22070</v>
      </c>
      <c r="AO9776" t="s">
        <v>22071</v>
      </c>
    </row>
    <row r="9777" spans="39:41" ht="12" customHeight="1" x14ac:dyDescent="0.2">
      <c r="AM9777" t="str">
        <f t="shared" si="152"/>
        <v>Monastir [TNMIR]</v>
      </c>
      <c r="AN9777" t="s">
        <v>37165</v>
      </c>
      <c r="AO9777" t="s">
        <v>37166</v>
      </c>
    </row>
    <row r="9778" spans="39:41" ht="12" customHeight="1" x14ac:dyDescent="0.2">
      <c r="AM9778" t="str">
        <f t="shared" ref="AM9778:AM9841" si="153">AO9778 &amp; " [" &amp; AN9778 &amp; "]"</f>
        <v>Monbetsu/Abashiri [JPMBE]</v>
      </c>
      <c r="AN9778" t="s">
        <v>20004</v>
      </c>
      <c r="AO9778" t="s">
        <v>20005</v>
      </c>
    </row>
    <row r="9779" spans="39:41" ht="12" customHeight="1" x14ac:dyDescent="0.2">
      <c r="AM9779" t="str">
        <f t="shared" si="153"/>
        <v>Moncagua [SVTUE]</v>
      </c>
      <c r="AN9779" t="s">
        <v>28148</v>
      </c>
      <c r="AO9779" t="s">
        <v>28149</v>
      </c>
    </row>
    <row r="9780" spans="39:41" ht="12" customHeight="1" x14ac:dyDescent="0.2">
      <c r="AM9780" t="str">
        <f t="shared" si="153"/>
        <v>Monceau-sur-Sambre [BEMSS]</v>
      </c>
      <c r="AN9780" t="s">
        <v>2746</v>
      </c>
      <c r="AO9780" t="s">
        <v>2747</v>
      </c>
    </row>
    <row r="9781" spans="39:41" ht="12" customHeight="1" x14ac:dyDescent="0.2">
      <c r="AM9781" t="str">
        <f t="shared" si="153"/>
        <v>Monchweiler [DEMWW]</v>
      </c>
      <c r="AN9781" t="s">
        <v>7934</v>
      </c>
      <c r="AO9781" t="s">
        <v>7935</v>
      </c>
    </row>
    <row r="9782" spans="39:41" ht="12" customHeight="1" x14ac:dyDescent="0.2">
      <c r="AM9782" t="str">
        <f t="shared" si="153"/>
        <v>Moncton [CAMNT]</v>
      </c>
      <c r="AN9782" t="s">
        <v>4120</v>
      </c>
      <c r="AO9782" t="s">
        <v>4121</v>
      </c>
    </row>
    <row r="9783" spans="39:41" ht="12" customHeight="1" x14ac:dyDescent="0.2">
      <c r="AM9783" t="str">
        <f t="shared" si="153"/>
        <v>Mondello, Palermo [ITMND]</v>
      </c>
      <c r="AN9783" t="s">
        <v>18091</v>
      </c>
      <c r="AO9783" t="s">
        <v>18092</v>
      </c>
    </row>
    <row r="9784" spans="39:41" ht="12" customHeight="1" x14ac:dyDescent="0.2">
      <c r="AM9784" t="str">
        <f t="shared" si="153"/>
        <v>Mondorf [DEMNF]</v>
      </c>
      <c r="AN9784" t="s">
        <v>7936</v>
      </c>
      <c r="AO9784" t="s">
        <v>7937</v>
      </c>
    </row>
    <row r="9785" spans="39:41" ht="12" customHeight="1" x14ac:dyDescent="0.2">
      <c r="AM9785" t="str">
        <f t="shared" si="153"/>
        <v>Mondragone [ITODG]</v>
      </c>
      <c r="AN9785" t="s">
        <v>18093</v>
      </c>
      <c r="AO9785" t="s">
        <v>18094</v>
      </c>
    </row>
    <row r="9786" spans="39:41" ht="12" customHeight="1" x14ac:dyDescent="0.2">
      <c r="AM9786" t="str">
        <f t="shared" si="153"/>
        <v>Monein [FRZXN]</v>
      </c>
      <c r="AN9786" t="s">
        <v>11675</v>
      </c>
      <c r="AO9786" t="s">
        <v>11676</v>
      </c>
    </row>
    <row r="9787" spans="39:41" ht="12" customHeight="1" x14ac:dyDescent="0.2">
      <c r="AM9787" t="str">
        <f t="shared" si="153"/>
        <v>Monemvasia [GRMON]</v>
      </c>
      <c r="AN9787" t="s">
        <v>15370</v>
      </c>
      <c r="AO9787" t="s">
        <v>35936</v>
      </c>
    </row>
    <row r="9788" spans="39:41" ht="12" customHeight="1" x14ac:dyDescent="0.2">
      <c r="AM9788" t="str">
        <f t="shared" si="153"/>
        <v>Monestier [FRXVF]</v>
      </c>
      <c r="AN9788" t="s">
        <v>11677</v>
      </c>
      <c r="AO9788" t="s">
        <v>11678</v>
      </c>
    </row>
    <row r="9789" spans="39:41" ht="12" customHeight="1" x14ac:dyDescent="0.2">
      <c r="AM9789" t="str">
        <f t="shared" si="153"/>
        <v>Moneypoint [IEMOT]</v>
      </c>
      <c r="AN9789" t="s">
        <v>16870</v>
      </c>
      <c r="AO9789" t="s">
        <v>16871</v>
      </c>
    </row>
    <row r="9790" spans="39:41" ht="12" customHeight="1" x14ac:dyDescent="0.2">
      <c r="AM9790" t="str">
        <f t="shared" si="153"/>
        <v>Monfalcone [ITMNF]</v>
      </c>
      <c r="AN9790" t="s">
        <v>18095</v>
      </c>
      <c r="AO9790" t="s">
        <v>18096</v>
      </c>
    </row>
    <row r="9791" spans="39:41" ht="12" customHeight="1" x14ac:dyDescent="0.2">
      <c r="AM9791" t="str">
        <f t="shared" si="153"/>
        <v>Monfaucon [FRFBH]</v>
      </c>
      <c r="AN9791" t="s">
        <v>11679</v>
      </c>
      <c r="AO9791" t="s">
        <v>11680</v>
      </c>
    </row>
    <row r="9792" spans="39:41" ht="12" customHeight="1" x14ac:dyDescent="0.2">
      <c r="AM9792" t="str">
        <f t="shared" si="153"/>
        <v>Mong Cai [VNMOC]</v>
      </c>
      <c r="AN9792" t="s">
        <v>32414</v>
      </c>
      <c r="AO9792" t="s">
        <v>32415</v>
      </c>
    </row>
    <row r="9793" spans="39:41" ht="12" customHeight="1" x14ac:dyDescent="0.2">
      <c r="AM9793" t="str">
        <f t="shared" si="153"/>
        <v>Mongla [BDMGL]</v>
      </c>
      <c r="AN9793" t="s">
        <v>2200</v>
      </c>
      <c r="AO9793" t="s">
        <v>2201</v>
      </c>
    </row>
    <row r="9794" spans="39:41" ht="12" customHeight="1" x14ac:dyDescent="0.2">
      <c r="AM9794" t="str">
        <f t="shared" si="153"/>
        <v>Mongstad [NOMON]</v>
      </c>
      <c r="AN9794" t="s">
        <v>24514</v>
      </c>
      <c r="AO9794" t="s">
        <v>24515</v>
      </c>
    </row>
    <row r="9795" spans="39:41" ht="12" customHeight="1" x14ac:dyDescent="0.2">
      <c r="AM9795" t="str">
        <f t="shared" si="153"/>
        <v>Mongstadbase [NOMOB]</v>
      </c>
      <c r="AN9795" t="s">
        <v>24516</v>
      </c>
      <c r="AO9795" t="s">
        <v>24517</v>
      </c>
    </row>
    <row r="9796" spans="39:41" ht="12" customHeight="1" x14ac:dyDescent="0.2">
      <c r="AM9796" t="str">
        <f t="shared" si="153"/>
        <v>Monguilhem [FRYUP]</v>
      </c>
      <c r="AN9796" t="s">
        <v>11681</v>
      </c>
      <c r="AO9796" t="s">
        <v>11682</v>
      </c>
    </row>
    <row r="9797" spans="39:41" ht="12" customHeight="1" x14ac:dyDescent="0.2">
      <c r="AM9797" t="str">
        <f t="shared" si="153"/>
        <v>Monheim [DEXMP]</v>
      </c>
      <c r="AN9797" t="s">
        <v>7938</v>
      </c>
      <c r="AO9797" t="s">
        <v>7939</v>
      </c>
    </row>
    <row r="9798" spans="39:41" ht="12" customHeight="1" x14ac:dyDescent="0.2">
      <c r="AM9798" t="str">
        <f t="shared" si="153"/>
        <v>Monheim [DEMHM]</v>
      </c>
      <c r="AN9798" t="s">
        <v>7940</v>
      </c>
      <c r="AO9798" t="s">
        <v>7939</v>
      </c>
    </row>
    <row r="9799" spans="39:41" ht="12" customHeight="1" x14ac:dyDescent="0.2">
      <c r="AM9799" t="str">
        <f t="shared" si="153"/>
        <v>Moni [CYMOI]</v>
      </c>
      <c r="AN9799" t="s">
        <v>36847</v>
      </c>
      <c r="AO9799" t="s">
        <v>36848</v>
      </c>
    </row>
    <row r="9800" spans="39:41" ht="12" customHeight="1" x14ac:dyDescent="0.2">
      <c r="AM9800" t="str">
        <f t="shared" si="153"/>
        <v>Moni Vatopediou [GRMVO]</v>
      </c>
      <c r="AN9800" t="s">
        <v>15371</v>
      </c>
      <c r="AO9800" t="s">
        <v>35937</v>
      </c>
    </row>
    <row r="9801" spans="39:41" ht="12" customHeight="1" x14ac:dyDescent="0.2">
      <c r="AM9801" t="str">
        <f t="shared" si="153"/>
        <v>Monmelian [FRNLJ]</v>
      </c>
      <c r="AN9801" t="s">
        <v>11683</v>
      </c>
      <c r="AO9801" t="s">
        <v>11684</v>
      </c>
    </row>
    <row r="9802" spans="39:41" ht="12" customHeight="1" x14ac:dyDescent="0.2">
      <c r="AM9802" t="str">
        <f t="shared" si="153"/>
        <v>Monmouth [USOO9]</v>
      </c>
      <c r="AN9802" t="s">
        <v>30649</v>
      </c>
      <c r="AO9802" t="s">
        <v>30650</v>
      </c>
    </row>
    <row r="9803" spans="39:41" ht="12" customHeight="1" x14ac:dyDescent="0.2">
      <c r="AM9803" t="str">
        <f t="shared" si="153"/>
        <v>Monmouth Beach [USM9O]</v>
      </c>
      <c r="AN9803" t="s">
        <v>30651</v>
      </c>
      <c r="AO9803" t="s">
        <v>30652</v>
      </c>
    </row>
    <row r="9804" spans="39:41" ht="12" customHeight="1" x14ac:dyDescent="0.2">
      <c r="AM9804" t="str">
        <f t="shared" si="153"/>
        <v>Monnieres [FRUJK]</v>
      </c>
      <c r="AN9804" t="s">
        <v>11685</v>
      </c>
      <c r="AO9804" t="s">
        <v>11686</v>
      </c>
    </row>
    <row r="9805" spans="39:41" ht="12" customHeight="1" x14ac:dyDescent="0.2">
      <c r="AM9805" t="str">
        <f t="shared" si="153"/>
        <v>Monnieres [FRPKM]</v>
      </c>
      <c r="AN9805" t="s">
        <v>11687</v>
      </c>
      <c r="AO9805" t="s">
        <v>11686</v>
      </c>
    </row>
    <row r="9806" spans="39:41" ht="12" customHeight="1" x14ac:dyDescent="0.2">
      <c r="AM9806" t="str">
        <f t="shared" si="153"/>
        <v>Monoi [JPMOX]</v>
      </c>
      <c r="AN9806" t="s">
        <v>20006</v>
      </c>
      <c r="AO9806" t="s">
        <v>20007</v>
      </c>
    </row>
    <row r="9807" spans="39:41" ht="12" customHeight="1" x14ac:dyDescent="0.2">
      <c r="AM9807" t="str">
        <f t="shared" si="153"/>
        <v>Monopoli [ITMNP]</v>
      </c>
      <c r="AN9807" t="s">
        <v>18097</v>
      </c>
      <c r="AO9807" t="s">
        <v>18098</v>
      </c>
    </row>
    <row r="9808" spans="39:41" ht="12" customHeight="1" x14ac:dyDescent="0.2">
      <c r="AM9808" t="str">
        <f t="shared" si="153"/>
        <v>Monroe [USM4X]</v>
      </c>
      <c r="AN9808" t="s">
        <v>30653</v>
      </c>
      <c r="AO9808" t="s">
        <v>30654</v>
      </c>
    </row>
    <row r="9809" spans="39:41" ht="12" customHeight="1" x14ac:dyDescent="0.2">
      <c r="AM9809" t="str">
        <f t="shared" si="153"/>
        <v>Monrovia [LRMLW]</v>
      </c>
      <c r="AN9809" t="s">
        <v>21877</v>
      </c>
      <c r="AO9809" t="s">
        <v>21878</v>
      </c>
    </row>
    <row r="9810" spans="39:41" ht="12" customHeight="1" x14ac:dyDescent="0.2">
      <c r="AM9810" t="str">
        <f t="shared" si="153"/>
        <v>Mons [BEMQS]</v>
      </c>
      <c r="AN9810" t="s">
        <v>2748</v>
      </c>
      <c r="AO9810" t="s">
        <v>2749</v>
      </c>
    </row>
    <row r="9811" spans="39:41" ht="12" customHeight="1" x14ac:dyDescent="0.2">
      <c r="AM9811" t="str">
        <f t="shared" si="153"/>
        <v>Monserrat [ESNRT]</v>
      </c>
      <c r="AN9811" t="s">
        <v>9961</v>
      </c>
      <c r="AO9811" t="s">
        <v>9962</v>
      </c>
    </row>
    <row r="9812" spans="39:41" ht="12" customHeight="1" x14ac:dyDescent="0.2">
      <c r="AM9812" t="str">
        <f t="shared" si="153"/>
        <v>Monserrat/Mati [PHMON]</v>
      </c>
      <c r="AN9812" t="s">
        <v>25969</v>
      </c>
      <c r="AO9812" t="s">
        <v>25970</v>
      </c>
    </row>
    <row r="9813" spans="39:41" ht="12" customHeight="1" x14ac:dyDescent="0.2">
      <c r="AM9813" t="str">
        <f t="shared" si="153"/>
        <v>Monsin [BEMSI]</v>
      </c>
      <c r="AN9813" t="s">
        <v>2750</v>
      </c>
      <c r="AO9813" t="s">
        <v>2751</v>
      </c>
    </row>
    <row r="9814" spans="39:41" ht="12" customHeight="1" x14ac:dyDescent="0.2">
      <c r="AM9814" t="str">
        <f t="shared" si="153"/>
        <v>Monsteras [SEMON]</v>
      </c>
      <c r="AN9814" t="s">
        <v>27761</v>
      </c>
      <c r="AO9814" t="s">
        <v>36484</v>
      </c>
    </row>
    <row r="9815" spans="39:41" ht="12" customHeight="1" x14ac:dyDescent="0.2">
      <c r="AM9815" t="str">
        <f t="shared" si="153"/>
        <v>Montallery [FRNYY]</v>
      </c>
      <c r="AN9815" t="s">
        <v>11688</v>
      </c>
      <c r="AO9815" t="s">
        <v>11689</v>
      </c>
    </row>
    <row r="9816" spans="39:41" ht="12" customHeight="1" x14ac:dyDescent="0.2">
      <c r="AM9816" t="str">
        <f t="shared" si="153"/>
        <v>Montalto di Castro [ITMLS]</v>
      </c>
      <c r="AN9816" t="s">
        <v>18099</v>
      </c>
      <c r="AO9816" t="s">
        <v>18100</v>
      </c>
    </row>
    <row r="9817" spans="39:41" ht="12" customHeight="1" x14ac:dyDescent="0.2">
      <c r="AM9817" t="str">
        <f t="shared" si="153"/>
        <v>Montara Field [AUMON]</v>
      </c>
      <c r="AN9817" t="s">
        <v>1842</v>
      </c>
      <c r="AO9817" t="s">
        <v>1843</v>
      </c>
    </row>
    <row r="9818" spans="39:41" ht="12" customHeight="1" x14ac:dyDescent="0.2">
      <c r="AM9818" t="str">
        <f t="shared" si="153"/>
        <v>Montargis [FRMOS]</v>
      </c>
      <c r="AN9818" t="s">
        <v>11690</v>
      </c>
      <c r="AO9818" t="s">
        <v>11691</v>
      </c>
    </row>
    <row r="9819" spans="39:41" ht="12" customHeight="1" x14ac:dyDescent="0.2">
      <c r="AM9819" t="str">
        <f t="shared" si="153"/>
        <v>Montbartier [FRMBT]</v>
      </c>
      <c r="AN9819" t="s">
        <v>11692</v>
      </c>
      <c r="AO9819" t="s">
        <v>11693</v>
      </c>
    </row>
    <row r="9820" spans="39:41" ht="12" customHeight="1" x14ac:dyDescent="0.2">
      <c r="AM9820" t="str">
        <f t="shared" si="153"/>
        <v>Montbeliard [FRMTD]</v>
      </c>
      <c r="AN9820" t="s">
        <v>11694</v>
      </c>
      <c r="AO9820" t="s">
        <v>35828</v>
      </c>
    </row>
    <row r="9821" spans="39:41" ht="12" customHeight="1" x14ac:dyDescent="0.2">
      <c r="AM9821" t="str">
        <f t="shared" si="153"/>
        <v>Montblanc [ESMTC]</v>
      </c>
      <c r="AN9821" t="s">
        <v>9963</v>
      </c>
      <c r="AO9821" t="s">
        <v>9964</v>
      </c>
    </row>
    <row r="9822" spans="39:41" ht="12" customHeight="1" x14ac:dyDescent="0.2">
      <c r="AM9822" t="str">
        <f t="shared" si="153"/>
        <v>Mont-Dore [NCMTD]</v>
      </c>
      <c r="AN9822" t="s">
        <v>22883</v>
      </c>
      <c r="AO9822" t="s">
        <v>22884</v>
      </c>
    </row>
    <row r="9823" spans="39:41" ht="12" customHeight="1" x14ac:dyDescent="0.2">
      <c r="AM9823" t="str">
        <f t="shared" si="153"/>
        <v>Monte Trigo [PTTGO]</v>
      </c>
      <c r="AN9823" t="s">
        <v>26545</v>
      </c>
      <c r="AO9823" t="s">
        <v>26546</v>
      </c>
    </row>
    <row r="9824" spans="39:41" ht="12" customHeight="1" x14ac:dyDescent="0.2">
      <c r="AM9824" t="str">
        <f t="shared" si="153"/>
        <v>Monte-Carlo [MCMCM]</v>
      </c>
      <c r="AN9824" t="s">
        <v>22072</v>
      </c>
      <c r="AO9824" t="s">
        <v>22073</v>
      </c>
    </row>
    <row r="9825" spans="39:41" ht="12" customHeight="1" x14ac:dyDescent="0.2">
      <c r="AM9825" t="str">
        <f t="shared" si="153"/>
        <v>Montech [FRMT6]</v>
      </c>
      <c r="AN9825" t="s">
        <v>11695</v>
      </c>
      <c r="AO9825" t="s">
        <v>11696</v>
      </c>
    </row>
    <row r="9826" spans="39:41" ht="12" customHeight="1" x14ac:dyDescent="0.2">
      <c r="AM9826" t="str">
        <f t="shared" si="153"/>
        <v>Montefrio [ESMNF]</v>
      </c>
      <c r="AN9826" t="s">
        <v>9965</v>
      </c>
      <c r="AO9826" t="s">
        <v>9966</v>
      </c>
    </row>
    <row r="9827" spans="39:41" ht="12" customHeight="1" x14ac:dyDescent="0.2">
      <c r="AM9827" t="str">
        <f t="shared" si="153"/>
        <v>Montego Bay [JMMBJ]</v>
      </c>
      <c r="AN9827" t="s">
        <v>18430</v>
      </c>
      <c r="AO9827" t="s">
        <v>18431</v>
      </c>
    </row>
    <row r="9828" spans="39:41" ht="12" customHeight="1" x14ac:dyDescent="0.2">
      <c r="AM9828" t="str">
        <f t="shared" si="153"/>
        <v>Monterey [USMY3]</v>
      </c>
      <c r="AN9828" t="s">
        <v>30655</v>
      </c>
      <c r="AO9828" t="s">
        <v>30656</v>
      </c>
    </row>
    <row r="9829" spans="39:41" ht="12" customHeight="1" x14ac:dyDescent="0.2">
      <c r="AM9829" t="str">
        <f t="shared" si="153"/>
        <v>Monterosso al Mare [ITRSM]</v>
      </c>
      <c r="AN9829" t="s">
        <v>18101</v>
      </c>
      <c r="AO9829" t="s">
        <v>18102</v>
      </c>
    </row>
    <row r="9830" spans="39:41" ht="12" customHeight="1" x14ac:dyDescent="0.2">
      <c r="AM9830" t="str">
        <f t="shared" si="153"/>
        <v>Montesquiu [ESMTQ]</v>
      </c>
      <c r="AN9830" t="s">
        <v>9967</v>
      </c>
      <c r="AO9830" t="s">
        <v>9968</v>
      </c>
    </row>
    <row r="9831" spans="39:41" ht="12" customHeight="1" x14ac:dyDescent="0.2">
      <c r="AM9831" t="str">
        <f t="shared" si="153"/>
        <v>Montevideo [UYMVD]</v>
      </c>
      <c r="AN9831" t="s">
        <v>32119</v>
      </c>
      <c r="AO9831" t="s">
        <v>32120</v>
      </c>
    </row>
    <row r="9832" spans="39:41" ht="12" customHeight="1" x14ac:dyDescent="0.2">
      <c r="AM9832" t="str">
        <f t="shared" si="153"/>
        <v>Montfort [FR49M]</v>
      </c>
      <c r="AN9832" t="s">
        <v>11697</v>
      </c>
      <c r="AO9832" t="s">
        <v>11698</v>
      </c>
    </row>
    <row r="9833" spans="39:41" ht="12" customHeight="1" x14ac:dyDescent="0.2">
      <c r="AM9833" t="str">
        <f t="shared" si="153"/>
        <v>Montiel [ESMOI]</v>
      </c>
      <c r="AN9833" t="s">
        <v>9969</v>
      </c>
      <c r="AO9833" t="s">
        <v>9970</v>
      </c>
    </row>
    <row r="9834" spans="39:41" ht="12" customHeight="1" x14ac:dyDescent="0.2">
      <c r="AM9834" t="str">
        <f t="shared" si="153"/>
        <v>Montignies-sur-Sambre [BEMGS]</v>
      </c>
      <c r="AN9834" t="s">
        <v>2752</v>
      </c>
      <c r="AO9834" t="s">
        <v>2753</v>
      </c>
    </row>
    <row r="9835" spans="39:41" ht="12" customHeight="1" x14ac:dyDescent="0.2">
      <c r="AM9835" t="str">
        <f t="shared" si="153"/>
        <v>Mont-Louis [CAMOL]</v>
      </c>
      <c r="AN9835" t="s">
        <v>4122</v>
      </c>
      <c r="AO9835" t="s">
        <v>4123</v>
      </c>
    </row>
    <row r="9836" spans="39:41" ht="12" customHeight="1" x14ac:dyDescent="0.2">
      <c r="AM9836" t="str">
        <f t="shared" si="153"/>
        <v>Montoir-de-Bretagne [FRMTX]</v>
      </c>
      <c r="AN9836" t="s">
        <v>11699</v>
      </c>
      <c r="AO9836" t="s">
        <v>11700</v>
      </c>
    </row>
    <row r="9837" spans="39:41" ht="12" customHeight="1" x14ac:dyDescent="0.2">
      <c r="AM9837" t="str">
        <f t="shared" si="153"/>
        <v>Montreal [CAMTR]</v>
      </c>
      <c r="AN9837" t="s">
        <v>4124</v>
      </c>
      <c r="AO9837" t="s">
        <v>4125</v>
      </c>
    </row>
    <row r="9838" spans="39:41" ht="12" customHeight="1" x14ac:dyDescent="0.2">
      <c r="AM9838" t="str">
        <f t="shared" si="153"/>
        <v>Montreal-Est [CAMRE]</v>
      </c>
      <c r="AN9838" t="s">
        <v>4126</v>
      </c>
      <c r="AO9838" t="s">
        <v>35330</v>
      </c>
    </row>
    <row r="9839" spans="39:41" ht="12" customHeight="1" x14ac:dyDescent="0.2">
      <c r="AM9839" t="str">
        <f t="shared" si="153"/>
        <v>Montrose [GBMON]</v>
      </c>
      <c r="AN9839" t="s">
        <v>13864</v>
      </c>
      <c r="AO9839" t="s">
        <v>13865</v>
      </c>
    </row>
    <row r="9840" spans="39:41" ht="12" customHeight="1" x14ac:dyDescent="0.2">
      <c r="AM9840" t="str">
        <f t="shared" si="153"/>
        <v>Montu [EEMNT]</v>
      </c>
      <c r="AN9840" t="s">
        <v>9261</v>
      </c>
      <c r="AO9840" t="s">
        <v>35631</v>
      </c>
    </row>
    <row r="9841" spans="39:41" ht="12" customHeight="1" x14ac:dyDescent="0.2">
      <c r="AM9841" t="str">
        <f t="shared" si="153"/>
        <v>Montu Vaikelaevade Sadam [EEMNV]</v>
      </c>
      <c r="AN9841" t="s">
        <v>34172</v>
      </c>
      <c r="AO9841" t="s">
        <v>34246</v>
      </c>
    </row>
    <row r="9842" spans="39:41" ht="12" customHeight="1" x14ac:dyDescent="0.2">
      <c r="AM9842" t="str">
        <f t="shared" ref="AM9842:AM9905" si="154">AO9842 &amp; " [" &amp; AN9842 &amp; "]"</f>
        <v>Monze [FRNZ3]</v>
      </c>
      <c r="AN9842" t="s">
        <v>11701</v>
      </c>
      <c r="AO9842" t="s">
        <v>11702</v>
      </c>
    </row>
    <row r="9843" spans="39:41" ht="12" customHeight="1" x14ac:dyDescent="0.2">
      <c r="AM9843" t="str">
        <f t="shared" si="154"/>
        <v>Mook [NLMOK]</v>
      </c>
      <c r="AN9843" t="s">
        <v>23434</v>
      </c>
      <c r="AO9843" t="s">
        <v>23435</v>
      </c>
    </row>
    <row r="9844" spans="39:41" ht="12" customHeight="1" x14ac:dyDescent="0.2">
      <c r="AM9844" t="str">
        <f t="shared" si="154"/>
        <v>Mooloolaba [AUMLL]</v>
      </c>
      <c r="AN9844" t="s">
        <v>1844</v>
      </c>
      <c r="AO9844" t="s">
        <v>1845</v>
      </c>
    </row>
    <row r="9845" spans="39:41" ht="12" customHeight="1" x14ac:dyDescent="0.2">
      <c r="AM9845" t="str">
        <f t="shared" si="154"/>
        <v>Moorook [AUMOK]</v>
      </c>
      <c r="AN9845" t="s">
        <v>1846</v>
      </c>
      <c r="AO9845" t="s">
        <v>1847</v>
      </c>
    </row>
    <row r="9846" spans="39:41" ht="12" customHeight="1" x14ac:dyDescent="0.2">
      <c r="AM9846" t="str">
        <f t="shared" si="154"/>
        <v>Moosonee [CAMOU]</v>
      </c>
      <c r="AN9846" t="s">
        <v>4127</v>
      </c>
      <c r="AO9846" t="s">
        <v>4128</v>
      </c>
    </row>
    <row r="9847" spans="39:41" ht="12" customHeight="1" x14ac:dyDescent="0.2">
      <c r="AM9847" t="str">
        <f t="shared" si="154"/>
        <v>Mora [ESOMR]</v>
      </c>
      <c r="AN9847" t="s">
        <v>9971</v>
      </c>
      <c r="AO9847" t="s">
        <v>9972</v>
      </c>
    </row>
    <row r="9848" spans="39:41" ht="12" customHeight="1" x14ac:dyDescent="0.2">
      <c r="AM9848" t="str">
        <f t="shared" si="154"/>
        <v>Mora [INMRA]</v>
      </c>
      <c r="AN9848" t="s">
        <v>17313</v>
      </c>
      <c r="AO9848" t="s">
        <v>9972</v>
      </c>
    </row>
    <row r="9849" spans="39:41" ht="12" customHeight="1" x14ac:dyDescent="0.2">
      <c r="AM9849" t="str">
        <f t="shared" si="154"/>
        <v>Morainvilliers [FRILS]</v>
      </c>
      <c r="AN9849" t="s">
        <v>11703</v>
      </c>
      <c r="AO9849" t="s">
        <v>11704</v>
      </c>
    </row>
    <row r="9850" spans="39:41" ht="12" customHeight="1" x14ac:dyDescent="0.2">
      <c r="AM9850" t="str">
        <f t="shared" si="154"/>
        <v>Morakui [JPMRK]</v>
      </c>
      <c r="AN9850" t="s">
        <v>20008</v>
      </c>
      <c r="AO9850" t="s">
        <v>20009</v>
      </c>
    </row>
    <row r="9851" spans="39:41" ht="12" customHeight="1" x14ac:dyDescent="0.2">
      <c r="AM9851" t="str">
        <f t="shared" si="154"/>
        <v>Moral de Calatrava [ESLTV]</v>
      </c>
      <c r="AN9851" t="s">
        <v>9973</v>
      </c>
      <c r="AO9851" t="s">
        <v>9974</v>
      </c>
    </row>
    <row r="9852" spans="39:41" ht="12" customHeight="1" x14ac:dyDescent="0.2">
      <c r="AM9852" t="str">
        <f t="shared" si="154"/>
        <v>Morance [FRMC9]</v>
      </c>
      <c r="AN9852" t="s">
        <v>11705</v>
      </c>
      <c r="AO9852" t="s">
        <v>11706</v>
      </c>
    </row>
    <row r="9853" spans="39:41" ht="12" customHeight="1" x14ac:dyDescent="0.2">
      <c r="AM9853" t="str">
        <f t="shared" si="154"/>
        <v>Moravia [CRCTC]</v>
      </c>
      <c r="AN9853" t="s">
        <v>6596</v>
      </c>
      <c r="AO9853" t="s">
        <v>6597</v>
      </c>
    </row>
    <row r="9854" spans="39:41" ht="12" customHeight="1" x14ac:dyDescent="0.2">
      <c r="AM9854" t="str">
        <f t="shared" si="154"/>
        <v>Moravia [USQOR]</v>
      </c>
      <c r="AN9854" t="s">
        <v>30657</v>
      </c>
      <c r="AO9854" t="s">
        <v>6597</v>
      </c>
    </row>
    <row r="9855" spans="39:41" ht="12" customHeight="1" x14ac:dyDescent="0.2">
      <c r="AM9855" t="str">
        <f t="shared" si="154"/>
        <v>Moravicany [CZMOR]</v>
      </c>
      <c r="AN9855" t="s">
        <v>6891</v>
      </c>
      <c r="AO9855" t="s">
        <v>6892</v>
      </c>
    </row>
    <row r="9856" spans="39:41" ht="12" customHeight="1" x14ac:dyDescent="0.2">
      <c r="AM9856" t="str">
        <f t="shared" si="154"/>
        <v>Moravsky Pisek [CZMRA]</v>
      </c>
      <c r="AN9856" t="s">
        <v>6893</v>
      </c>
      <c r="AO9856" t="s">
        <v>6894</v>
      </c>
    </row>
    <row r="9857" spans="39:41" ht="12" customHeight="1" x14ac:dyDescent="0.2">
      <c r="AM9857" t="str">
        <f t="shared" si="154"/>
        <v>Morbi [INMOB]</v>
      </c>
      <c r="AN9857" t="s">
        <v>17314</v>
      </c>
      <c r="AO9857" t="s">
        <v>17315</v>
      </c>
    </row>
    <row r="9858" spans="39:41" ht="12" customHeight="1" x14ac:dyDescent="0.2">
      <c r="AM9858" t="str">
        <f t="shared" si="154"/>
        <v>Morbisch am See [ATMBS]</v>
      </c>
      <c r="AN9858" t="s">
        <v>1276</v>
      </c>
      <c r="AO9858" t="s">
        <v>1277</v>
      </c>
    </row>
    <row r="9859" spans="39:41" ht="12" customHeight="1" x14ac:dyDescent="0.2">
      <c r="AM9859" t="str">
        <f t="shared" si="154"/>
        <v>Morbylanga [SEMOR]</v>
      </c>
      <c r="AN9859" t="s">
        <v>27762</v>
      </c>
      <c r="AO9859" t="s">
        <v>36485</v>
      </c>
    </row>
    <row r="9860" spans="39:41" ht="12" customHeight="1" x14ac:dyDescent="0.2">
      <c r="AM9860" t="str">
        <f t="shared" si="154"/>
        <v>Mordialloc [AUMDC]</v>
      </c>
      <c r="AN9860" t="s">
        <v>1848</v>
      </c>
      <c r="AO9860" t="s">
        <v>1849</v>
      </c>
    </row>
    <row r="9861" spans="39:41" ht="12" customHeight="1" x14ac:dyDescent="0.2">
      <c r="AM9861" t="str">
        <f t="shared" si="154"/>
        <v>Morehead City [USMRH]</v>
      </c>
      <c r="AN9861" t="s">
        <v>30658</v>
      </c>
      <c r="AO9861" t="s">
        <v>30659</v>
      </c>
    </row>
    <row r="9862" spans="39:41" ht="12" customHeight="1" x14ac:dyDescent="0.2">
      <c r="AM9862" t="str">
        <f t="shared" si="154"/>
        <v>Morehouse [USYRE]</v>
      </c>
      <c r="AN9862" t="s">
        <v>30660</v>
      </c>
      <c r="AO9862" t="s">
        <v>30661</v>
      </c>
    </row>
    <row r="9863" spans="39:41" ht="12" customHeight="1" x14ac:dyDescent="0.2">
      <c r="AM9863" t="str">
        <f t="shared" si="154"/>
        <v>Moreland Hills [US9OH]</v>
      </c>
      <c r="AN9863" t="s">
        <v>30662</v>
      </c>
      <c r="AO9863" t="s">
        <v>30663</v>
      </c>
    </row>
    <row r="9864" spans="39:41" ht="12" customHeight="1" x14ac:dyDescent="0.2">
      <c r="AM9864" t="str">
        <f t="shared" si="154"/>
        <v>Moresby [GNSBY]</v>
      </c>
      <c r="AN9864" t="s">
        <v>15041</v>
      </c>
      <c r="AO9864" t="s">
        <v>15042</v>
      </c>
    </row>
    <row r="9865" spans="39:41" ht="12" customHeight="1" x14ac:dyDescent="0.2">
      <c r="AM9865" t="str">
        <f t="shared" si="154"/>
        <v>Moreton Valence [GBMVC]</v>
      </c>
      <c r="AN9865" t="s">
        <v>13866</v>
      </c>
      <c r="AO9865" t="s">
        <v>13867</v>
      </c>
    </row>
    <row r="9866" spans="39:41" ht="12" customHeight="1" x14ac:dyDescent="0.2">
      <c r="AM9866" t="str">
        <f t="shared" si="154"/>
        <v>Morfa Nefyn [GBMFN]</v>
      </c>
      <c r="AN9866" t="s">
        <v>13868</v>
      </c>
      <c r="AO9866" t="s">
        <v>13869</v>
      </c>
    </row>
    <row r="9867" spans="39:41" ht="12" customHeight="1" x14ac:dyDescent="0.2">
      <c r="AM9867" t="str">
        <f t="shared" si="154"/>
        <v>Morgans Point [USMPP]</v>
      </c>
      <c r="AN9867" t="s">
        <v>30664</v>
      </c>
      <c r="AO9867" t="s">
        <v>30665</v>
      </c>
    </row>
    <row r="9868" spans="39:41" ht="12" customHeight="1" x14ac:dyDescent="0.2">
      <c r="AM9868" t="str">
        <f t="shared" si="154"/>
        <v>Mori [JPMOR]</v>
      </c>
      <c r="AN9868" t="s">
        <v>20010</v>
      </c>
      <c r="AO9868" t="s">
        <v>20011</v>
      </c>
    </row>
    <row r="9869" spans="39:41" ht="12" customHeight="1" x14ac:dyDescent="0.2">
      <c r="AM9869" t="str">
        <f t="shared" si="154"/>
        <v>Moriage [JPMRG]</v>
      </c>
      <c r="AN9869" t="s">
        <v>20012</v>
      </c>
      <c r="AO9869" t="s">
        <v>20013</v>
      </c>
    </row>
    <row r="9870" spans="39:41" ht="12" customHeight="1" x14ac:dyDescent="0.2">
      <c r="AM9870" t="str">
        <f t="shared" si="154"/>
        <v>Morie [JPMOO]</v>
      </c>
      <c r="AN9870" t="s">
        <v>20014</v>
      </c>
      <c r="AO9870" t="s">
        <v>20015</v>
      </c>
    </row>
    <row r="9871" spans="39:41" ht="12" customHeight="1" x14ac:dyDescent="0.2">
      <c r="AM9871" t="str">
        <f t="shared" si="154"/>
        <v>Morinohama [JPMRH]</v>
      </c>
      <c r="AN9871" t="s">
        <v>20016</v>
      </c>
      <c r="AO9871" t="s">
        <v>20017</v>
      </c>
    </row>
    <row r="9872" spans="39:41" ht="12" customHeight="1" x14ac:dyDescent="0.2">
      <c r="AM9872" t="str">
        <f t="shared" si="154"/>
        <v>Morlaix [FRMXN]</v>
      </c>
      <c r="AN9872" t="s">
        <v>11707</v>
      </c>
      <c r="AO9872" t="s">
        <v>11708</v>
      </c>
    </row>
    <row r="9873" spans="39:41" ht="12" customHeight="1" x14ac:dyDescent="0.2">
      <c r="AM9873" t="str">
        <f t="shared" si="154"/>
        <v>Mornimont [BEMRO]</v>
      </c>
      <c r="AN9873" t="s">
        <v>2754</v>
      </c>
      <c r="AO9873" t="s">
        <v>2755</v>
      </c>
    </row>
    <row r="9874" spans="39:41" ht="12" customHeight="1" x14ac:dyDescent="0.2">
      <c r="AM9874" t="str">
        <f t="shared" si="154"/>
        <v>Mornopo [IDMOR]</v>
      </c>
      <c r="AN9874" t="s">
        <v>16424</v>
      </c>
      <c r="AO9874" t="s">
        <v>16425</v>
      </c>
    </row>
    <row r="9875" spans="39:41" ht="12" customHeight="1" x14ac:dyDescent="0.2">
      <c r="AM9875" t="str">
        <f t="shared" si="154"/>
        <v>Morodomi [JPMOM]</v>
      </c>
      <c r="AN9875" t="s">
        <v>20018</v>
      </c>
      <c r="AO9875" t="s">
        <v>20019</v>
      </c>
    </row>
    <row r="9876" spans="39:41" ht="12" customHeight="1" x14ac:dyDescent="0.2">
      <c r="AM9876" t="str">
        <f t="shared" si="154"/>
        <v>Morombe [MGMXM]</v>
      </c>
      <c r="AN9876" t="s">
        <v>22140</v>
      </c>
      <c r="AO9876" t="s">
        <v>22141</v>
      </c>
    </row>
    <row r="9877" spans="39:41" ht="12" customHeight="1" x14ac:dyDescent="0.2">
      <c r="AM9877" t="str">
        <f t="shared" si="154"/>
        <v>Morondava [MGMOQ]</v>
      </c>
      <c r="AN9877" t="s">
        <v>22142</v>
      </c>
      <c r="AO9877" t="s">
        <v>22143</v>
      </c>
    </row>
    <row r="9878" spans="39:41" ht="12" customHeight="1" x14ac:dyDescent="0.2">
      <c r="AM9878" t="str">
        <f t="shared" si="154"/>
        <v>Morong/Mariveles [PHMOR]</v>
      </c>
      <c r="AN9878" t="s">
        <v>25971</v>
      </c>
      <c r="AO9878" t="s">
        <v>25972</v>
      </c>
    </row>
    <row r="9879" spans="39:41" ht="12" customHeight="1" x14ac:dyDescent="0.2">
      <c r="AM9879" t="str">
        <f t="shared" si="154"/>
        <v>Moroni [KMYVA]</v>
      </c>
      <c r="AN9879" t="s">
        <v>21569</v>
      </c>
      <c r="AO9879" t="s">
        <v>21570</v>
      </c>
    </row>
    <row r="9880" spans="39:41" ht="12" customHeight="1" x14ac:dyDescent="0.2">
      <c r="AM9880" t="str">
        <f t="shared" si="154"/>
        <v>Morowali [IDMOW]</v>
      </c>
      <c r="AN9880" t="s">
        <v>16426</v>
      </c>
      <c r="AO9880" t="s">
        <v>16427</v>
      </c>
    </row>
    <row r="9881" spans="39:41" ht="12" customHeight="1" x14ac:dyDescent="0.2">
      <c r="AM9881" t="str">
        <f t="shared" si="154"/>
        <v>Morozaki [JPMRZ]</v>
      </c>
      <c r="AN9881" t="s">
        <v>20020</v>
      </c>
      <c r="AO9881" t="s">
        <v>20021</v>
      </c>
    </row>
    <row r="9882" spans="39:41" ht="12" customHeight="1" x14ac:dyDescent="0.2">
      <c r="AM9882" t="str">
        <f t="shared" si="154"/>
        <v>Morrisburg [CAMOB]</v>
      </c>
      <c r="AN9882" t="s">
        <v>4129</v>
      </c>
      <c r="AO9882" t="s">
        <v>4130</v>
      </c>
    </row>
    <row r="9883" spans="39:41" ht="12" customHeight="1" x14ac:dyDescent="0.2">
      <c r="AM9883" t="str">
        <f t="shared" si="154"/>
        <v>Morrisonville [USM5V]</v>
      </c>
      <c r="AN9883" t="s">
        <v>30666</v>
      </c>
      <c r="AO9883" t="s">
        <v>30667</v>
      </c>
    </row>
    <row r="9884" spans="39:41" ht="12" customHeight="1" x14ac:dyDescent="0.2">
      <c r="AM9884" t="str">
        <f t="shared" si="154"/>
        <v>Morristown [USMRT]</v>
      </c>
      <c r="AN9884" t="s">
        <v>30668</v>
      </c>
      <c r="AO9884" t="s">
        <v>30669</v>
      </c>
    </row>
    <row r="9885" spans="39:41" ht="12" customHeight="1" x14ac:dyDescent="0.2">
      <c r="AM9885" t="str">
        <f t="shared" si="154"/>
        <v>Morro del Jable [ESCUT]</v>
      </c>
      <c r="AN9885" t="s">
        <v>36912</v>
      </c>
      <c r="AO9885" t="s">
        <v>36913</v>
      </c>
    </row>
    <row r="9886" spans="39:41" ht="12" customHeight="1" x14ac:dyDescent="0.2">
      <c r="AM9886" t="str">
        <f t="shared" si="154"/>
        <v>Morro Redondo [MXMRE]</v>
      </c>
      <c r="AN9886" t="s">
        <v>22399</v>
      </c>
      <c r="AO9886" t="s">
        <v>22400</v>
      </c>
    </row>
    <row r="9887" spans="39:41" ht="12" customHeight="1" x14ac:dyDescent="0.2">
      <c r="AM9887" t="str">
        <f t="shared" si="154"/>
        <v>Morrumbene [MZMOR]</v>
      </c>
      <c r="AN9887" t="s">
        <v>22858</v>
      </c>
      <c r="AO9887" t="s">
        <v>22859</v>
      </c>
    </row>
    <row r="9888" spans="39:41" ht="12" customHeight="1" x14ac:dyDescent="0.2">
      <c r="AM9888" t="str">
        <f t="shared" si="154"/>
        <v>Morsang-sur-Seine [FRGSU]</v>
      </c>
      <c r="AN9888" t="s">
        <v>11709</v>
      </c>
      <c r="AO9888" t="s">
        <v>11710</v>
      </c>
    </row>
    <row r="9889" spans="39:41" ht="12" customHeight="1" x14ac:dyDescent="0.2">
      <c r="AM9889" t="str">
        <f t="shared" si="154"/>
        <v>Morston [GBMRS]</v>
      </c>
      <c r="AN9889" t="s">
        <v>13870</v>
      </c>
      <c r="AO9889" t="s">
        <v>13871</v>
      </c>
    </row>
    <row r="9890" spans="39:41" ht="12" customHeight="1" x14ac:dyDescent="0.2">
      <c r="AM9890" t="str">
        <f t="shared" si="154"/>
        <v>Morsvikbotn [NOMOR]</v>
      </c>
      <c r="AN9890" t="s">
        <v>24518</v>
      </c>
      <c r="AO9890" t="s">
        <v>36256</v>
      </c>
    </row>
    <row r="9891" spans="39:41" ht="12" customHeight="1" x14ac:dyDescent="0.2">
      <c r="AM9891" t="str">
        <f t="shared" si="154"/>
        <v>Morvin [XZMVI]</v>
      </c>
      <c r="AN9891" t="s">
        <v>32588</v>
      </c>
      <c r="AO9891" t="s">
        <v>32589</v>
      </c>
    </row>
    <row r="9892" spans="39:41" ht="12" customHeight="1" x14ac:dyDescent="0.2">
      <c r="AM9892" t="str">
        <f t="shared" si="154"/>
        <v>Moscenicka Draga [HRMOD]</v>
      </c>
      <c r="AN9892" t="s">
        <v>15824</v>
      </c>
      <c r="AO9892" t="s">
        <v>15825</v>
      </c>
    </row>
    <row r="9893" spans="39:41" ht="12" customHeight="1" x14ac:dyDescent="0.2">
      <c r="AM9893" t="str">
        <f t="shared" si="154"/>
        <v>Moscow [USMW3]</v>
      </c>
      <c r="AN9893" t="s">
        <v>30670</v>
      </c>
      <c r="AO9893" t="s">
        <v>30671</v>
      </c>
    </row>
    <row r="9894" spans="39:41" ht="12" customHeight="1" x14ac:dyDescent="0.2">
      <c r="AM9894" t="str">
        <f t="shared" si="154"/>
        <v>Mosfellsbaer [ISMOS]</v>
      </c>
      <c r="AN9894" t="s">
        <v>17738</v>
      </c>
      <c r="AO9894" t="s">
        <v>17739</v>
      </c>
    </row>
    <row r="9895" spans="39:41" ht="12" customHeight="1" x14ac:dyDescent="0.2">
      <c r="AM9895" t="str">
        <f t="shared" si="154"/>
        <v>Mosier [USYMR]</v>
      </c>
      <c r="AN9895" t="s">
        <v>30672</v>
      </c>
      <c r="AO9895" t="s">
        <v>30673</v>
      </c>
    </row>
    <row r="9896" spans="39:41" ht="12" customHeight="1" x14ac:dyDescent="0.2">
      <c r="AM9896" t="str">
        <f t="shared" si="154"/>
        <v>Mosinee [USINX]</v>
      </c>
      <c r="AN9896" t="s">
        <v>30674</v>
      </c>
      <c r="AO9896" t="s">
        <v>30675</v>
      </c>
    </row>
    <row r="9897" spans="39:41" ht="12" customHeight="1" x14ac:dyDescent="0.2">
      <c r="AM9897" t="str">
        <f t="shared" si="154"/>
        <v>Mosjoen [NOMJF]</v>
      </c>
      <c r="AN9897" t="s">
        <v>24519</v>
      </c>
      <c r="AO9897" t="s">
        <v>36257</v>
      </c>
    </row>
    <row r="9898" spans="39:41" ht="12" customHeight="1" x14ac:dyDescent="0.2">
      <c r="AM9898" t="str">
        <f t="shared" si="154"/>
        <v>Moskalvo [RUMVO]</v>
      </c>
      <c r="AN9898" t="s">
        <v>27097</v>
      </c>
      <c r="AO9898" t="s">
        <v>27098</v>
      </c>
    </row>
    <row r="9899" spans="39:41" ht="12" customHeight="1" x14ac:dyDescent="0.2">
      <c r="AM9899" t="str">
        <f t="shared" si="154"/>
        <v>Moskenes [NOMSK]</v>
      </c>
      <c r="AN9899" t="s">
        <v>24520</v>
      </c>
      <c r="AO9899" t="s">
        <v>24521</v>
      </c>
    </row>
    <row r="9900" spans="39:41" ht="12" customHeight="1" x14ac:dyDescent="0.2">
      <c r="AM9900" t="str">
        <f t="shared" si="154"/>
        <v>Moskva [RUMOW]</v>
      </c>
      <c r="AN9900" t="s">
        <v>27099</v>
      </c>
      <c r="AO9900" t="s">
        <v>27100</v>
      </c>
    </row>
    <row r="9901" spans="39:41" ht="12" customHeight="1" x14ac:dyDescent="0.2">
      <c r="AM9901" t="str">
        <f t="shared" si="154"/>
        <v>Moss [NOMSS]</v>
      </c>
      <c r="AN9901" t="s">
        <v>24522</v>
      </c>
      <c r="AO9901" t="s">
        <v>24523</v>
      </c>
    </row>
    <row r="9902" spans="39:41" ht="12" customHeight="1" x14ac:dyDescent="0.2">
      <c r="AM9902" t="str">
        <f t="shared" si="154"/>
        <v>Mossaka [CGMOS]</v>
      </c>
      <c r="AN9902" t="s">
        <v>4635</v>
      </c>
      <c r="AO9902" t="s">
        <v>4636</v>
      </c>
    </row>
    <row r="9903" spans="39:41" ht="12" customHeight="1" x14ac:dyDescent="0.2">
      <c r="AM9903" t="str">
        <f t="shared" si="154"/>
        <v>Mossel Bay [ZAMZY]</v>
      </c>
      <c r="AN9903" t="s">
        <v>32711</v>
      </c>
      <c r="AO9903" t="s">
        <v>32712</v>
      </c>
    </row>
    <row r="9904" spans="39:41" ht="12" customHeight="1" x14ac:dyDescent="0.2">
      <c r="AM9904" t="str">
        <f t="shared" si="154"/>
        <v>Mossmoran [GBMMR]</v>
      </c>
      <c r="AN9904" t="s">
        <v>13872</v>
      </c>
      <c r="AO9904" t="s">
        <v>13873</v>
      </c>
    </row>
    <row r="9905" spans="39:41" ht="12" customHeight="1" x14ac:dyDescent="0.2">
      <c r="AM9905" t="str">
        <f t="shared" si="154"/>
        <v>Mostaganem [DZMOS]</v>
      </c>
      <c r="AN9905" t="s">
        <v>9064</v>
      </c>
      <c r="AO9905" t="s">
        <v>9065</v>
      </c>
    </row>
    <row r="9906" spans="39:41" ht="12" customHeight="1" x14ac:dyDescent="0.2">
      <c r="AM9906" t="str">
        <f t="shared" ref="AM9906:AM9969" si="155">AO9906 &amp; " [" &amp; AN9906 &amp; "]"</f>
        <v>Mosterhamn [NOMOS]</v>
      </c>
      <c r="AN9906" t="s">
        <v>24524</v>
      </c>
      <c r="AO9906" t="s">
        <v>24525</v>
      </c>
    </row>
    <row r="9907" spans="39:41" ht="12" customHeight="1" x14ac:dyDescent="0.2">
      <c r="AM9907" t="str">
        <f t="shared" si="155"/>
        <v>Mostyn [GBCHE]</v>
      </c>
      <c r="AN9907" t="s">
        <v>13874</v>
      </c>
      <c r="AO9907" t="s">
        <v>13875</v>
      </c>
    </row>
    <row r="9908" spans="39:41" ht="12" customHeight="1" x14ac:dyDescent="0.2">
      <c r="AM9908" t="str">
        <f t="shared" si="155"/>
        <v>Mosul (Ak Mawsil) [IQOSM]</v>
      </c>
      <c r="AN9908" t="s">
        <v>17574</v>
      </c>
      <c r="AO9908" t="s">
        <v>17575</v>
      </c>
    </row>
    <row r="9909" spans="39:41" ht="12" customHeight="1" x14ac:dyDescent="0.2">
      <c r="AM9909" t="str">
        <f t="shared" si="155"/>
        <v>Mosvik [NOMSV]</v>
      </c>
      <c r="AN9909" t="s">
        <v>24526</v>
      </c>
      <c r="AO9909" t="s">
        <v>24527</v>
      </c>
    </row>
    <row r="9910" spans="39:41" ht="12" customHeight="1" x14ac:dyDescent="0.2">
      <c r="AM9910" t="str">
        <f t="shared" si="155"/>
        <v>Motobu [JPMBT]</v>
      </c>
      <c r="AN9910" t="s">
        <v>20022</v>
      </c>
      <c r="AO9910" t="s">
        <v>20023</v>
      </c>
    </row>
    <row r="9911" spans="39:41" ht="12" customHeight="1" x14ac:dyDescent="0.2">
      <c r="AM9911" t="str">
        <f t="shared" si="155"/>
        <v>Motomachi [JPMOT]</v>
      </c>
      <c r="AN9911" t="s">
        <v>20024</v>
      </c>
      <c r="AO9911" t="s">
        <v>20025</v>
      </c>
    </row>
    <row r="9912" spans="39:41" ht="12" customHeight="1" x14ac:dyDescent="0.2">
      <c r="AM9912" t="str">
        <f t="shared" si="155"/>
        <v>Motoura/Azuma [JPMTO]</v>
      </c>
      <c r="AN9912" t="s">
        <v>20026</v>
      </c>
      <c r="AO9912" t="s">
        <v>20027</v>
      </c>
    </row>
    <row r="9913" spans="39:41" ht="12" customHeight="1" x14ac:dyDescent="0.2">
      <c r="AM9913" t="str">
        <f t="shared" si="155"/>
        <v>Motoura/Toshima [JPMOU]</v>
      </c>
      <c r="AN9913" t="s">
        <v>20028</v>
      </c>
      <c r="AO9913" t="s">
        <v>20029</v>
      </c>
    </row>
    <row r="9914" spans="39:41" ht="12" customHeight="1" x14ac:dyDescent="0.2">
      <c r="AM9914" t="str">
        <f t="shared" si="155"/>
        <v>Motozaru [JPMZR]</v>
      </c>
      <c r="AN9914" t="s">
        <v>20030</v>
      </c>
      <c r="AO9914" t="s">
        <v>20031</v>
      </c>
    </row>
    <row r="9915" spans="39:41" ht="12" customHeight="1" x14ac:dyDescent="0.2">
      <c r="AM9915" t="str">
        <f t="shared" si="155"/>
        <v>Motrico (Mutriku) [ESMTU]</v>
      </c>
      <c r="AN9915" t="s">
        <v>9975</v>
      </c>
      <c r="AO9915" t="s">
        <v>9976</v>
      </c>
    </row>
    <row r="9916" spans="39:41" ht="12" customHeight="1" x14ac:dyDescent="0.2">
      <c r="AM9916" t="str">
        <f t="shared" si="155"/>
        <v>Motril [ESMOT]</v>
      </c>
      <c r="AN9916" t="s">
        <v>9977</v>
      </c>
      <c r="AO9916" t="s">
        <v>9978</v>
      </c>
    </row>
    <row r="9917" spans="39:41" ht="12" customHeight="1" x14ac:dyDescent="0.2">
      <c r="AM9917" t="str">
        <f t="shared" si="155"/>
        <v>Motukea Island [PGMTK]</v>
      </c>
      <c r="AN9917" t="s">
        <v>25440</v>
      </c>
      <c r="AO9917" t="s">
        <v>25441</v>
      </c>
    </row>
    <row r="9918" spans="39:41" ht="12" customHeight="1" x14ac:dyDescent="0.2">
      <c r="AM9918" t="str">
        <f t="shared" si="155"/>
        <v>Motzen [DEMOZ]</v>
      </c>
      <c r="AN9918" t="s">
        <v>34321</v>
      </c>
      <c r="AO9918" t="s">
        <v>34311</v>
      </c>
    </row>
    <row r="9919" spans="39:41" ht="12" customHeight="1" x14ac:dyDescent="0.2">
      <c r="AM9919" t="str">
        <f t="shared" si="155"/>
        <v>Moudhros [GRMDR]</v>
      </c>
      <c r="AN9919" t="s">
        <v>15372</v>
      </c>
      <c r="AO9919" t="s">
        <v>35938</v>
      </c>
    </row>
    <row r="9920" spans="39:41" ht="12" customHeight="1" x14ac:dyDescent="0.2">
      <c r="AM9920" t="str">
        <f t="shared" si="155"/>
        <v>Moudi Terminal [CMMOU]</v>
      </c>
      <c r="AN9920" t="s">
        <v>5012</v>
      </c>
      <c r="AO9920" t="s">
        <v>5013</v>
      </c>
    </row>
    <row r="9921" spans="39:41" ht="12" customHeight="1" x14ac:dyDescent="0.2">
      <c r="AM9921" t="str">
        <f t="shared" si="155"/>
        <v>Mould Bay [CAYMD]</v>
      </c>
      <c r="AN9921" t="s">
        <v>4131</v>
      </c>
      <c r="AO9921" t="s">
        <v>4132</v>
      </c>
    </row>
    <row r="9922" spans="39:41" ht="12" customHeight="1" x14ac:dyDescent="0.2">
      <c r="AM9922" t="str">
        <f t="shared" si="155"/>
        <v>Moulle [FRMJU]</v>
      </c>
      <c r="AN9922" t="s">
        <v>11711</v>
      </c>
      <c r="AO9922" t="s">
        <v>11712</v>
      </c>
    </row>
    <row r="9923" spans="39:41" ht="12" customHeight="1" x14ac:dyDescent="0.2">
      <c r="AM9923" t="str">
        <f t="shared" si="155"/>
        <v>Mound House [USXZS]</v>
      </c>
      <c r="AN9923" t="s">
        <v>30676</v>
      </c>
      <c r="AO9923" t="s">
        <v>30677</v>
      </c>
    </row>
    <row r="9924" spans="39:41" ht="12" customHeight="1" x14ac:dyDescent="0.2">
      <c r="AM9924" t="str">
        <f t="shared" si="155"/>
        <v>Mount Carmel [USMTK]</v>
      </c>
      <c r="AN9924" t="s">
        <v>30678</v>
      </c>
      <c r="AO9924" t="s">
        <v>30679</v>
      </c>
    </row>
    <row r="9925" spans="39:41" ht="12" customHeight="1" x14ac:dyDescent="0.2">
      <c r="AM9925" t="str">
        <f t="shared" si="155"/>
        <v>Mount Edgecombe [ZAEDG]</v>
      </c>
      <c r="AN9925" t="s">
        <v>32713</v>
      </c>
      <c r="AO9925" t="s">
        <v>32714</v>
      </c>
    </row>
    <row r="9926" spans="39:41" ht="12" customHeight="1" x14ac:dyDescent="0.2">
      <c r="AM9926" t="str">
        <f t="shared" si="155"/>
        <v>Mount Gilead [USMGQ]</v>
      </c>
      <c r="AN9926" t="s">
        <v>30680</v>
      </c>
      <c r="AO9926" t="s">
        <v>30681</v>
      </c>
    </row>
    <row r="9927" spans="39:41" ht="12" customHeight="1" x14ac:dyDescent="0.2">
      <c r="AM9927" t="str">
        <f t="shared" si="155"/>
        <v>Mount Gravatt [AUMGE]</v>
      </c>
      <c r="AN9927" t="s">
        <v>1850</v>
      </c>
      <c r="AO9927" t="s">
        <v>1851</v>
      </c>
    </row>
    <row r="9928" spans="39:41" ht="12" customHeight="1" x14ac:dyDescent="0.2">
      <c r="AM9928" t="str">
        <f t="shared" si="155"/>
        <v>Mount Hawthorn [AUMHW]</v>
      </c>
      <c r="AN9928" t="s">
        <v>1852</v>
      </c>
      <c r="AO9928" t="s">
        <v>1853</v>
      </c>
    </row>
    <row r="9929" spans="39:41" ht="12" customHeight="1" x14ac:dyDescent="0.2">
      <c r="AM9929" t="str">
        <f t="shared" si="155"/>
        <v>Mount Holly Springs [USQHS]</v>
      </c>
      <c r="AN9929" t="s">
        <v>30682</v>
      </c>
      <c r="AO9929" t="s">
        <v>30683</v>
      </c>
    </row>
    <row r="9930" spans="39:41" ht="12" customHeight="1" x14ac:dyDescent="0.2">
      <c r="AM9930" t="str">
        <f t="shared" si="155"/>
        <v>Mount Vernon [USYMV]</v>
      </c>
      <c r="AN9930" t="s">
        <v>30684</v>
      </c>
      <c r="AO9930" t="s">
        <v>30685</v>
      </c>
    </row>
    <row r="9931" spans="39:41" ht="12" customHeight="1" x14ac:dyDescent="0.2">
      <c r="AM9931" t="str">
        <f t="shared" si="155"/>
        <v>Mountain [USMU4]</v>
      </c>
      <c r="AN9931" t="s">
        <v>30686</v>
      </c>
      <c r="AO9931" t="s">
        <v>30687</v>
      </c>
    </row>
    <row r="9932" spans="39:41" ht="12" customHeight="1" x14ac:dyDescent="0.2">
      <c r="AM9932" t="str">
        <f t="shared" si="155"/>
        <v>Mouping [CNLPG]</v>
      </c>
      <c r="AN9932" t="s">
        <v>5761</v>
      </c>
      <c r="AO9932" t="s">
        <v>5762</v>
      </c>
    </row>
    <row r="9933" spans="39:41" ht="12" customHeight="1" x14ac:dyDescent="0.2">
      <c r="AM9933" t="str">
        <f t="shared" si="155"/>
        <v>Moupingyangmadao [CNMYM]</v>
      </c>
      <c r="AN9933" t="s">
        <v>5763</v>
      </c>
      <c r="AO9933" t="s">
        <v>5764</v>
      </c>
    </row>
    <row r="9934" spans="39:41" ht="12" customHeight="1" x14ac:dyDescent="0.2">
      <c r="AM9934" t="str">
        <f t="shared" si="155"/>
        <v>Mourilyan [AUMOU]</v>
      </c>
      <c r="AN9934" t="s">
        <v>1854</v>
      </c>
      <c r="AO9934" t="s">
        <v>1855</v>
      </c>
    </row>
    <row r="9935" spans="39:41" ht="12" customHeight="1" x14ac:dyDescent="0.2">
      <c r="AM9935" t="str">
        <f t="shared" si="155"/>
        <v>Mousehole [GBMSH]</v>
      </c>
      <c r="AN9935" t="s">
        <v>13876</v>
      </c>
      <c r="AO9935" t="s">
        <v>13877</v>
      </c>
    </row>
    <row r="9936" spans="39:41" ht="12" customHeight="1" x14ac:dyDescent="0.2">
      <c r="AM9936" t="str">
        <f t="shared" si="155"/>
        <v>Moutsouna [GRMOU]</v>
      </c>
      <c r="AN9936" t="s">
        <v>15373</v>
      </c>
      <c r="AO9936" t="s">
        <v>35939</v>
      </c>
    </row>
    <row r="9937" spans="39:41" ht="12" customHeight="1" x14ac:dyDescent="0.2">
      <c r="AM9937" t="str">
        <f t="shared" si="155"/>
        <v>Mouy-sur-Seine [FRYUS]</v>
      </c>
      <c r="AN9937" t="s">
        <v>11713</v>
      </c>
      <c r="AO9937" t="s">
        <v>11714</v>
      </c>
    </row>
    <row r="9938" spans="39:41" ht="12" customHeight="1" x14ac:dyDescent="0.2">
      <c r="AM9938" t="str">
        <f t="shared" si="155"/>
        <v>Moville [IEMOV]</v>
      </c>
      <c r="AN9938" t="s">
        <v>16872</v>
      </c>
      <c r="AO9938" t="s">
        <v>16873</v>
      </c>
    </row>
    <row r="9939" spans="39:41" ht="12" customHeight="1" x14ac:dyDescent="0.2">
      <c r="AM9939" t="str">
        <f t="shared" si="155"/>
        <v>Mowbray Heights [AUMOW]</v>
      </c>
      <c r="AN9939" t="s">
        <v>1856</v>
      </c>
      <c r="AO9939" t="s">
        <v>1857</v>
      </c>
    </row>
    <row r="9940" spans="39:41" ht="12" customHeight="1" x14ac:dyDescent="0.2">
      <c r="AM9940" t="str">
        <f t="shared" si="155"/>
        <v>Moyencourt [FRMYK]</v>
      </c>
      <c r="AN9940" t="s">
        <v>11715</v>
      </c>
      <c r="AO9940" t="s">
        <v>11716</v>
      </c>
    </row>
    <row r="9941" spans="39:41" ht="12" customHeight="1" x14ac:dyDescent="0.2">
      <c r="AM9941" t="str">
        <f t="shared" si="155"/>
        <v>Mozoncillo [ESMCZ]</v>
      </c>
      <c r="AN9941" t="s">
        <v>9979</v>
      </c>
      <c r="AO9941" t="s">
        <v>9980</v>
      </c>
    </row>
    <row r="9942" spans="39:41" ht="12" customHeight="1" x14ac:dyDescent="0.2">
      <c r="AM9942" t="str">
        <f t="shared" si="155"/>
        <v>Mrzezyno [PLMRE]</v>
      </c>
      <c r="AN9942" t="s">
        <v>26348</v>
      </c>
      <c r="AO9942" t="s">
        <v>26349</v>
      </c>
    </row>
    <row r="9943" spans="39:41" ht="12" customHeight="1" x14ac:dyDescent="0.2">
      <c r="AM9943" t="str">
        <f t="shared" si="155"/>
        <v>Mtsora [TZMTS]</v>
      </c>
      <c r="AN9943" t="s">
        <v>28724</v>
      </c>
      <c r="AO9943" t="s">
        <v>28725</v>
      </c>
    </row>
    <row r="9944" spans="39:41" ht="12" customHeight="1" x14ac:dyDescent="0.2">
      <c r="AM9944" t="str">
        <f t="shared" si="155"/>
        <v>Mtwara [TZMYW]</v>
      </c>
      <c r="AN9944" t="s">
        <v>28726</v>
      </c>
      <c r="AO9944" t="s">
        <v>28727</v>
      </c>
    </row>
    <row r="9945" spans="39:41" ht="12" customHeight="1" x14ac:dyDescent="0.2">
      <c r="AM9945" t="str">
        <f t="shared" si="155"/>
        <v>Muar [MYMUA]</v>
      </c>
      <c r="AN9945" t="s">
        <v>22659</v>
      </c>
      <c r="AO9945" t="s">
        <v>22660</v>
      </c>
    </row>
    <row r="9946" spans="39:41" ht="12" customHeight="1" x14ac:dyDescent="0.2">
      <c r="AM9946" t="str">
        <f t="shared" si="155"/>
        <v>Muara [BNMUA]</v>
      </c>
      <c r="AN9946" t="s">
        <v>3216</v>
      </c>
      <c r="AO9946" t="s">
        <v>3217</v>
      </c>
    </row>
    <row r="9947" spans="39:41" ht="12" customHeight="1" x14ac:dyDescent="0.2">
      <c r="AM9947" t="str">
        <f t="shared" si="155"/>
        <v>Muara Bangkong [IDMBK]</v>
      </c>
      <c r="AN9947" t="s">
        <v>16428</v>
      </c>
      <c r="AO9947" t="s">
        <v>16429</v>
      </c>
    </row>
    <row r="9948" spans="39:41" ht="12" customHeight="1" x14ac:dyDescent="0.2">
      <c r="AM9948" t="str">
        <f t="shared" si="155"/>
        <v>Muara Berau [IDMUB]</v>
      </c>
      <c r="AN9948" t="s">
        <v>16430</v>
      </c>
      <c r="AO9948" t="s">
        <v>16431</v>
      </c>
    </row>
    <row r="9949" spans="39:41" ht="12" customHeight="1" x14ac:dyDescent="0.2">
      <c r="AM9949" t="str">
        <f t="shared" si="155"/>
        <v>Muara Djawa [IDMUD]</v>
      </c>
      <c r="AN9949" t="s">
        <v>16432</v>
      </c>
      <c r="AO9949" t="s">
        <v>16433</v>
      </c>
    </row>
    <row r="9950" spans="39:41" ht="12" customHeight="1" x14ac:dyDescent="0.2">
      <c r="AM9950" t="str">
        <f t="shared" si="155"/>
        <v>Muara Pantai [IDMPN]</v>
      </c>
      <c r="AN9950" t="s">
        <v>16434</v>
      </c>
      <c r="AO9950" t="s">
        <v>16435</v>
      </c>
    </row>
    <row r="9951" spans="39:41" ht="12" customHeight="1" x14ac:dyDescent="0.2">
      <c r="AM9951" t="str">
        <f t="shared" si="155"/>
        <v>Muara Pegah [IDMUP]</v>
      </c>
      <c r="AN9951" t="s">
        <v>16436</v>
      </c>
      <c r="AO9951" t="s">
        <v>16437</v>
      </c>
    </row>
    <row r="9952" spans="39:41" ht="12" customHeight="1" x14ac:dyDescent="0.2">
      <c r="AM9952" t="str">
        <f t="shared" si="155"/>
        <v>Muara Sabak [IDMSK]</v>
      </c>
      <c r="AN9952" t="s">
        <v>16438</v>
      </c>
      <c r="AO9952" t="s">
        <v>16439</v>
      </c>
    </row>
    <row r="9953" spans="39:41" ht="12" customHeight="1" x14ac:dyDescent="0.2">
      <c r="AM9953" t="str">
        <f t="shared" si="155"/>
        <v>Muara Siberut [IDMSB]</v>
      </c>
      <c r="AN9953" t="s">
        <v>16440</v>
      </c>
      <c r="AO9953" t="s">
        <v>16441</v>
      </c>
    </row>
    <row r="9954" spans="39:41" ht="12" customHeight="1" x14ac:dyDescent="0.2">
      <c r="AM9954" t="str">
        <f t="shared" si="155"/>
        <v>Muara Teweh [IDMUW]</v>
      </c>
      <c r="AN9954" t="s">
        <v>16442</v>
      </c>
      <c r="AO9954" t="s">
        <v>16443</v>
      </c>
    </row>
    <row r="9955" spans="39:41" ht="12" customHeight="1" x14ac:dyDescent="0.2">
      <c r="AM9955" t="str">
        <f t="shared" si="155"/>
        <v>Muasdale [GBMUA]</v>
      </c>
      <c r="AN9955" t="s">
        <v>13878</v>
      </c>
      <c r="AO9955" t="s">
        <v>13879</v>
      </c>
    </row>
    <row r="9956" spans="39:41" ht="12" customHeight="1" x14ac:dyDescent="0.2">
      <c r="AM9956" t="str">
        <f t="shared" si="155"/>
        <v>Mubarek Terminal [AEMUB]</v>
      </c>
      <c r="AN9956" t="s">
        <v>757</v>
      </c>
      <c r="AO9956" t="s">
        <v>758</v>
      </c>
    </row>
    <row r="9957" spans="39:41" ht="12" customHeight="1" x14ac:dyDescent="0.2">
      <c r="AM9957" t="str">
        <f t="shared" si="155"/>
        <v>Mubarras Island [AEMBS]</v>
      </c>
      <c r="AN9957" t="s">
        <v>759</v>
      </c>
      <c r="AO9957" t="s">
        <v>760</v>
      </c>
    </row>
    <row r="9958" spans="39:41" ht="12" customHeight="1" x14ac:dyDescent="0.2">
      <c r="AM9958" t="str">
        <f t="shared" si="155"/>
        <v>Muda Marine Terminal [MYMUD]</v>
      </c>
      <c r="AN9958" t="s">
        <v>22661</v>
      </c>
      <c r="AO9958" t="s">
        <v>22662</v>
      </c>
    </row>
    <row r="9959" spans="39:41" ht="12" customHeight="1" x14ac:dyDescent="0.2">
      <c r="AM9959" t="str">
        <f t="shared" si="155"/>
        <v>Mudaison [FRMDA]</v>
      </c>
      <c r="AN9959" t="s">
        <v>11717</v>
      </c>
      <c r="AO9959" t="s">
        <v>11718</v>
      </c>
    </row>
    <row r="9960" spans="39:41" ht="12" customHeight="1" x14ac:dyDescent="0.2">
      <c r="AM9960" t="str">
        <f t="shared" si="155"/>
        <v>Mudanya [TRMUD]</v>
      </c>
      <c r="AN9960" t="s">
        <v>28555</v>
      </c>
      <c r="AO9960" t="s">
        <v>28556</v>
      </c>
    </row>
    <row r="9961" spans="39:41" ht="12" customHeight="1" x14ac:dyDescent="0.2">
      <c r="AM9961" t="str">
        <f t="shared" si="155"/>
        <v>Muelle de San Carlos [CRMUE]</v>
      </c>
      <c r="AN9961" t="s">
        <v>6598</v>
      </c>
      <c r="AO9961" t="s">
        <v>6599</v>
      </c>
    </row>
    <row r="9962" spans="39:41" ht="12" customHeight="1" x14ac:dyDescent="0.2">
      <c r="AM9962" t="str">
        <f t="shared" si="155"/>
        <v>Muggia [ITUGG]</v>
      </c>
      <c r="AN9962" t="s">
        <v>18103</v>
      </c>
      <c r="AO9962" t="s">
        <v>18104</v>
      </c>
    </row>
    <row r="9963" spans="39:41" ht="12" customHeight="1" x14ac:dyDescent="0.2">
      <c r="AM9963" t="str">
        <f t="shared" si="155"/>
        <v>Mugi [JPMUG]</v>
      </c>
      <c r="AN9963" t="s">
        <v>20032</v>
      </c>
      <c r="AO9963" t="s">
        <v>20033</v>
      </c>
    </row>
    <row r="9964" spans="39:41" ht="12" customHeight="1" x14ac:dyDescent="0.2">
      <c r="AM9964" t="str">
        <f t="shared" si="155"/>
        <v>Mugia [ESMGA]</v>
      </c>
      <c r="AN9964" t="s">
        <v>9981</v>
      </c>
      <c r="AO9964" t="s">
        <v>9982</v>
      </c>
    </row>
    <row r="9965" spans="39:41" ht="12" customHeight="1" x14ac:dyDescent="0.2">
      <c r="AM9965" t="str">
        <f t="shared" si="155"/>
        <v>Muglitztal [DEGL3]</v>
      </c>
      <c r="AN9965" t="s">
        <v>7941</v>
      </c>
      <c r="AO9965" t="s">
        <v>35472</v>
      </c>
    </row>
    <row r="9966" spans="39:41" ht="12" customHeight="1" x14ac:dyDescent="0.2">
      <c r="AM9966" t="str">
        <f t="shared" si="155"/>
        <v>Muhammad Bin Qasim/Karachi [PKBQM]</v>
      </c>
      <c r="AN9966" t="s">
        <v>26258</v>
      </c>
      <c r="AO9966" t="s">
        <v>26259</v>
      </c>
    </row>
    <row r="9967" spans="39:41" ht="12" customHeight="1" x14ac:dyDescent="0.2">
      <c r="AM9967" t="str">
        <f t="shared" si="155"/>
        <v>Muhlberg [DEMXB]</v>
      </c>
      <c r="AN9967" t="s">
        <v>7942</v>
      </c>
      <c r="AO9967" t="s">
        <v>35473</v>
      </c>
    </row>
    <row r="9968" spans="39:41" ht="12" customHeight="1" x14ac:dyDescent="0.2">
      <c r="AM9968" t="str">
        <f t="shared" si="155"/>
        <v>Muiden [NLMUD]</v>
      </c>
      <c r="AN9968" t="s">
        <v>23436</v>
      </c>
      <c r="AO9968" t="s">
        <v>23437</v>
      </c>
    </row>
    <row r="9969" spans="39:41" ht="12" customHeight="1" x14ac:dyDescent="0.2">
      <c r="AM9969" t="str">
        <f t="shared" si="155"/>
        <v>Muiderberg [NLMDG]</v>
      </c>
      <c r="AN9969" t="s">
        <v>23438</v>
      </c>
      <c r="AO9969" t="s">
        <v>23439</v>
      </c>
    </row>
    <row r="9970" spans="39:41" ht="12" customHeight="1" x14ac:dyDescent="0.2">
      <c r="AM9970" t="str">
        <f t="shared" ref="AM9970:AM10033" si="156">AO9970 &amp; " [" &amp; AN9970 &amp; "]"</f>
        <v>Muides-sur-Loire [FRKLU]</v>
      </c>
      <c r="AN9970" t="s">
        <v>11719</v>
      </c>
      <c r="AO9970" t="s">
        <v>11720</v>
      </c>
    </row>
    <row r="9971" spans="39:41" ht="12" customHeight="1" x14ac:dyDescent="0.2">
      <c r="AM9971" t="str">
        <f t="shared" si="156"/>
        <v>Muids [FRM75]</v>
      </c>
      <c r="AN9971" t="s">
        <v>35003</v>
      </c>
      <c r="AO9971" t="s">
        <v>35004</v>
      </c>
    </row>
    <row r="9972" spans="39:41" ht="12" customHeight="1" x14ac:dyDescent="0.2">
      <c r="AM9972" t="str">
        <f t="shared" si="156"/>
        <v>Muizen [BEMUI]</v>
      </c>
      <c r="AN9972" t="s">
        <v>2756</v>
      </c>
      <c r="AO9972" t="s">
        <v>2757</v>
      </c>
    </row>
    <row r="9973" spans="39:41" ht="12" customHeight="1" x14ac:dyDescent="0.2">
      <c r="AM9973" t="str">
        <f t="shared" si="156"/>
        <v>Mukah, Sarawak [MYMKM]</v>
      </c>
      <c r="AN9973" t="s">
        <v>22663</v>
      </c>
      <c r="AO9973" t="s">
        <v>22664</v>
      </c>
    </row>
    <row r="9974" spans="39:41" ht="12" customHeight="1" x14ac:dyDescent="0.2">
      <c r="AM9974" t="str">
        <f t="shared" si="156"/>
        <v>Mukaishima [JPMUK]</v>
      </c>
      <c r="AN9974" t="s">
        <v>20034</v>
      </c>
      <c r="AO9974" t="s">
        <v>20035</v>
      </c>
    </row>
    <row r="9975" spans="39:41" ht="12" customHeight="1" x14ac:dyDescent="0.2">
      <c r="AM9975" t="str">
        <f t="shared" si="156"/>
        <v>Mukalla [YEMKX]</v>
      </c>
      <c r="AN9975" t="s">
        <v>32648</v>
      </c>
      <c r="AO9975" t="s">
        <v>32649</v>
      </c>
    </row>
    <row r="9976" spans="39:41" ht="12" customHeight="1" x14ac:dyDescent="0.2">
      <c r="AM9976" t="str">
        <f t="shared" si="156"/>
        <v>Mukata [JPMKA]</v>
      </c>
      <c r="AN9976" t="s">
        <v>20036</v>
      </c>
      <c r="AO9976" t="s">
        <v>20037</v>
      </c>
    </row>
    <row r="9977" spans="39:41" ht="12" customHeight="1" x14ac:dyDescent="0.2">
      <c r="AM9977" t="str">
        <f t="shared" si="156"/>
        <v>Mukho/Donghae [KRMUK]</v>
      </c>
      <c r="AN9977" t="s">
        <v>21692</v>
      </c>
      <c r="AO9977" t="s">
        <v>21693</v>
      </c>
    </row>
    <row r="9978" spans="39:41" ht="12" customHeight="1" x14ac:dyDescent="0.2">
      <c r="AM9978" t="str">
        <f t="shared" si="156"/>
        <v>Mukilteo [USMKI]</v>
      </c>
      <c r="AN9978" t="s">
        <v>30688</v>
      </c>
      <c r="AO9978" t="s">
        <v>30689</v>
      </c>
    </row>
    <row r="9979" spans="39:41" ht="12" customHeight="1" x14ac:dyDescent="0.2">
      <c r="AM9979" t="str">
        <f t="shared" si="156"/>
        <v>Mukran [DEMUK]</v>
      </c>
      <c r="AN9979" t="s">
        <v>7943</v>
      </c>
      <c r="AO9979" t="s">
        <v>7944</v>
      </c>
    </row>
    <row r="9980" spans="39:41" ht="12" customHeight="1" x14ac:dyDescent="0.2">
      <c r="AM9980" t="str">
        <f t="shared" si="156"/>
        <v>Mukunoura [JPMKU]</v>
      </c>
      <c r="AN9980" t="s">
        <v>20038</v>
      </c>
      <c r="AO9980" t="s">
        <v>20039</v>
      </c>
    </row>
    <row r="9981" spans="39:41" ht="12" customHeight="1" x14ac:dyDescent="0.2">
      <c r="AM9981" t="str">
        <f t="shared" si="156"/>
        <v>Mukwonago [USMKZ]</v>
      </c>
      <c r="AN9981" t="s">
        <v>30690</v>
      </c>
      <c r="AO9981" t="s">
        <v>30691</v>
      </c>
    </row>
    <row r="9982" spans="39:41" ht="12" customHeight="1" x14ac:dyDescent="0.2">
      <c r="AM9982" t="str">
        <f t="shared" si="156"/>
        <v>Mul Dwarka [INMDK]</v>
      </c>
      <c r="AN9982" t="s">
        <v>17316</v>
      </c>
      <c r="AO9982" t="s">
        <v>36034</v>
      </c>
    </row>
    <row r="9983" spans="39:41" ht="12" customHeight="1" x14ac:dyDescent="0.2">
      <c r="AM9983" t="str">
        <f t="shared" si="156"/>
        <v>Mulanay/Siain [PHMUL]</v>
      </c>
      <c r="AN9983" t="s">
        <v>25973</v>
      </c>
      <c r="AO9983" t="s">
        <v>25974</v>
      </c>
    </row>
    <row r="9984" spans="39:41" ht="12" customHeight="1" x14ac:dyDescent="0.2">
      <c r="AM9984" t="str">
        <f t="shared" si="156"/>
        <v>Mulativu [LKMUL]</v>
      </c>
      <c r="AN9984" t="s">
        <v>21845</v>
      </c>
      <c r="AO9984" t="s">
        <v>21846</v>
      </c>
    </row>
    <row r="9985" spans="39:41" ht="12" customHeight="1" x14ac:dyDescent="0.2">
      <c r="AM9985" t="str">
        <f t="shared" si="156"/>
        <v>Mulcent [FRTXM]</v>
      </c>
      <c r="AN9985" t="s">
        <v>11721</v>
      </c>
      <c r="AO9985" t="s">
        <v>11722</v>
      </c>
    </row>
    <row r="9986" spans="39:41" ht="12" customHeight="1" x14ac:dyDescent="0.2">
      <c r="AM9986" t="str">
        <f t="shared" si="156"/>
        <v>Muldrow [USZMW]</v>
      </c>
      <c r="AN9986" t="s">
        <v>30692</v>
      </c>
      <c r="AO9986" t="s">
        <v>30693</v>
      </c>
    </row>
    <row r="9987" spans="39:41" ht="12" customHeight="1" x14ac:dyDescent="0.2">
      <c r="AM9987" t="str">
        <f t="shared" si="156"/>
        <v>Mulgrave [CAMUL]</v>
      </c>
      <c r="AN9987" t="s">
        <v>4133</v>
      </c>
      <c r="AO9987" t="s">
        <v>4134</v>
      </c>
    </row>
    <row r="9988" spans="39:41" ht="12" customHeight="1" x14ac:dyDescent="0.2">
      <c r="AM9988" t="str">
        <f t="shared" si="156"/>
        <v>Mulheim [DEMMO]</v>
      </c>
      <c r="AN9988" t="s">
        <v>7945</v>
      </c>
      <c r="AO9988" t="s">
        <v>35474</v>
      </c>
    </row>
    <row r="9989" spans="39:41" ht="12" customHeight="1" x14ac:dyDescent="0.2">
      <c r="AM9989" t="str">
        <f t="shared" si="156"/>
        <v>Mulheim an der Ruhr [DEMUH]</v>
      </c>
      <c r="AN9989" t="s">
        <v>7946</v>
      </c>
      <c r="AO9989" t="s">
        <v>35475</v>
      </c>
    </row>
    <row r="9990" spans="39:41" ht="12" customHeight="1" x14ac:dyDescent="0.2">
      <c r="AM9990" t="str">
        <f t="shared" si="156"/>
        <v>Mulhouse [FRMLH]</v>
      </c>
      <c r="AN9990" t="s">
        <v>11723</v>
      </c>
      <c r="AO9990" t="s">
        <v>11724</v>
      </c>
    </row>
    <row r="9991" spans="39:41" ht="12" customHeight="1" x14ac:dyDescent="0.2">
      <c r="AM9991" t="str">
        <f t="shared" si="156"/>
        <v>Mullion [GBMLI]</v>
      </c>
      <c r="AN9991" t="s">
        <v>13880</v>
      </c>
      <c r="AO9991" t="s">
        <v>13881</v>
      </c>
    </row>
    <row r="9992" spans="39:41" ht="12" customHeight="1" x14ac:dyDescent="0.2">
      <c r="AM9992" t="str">
        <f t="shared" si="156"/>
        <v>Mulsen [DEULS]</v>
      </c>
      <c r="AN9992" t="s">
        <v>7947</v>
      </c>
      <c r="AO9992" t="s">
        <v>7948</v>
      </c>
    </row>
    <row r="9993" spans="39:41" ht="12" customHeight="1" x14ac:dyDescent="0.2">
      <c r="AM9993" t="str">
        <f t="shared" si="156"/>
        <v>Multia [FIMUL]</v>
      </c>
      <c r="AN9993" t="s">
        <v>10469</v>
      </c>
      <c r="AO9993" t="s">
        <v>10470</v>
      </c>
    </row>
    <row r="9994" spans="39:41" ht="12" customHeight="1" x14ac:dyDescent="0.2">
      <c r="AM9994" t="str">
        <f t="shared" si="156"/>
        <v>Mulwala [AUMWA]</v>
      </c>
      <c r="AN9994" t="s">
        <v>1858</v>
      </c>
      <c r="AO9994" t="s">
        <v>1859</v>
      </c>
    </row>
    <row r="9995" spans="39:41" ht="12" customHeight="1" x14ac:dyDescent="0.2">
      <c r="AM9995" t="str">
        <f t="shared" si="156"/>
        <v>Mumbai (ex Bombay) [INBOM]</v>
      </c>
      <c r="AN9995" t="s">
        <v>17317</v>
      </c>
      <c r="AO9995" t="s">
        <v>17318</v>
      </c>
    </row>
    <row r="9996" spans="39:41" ht="12" customHeight="1" x14ac:dyDescent="0.2">
      <c r="AM9996" t="str">
        <f t="shared" si="156"/>
        <v>Muna na Zirju [HRMRJ]</v>
      </c>
      <c r="AN9996" t="s">
        <v>15826</v>
      </c>
      <c r="AO9996" t="s">
        <v>15827</v>
      </c>
    </row>
    <row r="9997" spans="39:41" ht="12" customHeight="1" x14ac:dyDescent="0.2">
      <c r="AM9997" t="str">
        <f t="shared" si="156"/>
        <v>Munalaiu [EEMUN]</v>
      </c>
      <c r="AN9997" t="s">
        <v>9262</v>
      </c>
      <c r="AO9997" t="s">
        <v>9263</v>
      </c>
    </row>
    <row r="9998" spans="39:41" ht="12" customHeight="1" x14ac:dyDescent="0.2">
      <c r="AM9998" t="str">
        <f t="shared" si="156"/>
        <v>Munchsdorf [DEM5B]</v>
      </c>
      <c r="AN9998" t="s">
        <v>7949</v>
      </c>
      <c r="AO9998" t="s">
        <v>7950</v>
      </c>
    </row>
    <row r="9999" spans="39:41" ht="12" customHeight="1" x14ac:dyDescent="0.2">
      <c r="AM9999" t="str">
        <f t="shared" si="156"/>
        <v>Mundra [INMUN]</v>
      </c>
      <c r="AN9999" t="s">
        <v>17319</v>
      </c>
      <c r="AO9999" t="s">
        <v>17320</v>
      </c>
    </row>
    <row r="10000" spans="39:41" ht="12" customHeight="1" x14ac:dyDescent="0.2">
      <c r="AM10000" t="str">
        <f t="shared" si="156"/>
        <v>Munger [INMUG]</v>
      </c>
      <c r="AN10000" t="s">
        <v>17321</v>
      </c>
      <c r="AO10000" t="s">
        <v>17322</v>
      </c>
    </row>
    <row r="10001" spans="39:41" ht="12" customHeight="1" x14ac:dyDescent="0.2">
      <c r="AM10001" t="str">
        <f t="shared" si="156"/>
        <v>Munguba [BRMGU]</v>
      </c>
      <c r="AN10001" t="s">
        <v>3344</v>
      </c>
      <c r="AO10001" t="s">
        <v>3345</v>
      </c>
    </row>
    <row r="10002" spans="39:41" ht="12" customHeight="1" x14ac:dyDescent="0.2">
      <c r="AM10002" t="str">
        <f t="shared" si="156"/>
        <v>Munguia [ESMUN]</v>
      </c>
      <c r="AN10002" t="s">
        <v>9983</v>
      </c>
      <c r="AO10002" t="s">
        <v>35681</v>
      </c>
    </row>
    <row r="10003" spans="39:41" ht="12" customHeight="1" x14ac:dyDescent="0.2">
      <c r="AM10003" t="str">
        <f t="shared" si="156"/>
        <v>Munkedalshamn [SEMDM]</v>
      </c>
      <c r="AN10003" t="s">
        <v>27763</v>
      </c>
      <c r="AO10003" t="s">
        <v>27764</v>
      </c>
    </row>
    <row r="10004" spans="39:41" ht="12" customHeight="1" x14ac:dyDescent="0.2">
      <c r="AM10004" t="str">
        <f t="shared" si="156"/>
        <v>Munksund [SEMUN]</v>
      </c>
      <c r="AN10004" t="s">
        <v>27765</v>
      </c>
      <c r="AO10004" t="s">
        <v>27766</v>
      </c>
    </row>
    <row r="10005" spans="39:41" ht="12" customHeight="1" x14ac:dyDescent="0.2">
      <c r="AM10005" t="str">
        <f t="shared" si="156"/>
        <v>Munnekeburen [NLMKE]</v>
      </c>
      <c r="AN10005" t="s">
        <v>23440</v>
      </c>
      <c r="AO10005" t="s">
        <v>23441</v>
      </c>
    </row>
    <row r="10006" spans="39:41" ht="12" customHeight="1" x14ac:dyDescent="0.2">
      <c r="AM10006" t="str">
        <f t="shared" si="156"/>
        <v>Munsala [FIMUN]</v>
      </c>
      <c r="AN10006" t="s">
        <v>10471</v>
      </c>
      <c r="AO10006" t="s">
        <v>10472</v>
      </c>
    </row>
    <row r="10007" spans="39:41" ht="12" customHeight="1" x14ac:dyDescent="0.2">
      <c r="AM10007" t="str">
        <f t="shared" si="156"/>
        <v>Munshiganj [BDMUN]</v>
      </c>
      <c r="AN10007" t="s">
        <v>33828</v>
      </c>
      <c r="AO10007" t="s">
        <v>33951</v>
      </c>
    </row>
    <row r="10008" spans="39:41" ht="12" customHeight="1" x14ac:dyDescent="0.2">
      <c r="AM10008" t="str">
        <f t="shared" si="156"/>
        <v>Munster [DEMUN]</v>
      </c>
      <c r="AN10008" t="s">
        <v>7951</v>
      </c>
      <c r="AO10008" t="s">
        <v>7952</v>
      </c>
    </row>
    <row r="10009" spans="39:41" ht="12" customHeight="1" x14ac:dyDescent="0.2">
      <c r="AM10009" t="str">
        <f t="shared" si="156"/>
        <v>Munster [DEMSR]</v>
      </c>
      <c r="AN10009" t="s">
        <v>7953</v>
      </c>
      <c r="AO10009" t="s">
        <v>7952</v>
      </c>
    </row>
    <row r="10010" spans="39:41" ht="12" customHeight="1" x14ac:dyDescent="0.2">
      <c r="AM10010" t="str">
        <f t="shared" si="156"/>
        <v>Munster-Sarmsheim [DEMNQ]</v>
      </c>
      <c r="AN10010" t="s">
        <v>7954</v>
      </c>
      <c r="AO10010" t="s">
        <v>35476</v>
      </c>
    </row>
    <row r="10011" spans="39:41" ht="12" customHeight="1" x14ac:dyDescent="0.2">
      <c r="AM10011" t="str">
        <f t="shared" si="156"/>
        <v>Muntinlupa City [PHMNT]</v>
      </c>
      <c r="AN10011" t="s">
        <v>25975</v>
      </c>
      <c r="AO10011" t="s">
        <v>25976</v>
      </c>
    </row>
    <row r="10012" spans="39:41" ht="12" customHeight="1" x14ac:dyDescent="0.2">
      <c r="AM10012" t="str">
        <f t="shared" si="156"/>
        <v>Muntok, Banka [IDMUO]</v>
      </c>
      <c r="AN10012" t="s">
        <v>16444</v>
      </c>
      <c r="AO10012" t="s">
        <v>16445</v>
      </c>
    </row>
    <row r="10013" spans="39:41" ht="12" customHeight="1" x14ac:dyDescent="0.2">
      <c r="AM10013" t="str">
        <f t="shared" si="156"/>
        <v>Murad [INMUR]</v>
      </c>
      <c r="AN10013" t="s">
        <v>17323</v>
      </c>
      <c r="AO10013" t="s">
        <v>17324</v>
      </c>
    </row>
    <row r="10014" spans="39:41" ht="12" customHeight="1" x14ac:dyDescent="0.2">
      <c r="AM10014" t="str">
        <f t="shared" si="156"/>
        <v>Muratsi Sadam [EEMUR]</v>
      </c>
      <c r="AN10014" t="s">
        <v>34075</v>
      </c>
      <c r="AO10014" t="s">
        <v>34121</v>
      </c>
    </row>
    <row r="10015" spans="39:41" ht="12" customHeight="1" x14ac:dyDescent="0.2">
      <c r="AM10015" t="str">
        <f t="shared" si="156"/>
        <v>Murches [PTMUS]</v>
      </c>
      <c r="AN10015" t="s">
        <v>26547</v>
      </c>
      <c r="AO10015" t="s">
        <v>26548</v>
      </c>
    </row>
    <row r="10016" spans="39:41" ht="12" customHeight="1" x14ac:dyDescent="0.2">
      <c r="AM10016" t="str">
        <f t="shared" si="156"/>
        <v>Murdock [USYMK]</v>
      </c>
      <c r="AN10016" t="s">
        <v>30694</v>
      </c>
      <c r="AO10016" t="s">
        <v>30695</v>
      </c>
    </row>
    <row r="10017" spans="39:41" ht="12" customHeight="1" x14ac:dyDescent="0.2">
      <c r="AM10017" t="str">
        <f t="shared" si="156"/>
        <v>Murdon [MMMUR]</v>
      </c>
      <c r="AN10017" t="s">
        <v>22200</v>
      </c>
      <c r="AO10017" t="s">
        <v>22201</v>
      </c>
    </row>
    <row r="10018" spans="39:41" ht="12" customHeight="1" x14ac:dyDescent="0.2">
      <c r="AM10018" t="str">
        <f t="shared" si="156"/>
        <v>Mure [JPMRE]</v>
      </c>
      <c r="AN10018" t="s">
        <v>20040</v>
      </c>
      <c r="AO10018" t="s">
        <v>20041</v>
      </c>
    </row>
    <row r="10019" spans="39:41" ht="12" customHeight="1" x14ac:dyDescent="0.2">
      <c r="AM10019" t="str">
        <f t="shared" si="156"/>
        <v>Murillo de Rio Leza [ESMLJ]</v>
      </c>
      <c r="AN10019" t="s">
        <v>9984</v>
      </c>
      <c r="AO10019" t="s">
        <v>35682</v>
      </c>
    </row>
    <row r="10020" spans="39:41" ht="12" customHeight="1" x14ac:dyDescent="0.2">
      <c r="AM10020" t="str">
        <f t="shared" si="156"/>
        <v>Murmansk [RUMMK]</v>
      </c>
      <c r="AN10020" t="s">
        <v>27101</v>
      </c>
      <c r="AO10020" t="s">
        <v>27102</v>
      </c>
    </row>
    <row r="10021" spans="39:41" ht="12" customHeight="1" x14ac:dyDescent="0.2">
      <c r="AM10021" t="str">
        <f t="shared" si="156"/>
        <v>Muro [FRXRG]</v>
      </c>
      <c r="AN10021" t="s">
        <v>11725</v>
      </c>
      <c r="AO10021" t="s">
        <v>11726</v>
      </c>
    </row>
    <row r="10022" spans="39:41" ht="12" customHeight="1" x14ac:dyDescent="0.2">
      <c r="AM10022" t="str">
        <f t="shared" si="156"/>
        <v>Murokita [JPMRO]</v>
      </c>
      <c r="AN10022" t="s">
        <v>20042</v>
      </c>
      <c r="AO10022" t="s">
        <v>20043</v>
      </c>
    </row>
    <row r="10023" spans="39:41" ht="12" customHeight="1" x14ac:dyDescent="0.2">
      <c r="AM10023" t="str">
        <f t="shared" si="156"/>
        <v>Muromoto [JPMRM]</v>
      </c>
      <c r="AN10023" t="s">
        <v>20044</v>
      </c>
      <c r="AO10023" t="s">
        <v>20045</v>
      </c>
    </row>
    <row r="10024" spans="39:41" ht="12" customHeight="1" x14ac:dyDescent="0.2">
      <c r="AM10024" t="str">
        <f t="shared" si="156"/>
        <v>Muroran [JPMUR]</v>
      </c>
      <c r="AN10024" t="s">
        <v>20046</v>
      </c>
      <c r="AO10024" t="s">
        <v>20047</v>
      </c>
    </row>
    <row r="10025" spans="39:41" ht="12" customHeight="1" x14ac:dyDescent="0.2">
      <c r="AM10025" t="str">
        <f t="shared" si="156"/>
        <v>Muros [ESMRS]</v>
      </c>
      <c r="AN10025" t="s">
        <v>9985</v>
      </c>
      <c r="AO10025" t="s">
        <v>9986</v>
      </c>
    </row>
    <row r="10026" spans="39:41" ht="12" customHeight="1" x14ac:dyDescent="0.2">
      <c r="AM10026" t="str">
        <f t="shared" si="156"/>
        <v>Murotomisaki [JPMRJ]</v>
      </c>
      <c r="AN10026" t="s">
        <v>20048</v>
      </c>
      <c r="AO10026" t="s">
        <v>20049</v>
      </c>
    </row>
    <row r="10027" spans="39:41" ht="12" customHeight="1" x14ac:dyDescent="0.2">
      <c r="AM10027" t="str">
        <f t="shared" si="156"/>
        <v>Murotsu, Hyogo [JPMRS]</v>
      </c>
      <c r="AN10027" t="s">
        <v>20050</v>
      </c>
      <c r="AO10027" t="s">
        <v>20051</v>
      </c>
    </row>
    <row r="10028" spans="39:41" ht="12" customHeight="1" x14ac:dyDescent="0.2">
      <c r="AM10028" t="str">
        <f t="shared" si="156"/>
        <v>Murotsu, Kochi [JPMUX]</v>
      </c>
      <c r="AN10028" t="s">
        <v>20052</v>
      </c>
      <c r="AO10028" t="s">
        <v>20053</v>
      </c>
    </row>
    <row r="10029" spans="39:41" ht="12" customHeight="1" x14ac:dyDescent="0.2">
      <c r="AM10029" t="str">
        <f t="shared" si="156"/>
        <v>Murotsu, Yamaguchi [JPMRT]</v>
      </c>
      <c r="AN10029" t="s">
        <v>20054</v>
      </c>
      <c r="AO10029" t="s">
        <v>20055</v>
      </c>
    </row>
    <row r="10030" spans="39:41" ht="12" customHeight="1" x14ac:dyDescent="0.2">
      <c r="AM10030" t="str">
        <f t="shared" si="156"/>
        <v>Murozumi [JPMZM]</v>
      </c>
      <c r="AN10030" t="s">
        <v>20056</v>
      </c>
      <c r="AO10030" t="s">
        <v>20057</v>
      </c>
    </row>
    <row r="10031" spans="39:41" ht="12" customHeight="1" x14ac:dyDescent="0.2">
      <c r="AM10031" t="str">
        <f t="shared" si="156"/>
        <v>Murphy [USZMU]</v>
      </c>
      <c r="AN10031" t="s">
        <v>30696</v>
      </c>
      <c r="AO10031" t="s">
        <v>30697</v>
      </c>
    </row>
    <row r="10032" spans="39:41" ht="12" customHeight="1" x14ac:dyDescent="0.2">
      <c r="AM10032" t="str">
        <f t="shared" si="156"/>
        <v>Murrysville [USXYS]</v>
      </c>
      <c r="AN10032" t="s">
        <v>30698</v>
      </c>
      <c r="AO10032" t="s">
        <v>30699</v>
      </c>
    </row>
    <row r="10033" spans="39:41" ht="12" customHeight="1" x14ac:dyDescent="0.2">
      <c r="AM10033" t="str">
        <f t="shared" si="156"/>
        <v>Murter [HRMUR]</v>
      </c>
      <c r="AN10033" t="s">
        <v>15828</v>
      </c>
      <c r="AO10033" t="s">
        <v>15829</v>
      </c>
    </row>
    <row r="10034" spans="39:41" ht="12" customHeight="1" x14ac:dyDescent="0.2">
      <c r="AM10034" t="str">
        <f t="shared" ref="AM10034:AM10097" si="157">AO10034 &amp; " [" &amp; AN10034 &amp; "]"</f>
        <v>Muruvika [NOMRV]</v>
      </c>
      <c r="AN10034" t="s">
        <v>24528</v>
      </c>
      <c r="AO10034" t="s">
        <v>24529</v>
      </c>
    </row>
    <row r="10035" spans="39:41" ht="12" customHeight="1" x14ac:dyDescent="0.2">
      <c r="AM10035" t="str">
        <f t="shared" si="157"/>
        <v>Murviel [FRVJE]</v>
      </c>
      <c r="AN10035" t="s">
        <v>11727</v>
      </c>
      <c r="AO10035" t="s">
        <v>11728</v>
      </c>
    </row>
    <row r="10036" spans="39:41" ht="12" customHeight="1" x14ac:dyDescent="0.2">
      <c r="AM10036" t="str">
        <f t="shared" si="157"/>
        <v>Musashi [JPMSH]</v>
      </c>
      <c r="AN10036" t="s">
        <v>20058</v>
      </c>
      <c r="AO10036" t="s">
        <v>20059</v>
      </c>
    </row>
    <row r="10037" spans="39:41" ht="12" customHeight="1" x14ac:dyDescent="0.2">
      <c r="AM10037" t="str">
        <f t="shared" si="157"/>
        <v>Muscat [OMMCT]</v>
      </c>
      <c r="AN10037" t="s">
        <v>25151</v>
      </c>
      <c r="AO10037" t="s">
        <v>25152</v>
      </c>
    </row>
    <row r="10038" spans="39:41" ht="12" customHeight="1" x14ac:dyDescent="0.2">
      <c r="AM10038" t="str">
        <f t="shared" si="157"/>
        <v>Musel-Arnao [ESMUS]</v>
      </c>
      <c r="AN10038" t="s">
        <v>9987</v>
      </c>
      <c r="AO10038" t="s">
        <v>9988</v>
      </c>
    </row>
    <row r="10039" spans="39:41" ht="12" customHeight="1" x14ac:dyDescent="0.2">
      <c r="AM10039" t="str">
        <f t="shared" si="157"/>
        <v>Musi River, Sumatra [IDMRI]</v>
      </c>
      <c r="AN10039" t="s">
        <v>16446</v>
      </c>
      <c r="AO10039" t="s">
        <v>16447</v>
      </c>
    </row>
    <row r="10040" spans="39:41" ht="12" customHeight="1" x14ac:dyDescent="0.2">
      <c r="AM10040" t="str">
        <f t="shared" si="157"/>
        <v>Muskegon [USMKG]</v>
      </c>
      <c r="AN10040" t="s">
        <v>30700</v>
      </c>
      <c r="AO10040" t="s">
        <v>30701</v>
      </c>
    </row>
    <row r="10041" spans="39:41" ht="12" customHeight="1" x14ac:dyDescent="0.2">
      <c r="AM10041" t="str">
        <f t="shared" si="157"/>
        <v>Musko [SEMSK]</v>
      </c>
      <c r="AN10041" t="s">
        <v>27767</v>
      </c>
      <c r="AO10041" t="s">
        <v>36486</v>
      </c>
    </row>
    <row r="10042" spans="39:41" ht="12" customHeight="1" x14ac:dyDescent="0.2">
      <c r="AM10042" t="str">
        <f t="shared" si="157"/>
        <v>Musquodoboit Harbour [CAMUS]</v>
      </c>
      <c r="AN10042" t="s">
        <v>35005</v>
      </c>
      <c r="AO10042" t="s">
        <v>35006</v>
      </c>
    </row>
    <row r="10043" spans="39:41" ht="12" customHeight="1" x14ac:dyDescent="0.2">
      <c r="AM10043" t="str">
        <f t="shared" si="157"/>
        <v>Mussafah [AEAMF]</v>
      </c>
      <c r="AN10043" t="s">
        <v>761</v>
      </c>
      <c r="AO10043" t="s">
        <v>762</v>
      </c>
    </row>
    <row r="10044" spans="39:41" ht="12" customHeight="1" x14ac:dyDescent="0.2">
      <c r="AM10044" t="str">
        <f t="shared" si="157"/>
        <v>Mussey [FRMYW]</v>
      </c>
      <c r="AN10044" t="s">
        <v>11729</v>
      </c>
      <c r="AO10044" t="s">
        <v>11730</v>
      </c>
    </row>
    <row r="10045" spans="39:41" ht="12" customHeight="1" x14ac:dyDescent="0.2">
      <c r="AM10045" t="str">
        <f t="shared" si="157"/>
        <v>Mustique Island [VCMQS]</v>
      </c>
      <c r="AN10045" t="s">
        <v>32140</v>
      </c>
      <c r="AO10045" t="s">
        <v>32141</v>
      </c>
    </row>
    <row r="10046" spans="39:41" ht="12" customHeight="1" x14ac:dyDescent="0.2">
      <c r="AM10046" t="str">
        <f t="shared" si="157"/>
        <v>Mustola [FIMUS]</v>
      </c>
      <c r="AN10046" t="s">
        <v>10473</v>
      </c>
      <c r="AO10046" t="s">
        <v>10474</v>
      </c>
    </row>
    <row r="10047" spans="39:41" ht="12" customHeight="1" x14ac:dyDescent="0.2">
      <c r="AM10047" t="str">
        <f t="shared" si="157"/>
        <v>Mustvee [EEMTV]</v>
      </c>
      <c r="AN10047" t="s">
        <v>9264</v>
      </c>
      <c r="AO10047" t="s">
        <v>9265</v>
      </c>
    </row>
    <row r="10048" spans="39:41" ht="12" customHeight="1" x14ac:dyDescent="0.2">
      <c r="AM10048" t="str">
        <f t="shared" si="157"/>
        <v>Muta, Nagasaki [JPMYX]</v>
      </c>
      <c r="AN10048" t="s">
        <v>20060</v>
      </c>
      <c r="AO10048" t="s">
        <v>20061</v>
      </c>
    </row>
    <row r="10049" spans="39:41" ht="12" customHeight="1" x14ac:dyDescent="0.2">
      <c r="AM10049" t="str">
        <f t="shared" si="157"/>
        <v>Muthmannsdorf [ATNT9]</v>
      </c>
      <c r="AN10049" t="s">
        <v>1278</v>
      </c>
      <c r="AO10049" t="s">
        <v>1279</v>
      </c>
    </row>
    <row r="10050" spans="39:41" ht="12" customHeight="1" x14ac:dyDescent="0.2">
      <c r="AM10050" t="str">
        <f t="shared" si="157"/>
        <v>Muthra [OMMUT]</v>
      </c>
      <c r="AN10050" t="s">
        <v>25153</v>
      </c>
      <c r="AO10050" t="s">
        <v>25154</v>
      </c>
    </row>
    <row r="10051" spans="39:41" ht="12" customHeight="1" x14ac:dyDescent="0.2">
      <c r="AM10051" t="str">
        <f t="shared" si="157"/>
        <v>Mutigny [FRGJN]</v>
      </c>
      <c r="AN10051" t="s">
        <v>11731</v>
      </c>
      <c r="AO10051" t="s">
        <v>11732</v>
      </c>
    </row>
    <row r="10052" spans="39:41" ht="12" customHeight="1" x14ac:dyDescent="0.2">
      <c r="AM10052" t="str">
        <f t="shared" si="157"/>
        <v>Mutineer [AUMUT]</v>
      </c>
      <c r="AN10052" t="s">
        <v>1860</v>
      </c>
      <c r="AO10052" t="s">
        <v>1861</v>
      </c>
    </row>
    <row r="10053" spans="39:41" ht="12" customHeight="1" x14ac:dyDescent="0.2">
      <c r="AM10053" t="str">
        <f t="shared" si="157"/>
        <v>Mutsamudu, Anjouan [KMMUT]</v>
      </c>
      <c r="AN10053" t="s">
        <v>21571</v>
      </c>
      <c r="AO10053" t="s">
        <v>21572</v>
      </c>
    </row>
    <row r="10054" spans="39:41" ht="12" customHeight="1" x14ac:dyDescent="0.2">
      <c r="AM10054" t="str">
        <f t="shared" si="157"/>
        <v>Mutsuogawara [JPMUT]</v>
      </c>
      <c r="AN10054" t="s">
        <v>20062</v>
      </c>
      <c r="AO10054" t="s">
        <v>20063</v>
      </c>
    </row>
    <row r="10055" spans="39:41" ht="12" customHeight="1" x14ac:dyDescent="0.2">
      <c r="AM10055" t="str">
        <f t="shared" si="157"/>
        <v>Mutsure [JPMTR]</v>
      </c>
      <c r="AN10055" t="s">
        <v>20064</v>
      </c>
      <c r="AO10055" t="s">
        <v>20065</v>
      </c>
    </row>
    <row r="10056" spans="39:41" ht="12" customHeight="1" x14ac:dyDescent="0.2">
      <c r="AM10056" t="str">
        <f t="shared" si="157"/>
        <v>Muturi [IDMTU]</v>
      </c>
      <c r="AN10056" t="s">
        <v>16448</v>
      </c>
      <c r="AO10056" t="s">
        <v>16449</v>
      </c>
    </row>
    <row r="10057" spans="39:41" ht="12" customHeight="1" x14ac:dyDescent="0.2">
      <c r="AM10057" t="str">
        <f t="shared" si="157"/>
        <v>Muuga [EEMUG]</v>
      </c>
      <c r="AN10057" t="s">
        <v>9266</v>
      </c>
      <c r="AO10057" t="s">
        <v>9267</v>
      </c>
    </row>
    <row r="10058" spans="39:41" ht="12" customHeight="1" x14ac:dyDescent="0.2">
      <c r="AM10058" t="str">
        <f t="shared" si="157"/>
        <v>Muya [JPMYA]</v>
      </c>
      <c r="AN10058" t="s">
        <v>20066</v>
      </c>
      <c r="AO10058" t="s">
        <v>20067</v>
      </c>
    </row>
    <row r="10059" spans="39:41" ht="12" customHeight="1" x14ac:dyDescent="0.2">
      <c r="AM10059" t="str">
        <f t="shared" si="157"/>
        <v>Muzhou [CNMZU]</v>
      </c>
      <c r="AN10059" t="s">
        <v>5765</v>
      </c>
      <c r="AO10059" t="s">
        <v>5766</v>
      </c>
    </row>
    <row r="10060" spans="39:41" ht="12" customHeight="1" x14ac:dyDescent="0.2">
      <c r="AM10060" t="str">
        <f t="shared" si="157"/>
        <v>Mwanza [TZMWZ]</v>
      </c>
      <c r="AN10060" t="s">
        <v>28728</v>
      </c>
      <c r="AO10060" t="s">
        <v>28729</v>
      </c>
    </row>
    <row r="10061" spans="39:41" ht="12" customHeight="1" x14ac:dyDescent="0.2">
      <c r="AM10061" t="str">
        <f t="shared" si="157"/>
        <v>My Tho [VNMUT]</v>
      </c>
      <c r="AN10061" t="s">
        <v>32416</v>
      </c>
      <c r="AO10061" t="s">
        <v>32417</v>
      </c>
    </row>
    <row r="10062" spans="39:41" ht="12" customHeight="1" x14ac:dyDescent="0.2">
      <c r="AM10062" t="str">
        <f t="shared" si="157"/>
        <v>My Thoi [VNMTH]</v>
      </c>
      <c r="AN10062" t="s">
        <v>32418</v>
      </c>
      <c r="AO10062" t="s">
        <v>32419</v>
      </c>
    </row>
    <row r="10063" spans="39:41" ht="12" customHeight="1" x14ac:dyDescent="0.2">
      <c r="AM10063" t="str">
        <f t="shared" si="157"/>
        <v>Mykolayiv [UANLV]</v>
      </c>
      <c r="AN10063" t="s">
        <v>28755</v>
      </c>
      <c r="AO10063" t="s">
        <v>28756</v>
      </c>
    </row>
    <row r="10064" spans="39:41" ht="12" customHeight="1" x14ac:dyDescent="0.2">
      <c r="AM10064" t="str">
        <f t="shared" si="157"/>
        <v>Mykonos [GRJMK]</v>
      </c>
      <c r="AN10064" t="s">
        <v>15374</v>
      </c>
      <c r="AO10064" t="s">
        <v>15375</v>
      </c>
    </row>
    <row r="10065" spans="39:41" ht="12" customHeight="1" x14ac:dyDescent="0.2">
      <c r="AM10065" t="str">
        <f t="shared" si="157"/>
        <v>Mylaki [GRMYL]</v>
      </c>
      <c r="AN10065" t="s">
        <v>15376</v>
      </c>
      <c r="AO10065" t="s">
        <v>15377</v>
      </c>
    </row>
    <row r="10066" spans="39:41" ht="12" customHeight="1" x14ac:dyDescent="0.2">
      <c r="AM10066" t="str">
        <f t="shared" si="157"/>
        <v>Mylor [GBMYL]</v>
      </c>
      <c r="AN10066" t="s">
        <v>13882</v>
      </c>
      <c r="AO10066" t="s">
        <v>13883</v>
      </c>
    </row>
    <row r="10067" spans="39:41" ht="12" customHeight="1" x14ac:dyDescent="0.2">
      <c r="AM10067" t="str">
        <f t="shared" si="157"/>
        <v>Myre-Oksnes [NOMYO]</v>
      </c>
      <c r="AN10067" t="s">
        <v>24530</v>
      </c>
      <c r="AO10067" t="s">
        <v>36258</v>
      </c>
    </row>
    <row r="10068" spans="39:41" ht="12" customHeight="1" x14ac:dyDescent="0.2">
      <c r="AM10068" t="str">
        <f t="shared" si="157"/>
        <v>Myrties Kalymnou [GRMRS]</v>
      </c>
      <c r="AN10068" t="s">
        <v>36665</v>
      </c>
      <c r="AO10068" t="s">
        <v>36666</v>
      </c>
    </row>
    <row r="10069" spans="39:41" ht="12" customHeight="1" x14ac:dyDescent="0.2">
      <c r="AM10069" t="str">
        <f t="shared" si="157"/>
        <v>Myrtle Grove [USMYG]</v>
      </c>
      <c r="AN10069" t="s">
        <v>30702</v>
      </c>
      <c r="AO10069" t="s">
        <v>30703</v>
      </c>
    </row>
    <row r="10070" spans="39:41" ht="12" customHeight="1" x14ac:dyDescent="0.2">
      <c r="AM10070" t="str">
        <f t="shared" si="157"/>
        <v>Myrtos Beach [GRMYB]</v>
      </c>
      <c r="AN10070" t="s">
        <v>15378</v>
      </c>
      <c r="AO10070" t="s">
        <v>15379</v>
      </c>
    </row>
    <row r="10071" spans="39:41" ht="12" customHeight="1" x14ac:dyDescent="0.2">
      <c r="AM10071" t="str">
        <f t="shared" si="157"/>
        <v>Mys Shmidta [RUMSH]</v>
      </c>
      <c r="AN10071" t="s">
        <v>27103</v>
      </c>
      <c r="AO10071" t="s">
        <v>27104</v>
      </c>
    </row>
    <row r="10072" spans="39:41" ht="12" customHeight="1" x14ac:dyDescent="0.2">
      <c r="AM10072" t="str">
        <f t="shared" si="157"/>
        <v>Mystic [USMYC]</v>
      </c>
      <c r="AN10072" t="s">
        <v>30704</v>
      </c>
      <c r="AO10072" t="s">
        <v>30705</v>
      </c>
    </row>
    <row r="10073" spans="39:41" ht="12" customHeight="1" x14ac:dyDescent="0.2">
      <c r="AM10073" t="str">
        <f t="shared" si="157"/>
        <v>Mytilene [GRMJT]</v>
      </c>
      <c r="AN10073" t="s">
        <v>15380</v>
      </c>
      <c r="AO10073" t="s">
        <v>15381</v>
      </c>
    </row>
    <row r="10074" spans="39:41" ht="12" customHeight="1" x14ac:dyDescent="0.2">
      <c r="AM10074" t="str">
        <f t="shared" si="157"/>
        <v>Myto/Cesky Krumlov [CZMYT]</v>
      </c>
      <c r="AN10074" t="s">
        <v>6895</v>
      </c>
      <c r="AO10074" t="s">
        <v>6896</v>
      </c>
    </row>
    <row r="10075" spans="39:41" ht="12" customHeight="1" x14ac:dyDescent="0.2">
      <c r="AM10075" t="str">
        <f t="shared" si="157"/>
        <v>Naaldwijk [NLNAW]</v>
      </c>
      <c r="AN10075" t="s">
        <v>33911</v>
      </c>
      <c r="AO10075" t="s">
        <v>34033</v>
      </c>
    </row>
    <row r="10076" spans="39:41" ht="12" customHeight="1" x14ac:dyDescent="0.2">
      <c r="AM10076" t="str">
        <f t="shared" si="157"/>
        <v>Naantali (Nadendal) [FINLI]</v>
      </c>
      <c r="AN10076" t="s">
        <v>10475</v>
      </c>
      <c r="AO10076" t="s">
        <v>35741</v>
      </c>
    </row>
    <row r="10077" spans="39:41" ht="12" customHeight="1" x14ac:dyDescent="0.2">
      <c r="AM10077" t="str">
        <f t="shared" si="157"/>
        <v>Naarai [JPNAR]</v>
      </c>
      <c r="AN10077" t="s">
        <v>20068</v>
      </c>
      <c r="AO10077" t="s">
        <v>20069</v>
      </c>
    </row>
    <row r="10078" spans="39:41" ht="12" customHeight="1" x14ac:dyDescent="0.2">
      <c r="AM10078" t="str">
        <f t="shared" si="157"/>
        <v>Naberezhnyye Chelny [RUNAC]</v>
      </c>
      <c r="AN10078" t="s">
        <v>27105</v>
      </c>
      <c r="AO10078" t="s">
        <v>27106</v>
      </c>
    </row>
    <row r="10079" spans="39:41" ht="12" customHeight="1" x14ac:dyDescent="0.2">
      <c r="AM10079" t="str">
        <f t="shared" si="157"/>
        <v>Nabulao Bay/Iloilo [PHNAB]</v>
      </c>
      <c r="AN10079" t="s">
        <v>25977</v>
      </c>
      <c r="AO10079" t="s">
        <v>25978</v>
      </c>
    </row>
    <row r="10080" spans="39:41" ht="12" customHeight="1" x14ac:dyDescent="0.2">
      <c r="AM10080" t="str">
        <f t="shared" si="157"/>
        <v>Nabulus [ILNAB]</v>
      </c>
      <c r="AN10080" t="s">
        <v>16976</v>
      </c>
      <c r="AO10080" t="s">
        <v>16977</v>
      </c>
    </row>
    <row r="10081" spans="39:41" ht="12" customHeight="1" x14ac:dyDescent="0.2">
      <c r="AM10081" t="str">
        <f t="shared" si="157"/>
        <v>Nacala [MZMNC]</v>
      </c>
      <c r="AN10081" t="s">
        <v>22860</v>
      </c>
      <c r="AO10081" t="s">
        <v>22861</v>
      </c>
    </row>
    <row r="10082" spans="39:41" ht="12" customHeight="1" x14ac:dyDescent="0.2">
      <c r="AM10082" t="str">
        <f t="shared" si="157"/>
        <v>Naches [USYNA]</v>
      </c>
      <c r="AN10082" t="s">
        <v>30706</v>
      </c>
      <c r="AO10082" t="s">
        <v>30707</v>
      </c>
    </row>
    <row r="10083" spans="39:41" ht="12" customHeight="1" x14ac:dyDescent="0.2">
      <c r="AM10083" t="str">
        <f t="shared" si="157"/>
        <v>Nadahama [JPNAD]</v>
      </c>
      <c r="AN10083" t="s">
        <v>20070</v>
      </c>
      <c r="AO10083" t="s">
        <v>20071</v>
      </c>
    </row>
    <row r="10084" spans="39:41" ht="12" customHeight="1" x14ac:dyDescent="0.2">
      <c r="AM10084" t="str">
        <f t="shared" si="157"/>
        <v>Nadayama [JPNDY]</v>
      </c>
      <c r="AN10084" t="s">
        <v>20072</v>
      </c>
      <c r="AO10084" t="s">
        <v>20073</v>
      </c>
    </row>
    <row r="10085" spans="39:41" ht="12" customHeight="1" x14ac:dyDescent="0.2">
      <c r="AM10085" t="str">
        <f t="shared" si="157"/>
        <v>Nador [MANDR]</v>
      </c>
      <c r="AN10085" t="s">
        <v>22050</v>
      </c>
      <c r="AO10085" t="s">
        <v>22051</v>
      </c>
    </row>
    <row r="10086" spans="39:41" ht="12" customHeight="1" x14ac:dyDescent="0.2">
      <c r="AM10086" t="str">
        <f t="shared" si="157"/>
        <v>Nafels [CHNEF]</v>
      </c>
      <c r="AN10086" t="s">
        <v>4726</v>
      </c>
      <c r="AO10086" t="s">
        <v>35344</v>
      </c>
    </row>
    <row r="10087" spans="39:41" ht="12" customHeight="1" x14ac:dyDescent="0.2">
      <c r="AM10087" t="str">
        <f t="shared" si="157"/>
        <v>Nafplion [GRNAF]</v>
      </c>
      <c r="AN10087" t="s">
        <v>15382</v>
      </c>
      <c r="AO10087" t="s">
        <v>35940</v>
      </c>
    </row>
    <row r="10088" spans="39:41" ht="12" customHeight="1" x14ac:dyDescent="0.2">
      <c r="AM10088" t="str">
        <f t="shared" si="157"/>
        <v>Naga/Zamboanga [PHWNP]</v>
      </c>
      <c r="AN10088" t="s">
        <v>25979</v>
      </c>
      <c r="AO10088" t="s">
        <v>25980</v>
      </c>
    </row>
    <row r="10089" spans="39:41" ht="12" customHeight="1" x14ac:dyDescent="0.2">
      <c r="AM10089" t="str">
        <f t="shared" si="157"/>
        <v>Nagae, Ehime [JPNEX]</v>
      </c>
      <c r="AN10089" t="s">
        <v>20074</v>
      </c>
      <c r="AO10089" t="s">
        <v>20075</v>
      </c>
    </row>
    <row r="10090" spans="39:41" ht="12" customHeight="1" x14ac:dyDescent="0.2">
      <c r="AM10090" t="str">
        <f t="shared" si="157"/>
        <v>Nagae, Shimane [JPNGE]</v>
      </c>
      <c r="AN10090" t="s">
        <v>20076</v>
      </c>
      <c r="AO10090" t="s">
        <v>20077</v>
      </c>
    </row>
    <row r="10091" spans="39:41" ht="12" customHeight="1" x14ac:dyDescent="0.2">
      <c r="AM10091" t="str">
        <f t="shared" si="157"/>
        <v>Nagahama, Ehime [JPNGH]</v>
      </c>
      <c r="AN10091" t="s">
        <v>20078</v>
      </c>
      <c r="AO10091" t="s">
        <v>20079</v>
      </c>
    </row>
    <row r="10092" spans="39:41" ht="12" customHeight="1" x14ac:dyDescent="0.2">
      <c r="AM10092" t="str">
        <f t="shared" si="157"/>
        <v>Nagahama, Kagoshima [JPNMA]</v>
      </c>
      <c r="AN10092" t="s">
        <v>20080</v>
      </c>
      <c r="AO10092" t="s">
        <v>20081</v>
      </c>
    </row>
    <row r="10093" spans="39:41" ht="12" customHeight="1" x14ac:dyDescent="0.2">
      <c r="AM10093" t="str">
        <f t="shared" si="157"/>
        <v>Nagahama, Shiga [JPNHM]</v>
      </c>
      <c r="AN10093" t="s">
        <v>20082</v>
      </c>
      <c r="AO10093" t="s">
        <v>20083</v>
      </c>
    </row>
    <row r="10094" spans="39:41" ht="12" customHeight="1" x14ac:dyDescent="0.2">
      <c r="AM10094" t="str">
        <f t="shared" si="157"/>
        <v>Nagahama, Shimane [JPNAG]</v>
      </c>
      <c r="AN10094" t="s">
        <v>20084</v>
      </c>
      <c r="AO10094" t="s">
        <v>20085</v>
      </c>
    </row>
    <row r="10095" spans="39:41" ht="12" customHeight="1" x14ac:dyDescent="0.2">
      <c r="AM10095" t="str">
        <f t="shared" si="157"/>
        <v>Nagame [JPNGG]</v>
      </c>
      <c r="AN10095" t="s">
        <v>20086</v>
      </c>
      <c r="AO10095" t="s">
        <v>20087</v>
      </c>
    </row>
    <row r="10096" spans="39:41" ht="12" customHeight="1" x14ac:dyDescent="0.2">
      <c r="AM10096" t="str">
        <f t="shared" si="157"/>
        <v>Nagappattinam [INNPT]</v>
      </c>
      <c r="AN10096" t="s">
        <v>17325</v>
      </c>
      <c r="AO10096" t="s">
        <v>17326</v>
      </c>
    </row>
    <row r="10097" spans="39:41" ht="12" customHeight="1" x14ac:dyDescent="0.2">
      <c r="AM10097" t="str">
        <f t="shared" si="157"/>
        <v>Nagara [JPNAB]</v>
      </c>
      <c r="AN10097" t="s">
        <v>20088</v>
      </c>
      <c r="AO10097" t="s">
        <v>20089</v>
      </c>
    </row>
    <row r="10098" spans="39:41" ht="12" customHeight="1" x14ac:dyDescent="0.2">
      <c r="AM10098" t="str">
        <f t="shared" ref="AM10098:AM10161" si="158">AO10098 &amp; " [" &amp; AN10098 &amp; "]"</f>
        <v>Nagareyama, Chiba [JPNGA]</v>
      </c>
      <c r="AN10098" t="s">
        <v>20090</v>
      </c>
      <c r="AO10098" t="s">
        <v>20091</v>
      </c>
    </row>
    <row r="10099" spans="39:41" ht="12" customHeight="1" x14ac:dyDescent="0.2">
      <c r="AM10099" t="str">
        <f t="shared" si="158"/>
        <v>Nagasaki [JPNGS]</v>
      </c>
      <c r="AN10099" t="s">
        <v>20092</v>
      </c>
      <c r="AO10099" t="s">
        <v>20093</v>
      </c>
    </row>
    <row r="10100" spans="39:41" ht="12" customHeight="1" x14ac:dyDescent="0.2">
      <c r="AM10100" t="str">
        <f t="shared" si="158"/>
        <v>Nagasakinohana [JPNHN]</v>
      </c>
      <c r="AN10100" t="s">
        <v>20094</v>
      </c>
      <c r="AO10100" t="s">
        <v>20095</v>
      </c>
    </row>
    <row r="10101" spans="39:41" ht="12" customHeight="1" x14ac:dyDescent="0.2">
      <c r="AM10101" t="str">
        <f t="shared" si="158"/>
        <v>Nagashima [JPNSA]</v>
      </c>
      <c r="AN10101" t="s">
        <v>20096</v>
      </c>
      <c r="AO10101" t="s">
        <v>20097</v>
      </c>
    </row>
    <row r="10102" spans="39:41" ht="12" customHeight="1" x14ac:dyDescent="0.2">
      <c r="AM10102" t="str">
        <f t="shared" si="158"/>
        <v>Nagasu, Kumamoto [JPNGU]</v>
      </c>
      <c r="AN10102" t="s">
        <v>20098</v>
      </c>
      <c r="AO10102" t="s">
        <v>20099</v>
      </c>
    </row>
    <row r="10103" spans="39:41" ht="12" customHeight="1" x14ac:dyDescent="0.2">
      <c r="AM10103" t="str">
        <f t="shared" si="158"/>
        <v>Nagasu, Oita [JPNSU]</v>
      </c>
      <c r="AN10103" t="s">
        <v>20100</v>
      </c>
      <c r="AO10103" t="s">
        <v>20101</v>
      </c>
    </row>
    <row r="10104" spans="39:41" ht="12" customHeight="1" x14ac:dyDescent="0.2">
      <c r="AM10104" t="str">
        <f t="shared" si="158"/>
        <v>Nagaura, Nagasaki [JPNAA]</v>
      </c>
      <c r="AN10104" t="s">
        <v>20102</v>
      </c>
      <c r="AO10104" t="s">
        <v>20103</v>
      </c>
    </row>
    <row r="10105" spans="39:41" ht="12" customHeight="1" x14ac:dyDescent="0.2">
      <c r="AM10105" t="str">
        <f t="shared" si="158"/>
        <v>Nagaura/Yokosuka [JPNGR]</v>
      </c>
      <c r="AN10105" t="s">
        <v>20104</v>
      </c>
      <c r="AO10105" t="s">
        <v>20105</v>
      </c>
    </row>
    <row r="10106" spans="39:41" ht="12" customHeight="1" x14ac:dyDescent="0.2">
      <c r="AM10106" t="str">
        <f t="shared" si="158"/>
        <v>Nagayama [JPMGY]</v>
      </c>
      <c r="AN10106" t="s">
        <v>20106</v>
      </c>
      <c r="AO10106" t="s">
        <v>20107</v>
      </c>
    </row>
    <row r="10107" spans="39:41" ht="12" customHeight="1" x14ac:dyDescent="0.2">
      <c r="AM10107" t="str">
        <f t="shared" si="158"/>
        <v>Nagayo [JPNAY]</v>
      </c>
      <c r="AN10107" t="s">
        <v>20108</v>
      </c>
      <c r="AO10107" t="s">
        <v>20109</v>
      </c>
    </row>
    <row r="10108" spans="39:41" ht="12" customHeight="1" x14ac:dyDescent="0.2">
      <c r="AM10108" t="str">
        <f t="shared" si="158"/>
        <v>Nagbol [DKNGB]</v>
      </c>
      <c r="AN10108" t="s">
        <v>8821</v>
      </c>
      <c r="AO10108" t="s">
        <v>8822</v>
      </c>
    </row>
    <row r="10109" spans="39:41" ht="12" customHeight="1" x14ac:dyDescent="0.2">
      <c r="AM10109" t="str">
        <f t="shared" si="158"/>
        <v>Nagercoil [INNGC]</v>
      </c>
      <c r="AN10109" t="s">
        <v>17327</v>
      </c>
      <c r="AO10109" t="s">
        <v>17328</v>
      </c>
    </row>
    <row r="10110" spans="39:41" ht="12" customHeight="1" x14ac:dyDescent="0.2">
      <c r="AM10110" t="str">
        <f t="shared" si="158"/>
        <v>Nagh [PHNGH]</v>
      </c>
      <c r="AN10110" t="s">
        <v>25981</v>
      </c>
      <c r="AO10110" t="s">
        <v>25982</v>
      </c>
    </row>
    <row r="10111" spans="39:41" ht="12" customHeight="1" x14ac:dyDescent="0.2">
      <c r="AM10111" t="str">
        <f t="shared" si="158"/>
        <v>Nagimi [JPNGM]</v>
      </c>
      <c r="AN10111" t="s">
        <v>20110</v>
      </c>
      <c r="AO10111" t="s">
        <v>20111</v>
      </c>
    </row>
    <row r="10112" spans="39:41" ht="12" customHeight="1" x14ac:dyDescent="0.2">
      <c r="AM10112" t="str">
        <f t="shared" si="158"/>
        <v>Nagouda [JPNGD]</v>
      </c>
      <c r="AN10112" t="s">
        <v>20112</v>
      </c>
      <c r="AO10112" t="s">
        <v>20113</v>
      </c>
    </row>
    <row r="10113" spans="39:41" ht="12" customHeight="1" x14ac:dyDescent="0.2">
      <c r="AM10113" t="str">
        <f t="shared" si="158"/>
        <v>Nagoya, Aichi [JPNGO]</v>
      </c>
      <c r="AN10113" t="s">
        <v>20114</v>
      </c>
      <c r="AO10113" t="s">
        <v>20115</v>
      </c>
    </row>
    <row r="10114" spans="39:41" ht="12" customHeight="1" x14ac:dyDescent="0.2">
      <c r="AM10114" t="str">
        <f t="shared" si="158"/>
        <v>Nagu (Nauvo) [FINAU]</v>
      </c>
      <c r="AN10114" t="s">
        <v>10476</v>
      </c>
      <c r="AO10114" t="s">
        <v>10477</v>
      </c>
    </row>
    <row r="10115" spans="39:41" ht="12" customHeight="1" x14ac:dyDescent="0.2">
      <c r="AM10115" t="str">
        <f t="shared" si="158"/>
        <v>Nagybajom [HUNGB]</v>
      </c>
      <c r="AN10115" t="s">
        <v>16115</v>
      </c>
      <c r="AO10115" t="s">
        <v>16116</v>
      </c>
    </row>
    <row r="10116" spans="39:41" ht="12" customHeight="1" x14ac:dyDescent="0.2">
      <c r="AM10116" t="str">
        <f t="shared" si="158"/>
        <v>Nagyrada [HUNZA]</v>
      </c>
      <c r="AN10116" t="s">
        <v>16117</v>
      </c>
      <c r="AO10116" t="s">
        <v>16118</v>
      </c>
    </row>
    <row r="10117" spans="39:41" ht="12" customHeight="1" x14ac:dyDescent="0.2">
      <c r="AM10117" t="str">
        <f t="shared" si="158"/>
        <v>Naha, Okinawa [JPNAH]</v>
      </c>
      <c r="AN10117" t="s">
        <v>20116</v>
      </c>
      <c r="AO10117" t="s">
        <v>20117</v>
      </c>
    </row>
    <row r="10118" spans="39:41" ht="12" customHeight="1" x14ac:dyDescent="0.2">
      <c r="AM10118" t="str">
        <f t="shared" si="158"/>
        <v>Nahari [JPNHI]</v>
      </c>
      <c r="AN10118" t="s">
        <v>20118</v>
      </c>
      <c r="AO10118" t="s">
        <v>20119</v>
      </c>
    </row>
    <row r="10119" spans="39:41" ht="12" customHeight="1" x14ac:dyDescent="0.2">
      <c r="AM10119" t="str">
        <f t="shared" si="158"/>
        <v>Nahmitz [DENZM]</v>
      </c>
      <c r="AN10119" t="s">
        <v>7955</v>
      </c>
      <c r="AO10119" t="s">
        <v>7956</v>
      </c>
    </row>
    <row r="10120" spans="39:41" ht="12" customHeight="1" x14ac:dyDescent="0.2">
      <c r="AM10120" t="str">
        <f t="shared" si="158"/>
        <v>Nahuizalco [SVNHZ]</v>
      </c>
      <c r="AN10120" t="s">
        <v>28150</v>
      </c>
      <c r="AO10120" t="s">
        <v>28151</v>
      </c>
    </row>
    <row r="10121" spans="39:41" ht="12" customHeight="1" x14ac:dyDescent="0.2">
      <c r="AM10121" t="str">
        <f t="shared" si="158"/>
        <v>Naigainoura [JPNGN]</v>
      </c>
      <c r="AN10121" t="s">
        <v>20120</v>
      </c>
      <c r="AO10121" t="s">
        <v>20121</v>
      </c>
    </row>
    <row r="10122" spans="39:41" ht="12" customHeight="1" x14ac:dyDescent="0.2">
      <c r="AM10122" t="str">
        <f t="shared" si="158"/>
        <v>Nain [CANAI]</v>
      </c>
      <c r="AN10122" t="s">
        <v>4135</v>
      </c>
      <c r="AO10122" t="s">
        <v>4136</v>
      </c>
    </row>
    <row r="10123" spans="39:41" ht="12" customHeight="1" x14ac:dyDescent="0.2">
      <c r="AM10123" t="str">
        <f t="shared" si="158"/>
        <v>Nairn [GBNAI]</v>
      </c>
      <c r="AN10123" t="s">
        <v>13884</v>
      </c>
      <c r="AO10123" t="s">
        <v>13885</v>
      </c>
    </row>
    <row r="10124" spans="39:41" ht="12" customHeight="1" x14ac:dyDescent="0.2">
      <c r="AM10124" t="str">
        <f t="shared" si="158"/>
        <v>Naissaare [EENAI]</v>
      </c>
      <c r="AN10124" t="s">
        <v>9268</v>
      </c>
      <c r="AO10124" t="s">
        <v>9269</v>
      </c>
    </row>
    <row r="10125" spans="39:41" ht="12" customHeight="1" x14ac:dyDescent="0.2">
      <c r="AM10125" t="str">
        <f t="shared" si="158"/>
        <v>Naistlaiu Sadam [EENST]</v>
      </c>
      <c r="AN10125" t="s">
        <v>33837</v>
      </c>
      <c r="AO10125" t="s">
        <v>33960</v>
      </c>
    </row>
    <row r="10126" spans="39:41" ht="12" customHeight="1" x14ac:dyDescent="0.2">
      <c r="AM10126" t="str">
        <f t="shared" si="158"/>
        <v>Najaf [IQNJF]</v>
      </c>
      <c r="AN10126" t="s">
        <v>17576</v>
      </c>
      <c r="AO10126" t="s">
        <v>17577</v>
      </c>
    </row>
    <row r="10127" spans="39:41" ht="12" customHeight="1" x14ac:dyDescent="0.2">
      <c r="AM10127" t="str">
        <f t="shared" si="158"/>
        <v>Najat [IQNAS]</v>
      </c>
      <c r="AN10127" t="s">
        <v>17578</v>
      </c>
      <c r="AO10127" t="s">
        <v>17579</v>
      </c>
    </row>
    <row r="10128" spans="39:41" ht="12" customHeight="1" x14ac:dyDescent="0.2">
      <c r="AM10128" t="str">
        <f t="shared" si="158"/>
        <v>Najera [ESNJE]</v>
      </c>
      <c r="AN10128" t="s">
        <v>9989</v>
      </c>
      <c r="AO10128" t="s">
        <v>35683</v>
      </c>
    </row>
    <row r="10129" spans="39:41" ht="12" customHeight="1" x14ac:dyDescent="0.2">
      <c r="AM10129" t="str">
        <f t="shared" si="158"/>
        <v>Nakada [JPNKD]</v>
      </c>
      <c r="AN10129" t="s">
        <v>20122</v>
      </c>
      <c r="AO10129" t="s">
        <v>20123</v>
      </c>
    </row>
    <row r="10130" spans="39:41" ht="12" customHeight="1" x14ac:dyDescent="0.2">
      <c r="AM10130" t="str">
        <f t="shared" si="158"/>
        <v>Nakagusuku [JPNAK]</v>
      </c>
      <c r="AN10130" t="s">
        <v>20124</v>
      </c>
      <c r="AO10130" t="s">
        <v>20125</v>
      </c>
    </row>
    <row r="10131" spans="39:41" ht="12" customHeight="1" x14ac:dyDescent="0.2">
      <c r="AM10131" t="str">
        <f t="shared" si="158"/>
        <v>Nakahama, Hiroshima [JPNHA]</v>
      </c>
      <c r="AN10131" t="s">
        <v>20126</v>
      </c>
      <c r="AO10131" t="s">
        <v>20127</v>
      </c>
    </row>
    <row r="10132" spans="39:41" ht="12" customHeight="1" x14ac:dyDescent="0.2">
      <c r="AM10132" t="str">
        <f t="shared" si="158"/>
        <v>Nakahama, Kyoto [JPNKJ]</v>
      </c>
      <c r="AN10132" t="s">
        <v>20128</v>
      </c>
      <c r="AO10132" t="s">
        <v>20129</v>
      </c>
    </row>
    <row r="10133" spans="39:41" ht="12" customHeight="1" x14ac:dyDescent="0.2">
      <c r="AM10133" t="str">
        <f t="shared" si="158"/>
        <v>Nakahama, Tottori [JPNKH]</v>
      </c>
      <c r="AN10133" t="s">
        <v>20130</v>
      </c>
      <c r="AO10133" t="s">
        <v>20131</v>
      </c>
    </row>
    <row r="10134" spans="39:41" ht="12" customHeight="1" x14ac:dyDescent="0.2">
      <c r="AM10134" t="str">
        <f t="shared" si="158"/>
        <v>Nakajima [JPNJM]</v>
      </c>
      <c r="AN10134" t="s">
        <v>20132</v>
      </c>
      <c r="AO10134" t="s">
        <v>20133</v>
      </c>
    </row>
    <row r="10135" spans="39:41" ht="12" customHeight="1" x14ac:dyDescent="0.2">
      <c r="AM10135" t="str">
        <f t="shared" si="158"/>
        <v>Nakakoshiki [JPNKK]</v>
      </c>
      <c r="AN10135" t="s">
        <v>20134</v>
      </c>
      <c r="AO10135" t="s">
        <v>20135</v>
      </c>
    </row>
    <row r="10136" spans="39:41" ht="12" customHeight="1" x14ac:dyDescent="0.2">
      <c r="AM10136" t="str">
        <f t="shared" si="158"/>
        <v>Nakama, Kagoshima [JPNKL]</v>
      </c>
      <c r="AN10136" t="s">
        <v>20136</v>
      </c>
      <c r="AO10136" t="s">
        <v>20137</v>
      </c>
    </row>
    <row r="10137" spans="39:41" ht="12" customHeight="1" x14ac:dyDescent="0.2">
      <c r="AM10137" t="str">
        <f t="shared" si="158"/>
        <v>Nakama, Okinawa [JPNKM]</v>
      </c>
      <c r="AN10137" t="s">
        <v>20138</v>
      </c>
      <c r="AO10137" t="s">
        <v>20139</v>
      </c>
    </row>
    <row r="10138" spans="39:41" ht="12" customHeight="1" x14ac:dyDescent="0.2">
      <c r="AM10138" t="str">
        <f t="shared" si="158"/>
        <v>Nakamichi [JPNMC]</v>
      </c>
      <c r="AN10138" t="s">
        <v>20140</v>
      </c>
      <c r="AO10138" t="s">
        <v>20141</v>
      </c>
    </row>
    <row r="10139" spans="39:41" ht="12" customHeight="1" x14ac:dyDescent="0.2">
      <c r="AM10139" t="str">
        <f t="shared" si="158"/>
        <v>Nakaminato [JPNMT]</v>
      </c>
      <c r="AN10139" t="s">
        <v>20142</v>
      </c>
      <c r="AO10139" t="s">
        <v>20143</v>
      </c>
    </row>
    <row r="10140" spans="39:41" ht="12" customHeight="1" x14ac:dyDescent="0.2">
      <c r="AM10140" t="str">
        <f t="shared" si="158"/>
        <v>Nakanosaku [JPNKX]</v>
      </c>
      <c r="AN10140" t="s">
        <v>20144</v>
      </c>
      <c r="AO10140" t="s">
        <v>20145</v>
      </c>
    </row>
    <row r="10141" spans="39:41" ht="12" customHeight="1" x14ac:dyDescent="0.2">
      <c r="AM10141" t="str">
        <f t="shared" si="158"/>
        <v>Nakanoseki [JPNAN]</v>
      </c>
      <c r="AN10141" t="s">
        <v>20146</v>
      </c>
      <c r="AO10141" t="s">
        <v>20147</v>
      </c>
    </row>
    <row r="10142" spans="39:41" ht="12" customHeight="1" x14ac:dyDescent="0.2">
      <c r="AM10142" t="str">
        <f t="shared" si="158"/>
        <v>Nakanoshima [JPNKS]</v>
      </c>
      <c r="AN10142" t="s">
        <v>20148</v>
      </c>
      <c r="AO10142" t="s">
        <v>20149</v>
      </c>
    </row>
    <row r="10143" spans="39:41" ht="12" customHeight="1" x14ac:dyDescent="0.2">
      <c r="AM10143" t="str">
        <f t="shared" si="158"/>
        <v>Nakanoto [JPSXZ]</v>
      </c>
      <c r="AN10143" t="s">
        <v>20150</v>
      </c>
      <c r="AO10143" t="s">
        <v>20151</v>
      </c>
    </row>
    <row r="10144" spans="39:41" ht="12" customHeight="1" x14ac:dyDescent="0.2">
      <c r="AM10144" t="str">
        <f t="shared" si="158"/>
        <v>Nakanoura [JPNKN]</v>
      </c>
      <c r="AN10144" t="s">
        <v>20152</v>
      </c>
      <c r="AO10144" t="s">
        <v>20153</v>
      </c>
    </row>
    <row r="10145" spans="39:41" ht="12" customHeight="1" x14ac:dyDescent="0.2">
      <c r="AM10145" t="str">
        <f t="shared" si="158"/>
        <v>Nakashima [JPNKZ]</v>
      </c>
      <c r="AN10145" t="s">
        <v>20154</v>
      </c>
      <c r="AO10145" t="s">
        <v>20155</v>
      </c>
    </row>
    <row r="10146" spans="39:41" ht="12" customHeight="1" x14ac:dyDescent="0.2">
      <c r="AM10146" t="str">
        <f t="shared" si="158"/>
        <v>Nakata, Hiroshima [JPNKT]</v>
      </c>
      <c r="AN10146" t="s">
        <v>20156</v>
      </c>
      <c r="AO10146" t="s">
        <v>20157</v>
      </c>
    </row>
    <row r="10147" spans="39:41" ht="12" customHeight="1" x14ac:dyDescent="0.2">
      <c r="AM10147" t="str">
        <f t="shared" si="158"/>
        <v>Nakata, Kumamoto [JPNTX]</v>
      </c>
      <c r="AN10147" t="s">
        <v>20158</v>
      </c>
      <c r="AO10147" t="s">
        <v>20159</v>
      </c>
    </row>
    <row r="10148" spans="39:41" ht="12" customHeight="1" x14ac:dyDescent="0.2">
      <c r="AM10148" t="str">
        <f t="shared" si="158"/>
        <v>Nakatsu [JPNAT]</v>
      </c>
      <c r="AN10148" t="s">
        <v>20160</v>
      </c>
      <c r="AO10148" t="s">
        <v>20161</v>
      </c>
    </row>
    <row r="10149" spans="39:41" ht="12" customHeight="1" x14ac:dyDescent="0.2">
      <c r="AM10149" t="str">
        <f t="shared" si="158"/>
        <v>Nakayama [JPNKY]</v>
      </c>
      <c r="AN10149" t="s">
        <v>20162</v>
      </c>
      <c r="AO10149" t="s">
        <v>20163</v>
      </c>
    </row>
    <row r="10150" spans="39:41" ht="12" customHeight="1" x14ac:dyDescent="0.2">
      <c r="AM10150" t="str">
        <f t="shared" si="158"/>
        <v>Nakety [NCNAK]</v>
      </c>
      <c r="AN10150" t="s">
        <v>22885</v>
      </c>
      <c r="AO10150" t="s">
        <v>36106</v>
      </c>
    </row>
    <row r="10151" spans="39:41" ht="12" customHeight="1" x14ac:dyDescent="0.2">
      <c r="AM10151" t="str">
        <f t="shared" si="158"/>
        <v>Nakhodka [RUNJK]</v>
      </c>
      <c r="AN10151" t="s">
        <v>27107</v>
      </c>
      <c r="AO10151" t="s">
        <v>27108</v>
      </c>
    </row>
    <row r="10152" spans="39:41" ht="12" customHeight="1" x14ac:dyDescent="0.2">
      <c r="AM10152" t="str">
        <f t="shared" si="158"/>
        <v>Nakhon Si Thammarat [THNKT]</v>
      </c>
      <c r="AN10152" t="s">
        <v>35007</v>
      </c>
      <c r="AO10152" t="s">
        <v>28254</v>
      </c>
    </row>
    <row r="10153" spans="39:41" ht="12" customHeight="1" x14ac:dyDescent="0.2">
      <c r="AM10153" t="str">
        <f t="shared" si="158"/>
        <v>Nakiri [JPNKR]</v>
      </c>
      <c r="AN10153" t="s">
        <v>20164</v>
      </c>
      <c r="AO10153" t="s">
        <v>20165</v>
      </c>
    </row>
    <row r="10154" spans="39:41" ht="12" customHeight="1" x14ac:dyDescent="0.2">
      <c r="AM10154" t="str">
        <f t="shared" si="158"/>
        <v>Nakskov [DKNAK]</v>
      </c>
      <c r="AN10154" t="s">
        <v>8823</v>
      </c>
      <c r="AO10154" t="s">
        <v>8824</v>
      </c>
    </row>
    <row r="10155" spans="39:41" ht="12" customHeight="1" x14ac:dyDescent="0.2">
      <c r="AM10155" t="str">
        <f t="shared" si="158"/>
        <v>Nakusp [CANAK]</v>
      </c>
      <c r="AN10155" t="s">
        <v>4137</v>
      </c>
      <c r="AO10155" t="s">
        <v>4138</v>
      </c>
    </row>
    <row r="10156" spans="39:41" ht="12" customHeight="1" x14ac:dyDescent="0.2">
      <c r="AM10156" t="str">
        <f t="shared" si="158"/>
        <v>Nalunaq Gold Mine [GLNAL]</v>
      </c>
      <c r="AN10156" t="s">
        <v>15003</v>
      </c>
      <c r="AO10156" t="s">
        <v>15004</v>
      </c>
    </row>
    <row r="10157" spans="39:41" ht="12" customHeight="1" x14ac:dyDescent="0.2">
      <c r="AM10157" t="str">
        <f t="shared" si="158"/>
        <v>Nalungga/Iloilo [PHNAL]</v>
      </c>
      <c r="AN10157" t="s">
        <v>25983</v>
      </c>
      <c r="AO10157" t="s">
        <v>25984</v>
      </c>
    </row>
    <row r="10158" spans="39:41" ht="12" customHeight="1" x14ac:dyDescent="0.2">
      <c r="AM10158" t="str">
        <f t="shared" si="158"/>
        <v>Nam Can Port [VNNCN]</v>
      </c>
      <c r="AN10158" t="s">
        <v>32420</v>
      </c>
      <c r="AO10158" t="s">
        <v>32421</v>
      </c>
    </row>
    <row r="10159" spans="39:41" ht="12" customHeight="1" x14ac:dyDescent="0.2">
      <c r="AM10159" t="str">
        <f t="shared" si="158"/>
        <v>Nam Dinh [VNNMD]</v>
      </c>
      <c r="AN10159" t="s">
        <v>32422</v>
      </c>
      <c r="AO10159" t="s">
        <v>32423</v>
      </c>
    </row>
    <row r="10160" spans="39:41" ht="12" customHeight="1" x14ac:dyDescent="0.2">
      <c r="AM10160" t="str">
        <f t="shared" si="158"/>
        <v>Nam Hai Dinh Vu Port [VNNHD]</v>
      </c>
      <c r="AN10160" t="s">
        <v>32424</v>
      </c>
      <c r="AO10160" t="s">
        <v>32425</v>
      </c>
    </row>
    <row r="10161" spans="39:41" ht="12" customHeight="1" x14ac:dyDescent="0.2">
      <c r="AM10161" t="str">
        <f t="shared" si="158"/>
        <v>Nama [JPNAM]</v>
      </c>
      <c r="AN10161" t="s">
        <v>20166</v>
      </c>
      <c r="AO10161" t="s">
        <v>20167</v>
      </c>
    </row>
    <row r="10162" spans="39:41" ht="12" customHeight="1" x14ac:dyDescent="0.2">
      <c r="AM10162" t="str">
        <f t="shared" ref="AM10162:AM10225" si="159">AO10162 &amp; " [" &amp; AN10162 &amp; "]"</f>
        <v>Namatanai [PGATN]</v>
      </c>
      <c r="AN10162" t="s">
        <v>25442</v>
      </c>
      <c r="AO10162" t="s">
        <v>25443</v>
      </c>
    </row>
    <row r="10163" spans="39:41" ht="12" customHeight="1" x14ac:dyDescent="0.2">
      <c r="AM10163" t="str">
        <f t="shared" si="159"/>
        <v>Nambouwalu [FJNAM]</v>
      </c>
      <c r="AN10163" t="s">
        <v>10622</v>
      </c>
      <c r="AO10163" t="s">
        <v>10623</v>
      </c>
    </row>
    <row r="10164" spans="39:41" ht="12" customHeight="1" x14ac:dyDescent="0.2">
      <c r="AM10164" t="str">
        <f t="shared" si="159"/>
        <v>Nameche [BENMC]</v>
      </c>
      <c r="AN10164" t="s">
        <v>2758</v>
      </c>
      <c r="AO10164" t="s">
        <v>35275</v>
      </c>
    </row>
    <row r="10165" spans="39:41" ht="12" customHeight="1" x14ac:dyDescent="0.2">
      <c r="AM10165" t="str">
        <f t="shared" si="159"/>
        <v>Namibe [AOMSZ]</v>
      </c>
      <c r="AN10165" t="s">
        <v>875</v>
      </c>
      <c r="AO10165" t="s">
        <v>876</v>
      </c>
    </row>
    <row r="10166" spans="39:41" ht="12" customHeight="1" x14ac:dyDescent="0.2">
      <c r="AM10166" t="str">
        <f t="shared" si="159"/>
        <v>Namikata [JPNIT]</v>
      </c>
      <c r="AN10166" t="s">
        <v>20168</v>
      </c>
      <c r="AO10166" t="s">
        <v>20169</v>
      </c>
    </row>
    <row r="10167" spans="39:41" ht="12" customHeight="1" x14ac:dyDescent="0.2">
      <c r="AM10167" t="str">
        <f t="shared" si="159"/>
        <v>Nampo [KPNAM]</v>
      </c>
      <c r="AN10167" t="s">
        <v>21586</v>
      </c>
      <c r="AO10167" t="s">
        <v>21587</v>
      </c>
    </row>
    <row r="10168" spans="39:41" ht="12" customHeight="1" x14ac:dyDescent="0.2">
      <c r="AM10168" t="str">
        <f t="shared" si="159"/>
        <v>Namsos [NOOSY]</v>
      </c>
      <c r="AN10168" t="s">
        <v>24531</v>
      </c>
      <c r="AO10168" t="s">
        <v>24532</v>
      </c>
    </row>
    <row r="10169" spans="39:41" ht="12" customHeight="1" x14ac:dyDescent="0.2">
      <c r="AM10169" t="str">
        <f t="shared" si="159"/>
        <v>Namur [BENAM]</v>
      </c>
      <c r="AN10169" t="s">
        <v>2759</v>
      </c>
      <c r="AO10169" t="s">
        <v>2760</v>
      </c>
    </row>
    <row r="10170" spans="39:41" ht="12" customHeight="1" x14ac:dyDescent="0.2">
      <c r="AM10170" t="str">
        <f t="shared" si="159"/>
        <v>Nanaimo [CANNO]</v>
      </c>
      <c r="AN10170" t="s">
        <v>4139</v>
      </c>
      <c r="AO10170" t="s">
        <v>4140</v>
      </c>
    </row>
    <row r="10171" spans="39:41" ht="12" customHeight="1" x14ac:dyDescent="0.2">
      <c r="AM10171" t="str">
        <f t="shared" si="159"/>
        <v>Nanan [CNGYN]</v>
      </c>
      <c r="AN10171" t="s">
        <v>5767</v>
      </c>
      <c r="AO10171" t="s">
        <v>5768</v>
      </c>
    </row>
    <row r="10172" spans="39:41" ht="12" customHeight="1" x14ac:dyDescent="0.2">
      <c r="AM10172" t="str">
        <f t="shared" si="159"/>
        <v>Nanao [JPNNO]</v>
      </c>
      <c r="AN10172" t="s">
        <v>20170</v>
      </c>
      <c r="AO10172" t="s">
        <v>20171</v>
      </c>
    </row>
    <row r="10173" spans="39:41" ht="12" customHeight="1" x14ac:dyDescent="0.2">
      <c r="AM10173" t="str">
        <f t="shared" si="159"/>
        <v>Nanao Pt [CNNAN]</v>
      </c>
      <c r="AN10173" t="s">
        <v>5769</v>
      </c>
      <c r="AO10173" t="s">
        <v>5770</v>
      </c>
    </row>
    <row r="10174" spans="39:41" ht="12" customHeight="1" x14ac:dyDescent="0.2">
      <c r="AM10174" t="str">
        <f t="shared" si="159"/>
        <v>Nanatsugama [JPNNT]</v>
      </c>
      <c r="AN10174" t="s">
        <v>20172</v>
      </c>
      <c r="AO10174" t="s">
        <v>20173</v>
      </c>
    </row>
    <row r="10175" spans="39:41" ht="12" customHeight="1" x14ac:dyDescent="0.2">
      <c r="AM10175" t="str">
        <f t="shared" si="159"/>
        <v>Nanatsuyama [JPNTY]</v>
      </c>
      <c r="AN10175" t="s">
        <v>20174</v>
      </c>
      <c r="AO10175" t="s">
        <v>20175</v>
      </c>
    </row>
    <row r="10176" spans="39:41" ht="12" customHeight="1" x14ac:dyDescent="0.2">
      <c r="AM10176" t="str">
        <f t="shared" si="159"/>
        <v>Nanchital [MXNAN]</v>
      </c>
      <c r="AN10176" t="s">
        <v>22401</v>
      </c>
      <c r="AO10176" t="s">
        <v>22402</v>
      </c>
    </row>
    <row r="10177" spans="39:41" ht="12" customHeight="1" x14ac:dyDescent="0.2">
      <c r="AM10177" t="str">
        <f t="shared" si="159"/>
        <v>Nancowrie [INNAN]</v>
      </c>
      <c r="AN10177" t="s">
        <v>17329</v>
      </c>
      <c r="AO10177" t="s">
        <v>17330</v>
      </c>
    </row>
    <row r="10178" spans="39:41" ht="12" customHeight="1" x14ac:dyDescent="0.2">
      <c r="AM10178" t="str">
        <f t="shared" si="159"/>
        <v>Nancy [FRENC]</v>
      </c>
      <c r="AN10178" t="s">
        <v>11733</v>
      </c>
      <c r="AO10178" t="s">
        <v>11734</v>
      </c>
    </row>
    <row r="10179" spans="39:41" ht="12" customHeight="1" x14ac:dyDescent="0.2">
      <c r="AM10179" t="str">
        <f t="shared" si="159"/>
        <v>Nandayure [CRNAN]</v>
      </c>
      <c r="AN10179" t="s">
        <v>6600</v>
      </c>
      <c r="AO10179" t="s">
        <v>6601</v>
      </c>
    </row>
    <row r="10180" spans="39:41" ht="12" customHeight="1" x14ac:dyDescent="0.2">
      <c r="AM10180" t="str">
        <f t="shared" si="159"/>
        <v>Nandgaon [INNDG]</v>
      </c>
      <c r="AN10180" t="s">
        <v>17331</v>
      </c>
      <c r="AO10180" t="s">
        <v>17332</v>
      </c>
    </row>
    <row r="10181" spans="39:41" ht="12" customHeight="1" x14ac:dyDescent="0.2">
      <c r="AM10181" t="str">
        <f t="shared" si="159"/>
        <v>Nandu [CNNAD]</v>
      </c>
      <c r="AN10181" t="s">
        <v>5771</v>
      </c>
      <c r="AO10181" t="s">
        <v>5772</v>
      </c>
    </row>
    <row r="10182" spans="39:41" ht="12" customHeight="1" x14ac:dyDescent="0.2">
      <c r="AM10182" t="str">
        <f t="shared" si="159"/>
        <v>Nanhai Pt [CNNAH]</v>
      </c>
      <c r="AN10182" t="s">
        <v>5773</v>
      </c>
      <c r="AO10182" t="s">
        <v>5774</v>
      </c>
    </row>
    <row r="10183" spans="39:41" ht="12" customHeight="1" x14ac:dyDescent="0.2">
      <c r="AM10183" t="str">
        <f t="shared" si="159"/>
        <v>Nanisivik [CANVK]</v>
      </c>
      <c r="AN10183" t="s">
        <v>4141</v>
      </c>
      <c r="AO10183" t="s">
        <v>4142</v>
      </c>
    </row>
    <row r="10184" spans="39:41" ht="12" customHeight="1" x14ac:dyDescent="0.2">
      <c r="AM10184" t="str">
        <f t="shared" si="159"/>
        <v>Nanjiangkou [CNNJK]</v>
      </c>
      <c r="AN10184" t="s">
        <v>5775</v>
      </c>
      <c r="AO10184" t="s">
        <v>5776</v>
      </c>
    </row>
    <row r="10185" spans="39:41" ht="12" customHeight="1" x14ac:dyDescent="0.2">
      <c r="AM10185" t="str">
        <f t="shared" si="159"/>
        <v>Nanjing [CNNJI]</v>
      </c>
      <c r="AN10185" t="s">
        <v>5777</v>
      </c>
      <c r="AO10185" t="s">
        <v>5778</v>
      </c>
    </row>
    <row r="10186" spans="39:41" ht="12" customHeight="1" x14ac:dyDescent="0.2">
      <c r="AM10186" t="str">
        <f t="shared" si="159"/>
        <v>Nanjing Pt [CNNJG]</v>
      </c>
      <c r="AN10186" t="s">
        <v>5779</v>
      </c>
      <c r="AO10186" t="s">
        <v>5780</v>
      </c>
    </row>
    <row r="10187" spans="39:41" ht="12" customHeight="1" x14ac:dyDescent="0.2">
      <c r="AM10187" t="str">
        <f t="shared" si="159"/>
        <v>Nanko [JPNKO]</v>
      </c>
      <c r="AN10187" t="s">
        <v>20176</v>
      </c>
      <c r="AO10187" t="s">
        <v>20177</v>
      </c>
    </row>
    <row r="10188" spans="39:41" ht="12" customHeight="1" x14ac:dyDescent="0.2">
      <c r="AM10188" t="str">
        <f t="shared" si="159"/>
        <v>Nannestad [NODSN]</v>
      </c>
      <c r="AN10188" t="s">
        <v>24533</v>
      </c>
      <c r="AO10188" t="s">
        <v>24534</v>
      </c>
    </row>
    <row r="10189" spans="39:41" ht="12" customHeight="1" x14ac:dyDescent="0.2">
      <c r="AM10189" t="str">
        <f t="shared" si="159"/>
        <v>Nanning [CNNIN]</v>
      </c>
      <c r="AN10189" t="s">
        <v>5781</v>
      </c>
      <c r="AO10189" t="s">
        <v>5782</v>
      </c>
    </row>
    <row r="10190" spans="39:41" ht="12" customHeight="1" x14ac:dyDescent="0.2">
      <c r="AM10190" t="str">
        <f t="shared" si="159"/>
        <v>Nanning Pt [CNNIG]</v>
      </c>
      <c r="AN10190" t="s">
        <v>5783</v>
      </c>
      <c r="AO10190" t="s">
        <v>5784</v>
      </c>
    </row>
    <row r="10191" spans="39:41" ht="12" customHeight="1" x14ac:dyDescent="0.2">
      <c r="AM10191" t="str">
        <f t="shared" si="159"/>
        <v>Nanoose Bay [CANNE]</v>
      </c>
      <c r="AN10191" t="s">
        <v>4143</v>
      </c>
      <c r="AO10191" t="s">
        <v>4144</v>
      </c>
    </row>
    <row r="10192" spans="39:41" ht="12" customHeight="1" x14ac:dyDescent="0.2">
      <c r="AM10192" t="str">
        <f t="shared" si="159"/>
        <v>Nanortalik [GLJNN]</v>
      </c>
      <c r="AN10192" t="s">
        <v>15005</v>
      </c>
      <c r="AO10192" t="s">
        <v>15006</v>
      </c>
    </row>
    <row r="10193" spans="39:41" ht="12" customHeight="1" x14ac:dyDescent="0.2">
      <c r="AM10193" t="str">
        <f t="shared" si="159"/>
        <v>Nansha Pt [CNNSA]</v>
      </c>
      <c r="AN10193" t="s">
        <v>5785</v>
      </c>
      <c r="AO10193" t="s">
        <v>5786</v>
      </c>
    </row>
    <row r="10194" spans="39:41" ht="12" customHeight="1" x14ac:dyDescent="0.2">
      <c r="AM10194" t="str">
        <f t="shared" si="159"/>
        <v>Nantes [FRNTE]</v>
      </c>
      <c r="AN10194" t="s">
        <v>11735</v>
      </c>
      <c r="AO10194" t="s">
        <v>11736</v>
      </c>
    </row>
    <row r="10195" spans="39:41" ht="12" customHeight="1" x14ac:dyDescent="0.2">
      <c r="AM10195" t="str">
        <f t="shared" si="159"/>
        <v>Nanteuil-sur-Aisne [FRNUS]</v>
      </c>
      <c r="AN10195" t="s">
        <v>11737</v>
      </c>
      <c r="AO10195" t="s">
        <v>11738</v>
      </c>
    </row>
    <row r="10196" spans="39:41" ht="12" customHeight="1" x14ac:dyDescent="0.2">
      <c r="AM10196" t="str">
        <f t="shared" si="159"/>
        <v>Nanticoke [CANAN]</v>
      </c>
      <c r="AN10196" t="s">
        <v>4145</v>
      </c>
      <c r="AO10196" t="s">
        <v>4146</v>
      </c>
    </row>
    <row r="10197" spans="39:41" ht="12" customHeight="1" x14ac:dyDescent="0.2">
      <c r="AM10197" t="str">
        <f t="shared" si="159"/>
        <v>Nantong Pt [CNNTG]</v>
      </c>
      <c r="AN10197" t="s">
        <v>5787</v>
      </c>
      <c r="AO10197" t="s">
        <v>5788</v>
      </c>
    </row>
    <row r="10198" spans="39:41" ht="12" customHeight="1" x14ac:dyDescent="0.2">
      <c r="AM10198" t="str">
        <f t="shared" si="159"/>
        <v>Nantou [TWNAN]</v>
      </c>
      <c r="AN10198" t="s">
        <v>28681</v>
      </c>
      <c r="AO10198" t="s">
        <v>28682</v>
      </c>
    </row>
    <row r="10199" spans="39:41" ht="12" customHeight="1" x14ac:dyDescent="0.2">
      <c r="AM10199" t="str">
        <f t="shared" si="159"/>
        <v>Nantwich [GBNTW]</v>
      </c>
      <c r="AN10199" t="s">
        <v>13886</v>
      </c>
      <c r="AO10199" t="s">
        <v>13887</v>
      </c>
    </row>
    <row r="10200" spans="39:41" ht="12" customHeight="1" x14ac:dyDescent="0.2">
      <c r="AM10200" t="str">
        <f t="shared" si="159"/>
        <v>Nanxi [CNNNX]</v>
      </c>
      <c r="AN10200" t="s">
        <v>5789</v>
      </c>
      <c r="AO10200" t="s">
        <v>5790</v>
      </c>
    </row>
    <row r="10201" spans="39:41" ht="12" customHeight="1" x14ac:dyDescent="0.2">
      <c r="AM10201" t="str">
        <f t="shared" si="159"/>
        <v>Nanxiang [CNNXI]</v>
      </c>
      <c r="AN10201" t="s">
        <v>5791</v>
      </c>
      <c r="AO10201" t="s">
        <v>5792</v>
      </c>
    </row>
    <row r="10202" spans="39:41" ht="12" customHeight="1" x14ac:dyDescent="0.2">
      <c r="AM10202" t="str">
        <f t="shared" si="159"/>
        <v>Naoetsu [JPNAO]</v>
      </c>
      <c r="AN10202" t="s">
        <v>20178</v>
      </c>
      <c r="AO10202" t="s">
        <v>20179</v>
      </c>
    </row>
    <row r="10203" spans="39:41" ht="12" customHeight="1" x14ac:dyDescent="0.2">
      <c r="AM10203" t="str">
        <f t="shared" si="159"/>
        <v>Naoshima [JPNAS]</v>
      </c>
      <c r="AN10203" t="s">
        <v>20180</v>
      </c>
      <c r="AO10203" t="s">
        <v>20181</v>
      </c>
    </row>
    <row r="10204" spans="39:41" ht="12" customHeight="1" x14ac:dyDescent="0.2">
      <c r="AM10204" t="str">
        <f t="shared" si="159"/>
        <v>Naoussa Parou [GRNAS]</v>
      </c>
      <c r="AN10204" t="s">
        <v>15383</v>
      </c>
      <c r="AO10204" t="s">
        <v>15384</v>
      </c>
    </row>
    <row r="10205" spans="39:41" ht="12" customHeight="1" x14ac:dyDescent="0.2">
      <c r="AM10205" t="str">
        <f t="shared" si="159"/>
        <v>Naozhou [CNZNZ]</v>
      </c>
      <c r="AN10205" t="s">
        <v>5793</v>
      </c>
      <c r="AO10205" t="s">
        <v>5794</v>
      </c>
    </row>
    <row r="10206" spans="39:41" ht="12" customHeight="1" x14ac:dyDescent="0.2">
      <c r="AM10206" t="str">
        <f t="shared" si="159"/>
        <v>Napa Napa [PGNAP]</v>
      </c>
      <c r="AN10206" t="s">
        <v>25444</v>
      </c>
      <c r="AO10206" t="s">
        <v>25445</v>
      </c>
    </row>
    <row r="10207" spans="39:41" ht="12" customHeight="1" x14ac:dyDescent="0.2">
      <c r="AM10207" t="str">
        <f t="shared" si="159"/>
        <v>Napier [NZNPE]</v>
      </c>
      <c r="AN10207" t="s">
        <v>25082</v>
      </c>
      <c r="AO10207" t="s">
        <v>25083</v>
      </c>
    </row>
    <row r="10208" spans="39:41" ht="12" customHeight="1" x14ac:dyDescent="0.2">
      <c r="AM10208" t="str">
        <f t="shared" si="159"/>
        <v>Naples [USYUD]</v>
      </c>
      <c r="AN10208" t="s">
        <v>30708</v>
      </c>
      <c r="AO10208" t="s">
        <v>30709</v>
      </c>
    </row>
    <row r="10209" spans="39:41" ht="12" customHeight="1" x14ac:dyDescent="0.2">
      <c r="AM10209" t="str">
        <f t="shared" si="159"/>
        <v>Napoli [ITNAP]</v>
      </c>
      <c r="AN10209" t="s">
        <v>18105</v>
      </c>
      <c r="AO10209" t="s">
        <v>18106</v>
      </c>
    </row>
    <row r="10210" spans="39:41" ht="12" customHeight="1" x14ac:dyDescent="0.2">
      <c r="AM10210" t="str">
        <f t="shared" si="159"/>
        <v>Napsan/Puerto Princesa [PHNAP]</v>
      </c>
      <c r="AN10210" t="s">
        <v>25985</v>
      </c>
      <c r="AO10210" t="s">
        <v>25986</v>
      </c>
    </row>
    <row r="10211" spans="39:41" ht="12" customHeight="1" x14ac:dyDescent="0.2">
      <c r="AM10211" t="str">
        <f t="shared" si="159"/>
        <v>Naramata [CANMT]</v>
      </c>
      <c r="AN10211" t="s">
        <v>4147</v>
      </c>
      <c r="AO10211" t="s">
        <v>4148</v>
      </c>
    </row>
    <row r="10212" spans="39:41" ht="12" customHeight="1" x14ac:dyDescent="0.2">
      <c r="AM10212" t="str">
        <f t="shared" si="159"/>
        <v>Naranjo [CRNAR]</v>
      </c>
      <c r="AN10212" t="s">
        <v>6602</v>
      </c>
      <c r="AO10212" t="s">
        <v>6603</v>
      </c>
    </row>
    <row r="10213" spans="39:41" ht="12" customHeight="1" x14ac:dyDescent="0.2">
      <c r="AM10213" t="str">
        <f t="shared" si="159"/>
        <v>Narao [JPNRO]</v>
      </c>
      <c r="AN10213" t="s">
        <v>20182</v>
      </c>
      <c r="AO10213" t="s">
        <v>20183</v>
      </c>
    </row>
    <row r="10214" spans="39:41" ht="12" customHeight="1" x14ac:dyDescent="0.2">
      <c r="AM10214" t="str">
        <f t="shared" si="159"/>
        <v>Narashino [JPNAI]</v>
      </c>
      <c r="AN10214" t="s">
        <v>20184</v>
      </c>
      <c r="AO10214" t="s">
        <v>20185</v>
      </c>
    </row>
    <row r="10215" spans="39:41" ht="12" customHeight="1" x14ac:dyDescent="0.2">
      <c r="AM10215" t="str">
        <f t="shared" si="159"/>
        <v>Narathiwat [THNRW]</v>
      </c>
      <c r="AN10215" t="s">
        <v>34218</v>
      </c>
      <c r="AO10215" t="s">
        <v>28255</v>
      </c>
    </row>
    <row r="10216" spans="39:41" ht="12" customHeight="1" x14ac:dyDescent="0.2">
      <c r="AM10216" t="str">
        <f t="shared" si="159"/>
        <v>Narayanganj [BDNAR]</v>
      </c>
      <c r="AN10216" t="s">
        <v>2202</v>
      </c>
      <c r="AO10216" t="s">
        <v>2203</v>
      </c>
    </row>
    <row r="10217" spans="39:41" ht="12" customHeight="1" x14ac:dyDescent="0.2">
      <c r="AM10217" t="str">
        <f t="shared" si="159"/>
        <v>Naris Point/Puerto Princesa [PHNAR]</v>
      </c>
      <c r="AN10217" t="s">
        <v>25987</v>
      </c>
      <c r="AO10217" t="s">
        <v>25988</v>
      </c>
    </row>
    <row r="10218" spans="39:41" ht="12" customHeight="1" x14ac:dyDescent="0.2">
      <c r="AM10218" t="str">
        <f t="shared" si="159"/>
        <v>Narita, Chiba [JPNRI]</v>
      </c>
      <c r="AN10218" t="s">
        <v>37017</v>
      </c>
      <c r="AO10218" t="s">
        <v>37018</v>
      </c>
    </row>
    <row r="10219" spans="39:41" ht="12" customHeight="1" x14ac:dyDescent="0.2">
      <c r="AM10219" t="str">
        <f t="shared" si="159"/>
        <v>Nariz [PTNAV]</v>
      </c>
      <c r="AN10219" t="s">
        <v>26549</v>
      </c>
      <c r="AO10219" t="s">
        <v>26550</v>
      </c>
    </row>
    <row r="10220" spans="39:41" ht="12" customHeight="1" x14ac:dyDescent="0.2">
      <c r="AM10220" t="str">
        <f t="shared" si="159"/>
        <v>Narodo [KRNRD]</v>
      </c>
      <c r="AN10220" t="s">
        <v>21694</v>
      </c>
      <c r="AO10220" t="s">
        <v>21695</v>
      </c>
    </row>
    <row r="10221" spans="39:41" ht="12" customHeight="1" x14ac:dyDescent="0.2">
      <c r="AM10221" t="str">
        <f t="shared" si="159"/>
        <v>Naroy [NONRY]</v>
      </c>
      <c r="AN10221" t="s">
        <v>24535</v>
      </c>
      <c r="AO10221" t="s">
        <v>36259</v>
      </c>
    </row>
    <row r="10222" spans="39:41" ht="12" customHeight="1" x14ac:dyDescent="0.2">
      <c r="AM10222" t="str">
        <f t="shared" si="159"/>
        <v>Narsaq [GLJNS]</v>
      </c>
      <c r="AN10222" t="s">
        <v>36992</v>
      </c>
      <c r="AO10222" t="s">
        <v>36993</v>
      </c>
    </row>
    <row r="10223" spans="39:41" ht="12" customHeight="1" x14ac:dyDescent="0.2">
      <c r="AM10223" t="str">
        <f t="shared" si="159"/>
        <v>Narsarsuaq [GLUAK]</v>
      </c>
      <c r="AN10223" t="s">
        <v>15007</v>
      </c>
      <c r="AO10223" t="s">
        <v>15008</v>
      </c>
    </row>
    <row r="10224" spans="39:41" ht="12" customHeight="1" x14ac:dyDescent="0.2">
      <c r="AM10224" t="str">
        <f t="shared" si="159"/>
        <v>Narushima [JPNRS]</v>
      </c>
      <c r="AN10224" t="s">
        <v>20186</v>
      </c>
      <c r="AO10224" t="s">
        <v>20187</v>
      </c>
    </row>
    <row r="10225" spans="39:41" ht="12" customHeight="1" x14ac:dyDescent="0.2">
      <c r="AM10225" t="str">
        <f t="shared" si="159"/>
        <v>Naruto [JPNRU]</v>
      </c>
      <c r="AN10225" t="s">
        <v>20188</v>
      </c>
      <c r="AO10225" t="s">
        <v>20189</v>
      </c>
    </row>
    <row r="10226" spans="39:41" ht="12" customHeight="1" x14ac:dyDescent="0.2">
      <c r="AM10226" t="str">
        <f t="shared" ref="AM10226:AM10289" si="160">AO10226 &amp; " [" &amp; AN10226 &amp; "]"</f>
        <v>Narva-Joesuu Sadam [EENJS]</v>
      </c>
      <c r="AN10226" t="s">
        <v>33838</v>
      </c>
      <c r="AO10226" t="s">
        <v>33961</v>
      </c>
    </row>
    <row r="10227" spans="39:41" ht="12" customHeight="1" x14ac:dyDescent="0.2">
      <c r="AM10227" t="str">
        <f t="shared" si="160"/>
        <v>Narvik [NONVK]</v>
      </c>
      <c r="AN10227" t="s">
        <v>24536</v>
      </c>
      <c r="AO10227" t="s">
        <v>24537</v>
      </c>
    </row>
    <row r="10228" spans="39:41" ht="12" customHeight="1" x14ac:dyDescent="0.2">
      <c r="AM10228" t="str">
        <f t="shared" si="160"/>
        <v>Naryan Mar [RUNNM]</v>
      </c>
      <c r="AN10228" t="s">
        <v>27109</v>
      </c>
      <c r="AO10228" t="s">
        <v>27110</v>
      </c>
    </row>
    <row r="10229" spans="39:41" ht="12" customHeight="1" x14ac:dyDescent="0.2">
      <c r="AM10229" t="str">
        <f t="shared" si="160"/>
        <v>Narym [RUNAR]</v>
      </c>
      <c r="AN10229" t="s">
        <v>27111</v>
      </c>
      <c r="AO10229" t="s">
        <v>27112</v>
      </c>
    </row>
    <row r="10230" spans="39:41" ht="12" customHeight="1" x14ac:dyDescent="0.2">
      <c r="AM10230" t="str">
        <f t="shared" si="160"/>
        <v>Nas [SENAS]</v>
      </c>
      <c r="AN10230" t="s">
        <v>27768</v>
      </c>
      <c r="AO10230" t="s">
        <v>36487</v>
      </c>
    </row>
    <row r="10231" spans="39:41" ht="12" customHeight="1" x14ac:dyDescent="0.2">
      <c r="AM10231" t="str">
        <f t="shared" si="160"/>
        <v>Nasa [JPNSX]</v>
      </c>
      <c r="AN10231" t="s">
        <v>20190</v>
      </c>
      <c r="AO10231" t="s">
        <v>20191</v>
      </c>
    </row>
    <row r="10232" spans="39:41" ht="12" customHeight="1" x14ac:dyDescent="0.2">
      <c r="AM10232" t="str">
        <f t="shared" si="160"/>
        <v>Nashville [USVQV]</v>
      </c>
      <c r="AN10232" t="s">
        <v>30710</v>
      </c>
      <c r="AO10232" t="s">
        <v>30711</v>
      </c>
    </row>
    <row r="10233" spans="39:41" ht="12" customHeight="1" x14ac:dyDescent="0.2">
      <c r="AM10233" t="str">
        <f t="shared" si="160"/>
        <v>Nashville [USBNA]</v>
      </c>
      <c r="AN10233" t="s">
        <v>30712</v>
      </c>
      <c r="AO10233" t="s">
        <v>30711</v>
      </c>
    </row>
    <row r="10234" spans="39:41" ht="12" customHeight="1" x14ac:dyDescent="0.2">
      <c r="AM10234" t="str">
        <f t="shared" si="160"/>
        <v>Nasipit/Masao [PHNAS]</v>
      </c>
      <c r="AN10234" t="s">
        <v>25989</v>
      </c>
      <c r="AO10234" t="s">
        <v>25990</v>
      </c>
    </row>
    <row r="10235" spans="39:41" ht="12" customHeight="1" x14ac:dyDescent="0.2">
      <c r="AM10235" t="str">
        <f t="shared" si="160"/>
        <v>Nasiriyah [IQNSR]</v>
      </c>
      <c r="AN10235" t="s">
        <v>17580</v>
      </c>
      <c r="AO10235" t="s">
        <v>17581</v>
      </c>
    </row>
    <row r="10236" spans="39:41" ht="12" customHeight="1" x14ac:dyDescent="0.2">
      <c r="AM10236" t="str">
        <f t="shared" si="160"/>
        <v>Nasr City [EGQAH]</v>
      </c>
      <c r="AN10236" t="s">
        <v>9500</v>
      </c>
      <c r="AO10236" t="s">
        <v>9501</v>
      </c>
    </row>
    <row r="10237" spans="39:41" ht="12" customHeight="1" x14ac:dyDescent="0.2">
      <c r="AM10237" t="str">
        <f t="shared" si="160"/>
        <v>Nassau [BSNAS]</v>
      </c>
      <c r="AN10237" t="s">
        <v>3464</v>
      </c>
      <c r="AO10237" t="s">
        <v>3465</v>
      </c>
    </row>
    <row r="10238" spans="39:41" ht="12" customHeight="1" x14ac:dyDescent="0.2">
      <c r="AM10238" t="str">
        <f t="shared" si="160"/>
        <v>Nassau [USNYU]</v>
      </c>
      <c r="AN10238" t="s">
        <v>30713</v>
      </c>
      <c r="AO10238" t="s">
        <v>3465</v>
      </c>
    </row>
    <row r="10239" spans="39:41" ht="12" customHeight="1" x14ac:dyDescent="0.2">
      <c r="AM10239" t="str">
        <f t="shared" si="160"/>
        <v>Nassund [DKNUD]</v>
      </c>
      <c r="AN10239" t="s">
        <v>8819</v>
      </c>
      <c r="AO10239" t="s">
        <v>35557</v>
      </c>
    </row>
    <row r="10240" spans="39:41" ht="12" customHeight="1" x14ac:dyDescent="0.2">
      <c r="AM10240" t="str">
        <f t="shared" si="160"/>
        <v>Nastved [DKNVD]</v>
      </c>
      <c r="AN10240" t="s">
        <v>8820</v>
      </c>
      <c r="AO10240" t="s">
        <v>35558</v>
      </c>
    </row>
    <row r="10241" spans="39:41" ht="12" customHeight="1" x14ac:dyDescent="0.2">
      <c r="AM10241" t="str">
        <f t="shared" si="160"/>
        <v>Nasugbu, Luzon [PHNUG]</v>
      </c>
      <c r="AN10241" t="s">
        <v>25991</v>
      </c>
      <c r="AO10241" t="s">
        <v>25992</v>
      </c>
    </row>
    <row r="10242" spans="39:41" ht="12" customHeight="1" x14ac:dyDescent="0.2">
      <c r="AM10242" t="str">
        <f t="shared" si="160"/>
        <v>Nasva [EENAS]</v>
      </c>
      <c r="AN10242" t="s">
        <v>9270</v>
      </c>
      <c r="AO10242" t="s">
        <v>9271</v>
      </c>
    </row>
    <row r="10243" spans="39:41" ht="12" customHeight="1" x14ac:dyDescent="0.2">
      <c r="AM10243" t="str">
        <f t="shared" si="160"/>
        <v>Nasva Joesadam [EENJD]</v>
      </c>
      <c r="AN10243" t="s">
        <v>34076</v>
      </c>
      <c r="AO10243" t="s">
        <v>34122</v>
      </c>
    </row>
    <row r="10244" spans="39:41" ht="12" customHeight="1" x14ac:dyDescent="0.2">
      <c r="AM10244" t="str">
        <f t="shared" si="160"/>
        <v>Natal [BRNAT]</v>
      </c>
      <c r="AN10244" t="s">
        <v>3346</v>
      </c>
      <c r="AO10244" t="s">
        <v>3347</v>
      </c>
    </row>
    <row r="10245" spans="39:41" ht="12" customHeight="1" x14ac:dyDescent="0.2">
      <c r="AM10245" t="str">
        <f t="shared" si="160"/>
        <v>Natchez [USHEZ]</v>
      </c>
      <c r="AN10245" t="s">
        <v>30714</v>
      </c>
      <c r="AO10245" t="s">
        <v>30715</v>
      </c>
    </row>
    <row r="10246" spans="39:41" ht="12" customHeight="1" x14ac:dyDescent="0.2">
      <c r="AM10246" t="str">
        <f t="shared" si="160"/>
        <v>Natick [USNAK]</v>
      </c>
      <c r="AN10246" t="s">
        <v>30716</v>
      </c>
      <c r="AO10246" t="s">
        <v>30717</v>
      </c>
    </row>
    <row r="10247" spans="39:41" ht="12" customHeight="1" x14ac:dyDescent="0.2">
      <c r="AM10247" t="str">
        <f t="shared" si="160"/>
        <v>Nato [PHNTO]</v>
      </c>
      <c r="AN10247" t="s">
        <v>25993</v>
      </c>
      <c r="AO10247" t="s">
        <v>25994</v>
      </c>
    </row>
    <row r="10248" spans="39:41" ht="12" customHeight="1" x14ac:dyDescent="0.2">
      <c r="AM10248" t="str">
        <f t="shared" si="160"/>
        <v>Nauru Island [NRINU]</v>
      </c>
      <c r="AN10248" t="s">
        <v>25045</v>
      </c>
      <c r="AO10248" t="s">
        <v>25046</v>
      </c>
    </row>
    <row r="10249" spans="39:41" ht="12" customHeight="1" x14ac:dyDescent="0.2">
      <c r="AM10249" t="str">
        <f t="shared" si="160"/>
        <v>Naustdal [NONAU]</v>
      </c>
      <c r="AN10249" t="s">
        <v>24538</v>
      </c>
      <c r="AO10249" t="s">
        <v>24539</v>
      </c>
    </row>
    <row r="10250" spans="39:41" ht="12" customHeight="1" x14ac:dyDescent="0.2">
      <c r="AM10250" t="str">
        <f t="shared" si="160"/>
        <v>Nautla [MXNAU]</v>
      </c>
      <c r="AN10250" t="s">
        <v>22403</v>
      </c>
      <c r="AO10250" t="s">
        <v>22404</v>
      </c>
    </row>
    <row r="10251" spans="39:41" ht="12" customHeight="1" x14ac:dyDescent="0.2">
      <c r="AM10251" t="str">
        <f t="shared" si="160"/>
        <v>Navabunder [INNVB]</v>
      </c>
      <c r="AN10251" t="s">
        <v>17333</v>
      </c>
      <c r="AO10251" t="s">
        <v>17334</v>
      </c>
    </row>
    <row r="10252" spans="39:41" ht="12" customHeight="1" x14ac:dyDescent="0.2">
      <c r="AM10252" t="str">
        <f t="shared" si="160"/>
        <v>Navarre [USNVA]</v>
      </c>
      <c r="AN10252" t="s">
        <v>30718</v>
      </c>
      <c r="AO10252" t="s">
        <v>30719</v>
      </c>
    </row>
    <row r="10253" spans="39:41" ht="12" customHeight="1" x14ac:dyDescent="0.2">
      <c r="AM10253" t="str">
        <f t="shared" si="160"/>
        <v>Navaspur [INNVP]</v>
      </c>
      <c r="AN10253" t="s">
        <v>17335</v>
      </c>
      <c r="AO10253" t="s">
        <v>17336</v>
      </c>
    </row>
    <row r="10254" spans="39:41" ht="12" customHeight="1" x14ac:dyDescent="0.2">
      <c r="AM10254" t="str">
        <f t="shared" si="160"/>
        <v>Navegantes [BRNVT]</v>
      </c>
      <c r="AN10254" t="s">
        <v>3348</v>
      </c>
      <c r="AO10254" t="s">
        <v>3349</v>
      </c>
    </row>
    <row r="10255" spans="39:41" ht="12" customHeight="1" x14ac:dyDescent="0.2">
      <c r="AM10255" t="str">
        <f t="shared" si="160"/>
        <v>Navekvarn [SENAV]</v>
      </c>
      <c r="AN10255" t="s">
        <v>27769</v>
      </c>
      <c r="AO10255" t="s">
        <v>36488</v>
      </c>
    </row>
    <row r="10256" spans="39:41" ht="12" customHeight="1" x14ac:dyDescent="0.2">
      <c r="AM10256" t="str">
        <f t="shared" si="160"/>
        <v>Navlakhi [INNAV]</v>
      </c>
      <c r="AN10256" t="s">
        <v>17337</v>
      </c>
      <c r="AO10256" t="s">
        <v>17338</v>
      </c>
    </row>
    <row r="10257" spans="39:41" ht="12" customHeight="1" x14ac:dyDescent="0.2">
      <c r="AM10257" t="str">
        <f t="shared" si="160"/>
        <v>Navodari [RONDI]</v>
      </c>
      <c r="AN10257" t="s">
        <v>26791</v>
      </c>
      <c r="AO10257" t="s">
        <v>26792</v>
      </c>
    </row>
    <row r="10258" spans="39:41" ht="12" customHeight="1" x14ac:dyDescent="0.2">
      <c r="AM10258" t="str">
        <f t="shared" si="160"/>
        <v>Navpaktos [GRNPK]</v>
      </c>
      <c r="AN10258" t="s">
        <v>15385</v>
      </c>
      <c r="AO10258" t="s">
        <v>35941</v>
      </c>
    </row>
    <row r="10259" spans="39:41" ht="12" customHeight="1" x14ac:dyDescent="0.2">
      <c r="AM10259" t="str">
        <f t="shared" si="160"/>
        <v>Nawalparasi [NPLLU]</v>
      </c>
      <c r="AN10259" t="s">
        <v>25043</v>
      </c>
      <c r="AO10259" t="s">
        <v>25044</v>
      </c>
    </row>
    <row r="10260" spans="39:41" ht="12" customHeight="1" x14ac:dyDescent="0.2">
      <c r="AM10260" t="str">
        <f t="shared" si="160"/>
        <v>Nawiliwili [USNIJ]</v>
      </c>
      <c r="AN10260" t="s">
        <v>30720</v>
      </c>
      <c r="AO10260" t="s">
        <v>30721</v>
      </c>
    </row>
    <row r="10261" spans="39:41" ht="12" customHeight="1" x14ac:dyDescent="0.2">
      <c r="AM10261" t="str">
        <f t="shared" si="160"/>
        <v>Naxos [GRJNX]</v>
      </c>
      <c r="AN10261" t="s">
        <v>15386</v>
      </c>
      <c r="AO10261" t="s">
        <v>35942</v>
      </c>
    </row>
    <row r="10262" spans="39:41" ht="12" customHeight="1" x14ac:dyDescent="0.2">
      <c r="AM10262" t="str">
        <f t="shared" si="160"/>
        <v>Naze [JPNAZ]</v>
      </c>
      <c r="AN10262" t="s">
        <v>20192</v>
      </c>
      <c r="AO10262" t="s">
        <v>20193</v>
      </c>
    </row>
    <row r="10263" spans="39:41" ht="12" customHeight="1" x14ac:dyDescent="0.2">
      <c r="AM10263" t="str">
        <f t="shared" si="160"/>
        <v>Nea Artaki [GRNAR]</v>
      </c>
      <c r="AN10263" t="s">
        <v>15387</v>
      </c>
      <c r="AO10263" t="s">
        <v>35943</v>
      </c>
    </row>
    <row r="10264" spans="39:41" ht="12" customHeight="1" x14ac:dyDescent="0.2">
      <c r="AM10264" t="str">
        <f t="shared" si="160"/>
        <v>Nea Kallikratia [GRNKA]</v>
      </c>
      <c r="AN10264" t="s">
        <v>15388</v>
      </c>
      <c r="AO10264" t="s">
        <v>35944</v>
      </c>
    </row>
    <row r="10265" spans="39:41" ht="12" customHeight="1" x14ac:dyDescent="0.2">
      <c r="AM10265" t="str">
        <f t="shared" si="160"/>
        <v>Nea Karvali [GRNKV]</v>
      </c>
      <c r="AN10265" t="s">
        <v>15389</v>
      </c>
      <c r="AO10265" t="s">
        <v>35945</v>
      </c>
    </row>
    <row r="10266" spans="39:41" ht="12" customHeight="1" x14ac:dyDescent="0.2">
      <c r="AM10266" t="str">
        <f t="shared" si="160"/>
        <v>Nea Moudhania [GRNMA]</v>
      </c>
      <c r="AN10266" t="s">
        <v>15390</v>
      </c>
      <c r="AO10266" t="s">
        <v>35946</v>
      </c>
    </row>
    <row r="10267" spans="39:41" ht="12" customHeight="1" x14ac:dyDescent="0.2">
      <c r="AM10267" t="str">
        <f t="shared" si="160"/>
        <v>Nea Playia [GRNPY]</v>
      </c>
      <c r="AN10267" t="s">
        <v>15391</v>
      </c>
      <c r="AO10267" t="s">
        <v>35947</v>
      </c>
    </row>
    <row r="10268" spans="39:41" ht="12" customHeight="1" x14ac:dyDescent="0.2">
      <c r="AM10268" t="str">
        <f t="shared" si="160"/>
        <v>Nea Stira [GRNST]</v>
      </c>
      <c r="AN10268" t="s">
        <v>15392</v>
      </c>
      <c r="AO10268" t="s">
        <v>35948</v>
      </c>
    </row>
    <row r="10269" spans="39:41" ht="12" customHeight="1" x14ac:dyDescent="0.2">
      <c r="AM10269" t="str">
        <f t="shared" si="160"/>
        <v>Neap House [GBNEH]</v>
      </c>
      <c r="AN10269" t="s">
        <v>13888</v>
      </c>
      <c r="AO10269" t="s">
        <v>13889</v>
      </c>
    </row>
    <row r="10270" spans="39:41" ht="12" customHeight="1" x14ac:dyDescent="0.2">
      <c r="AM10270" t="str">
        <f t="shared" si="160"/>
        <v>Neapolis [GRNEA]</v>
      </c>
      <c r="AN10270" t="s">
        <v>15393</v>
      </c>
      <c r="AO10270" t="s">
        <v>15394</v>
      </c>
    </row>
    <row r="10271" spans="39:41" ht="12" customHeight="1" x14ac:dyDescent="0.2">
      <c r="AM10271" t="str">
        <f t="shared" si="160"/>
        <v>Neath [GBNEA]</v>
      </c>
      <c r="AN10271" t="s">
        <v>13890</v>
      </c>
      <c r="AO10271" t="s">
        <v>13891</v>
      </c>
    </row>
    <row r="10272" spans="39:41" ht="12" customHeight="1" x14ac:dyDescent="0.2">
      <c r="AM10272" t="str">
        <f t="shared" si="160"/>
        <v>Necedah [USNEJ]</v>
      </c>
      <c r="AN10272" t="s">
        <v>30722</v>
      </c>
      <c r="AO10272" t="s">
        <v>30723</v>
      </c>
    </row>
    <row r="10273" spans="39:41" ht="12" customHeight="1" x14ac:dyDescent="0.2">
      <c r="AM10273" t="str">
        <f t="shared" si="160"/>
        <v>Neck [NLNEC]</v>
      </c>
      <c r="AN10273" t="s">
        <v>23442</v>
      </c>
      <c r="AO10273" t="s">
        <v>23443</v>
      </c>
    </row>
    <row r="10274" spans="39:41" ht="12" customHeight="1" x14ac:dyDescent="0.2">
      <c r="AM10274" t="str">
        <f t="shared" si="160"/>
        <v>Neckarsteinach [DENST]</v>
      </c>
      <c r="AN10274" t="s">
        <v>7957</v>
      </c>
      <c r="AO10274" t="s">
        <v>7958</v>
      </c>
    </row>
    <row r="10275" spans="39:41" ht="12" customHeight="1" x14ac:dyDescent="0.2">
      <c r="AM10275" t="str">
        <f t="shared" si="160"/>
        <v>Neckartailfingen [DENTA]</v>
      </c>
      <c r="AN10275" t="s">
        <v>7959</v>
      </c>
      <c r="AO10275" t="s">
        <v>7960</v>
      </c>
    </row>
    <row r="10276" spans="39:41" ht="12" customHeight="1" x14ac:dyDescent="0.2">
      <c r="AM10276" t="str">
        <f t="shared" si="160"/>
        <v>Neckarzimmern [DENZE]</v>
      </c>
      <c r="AN10276" t="s">
        <v>7961</v>
      </c>
      <c r="AO10276" t="s">
        <v>7962</v>
      </c>
    </row>
    <row r="10277" spans="39:41" ht="12" customHeight="1" x14ac:dyDescent="0.2">
      <c r="AM10277" t="str">
        <f t="shared" si="160"/>
        <v>Necochea [ARNEC]</v>
      </c>
      <c r="AN10277" t="s">
        <v>1049</v>
      </c>
      <c r="AO10277" t="s">
        <v>1050</v>
      </c>
    </row>
    <row r="10278" spans="39:41" ht="12" customHeight="1" x14ac:dyDescent="0.2">
      <c r="AM10278" t="str">
        <f t="shared" si="160"/>
        <v>Nederasselt [NLNST]</v>
      </c>
      <c r="AN10278" t="s">
        <v>23444</v>
      </c>
      <c r="AO10278" t="s">
        <v>23445</v>
      </c>
    </row>
    <row r="10279" spans="39:41" ht="12" customHeight="1" x14ac:dyDescent="0.2">
      <c r="AM10279" t="str">
        <f t="shared" si="160"/>
        <v>Nederhorst den Berg [NLNDB]</v>
      </c>
      <c r="AN10279" t="s">
        <v>33912</v>
      </c>
      <c r="AO10279" t="s">
        <v>34034</v>
      </c>
    </row>
    <row r="10280" spans="39:41" ht="12" customHeight="1" x14ac:dyDescent="0.2">
      <c r="AM10280" t="str">
        <f t="shared" si="160"/>
        <v>Neder-Over-Heembeek [BENVH]</v>
      </c>
      <c r="AN10280" t="s">
        <v>2761</v>
      </c>
      <c r="AO10280" t="s">
        <v>2762</v>
      </c>
    </row>
    <row r="10281" spans="39:41" ht="12" customHeight="1" x14ac:dyDescent="0.2">
      <c r="AM10281" t="str">
        <f t="shared" si="160"/>
        <v>Needmore [USNZQ]</v>
      </c>
      <c r="AN10281" t="s">
        <v>30724</v>
      </c>
      <c r="AO10281" t="s">
        <v>30725</v>
      </c>
    </row>
    <row r="10282" spans="39:41" ht="12" customHeight="1" x14ac:dyDescent="0.2">
      <c r="AM10282" t="str">
        <f t="shared" si="160"/>
        <v>Neef [DENFE]</v>
      </c>
      <c r="AN10282" t="s">
        <v>7963</v>
      </c>
      <c r="AO10282" t="s">
        <v>7964</v>
      </c>
    </row>
    <row r="10283" spans="39:41" ht="12" customHeight="1" x14ac:dyDescent="0.2">
      <c r="AM10283" t="str">
        <f t="shared" si="160"/>
        <v>Neeltje Jans [NLNTJ]</v>
      </c>
      <c r="AN10283" t="s">
        <v>23446</v>
      </c>
      <c r="AO10283" t="s">
        <v>23447</v>
      </c>
    </row>
    <row r="10284" spans="39:41" ht="12" customHeight="1" x14ac:dyDescent="0.2">
      <c r="AM10284" t="str">
        <f t="shared" si="160"/>
        <v>Neeme [EENME]</v>
      </c>
      <c r="AN10284" t="s">
        <v>9272</v>
      </c>
      <c r="AO10284" t="s">
        <v>9273</v>
      </c>
    </row>
    <row r="10285" spans="39:41" ht="12" customHeight="1" x14ac:dyDescent="0.2">
      <c r="AM10285" t="str">
        <f t="shared" si="160"/>
        <v>Neerharen [BENHA]</v>
      </c>
      <c r="AN10285" t="s">
        <v>2763</v>
      </c>
      <c r="AO10285" t="s">
        <v>2764</v>
      </c>
    </row>
    <row r="10286" spans="39:41" ht="12" customHeight="1" x14ac:dyDescent="0.2">
      <c r="AM10286" t="str">
        <f t="shared" si="160"/>
        <v>Neeroeteren [BENRT]</v>
      </c>
      <c r="AN10286" t="s">
        <v>2765</v>
      </c>
      <c r="AO10286" t="s">
        <v>2766</v>
      </c>
    </row>
    <row r="10287" spans="39:41" ht="12" customHeight="1" x14ac:dyDescent="0.2">
      <c r="AM10287" t="str">
        <f t="shared" si="160"/>
        <v>Neerpelt [BENRP]</v>
      </c>
      <c r="AN10287" t="s">
        <v>2767</v>
      </c>
      <c r="AO10287" t="s">
        <v>2768</v>
      </c>
    </row>
    <row r="10288" spans="39:41" ht="12" customHeight="1" x14ac:dyDescent="0.2">
      <c r="AM10288" t="str">
        <f t="shared" si="160"/>
        <v>Neets Bay [USNB4]</v>
      </c>
      <c r="AN10288" t="s">
        <v>30726</v>
      </c>
      <c r="AO10288" t="s">
        <v>30727</v>
      </c>
    </row>
    <row r="10289" spans="39:41" ht="12" customHeight="1" x14ac:dyDescent="0.2">
      <c r="AM10289" t="str">
        <f t="shared" si="160"/>
        <v>Neffe [BENFE]</v>
      </c>
      <c r="AN10289" t="s">
        <v>2769</v>
      </c>
      <c r="AO10289" t="s">
        <v>2770</v>
      </c>
    </row>
    <row r="10290" spans="39:41" ht="12" customHeight="1" x14ac:dyDescent="0.2">
      <c r="AM10290" t="str">
        <f t="shared" ref="AM10290:AM10353" si="161">AO10290 &amp; " [" &amp; AN10290 &amp; "]"</f>
        <v>Neftelensk [RUNLK]</v>
      </c>
      <c r="AN10290" t="s">
        <v>27113</v>
      </c>
      <c r="AO10290" t="s">
        <v>27114</v>
      </c>
    </row>
    <row r="10291" spans="39:41" ht="12" customHeight="1" x14ac:dyDescent="0.2">
      <c r="AM10291" t="str">
        <f t="shared" si="161"/>
        <v>Nefyn [GBNEF]</v>
      </c>
      <c r="AN10291" t="s">
        <v>13892</v>
      </c>
      <c r="AO10291" t="s">
        <v>13893</v>
      </c>
    </row>
    <row r="10292" spans="39:41" ht="12" customHeight="1" x14ac:dyDescent="0.2">
      <c r="AM10292" t="str">
        <f t="shared" si="161"/>
        <v>Neghishi/Yokohama [JPNGI]</v>
      </c>
      <c r="AN10292" t="s">
        <v>20194</v>
      </c>
      <c r="AO10292" t="s">
        <v>20195</v>
      </c>
    </row>
    <row r="10293" spans="39:41" ht="12" customHeight="1" x14ac:dyDescent="0.2">
      <c r="AM10293" t="str">
        <f t="shared" si="161"/>
        <v>Negritos [PENGS]</v>
      </c>
      <c r="AN10293" t="s">
        <v>25271</v>
      </c>
      <c r="AO10293" t="s">
        <v>25272</v>
      </c>
    </row>
    <row r="10294" spans="39:41" ht="12" customHeight="1" x14ac:dyDescent="0.2">
      <c r="AM10294" t="str">
        <f t="shared" si="161"/>
        <v>Nehvizdy [CZNEH]</v>
      </c>
      <c r="AN10294" t="s">
        <v>6897</v>
      </c>
      <c r="AO10294" t="s">
        <v>6898</v>
      </c>
    </row>
    <row r="10295" spans="39:41" ht="12" customHeight="1" x14ac:dyDescent="0.2">
      <c r="AM10295" t="str">
        <f t="shared" si="161"/>
        <v>Neiafu [TONEI]</v>
      </c>
      <c r="AN10295" t="s">
        <v>28377</v>
      </c>
      <c r="AO10295" t="s">
        <v>28378</v>
      </c>
    </row>
    <row r="10296" spans="39:41" ht="12" customHeight="1" x14ac:dyDescent="0.2">
      <c r="AM10296" t="str">
        <f t="shared" si="161"/>
        <v>Neigang [CNNEG]</v>
      </c>
      <c r="AN10296" t="s">
        <v>5795</v>
      </c>
      <c r="AO10296" t="s">
        <v>5796</v>
      </c>
    </row>
    <row r="10297" spans="39:41" ht="12" customHeight="1" x14ac:dyDescent="0.2">
      <c r="AM10297" t="str">
        <f t="shared" si="161"/>
        <v>Neil's Harbour [CANS3]</v>
      </c>
      <c r="AN10297" t="s">
        <v>4149</v>
      </c>
      <c r="AO10297" t="s">
        <v>4150</v>
      </c>
    </row>
    <row r="10298" spans="39:41" ht="12" customHeight="1" x14ac:dyDescent="0.2">
      <c r="AM10298" t="str">
        <f t="shared" si="161"/>
        <v>Neilston [GBNSN]</v>
      </c>
      <c r="AN10298" t="s">
        <v>13894</v>
      </c>
      <c r="AO10298" t="s">
        <v>13895</v>
      </c>
    </row>
    <row r="10299" spans="39:41" ht="12" customHeight="1" x14ac:dyDescent="0.2">
      <c r="AM10299" t="str">
        <f t="shared" si="161"/>
        <v>Neily [CRCDN]</v>
      </c>
      <c r="AN10299" t="s">
        <v>6604</v>
      </c>
      <c r="AO10299" t="s">
        <v>6605</v>
      </c>
    </row>
    <row r="10300" spans="39:41" ht="12" customHeight="1" x14ac:dyDescent="0.2">
      <c r="AM10300" t="str">
        <f t="shared" si="161"/>
        <v>Nejime [JPNEJ]</v>
      </c>
      <c r="AN10300" t="s">
        <v>20196</v>
      </c>
      <c r="AO10300" t="s">
        <v>20197</v>
      </c>
    </row>
    <row r="10301" spans="39:41" ht="12" customHeight="1" x14ac:dyDescent="0.2">
      <c r="AM10301" t="str">
        <f t="shared" si="161"/>
        <v>Neka [IRNKA]</v>
      </c>
      <c r="AN10301" t="s">
        <v>17643</v>
      </c>
      <c r="AO10301" t="s">
        <v>17644</v>
      </c>
    </row>
    <row r="10302" spans="39:41" ht="12" customHeight="1" x14ac:dyDescent="0.2">
      <c r="AM10302" t="str">
        <f t="shared" si="161"/>
        <v>Nekso [DKNEX]</v>
      </c>
      <c r="AN10302" t="s">
        <v>8825</v>
      </c>
      <c r="AO10302" t="s">
        <v>35559</v>
      </c>
    </row>
    <row r="10303" spans="39:41" ht="12" customHeight="1" x14ac:dyDescent="0.2">
      <c r="AM10303" t="str">
        <f t="shared" si="161"/>
        <v>Nellore [INNEL]</v>
      </c>
      <c r="AN10303" t="s">
        <v>17339</v>
      </c>
      <c r="AO10303" t="s">
        <v>17340</v>
      </c>
    </row>
    <row r="10304" spans="39:41" ht="12" customHeight="1" x14ac:dyDescent="0.2">
      <c r="AM10304" t="str">
        <f t="shared" si="161"/>
        <v>Nelson [CANLS]</v>
      </c>
      <c r="AN10304" t="s">
        <v>4151</v>
      </c>
      <c r="AO10304" t="s">
        <v>4152</v>
      </c>
    </row>
    <row r="10305" spans="39:41" ht="12" customHeight="1" x14ac:dyDescent="0.2">
      <c r="AM10305" t="str">
        <f t="shared" si="161"/>
        <v>Nelson [GBNLN]</v>
      </c>
      <c r="AN10305" t="s">
        <v>13896</v>
      </c>
      <c r="AO10305" t="s">
        <v>4152</v>
      </c>
    </row>
    <row r="10306" spans="39:41" ht="12" customHeight="1" x14ac:dyDescent="0.2">
      <c r="AM10306" t="str">
        <f t="shared" si="161"/>
        <v>Nelson [NZNSN]</v>
      </c>
      <c r="AN10306" t="s">
        <v>25084</v>
      </c>
      <c r="AO10306" t="s">
        <v>4152</v>
      </c>
    </row>
    <row r="10307" spans="39:41" ht="12" customHeight="1" x14ac:dyDescent="0.2">
      <c r="AM10307" t="str">
        <f t="shared" si="161"/>
        <v>Nelsonia [USNOQ]</v>
      </c>
      <c r="AN10307" t="s">
        <v>30728</v>
      </c>
      <c r="AO10307" t="s">
        <v>30729</v>
      </c>
    </row>
    <row r="10308" spans="39:41" ht="12" customHeight="1" x14ac:dyDescent="0.2">
      <c r="AM10308" t="str">
        <f t="shared" si="161"/>
        <v>Nemba [SBNEM]</v>
      </c>
      <c r="AN10308" t="s">
        <v>27451</v>
      </c>
      <c r="AO10308" t="s">
        <v>27452</v>
      </c>
    </row>
    <row r="10309" spans="39:41" ht="12" customHeight="1" x14ac:dyDescent="0.2">
      <c r="AM10309" t="str">
        <f t="shared" si="161"/>
        <v>Nemours [FRNMS]</v>
      </c>
      <c r="AN10309" t="s">
        <v>11739</v>
      </c>
      <c r="AO10309" t="s">
        <v>11740</v>
      </c>
    </row>
    <row r="10310" spans="39:41" ht="12" customHeight="1" x14ac:dyDescent="0.2">
      <c r="AM10310" t="str">
        <f t="shared" si="161"/>
        <v>Nemrut Bay [TRNEM]</v>
      </c>
      <c r="AN10310" t="s">
        <v>28557</v>
      </c>
      <c r="AO10310" t="s">
        <v>28558</v>
      </c>
    </row>
    <row r="10311" spans="39:41" ht="12" customHeight="1" x14ac:dyDescent="0.2">
      <c r="AM10311" t="str">
        <f t="shared" si="161"/>
        <v>Nemuro [JPNEM]</v>
      </c>
      <c r="AN10311" t="s">
        <v>20198</v>
      </c>
      <c r="AO10311" t="s">
        <v>20199</v>
      </c>
    </row>
    <row r="10312" spans="39:41" ht="12" customHeight="1" x14ac:dyDescent="0.2">
      <c r="AM10312" t="str">
        <f t="shared" si="161"/>
        <v>Nenasi [MYMEN]</v>
      </c>
      <c r="AN10312" t="s">
        <v>22665</v>
      </c>
      <c r="AO10312" t="s">
        <v>22666</v>
      </c>
    </row>
    <row r="10313" spans="39:41" ht="12" customHeight="1" x14ac:dyDescent="0.2">
      <c r="AM10313" t="str">
        <f t="shared" si="161"/>
        <v>Nenokuchi [JPNNK]</v>
      </c>
      <c r="AN10313" t="s">
        <v>20200</v>
      </c>
      <c r="AO10313" t="s">
        <v>20201</v>
      </c>
    </row>
    <row r="10314" spans="39:41" ht="12" customHeight="1" x14ac:dyDescent="0.2">
      <c r="AM10314" t="str">
        <f t="shared" si="161"/>
        <v>Neo [JPNEO]</v>
      </c>
      <c r="AN10314" t="s">
        <v>20202</v>
      </c>
      <c r="AO10314" t="s">
        <v>20203</v>
      </c>
    </row>
    <row r="10315" spans="39:41" ht="12" customHeight="1" x14ac:dyDescent="0.2">
      <c r="AM10315" t="str">
        <f t="shared" si="161"/>
        <v>Neodesha [USNDA]</v>
      </c>
      <c r="AN10315" t="s">
        <v>30730</v>
      </c>
      <c r="AO10315" t="s">
        <v>30731</v>
      </c>
    </row>
    <row r="10316" spans="39:41" ht="12" customHeight="1" x14ac:dyDescent="0.2">
      <c r="AM10316" t="str">
        <f t="shared" si="161"/>
        <v>Neon Karlovasion [GRKAR]</v>
      </c>
      <c r="AN10316" t="s">
        <v>15395</v>
      </c>
      <c r="AO10316" t="s">
        <v>35949</v>
      </c>
    </row>
    <row r="10317" spans="39:41" ht="12" customHeight="1" x14ac:dyDescent="0.2">
      <c r="AM10317" t="str">
        <f t="shared" si="161"/>
        <v>Neponset [USN8P]</v>
      </c>
      <c r="AN10317" t="s">
        <v>30732</v>
      </c>
      <c r="AO10317" t="s">
        <v>30733</v>
      </c>
    </row>
    <row r="10318" spans="39:41" ht="12" customHeight="1" x14ac:dyDescent="0.2">
      <c r="AM10318" t="str">
        <f t="shared" si="161"/>
        <v>Nepoui [NCNEP]</v>
      </c>
      <c r="AN10318" t="s">
        <v>22886</v>
      </c>
      <c r="AO10318" t="s">
        <v>36107</v>
      </c>
    </row>
    <row r="10319" spans="39:41" ht="12" customHeight="1" x14ac:dyDescent="0.2">
      <c r="AM10319" t="str">
        <f t="shared" si="161"/>
        <v>Neptune City [USNPC]</v>
      </c>
      <c r="AN10319" t="s">
        <v>30734</v>
      </c>
      <c r="AO10319" t="s">
        <v>30735</v>
      </c>
    </row>
    <row r="10320" spans="39:41" ht="12" customHeight="1" x14ac:dyDescent="0.2">
      <c r="AM10320" t="str">
        <f t="shared" si="161"/>
        <v>Neratovice [CZNRT]</v>
      </c>
      <c r="AN10320" t="s">
        <v>6899</v>
      </c>
      <c r="AO10320" t="s">
        <v>6900</v>
      </c>
    </row>
    <row r="10321" spans="39:41" ht="12" customHeight="1" x14ac:dyDescent="0.2">
      <c r="AM10321" t="str">
        <f t="shared" si="161"/>
        <v>Nerezine [HRNRZ]</v>
      </c>
      <c r="AN10321" t="s">
        <v>15830</v>
      </c>
      <c r="AO10321" t="s">
        <v>15831</v>
      </c>
    </row>
    <row r="10322" spans="39:41" ht="12" customHeight="1" x14ac:dyDescent="0.2">
      <c r="AM10322" t="str">
        <f t="shared" si="161"/>
        <v>Nericon [AUNEQ]</v>
      </c>
      <c r="AN10322" t="s">
        <v>1862</v>
      </c>
      <c r="AO10322" t="s">
        <v>1863</v>
      </c>
    </row>
    <row r="10323" spans="39:41" ht="12" customHeight="1" x14ac:dyDescent="0.2">
      <c r="AM10323" t="str">
        <f t="shared" si="161"/>
        <v>Nersingen [DENSY]</v>
      </c>
      <c r="AN10323" t="s">
        <v>7965</v>
      </c>
      <c r="AO10323" t="s">
        <v>7966</v>
      </c>
    </row>
    <row r="10324" spans="39:41" ht="12" customHeight="1" x14ac:dyDescent="0.2">
      <c r="AM10324" t="str">
        <f t="shared" si="161"/>
        <v>Nes [NLNES]</v>
      </c>
      <c r="AN10324" t="s">
        <v>23448</v>
      </c>
      <c r="AO10324" t="s">
        <v>23449</v>
      </c>
    </row>
    <row r="10325" spans="39:41" ht="12" customHeight="1" x14ac:dyDescent="0.2">
      <c r="AM10325" t="str">
        <f t="shared" si="161"/>
        <v>Nes aan de Amstel [NLNSA]</v>
      </c>
      <c r="AN10325" t="s">
        <v>23450</v>
      </c>
      <c r="AO10325" t="s">
        <v>23451</v>
      </c>
    </row>
    <row r="10326" spans="39:41" ht="12" customHeight="1" x14ac:dyDescent="0.2">
      <c r="AM10326" t="str">
        <f t="shared" si="161"/>
        <v>Nesbit [USNXZ]</v>
      </c>
      <c r="AN10326" t="s">
        <v>30736</v>
      </c>
      <c r="AO10326" t="s">
        <v>30737</v>
      </c>
    </row>
    <row r="10327" spans="39:41" ht="12" customHeight="1" x14ac:dyDescent="0.2">
      <c r="AM10327" t="str">
        <f t="shared" si="161"/>
        <v>Neskaupstadur [ISNES]</v>
      </c>
      <c r="AN10327" t="s">
        <v>17740</v>
      </c>
      <c r="AO10327" t="s">
        <v>17741</v>
      </c>
    </row>
    <row r="10328" spans="39:41" ht="12" customHeight="1" x14ac:dyDescent="0.2">
      <c r="AM10328" t="str">
        <f t="shared" si="161"/>
        <v>Nesna [NONSN]</v>
      </c>
      <c r="AN10328" t="s">
        <v>24540</v>
      </c>
      <c r="AO10328" t="s">
        <v>24541</v>
      </c>
    </row>
    <row r="10329" spans="39:41" ht="12" customHeight="1" x14ac:dyDescent="0.2">
      <c r="AM10329" t="str">
        <f t="shared" si="161"/>
        <v>Nesodden [NONEO]</v>
      </c>
      <c r="AN10329" t="s">
        <v>24542</v>
      </c>
      <c r="AO10329" t="s">
        <v>24543</v>
      </c>
    </row>
    <row r="10330" spans="39:41" ht="12" customHeight="1" x14ac:dyDescent="0.2">
      <c r="AM10330" t="str">
        <f t="shared" si="161"/>
        <v>Ness [GBNSA]</v>
      </c>
      <c r="AN10330" t="s">
        <v>13897</v>
      </c>
      <c r="AO10330" t="s">
        <v>13898</v>
      </c>
    </row>
    <row r="10331" spans="39:41" ht="12" customHeight="1" x14ac:dyDescent="0.2">
      <c r="AM10331" t="str">
        <f t="shared" si="161"/>
        <v>Nessebar [BGNES]</v>
      </c>
      <c r="AN10331" t="s">
        <v>3150</v>
      </c>
      <c r="AO10331" t="s">
        <v>3151</v>
      </c>
    </row>
    <row r="10332" spans="39:41" ht="12" customHeight="1" x14ac:dyDescent="0.2">
      <c r="AM10332" t="str">
        <f t="shared" si="161"/>
        <v>Nesseby [NONSB]</v>
      </c>
      <c r="AN10332" t="s">
        <v>24544</v>
      </c>
      <c r="AO10332" t="s">
        <v>24545</v>
      </c>
    </row>
    <row r="10333" spans="39:41" ht="12" customHeight="1" x14ac:dyDescent="0.2">
      <c r="AM10333" t="str">
        <f t="shared" si="161"/>
        <v>Nessersluis [NLNSU]</v>
      </c>
      <c r="AN10333" t="s">
        <v>23452</v>
      </c>
      <c r="AO10333" t="s">
        <v>23453</v>
      </c>
    </row>
    <row r="10334" spans="39:41" ht="12" customHeight="1" x14ac:dyDescent="0.2">
      <c r="AM10334" t="str">
        <f t="shared" si="161"/>
        <v>Nesset [NONST]</v>
      </c>
      <c r="AN10334" t="s">
        <v>24546</v>
      </c>
      <c r="AO10334" t="s">
        <v>24547</v>
      </c>
    </row>
    <row r="10335" spans="39:41" ht="12" customHeight="1" x14ac:dyDescent="0.2">
      <c r="AM10335" t="str">
        <f t="shared" si="161"/>
        <v>Nessmersiel [DENES]</v>
      </c>
      <c r="AN10335" t="s">
        <v>7967</v>
      </c>
      <c r="AO10335" t="s">
        <v>7968</v>
      </c>
    </row>
    <row r="10336" spans="39:41" ht="12" customHeight="1" x14ac:dyDescent="0.2">
      <c r="AM10336" t="str">
        <f t="shared" si="161"/>
        <v>Neszmely [HUNSZ]</v>
      </c>
      <c r="AN10336" t="s">
        <v>16119</v>
      </c>
      <c r="AO10336" t="s">
        <v>36025</v>
      </c>
    </row>
    <row r="10337" spans="39:41" ht="12" customHeight="1" x14ac:dyDescent="0.2">
      <c r="AM10337" t="str">
        <f t="shared" si="161"/>
        <v>Netanya [ILNAT]</v>
      </c>
      <c r="AN10337" t="s">
        <v>16978</v>
      </c>
      <c r="AO10337" t="s">
        <v>16979</v>
      </c>
    </row>
    <row r="10338" spans="39:41" ht="12" customHeight="1" x14ac:dyDescent="0.2">
      <c r="AM10338" t="str">
        <f t="shared" si="161"/>
        <v>Nethy Bridge [GBNBI]</v>
      </c>
      <c r="AN10338" t="s">
        <v>13899</v>
      </c>
      <c r="AO10338" t="s">
        <v>13900</v>
      </c>
    </row>
    <row r="10339" spans="39:41" ht="12" customHeight="1" x14ac:dyDescent="0.2">
      <c r="AM10339" t="str">
        <f t="shared" si="161"/>
        <v>Netolice [CZNET]</v>
      </c>
      <c r="AN10339" t="s">
        <v>6901</v>
      </c>
      <c r="AO10339" t="s">
        <v>6902</v>
      </c>
    </row>
    <row r="10340" spans="39:41" ht="12" customHeight="1" x14ac:dyDescent="0.2">
      <c r="AM10340" t="str">
        <f t="shared" si="161"/>
        <v>Nettuno [ITNTT]</v>
      </c>
      <c r="AN10340" t="s">
        <v>18107</v>
      </c>
      <c r="AO10340" t="s">
        <v>18108</v>
      </c>
    </row>
    <row r="10341" spans="39:41" ht="12" customHeight="1" x14ac:dyDescent="0.2">
      <c r="AM10341" t="str">
        <f t="shared" si="161"/>
        <v>Neudegg [ATNGG]</v>
      </c>
      <c r="AN10341" t="s">
        <v>1280</v>
      </c>
      <c r="AO10341" t="s">
        <v>1281</v>
      </c>
    </row>
    <row r="10342" spans="39:41" ht="12" customHeight="1" x14ac:dyDescent="0.2">
      <c r="AM10342" t="str">
        <f t="shared" si="161"/>
        <v>Neuendorf-Hiddensee [DENNH]</v>
      </c>
      <c r="AN10342" t="s">
        <v>7969</v>
      </c>
      <c r="AO10342" t="s">
        <v>7970</v>
      </c>
    </row>
    <row r="10343" spans="39:41" ht="12" customHeight="1" x14ac:dyDescent="0.2">
      <c r="AM10343" t="str">
        <f t="shared" si="161"/>
        <v>Neuenschleuse [DENSC]</v>
      </c>
      <c r="AN10343" t="s">
        <v>7971</v>
      </c>
      <c r="AO10343" t="s">
        <v>7972</v>
      </c>
    </row>
    <row r="10344" spans="39:41" ht="12" customHeight="1" x14ac:dyDescent="0.2">
      <c r="AM10344" t="str">
        <f t="shared" si="161"/>
        <v>Neuessen [DENSE]</v>
      </c>
      <c r="AN10344" t="s">
        <v>7973</v>
      </c>
      <c r="AO10344" t="s">
        <v>7974</v>
      </c>
    </row>
    <row r="10345" spans="39:41" ht="12" customHeight="1" x14ac:dyDescent="0.2">
      <c r="AM10345" t="str">
        <f t="shared" si="161"/>
        <v>Neuf-Brisach [FRNEF]</v>
      </c>
      <c r="AN10345" t="s">
        <v>11741</v>
      </c>
      <c r="AO10345" t="s">
        <v>11742</v>
      </c>
    </row>
    <row r="10346" spans="39:41" ht="12" customHeight="1" x14ac:dyDescent="0.2">
      <c r="AM10346" t="str">
        <f t="shared" si="161"/>
        <v>Neufeld [DENEF]</v>
      </c>
      <c r="AN10346" t="s">
        <v>7975</v>
      </c>
      <c r="AO10346" t="s">
        <v>7976</v>
      </c>
    </row>
    <row r="10347" spans="39:41" ht="12" customHeight="1" x14ac:dyDescent="0.2">
      <c r="AM10347" t="str">
        <f t="shared" si="161"/>
        <v>Neufelden [ATNFN]</v>
      </c>
      <c r="AN10347" t="s">
        <v>1282</v>
      </c>
      <c r="AO10347" t="s">
        <v>1283</v>
      </c>
    </row>
    <row r="10348" spans="39:41" ht="12" customHeight="1" x14ac:dyDescent="0.2">
      <c r="AM10348" t="str">
        <f t="shared" si="161"/>
        <v>Neuharlingersiel [DENHS]</v>
      </c>
      <c r="AN10348" t="s">
        <v>7977</v>
      </c>
      <c r="AO10348" t="s">
        <v>7978</v>
      </c>
    </row>
    <row r="10349" spans="39:41" ht="12" customHeight="1" x14ac:dyDescent="0.2">
      <c r="AM10349" t="str">
        <f t="shared" si="161"/>
        <v>Neuhaus an der Oste [DENEH]</v>
      </c>
      <c r="AN10349" t="s">
        <v>7979</v>
      </c>
      <c r="AO10349" t="s">
        <v>7980</v>
      </c>
    </row>
    <row r="10350" spans="39:41" ht="12" customHeight="1" x14ac:dyDescent="0.2">
      <c r="AM10350" t="str">
        <f t="shared" si="161"/>
        <v>Neuhofen an der Ybbs [ATNAD]</v>
      </c>
      <c r="AN10350" t="s">
        <v>1284</v>
      </c>
      <c r="AO10350" t="s">
        <v>1285</v>
      </c>
    </row>
    <row r="10351" spans="39:41" ht="12" customHeight="1" x14ac:dyDescent="0.2">
      <c r="AM10351" t="str">
        <f t="shared" si="161"/>
        <v>Neuilly-en-Sancerre [FRNYI]</v>
      </c>
      <c r="AN10351" t="s">
        <v>11743</v>
      </c>
      <c r="AO10351" t="s">
        <v>11744</v>
      </c>
    </row>
    <row r="10352" spans="39:41" ht="12" customHeight="1" x14ac:dyDescent="0.2">
      <c r="AM10352" t="str">
        <f t="shared" si="161"/>
        <v>Neukieritzsch [DEUKI]</v>
      </c>
      <c r="AN10352" t="s">
        <v>7981</v>
      </c>
      <c r="AO10352" t="s">
        <v>7982</v>
      </c>
    </row>
    <row r="10353" spans="39:41" ht="12" customHeight="1" x14ac:dyDescent="0.2">
      <c r="AM10353" t="str">
        <f t="shared" si="161"/>
        <v>Neu-Kupfer [DEFER]</v>
      </c>
      <c r="AN10353" t="s">
        <v>7983</v>
      </c>
      <c r="AO10353" t="s">
        <v>7984</v>
      </c>
    </row>
    <row r="10354" spans="39:41" ht="12" customHeight="1" x14ac:dyDescent="0.2">
      <c r="AM10354" t="str">
        <f t="shared" ref="AM10354:AM10417" si="162">AO10354 &amp; " [" &amp; AN10354 &amp; "]"</f>
        <v>Neuland/Elbe [DENEL]</v>
      </c>
      <c r="AN10354" t="s">
        <v>7985</v>
      </c>
      <c r="AO10354" t="s">
        <v>7986</v>
      </c>
    </row>
    <row r="10355" spans="39:41" ht="12" customHeight="1" x14ac:dyDescent="0.2">
      <c r="AM10355" t="str">
        <f t="shared" si="162"/>
        <v>Neuleiningen [DENN4]</v>
      </c>
      <c r="AN10355" t="s">
        <v>7987</v>
      </c>
      <c r="AO10355" t="s">
        <v>7988</v>
      </c>
    </row>
    <row r="10356" spans="39:41" ht="12" customHeight="1" x14ac:dyDescent="0.2">
      <c r="AM10356" t="str">
        <f t="shared" si="162"/>
        <v>Neum [BANEM]</v>
      </c>
      <c r="AN10356" t="s">
        <v>2176</v>
      </c>
      <c r="AO10356" t="s">
        <v>2177</v>
      </c>
    </row>
    <row r="10357" spans="39:41" ht="12" customHeight="1" x14ac:dyDescent="0.2">
      <c r="AM10357" t="str">
        <f t="shared" si="162"/>
        <v>Neumagen-Dhron [DENMN]</v>
      </c>
      <c r="AN10357" t="s">
        <v>7989</v>
      </c>
      <c r="AO10357" t="s">
        <v>7990</v>
      </c>
    </row>
    <row r="10358" spans="39:41" ht="12" customHeight="1" x14ac:dyDescent="0.2">
      <c r="AM10358" t="str">
        <f t="shared" si="162"/>
        <v>Neumarkt-Sankt Veit [DENSV]</v>
      </c>
      <c r="AN10358" t="s">
        <v>7991</v>
      </c>
      <c r="AO10358" t="s">
        <v>7992</v>
      </c>
    </row>
    <row r="10359" spans="39:41" ht="12" customHeight="1" x14ac:dyDescent="0.2">
      <c r="AM10359" t="str">
        <f t="shared" si="162"/>
        <v>Neunkirchen am Brand [DENBD]</v>
      </c>
      <c r="AN10359" t="s">
        <v>7993</v>
      </c>
      <c r="AO10359" t="s">
        <v>7994</v>
      </c>
    </row>
    <row r="10360" spans="39:41" ht="12" customHeight="1" x14ac:dyDescent="0.2">
      <c r="AM10360" t="str">
        <f t="shared" si="162"/>
        <v>Neuscharrel [DENCA]</v>
      </c>
      <c r="AN10360" t="s">
        <v>7995</v>
      </c>
      <c r="AO10360" t="s">
        <v>7996</v>
      </c>
    </row>
    <row r="10361" spans="39:41" ht="12" customHeight="1" x14ac:dyDescent="0.2">
      <c r="AM10361" t="str">
        <f t="shared" si="162"/>
        <v>Neuss [DENSS]</v>
      </c>
      <c r="AN10361" t="s">
        <v>7997</v>
      </c>
      <c r="AO10361" t="s">
        <v>7998</v>
      </c>
    </row>
    <row r="10362" spans="39:41" ht="12" customHeight="1" x14ac:dyDescent="0.2">
      <c r="AM10362" t="str">
        <f t="shared" si="162"/>
        <v>Neustadt in Holstein [DENHO]</v>
      </c>
      <c r="AN10362" t="s">
        <v>7999</v>
      </c>
      <c r="AO10362" t="s">
        <v>8000</v>
      </c>
    </row>
    <row r="10363" spans="39:41" ht="12" customHeight="1" x14ac:dyDescent="0.2">
      <c r="AM10363" t="str">
        <f t="shared" si="162"/>
        <v>Neustadt-Glewe [DENGL]</v>
      </c>
      <c r="AN10363" t="s">
        <v>8001</v>
      </c>
      <c r="AO10363" t="s">
        <v>8002</v>
      </c>
    </row>
    <row r="10364" spans="39:41" ht="12" customHeight="1" x14ac:dyDescent="0.2">
      <c r="AM10364" t="str">
        <f t="shared" si="162"/>
        <v>Neuville-sous-Huy [BENHY]</v>
      </c>
      <c r="AN10364" t="s">
        <v>2771</v>
      </c>
      <c r="AO10364" t="s">
        <v>2772</v>
      </c>
    </row>
    <row r="10365" spans="39:41" ht="12" customHeight="1" x14ac:dyDescent="0.2">
      <c r="AM10365" t="str">
        <f t="shared" si="162"/>
        <v>Neuwied [DENED]</v>
      </c>
      <c r="AN10365" t="s">
        <v>8003</v>
      </c>
      <c r="AO10365" t="s">
        <v>8004</v>
      </c>
    </row>
    <row r="10366" spans="39:41" ht="12" customHeight="1" x14ac:dyDescent="0.2">
      <c r="AM10366" t="str">
        <f t="shared" si="162"/>
        <v>Nevele [BENVL]</v>
      </c>
      <c r="AN10366" t="s">
        <v>2773</v>
      </c>
      <c r="AO10366" t="s">
        <v>2774</v>
      </c>
    </row>
    <row r="10367" spans="39:41" ht="12" customHeight="1" x14ac:dyDescent="0.2">
      <c r="AM10367" t="str">
        <f t="shared" si="162"/>
        <v>Nevelsk [RUNEV]</v>
      </c>
      <c r="AN10367" t="s">
        <v>27115</v>
      </c>
      <c r="AO10367" t="s">
        <v>27116</v>
      </c>
    </row>
    <row r="10368" spans="39:41" ht="12" customHeight="1" x14ac:dyDescent="0.2">
      <c r="AM10368" t="str">
        <f t="shared" si="162"/>
        <v>Nevers [FRNVS]</v>
      </c>
      <c r="AN10368" t="s">
        <v>11745</v>
      </c>
      <c r="AO10368" t="s">
        <v>11746</v>
      </c>
    </row>
    <row r="10369" spans="39:41" ht="12" customHeight="1" x14ac:dyDescent="0.2">
      <c r="AM10369" t="str">
        <f t="shared" si="162"/>
        <v>Nevis [KNNEV]</v>
      </c>
      <c r="AN10369" t="s">
        <v>21576</v>
      </c>
      <c r="AO10369" t="s">
        <v>21577</v>
      </c>
    </row>
    <row r="10370" spans="39:41" ht="12" customHeight="1" x14ac:dyDescent="0.2">
      <c r="AM10370" t="str">
        <f t="shared" si="162"/>
        <v>Nevlunghamn [NONEV]</v>
      </c>
      <c r="AN10370" t="s">
        <v>24548</v>
      </c>
      <c r="AO10370" t="s">
        <v>24549</v>
      </c>
    </row>
    <row r="10371" spans="39:41" ht="12" customHeight="1" x14ac:dyDescent="0.2">
      <c r="AM10371" t="str">
        <f t="shared" si="162"/>
        <v>New Amsterdam [GYNAM]</v>
      </c>
      <c r="AN10371" t="s">
        <v>15641</v>
      </c>
      <c r="AO10371" t="s">
        <v>15642</v>
      </c>
    </row>
    <row r="10372" spans="39:41" ht="12" customHeight="1" x14ac:dyDescent="0.2">
      <c r="AM10372" t="str">
        <f t="shared" si="162"/>
        <v>New Bedford [USNBD]</v>
      </c>
      <c r="AN10372" t="s">
        <v>30738</v>
      </c>
      <c r="AO10372" t="s">
        <v>30739</v>
      </c>
    </row>
    <row r="10373" spans="39:41" ht="12" customHeight="1" x14ac:dyDescent="0.2">
      <c r="AM10373" t="str">
        <f t="shared" si="162"/>
        <v>New Bloomfield [USNBL]</v>
      </c>
      <c r="AN10373" t="s">
        <v>30740</v>
      </c>
      <c r="AO10373" t="s">
        <v>30741</v>
      </c>
    </row>
    <row r="10374" spans="39:41" ht="12" customHeight="1" x14ac:dyDescent="0.2">
      <c r="AM10374" t="str">
        <f t="shared" si="162"/>
        <v>New Brockton [USBW5]</v>
      </c>
      <c r="AN10374" t="s">
        <v>30742</v>
      </c>
      <c r="AO10374" t="s">
        <v>30743</v>
      </c>
    </row>
    <row r="10375" spans="39:41" ht="12" customHeight="1" x14ac:dyDescent="0.2">
      <c r="AM10375" t="str">
        <f t="shared" si="162"/>
        <v>New Cairo [EGCA7]</v>
      </c>
      <c r="AN10375" t="s">
        <v>9502</v>
      </c>
      <c r="AO10375" t="s">
        <v>9503</v>
      </c>
    </row>
    <row r="10376" spans="39:41" ht="12" customHeight="1" x14ac:dyDescent="0.2">
      <c r="AM10376" t="str">
        <f t="shared" si="162"/>
        <v>New Caney [USNCY]</v>
      </c>
      <c r="AN10376" t="s">
        <v>30744</v>
      </c>
      <c r="AO10376" t="s">
        <v>30745</v>
      </c>
    </row>
    <row r="10377" spans="39:41" ht="12" customHeight="1" x14ac:dyDescent="0.2">
      <c r="AM10377" t="str">
        <f t="shared" si="162"/>
        <v>New Castle [USNSX]</v>
      </c>
      <c r="AN10377" t="s">
        <v>30746</v>
      </c>
      <c r="AO10377" t="s">
        <v>30747</v>
      </c>
    </row>
    <row r="10378" spans="39:41" ht="12" customHeight="1" x14ac:dyDescent="0.2">
      <c r="AM10378" t="str">
        <f t="shared" si="162"/>
        <v>New Columbia [USZWC]</v>
      </c>
      <c r="AN10378" t="s">
        <v>30748</v>
      </c>
      <c r="AO10378" t="s">
        <v>30749</v>
      </c>
    </row>
    <row r="10379" spans="39:41" ht="12" customHeight="1" x14ac:dyDescent="0.2">
      <c r="AM10379" t="str">
        <f t="shared" si="162"/>
        <v>New Delhi [INICD]</v>
      </c>
      <c r="AN10379" t="s">
        <v>17341</v>
      </c>
      <c r="AO10379" t="s">
        <v>17342</v>
      </c>
    </row>
    <row r="10380" spans="39:41" ht="12" customHeight="1" x14ac:dyDescent="0.2">
      <c r="AM10380" t="str">
        <f t="shared" si="162"/>
        <v>New Enterprise [USNP7]</v>
      </c>
      <c r="AN10380" t="s">
        <v>30750</v>
      </c>
      <c r="AO10380" t="s">
        <v>30751</v>
      </c>
    </row>
    <row r="10381" spans="39:41" ht="12" customHeight="1" x14ac:dyDescent="0.2">
      <c r="AM10381" t="str">
        <f t="shared" si="162"/>
        <v>New Era [US4NJ]</v>
      </c>
      <c r="AN10381" t="s">
        <v>30752</v>
      </c>
      <c r="AO10381" t="s">
        <v>30753</v>
      </c>
    </row>
    <row r="10382" spans="39:41" ht="12" customHeight="1" x14ac:dyDescent="0.2">
      <c r="AM10382" t="str">
        <f t="shared" si="162"/>
        <v>New Freedom [USNFR]</v>
      </c>
      <c r="AN10382" t="s">
        <v>30754</v>
      </c>
      <c r="AO10382" t="s">
        <v>30755</v>
      </c>
    </row>
    <row r="10383" spans="39:41" ht="12" customHeight="1" x14ac:dyDescent="0.2">
      <c r="AM10383" t="str">
        <f t="shared" si="162"/>
        <v>New Germany [ZANGG]</v>
      </c>
      <c r="AN10383" t="s">
        <v>32715</v>
      </c>
      <c r="AO10383" t="s">
        <v>32716</v>
      </c>
    </row>
    <row r="10384" spans="39:41" ht="12" customHeight="1" x14ac:dyDescent="0.2">
      <c r="AM10384" t="str">
        <f t="shared" si="162"/>
        <v>New Glasgow [CANGL]</v>
      </c>
      <c r="AN10384" t="s">
        <v>4153</v>
      </c>
      <c r="AO10384" t="s">
        <v>4154</v>
      </c>
    </row>
    <row r="10385" spans="39:41" ht="12" customHeight="1" x14ac:dyDescent="0.2">
      <c r="AM10385" t="str">
        <f t="shared" si="162"/>
        <v>New Haven [USHVN]</v>
      </c>
      <c r="AN10385" t="s">
        <v>30756</v>
      </c>
      <c r="AO10385" t="s">
        <v>30757</v>
      </c>
    </row>
    <row r="10386" spans="39:41" ht="12" customHeight="1" x14ac:dyDescent="0.2">
      <c r="AM10386" t="str">
        <f t="shared" si="162"/>
        <v>New Haven [USNH2]</v>
      </c>
      <c r="AN10386" t="s">
        <v>30758</v>
      </c>
      <c r="AO10386" t="s">
        <v>30757</v>
      </c>
    </row>
    <row r="10387" spans="39:41" ht="12" customHeight="1" x14ac:dyDescent="0.2">
      <c r="AM10387" t="str">
        <f t="shared" si="162"/>
        <v>New Holland [GBNHO]</v>
      </c>
      <c r="AN10387" t="s">
        <v>13901</v>
      </c>
      <c r="AO10387" t="s">
        <v>13902</v>
      </c>
    </row>
    <row r="10388" spans="39:41" ht="12" customHeight="1" x14ac:dyDescent="0.2">
      <c r="AM10388" t="str">
        <f t="shared" si="162"/>
        <v>New Hudson [USNHN]</v>
      </c>
      <c r="AN10388" t="s">
        <v>30759</v>
      </c>
      <c r="AO10388" t="s">
        <v>30760</v>
      </c>
    </row>
    <row r="10389" spans="39:41" ht="12" customHeight="1" x14ac:dyDescent="0.2">
      <c r="AM10389" t="str">
        <f t="shared" si="162"/>
        <v>New Ipswich [USQNN]</v>
      </c>
      <c r="AN10389" t="s">
        <v>30761</v>
      </c>
      <c r="AO10389" t="s">
        <v>30762</v>
      </c>
    </row>
    <row r="10390" spans="39:41" ht="12" customHeight="1" x14ac:dyDescent="0.2">
      <c r="AM10390" t="str">
        <f t="shared" si="162"/>
        <v>New Lisbon [USNLI]</v>
      </c>
      <c r="AN10390" t="s">
        <v>30763</v>
      </c>
      <c r="AO10390" t="s">
        <v>30764</v>
      </c>
    </row>
    <row r="10391" spans="39:41" ht="12" customHeight="1" x14ac:dyDescent="0.2">
      <c r="AM10391" t="str">
        <f t="shared" si="162"/>
        <v>New London [USNQV]</v>
      </c>
      <c r="AN10391" t="s">
        <v>30765</v>
      </c>
      <c r="AO10391" t="s">
        <v>30766</v>
      </c>
    </row>
    <row r="10392" spans="39:41" ht="12" customHeight="1" x14ac:dyDescent="0.2">
      <c r="AM10392" t="str">
        <f t="shared" si="162"/>
        <v>New London [USNED]</v>
      </c>
      <c r="AN10392" t="s">
        <v>30767</v>
      </c>
      <c r="AO10392" t="s">
        <v>30766</v>
      </c>
    </row>
    <row r="10393" spans="39:41" ht="12" customHeight="1" x14ac:dyDescent="0.2">
      <c r="AM10393" t="str">
        <f t="shared" si="162"/>
        <v>New Madrid [USXNW]</v>
      </c>
      <c r="AN10393" t="s">
        <v>30768</v>
      </c>
      <c r="AO10393" t="s">
        <v>30769</v>
      </c>
    </row>
    <row r="10394" spans="39:41" ht="12" customHeight="1" x14ac:dyDescent="0.2">
      <c r="AM10394" t="str">
        <f t="shared" si="162"/>
        <v>New Mangalore [INNML]</v>
      </c>
      <c r="AN10394" t="s">
        <v>17343</v>
      </c>
      <c r="AO10394" t="s">
        <v>17344</v>
      </c>
    </row>
    <row r="10395" spans="39:41" ht="12" customHeight="1" x14ac:dyDescent="0.2">
      <c r="AM10395" t="str">
        <f t="shared" si="162"/>
        <v>New Martinsville [USNM2]</v>
      </c>
      <c r="AN10395" t="s">
        <v>30770</v>
      </c>
      <c r="AO10395" t="s">
        <v>30771</v>
      </c>
    </row>
    <row r="10396" spans="39:41" ht="12" customHeight="1" x14ac:dyDescent="0.2">
      <c r="AM10396" t="str">
        <f t="shared" si="162"/>
        <v>New Norfolk [AUNLK]</v>
      </c>
      <c r="AN10396" t="s">
        <v>1864</v>
      </c>
      <c r="AO10396" t="s">
        <v>1865</v>
      </c>
    </row>
    <row r="10397" spans="39:41" ht="12" customHeight="1" x14ac:dyDescent="0.2">
      <c r="AM10397" t="str">
        <f t="shared" si="162"/>
        <v>New Orleans [USMSY]</v>
      </c>
      <c r="AN10397" t="s">
        <v>30772</v>
      </c>
      <c r="AO10397" t="s">
        <v>30773</v>
      </c>
    </row>
    <row r="10398" spans="39:41" ht="12" customHeight="1" x14ac:dyDescent="0.2">
      <c r="AM10398" t="str">
        <f t="shared" si="162"/>
        <v>New Plymouth [NZNPL]</v>
      </c>
      <c r="AN10398" t="s">
        <v>25085</v>
      </c>
      <c r="AO10398" t="s">
        <v>25086</v>
      </c>
    </row>
    <row r="10399" spans="39:41" ht="12" customHeight="1" x14ac:dyDescent="0.2">
      <c r="AM10399" t="str">
        <f t="shared" si="162"/>
        <v>New Point [USQZN]</v>
      </c>
      <c r="AN10399" t="s">
        <v>30774</v>
      </c>
      <c r="AO10399" t="s">
        <v>30775</v>
      </c>
    </row>
    <row r="10400" spans="39:41" ht="12" customHeight="1" x14ac:dyDescent="0.2">
      <c r="AM10400" t="str">
        <f t="shared" si="162"/>
        <v>New Priok Port [IDCTO]</v>
      </c>
      <c r="AN10400" t="s">
        <v>34177</v>
      </c>
      <c r="AO10400" t="s">
        <v>34251</v>
      </c>
    </row>
    <row r="10401" spans="39:41" ht="12" customHeight="1" x14ac:dyDescent="0.2">
      <c r="AM10401" t="str">
        <f t="shared" si="162"/>
        <v>New Providence [USNPX]</v>
      </c>
      <c r="AN10401" t="s">
        <v>30776</v>
      </c>
      <c r="AO10401" t="s">
        <v>30777</v>
      </c>
    </row>
    <row r="10402" spans="39:41" ht="12" customHeight="1" x14ac:dyDescent="0.2">
      <c r="AM10402" t="str">
        <f t="shared" si="162"/>
        <v>New Richmond [CANRC]</v>
      </c>
      <c r="AN10402" t="s">
        <v>4155</v>
      </c>
      <c r="AO10402" t="s">
        <v>4156</v>
      </c>
    </row>
    <row r="10403" spans="39:41" ht="12" customHeight="1" x14ac:dyDescent="0.2">
      <c r="AM10403" t="str">
        <f t="shared" si="162"/>
        <v>New Ross [IENRS]</v>
      </c>
      <c r="AN10403" t="s">
        <v>16874</v>
      </c>
      <c r="AO10403" t="s">
        <v>16875</v>
      </c>
    </row>
    <row r="10404" spans="39:41" ht="12" customHeight="1" x14ac:dyDescent="0.2">
      <c r="AM10404" t="str">
        <f t="shared" si="162"/>
        <v>New Ross-Raheen/Roberscon [IENRR]</v>
      </c>
      <c r="AN10404" t="s">
        <v>16876</v>
      </c>
      <c r="AO10404" t="s">
        <v>16877</v>
      </c>
    </row>
    <row r="10405" spans="39:41" ht="12" customHeight="1" x14ac:dyDescent="0.2">
      <c r="AM10405" t="str">
        <f t="shared" si="162"/>
        <v>New Smyrna Beach [USNSB]</v>
      </c>
      <c r="AN10405" t="s">
        <v>30778</v>
      </c>
      <c r="AO10405" t="s">
        <v>30779</v>
      </c>
    </row>
    <row r="10406" spans="39:41" ht="12" customHeight="1" x14ac:dyDescent="0.2">
      <c r="AM10406" t="str">
        <f t="shared" si="162"/>
        <v>New Tripoli [USN5T]</v>
      </c>
      <c r="AN10406" t="s">
        <v>30780</v>
      </c>
      <c r="AO10406" t="s">
        <v>30781</v>
      </c>
    </row>
    <row r="10407" spans="39:41" ht="12" customHeight="1" x14ac:dyDescent="0.2">
      <c r="AM10407" t="str">
        <f t="shared" si="162"/>
        <v>New Tuticorin [INNTU]</v>
      </c>
      <c r="AN10407" t="s">
        <v>17345</v>
      </c>
      <c r="AO10407" t="s">
        <v>17346</v>
      </c>
    </row>
    <row r="10408" spans="39:41" ht="12" customHeight="1" x14ac:dyDescent="0.2">
      <c r="AM10408" t="str">
        <f t="shared" si="162"/>
        <v>New Westminster [CANWE]</v>
      </c>
      <c r="AN10408" t="s">
        <v>4157</v>
      </c>
      <c r="AO10408" t="s">
        <v>4158</v>
      </c>
    </row>
    <row r="10409" spans="39:41" ht="12" customHeight="1" x14ac:dyDescent="0.2">
      <c r="AM10409" t="str">
        <f t="shared" si="162"/>
        <v>New York [USNYC]</v>
      </c>
      <c r="AN10409" t="s">
        <v>30782</v>
      </c>
      <c r="AO10409" t="s">
        <v>30783</v>
      </c>
    </row>
    <row r="10410" spans="39:41" ht="12" customHeight="1" x14ac:dyDescent="0.2">
      <c r="AM10410" t="str">
        <f t="shared" si="162"/>
        <v>Newapur [INNWP]</v>
      </c>
      <c r="AN10410" t="s">
        <v>17347</v>
      </c>
      <c r="AO10410" t="s">
        <v>17348</v>
      </c>
    </row>
    <row r="10411" spans="39:41" ht="12" customHeight="1" x14ac:dyDescent="0.2">
      <c r="AM10411" t="str">
        <f t="shared" si="162"/>
        <v>Newark [GBNWK]</v>
      </c>
      <c r="AN10411" t="s">
        <v>13903</v>
      </c>
      <c r="AO10411" t="s">
        <v>13904</v>
      </c>
    </row>
    <row r="10412" spans="39:41" ht="12" customHeight="1" x14ac:dyDescent="0.2">
      <c r="AM10412" t="str">
        <f t="shared" si="162"/>
        <v>Newark [USEWR]</v>
      </c>
      <c r="AN10412" t="s">
        <v>30784</v>
      </c>
      <c r="AO10412" t="s">
        <v>13904</v>
      </c>
    </row>
    <row r="10413" spans="39:41" ht="12" customHeight="1" x14ac:dyDescent="0.2">
      <c r="AM10413" t="str">
        <f t="shared" si="162"/>
        <v>Newbiggin [GBNGI]</v>
      </c>
      <c r="AN10413" t="s">
        <v>13905</v>
      </c>
      <c r="AO10413" t="s">
        <v>13906</v>
      </c>
    </row>
    <row r="10414" spans="39:41" ht="12" customHeight="1" x14ac:dyDescent="0.2">
      <c r="AM10414" t="str">
        <f t="shared" si="162"/>
        <v>Newbiggin by the Sea [GBNBC]</v>
      </c>
      <c r="AN10414" t="s">
        <v>13907</v>
      </c>
      <c r="AO10414" t="s">
        <v>13908</v>
      </c>
    </row>
    <row r="10415" spans="39:41" ht="12" customHeight="1" x14ac:dyDescent="0.2">
      <c r="AM10415" t="str">
        <f t="shared" si="162"/>
        <v>Newburgh [GBNBU]</v>
      </c>
      <c r="AN10415" t="s">
        <v>13909</v>
      </c>
      <c r="AO10415" t="s">
        <v>13910</v>
      </c>
    </row>
    <row r="10416" spans="39:41" ht="12" customHeight="1" x14ac:dyDescent="0.2">
      <c r="AM10416" t="str">
        <f t="shared" si="162"/>
        <v>Newburyport [USZMP]</v>
      </c>
      <c r="AN10416" t="s">
        <v>30785</v>
      </c>
      <c r="AO10416" t="s">
        <v>30786</v>
      </c>
    </row>
    <row r="10417" spans="39:41" ht="12" customHeight="1" x14ac:dyDescent="0.2">
      <c r="AM10417" t="str">
        <f t="shared" si="162"/>
        <v>Newcastle [AUNTL]</v>
      </c>
      <c r="AN10417" t="s">
        <v>1866</v>
      </c>
      <c r="AO10417" t="s">
        <v>1867</v>
      </c>
    </row>
    <row r="10418" spans="39:41" ht="12" customHeight="1" x14ac:dyDescent="0.2">
      <c r="AM10418" t="str">
        <f t="shared" ref="AM10418:AM10481" si="163">AO10418 &amp; " [" &amp; AN10418 &amp; "]"</f>
        <v>Newcastle [CANCT]</v>
      </c>
      <c r="AN10418" t="s">
        <v>4159</v>
      </c>
      <c r="AO10418" t="s">
        <v>1867</v>
      </c>
    </row>
    <row r="10419" spans="39:41" ht="12" customHeight="1" x14ac:dyDescent="0.2">
      <c r="AM10419" t="str">
        <f t="shared" si="163"/>
        <v>Newcastle [GBNCS]</v>
      </c>
      <c r="AN10419" t="s">
        <v>13911</v>
      </c>
      <c r="AO10419" t="s">
        <v>1867</v>
      </c>
    </row>
    <row r="10420" spans="39:41" ht="12" customHeight="1" x14ac:dyDescent="0.2">
      <c r="AM10420" t="str">
        <f t="shared" si="163"/>
        <v>Newcastle [USAWS]</v>
      </c>
      <c r="AN10420" t="s">
        <v>30787</v>
      </c>
      <c r="AO10420" t="s">
        <v>1867</v>
      </c>
    </row>
    <row r="10421" spans="39:41" ht="12" customHeight="1" x14ac:dyDescent="0.2">
      <c r="AM10421" t="str">
        <f t="shared" si="163"/>
        <v>Newcastle Emlyn [GBNCY]</v>
      </c>
      <c r="AN10421" t="s">
        <v>13912</v>
      </c>
      <c r="AO10421" t="s">
        <v>13913</v>
      </c>
    </row>
    <row r="10422" spans="39:41" ht="12" customHeight="1" x14ac:dyDescent="0.2">
      <c r="AM10422" t="str">
        <f t="shared" si="163"/>
        <v>Newcastle upon Tyne [GBNCL]</v>
      </c>
      <c r="AN10422" t="s">
        <v>13914</v>
      </c>
      <c r="AO10422" t="s">
        <v>13915</v>
      </c>
    </row>
    <row r="10423" spans="39:41" ht="12" customHeight="1" x14ac:dyDescent="0.2">
      <c r="AM10423" t="str">
        <f t="shared" si="163"/>
        <v>Newfane [USNFE]</v>
      </c>
      <c r="AN10423" t="s">
        <v>30788</v>
      </c>
      <c r="AO10423" t="s">
        <v>30789</v>
      </c>
    </row>
    <row r="10424" spans="39:41" ht="12" customHeight="1" x14ac:dyDescent="0.2">
      <c r="AM10424" t="str">
        <f t="shared" si="163"/>
        <v>Newhaven [GBNHV]</v>
      </c>
      <c r="AN10424" t="s">
        <v>13916</v>
      </c>
      <c r="AO10424" t="s">
        <v>13917</v>
      </c>
    </row>
    <row r="10425" spans="39:41" ht="12" customHeight="1" x14ac:dyDescent="0.2">
      <c r="AM10425" t="str">
        <f t="shared" si="163"/>
        <v>Newhaven/Edinburgh [GBNWF]</v>
      </c>
      <c r="AN10425" t="s">
        <v>13918</v>
      </c>
      <c r="AO10425" t="s">
        <v>13919</v>
      </c>
    </row>
    <row r="10426" spans="39:41" ht="12" customHeight="1" x14ac:dyDescent="0.2">
      <c r="AM10426" t="str">
        <f t="shared" si="163"/>
        <v>Newlyn [GBNYL]</v>
      </c>
      <c r="AN10426" t="s">
        <v>13920</v>
      </c>
      <c r="AO10426" t="s">
        <v>13921</v>
      </c>
    </row>
    <row r="10427" spans="39:41" ht="12" customHeight="1" x14ac:dyDescent="0.2">
      <c r="AM10427" t="str">
        <f t="shared" si="163"/>
        <v>Newport [GBNPT]</v>
      </c>
      <c r="AN10427" t="s">
        <v>13922</v>
      </c>
      <c r="AO10427" t="s">
        <v>13923</v>
      </c>
    </row>
    <row r="10428" spans="39:41" ht="12" customHeight="1" x14ac:dyDescent="0.2">
      <c r="AM10428" t="str">
        <f t="shared" si="163"/>
        <v>Newport [GBNPO]</v>
      </c>
      <c r="AN10428" t="s">
        <v>13924</v>
      </c>
      <c r="AO10428" t="s">
        <v>13923</v>
      </c>
    </row>
    <row r="10429" spans="39:41" ht="12" customHeight="1" x14ac:dyDescent="0.2">
      <c r="AM10429" t="str">
        <f t="shared" si="163"/>
        <v>Newport [IENET]</v>
      </c>
      <c r="AN10429" t="s">
        <v>16878</v>
      </c>
      <c r="AO10429" t="s">
        <v>13923</v>
      </c>
    </row>
    <row r="10430" spans="39:41" ht="12" customHeight="1" x14ac:dyDescent="0.2">
      <c r="AM10430" t="str">
        <f t="shared" si="163"/>
        <v>Newport [USNOZ]</v>
      </c>
      <c r="AN10430" t="s">
        <v>30790</v>
      </c>
      <c r="AO10430" t="s">
        <v>13923</v>
      </c>
    </row>
    <row r="10431" spans="39:41" ht="12" customHeight="1" x14ac:dyDescent="0.2">
      <c r="AM10431" t="str">
        <f t="shared" si="163"/>
        <v>Newport [USNPO]</v>
      </c>
      <c r="AN10431" t="s">
        <v>30791</v>
      </c>
      <c r="AO10431" t="s">
        <v>13923</v>
      </c>
    </row>
    <row r="10432" spans="39:41" ht="12" customHeight="1" x14ac:dyDescent="0.2">
      <c r="AM10432" t="str">
        <f t="shared" si="163"/>
        <v>Newport [USNPT]</v>
      </c>
      <c r="AN10432" t="s">
        <v>30792</v>
      </c>
      <c r="AO10432" t="s">
        <v>13923</v>
      </c>
    </row>
    <row r="10433" spans="39:41" ht="12" customHeight="1" x14ac:dyDescent="0.2">
      <c r="AM10433" t="str">
        <f t="shared" si="163"/>
        <v>Newport Beach [USJNP]</v>
      </c>
      <c r="AN10433" t="s">
        <v>30793</v>
      </c>
      <c r="AO10433" t="s">
        <v>30794</v>
      </c>
    </row>
    <row r="10434" spans="39:41" ht="12" customHeight="1" x14ac:dyDescent="0.2">
      <c r="AM10434" t="str">
        <f t="shared" si="163"/>
        <v>Newport News [USNNS]</v>
      </c>
      <c r="AN10434" t="s">
        <v>30795</v>
      </c>
      <c r="AO10434" t="s">
        <v>30796</v>
      </c>
    </row>
    <row r="10435" spans="39:41" ht="12" customHeight="1" x14ac:dyDescent="0.2">
      <c r="AM10435" t="str">
        <f t="shared" si="163"/>
        <v>Newport, Perry [USNRP]</v>
      </c>
      <c r="AN10435" t="s">
        <v>30797</v>
      </c>
      <c r="AO10435" t="s">
        <v>30798</v>
      </c>
    </row>
    <row r="10436" spans="39:41" ht="12" customHeight="1" x14ac:dyDescent="0.2">
      <c r="AM10436" t="str">
        <f t="shared" si="163"/>
        <v>Newportville [USQNE]</v>
      </c>
      <c r="AN10436" t="s">
        <v>30799</v>
      </c>
      <c r="AO10436" t="s">
        <v>30800</v>
      </c>
    </row>
    <row r="10437" spans="39:41" ht="12" customHeight="1" x14ac:dyDescent="0.2">
      <c r="AM10437" t="str">
        <f t="shared" si="163"/>
        <v>Newry [GBNRY]</v>
      </c>
      <c r="AN10437" t="s">
        <v>13925</v>
      </c>
      <c r="AO10437" t="s">
        <v>13926</v>
      </c>
    </row>
    <row r="10438" spans="39:41" ht="12" customHeight="1" x14ac:dyDescent="0.2">
      <c r="AM10438" t="str">
        <f t="shared" si="163"/>
        <v>Newton [CAEWT]</v>
      </c>
      <c r="AN10438" t="s">
        <v>4160</v>
      </c>
      <c r="AO10438" t="s">
        <v>4161</v>
      </c>
    </row>
    <row r="10439" spans="39:41" ht="12" customHeight="1" x14ac:dyDescent="0.2">
      <c r="AM10439" t="str">
        <f t="shared" si="163"/>
        <v>Newton by the Sea [GBNBS]</v>
      </c>
      <c r="AN10439" t="s">
        <v>13927</v>
      </c>
      <c r="AO10439" t="s">
        <v>13928</v>
      </c>
    </row>
    <row r="10440" spans="39:41" ht="12" customHeight="1" x14ac:dyDescent="0.2">
      <c r="AM10440" t="str">
        <f t="shared" si="163"/>
        <v>Newton Ferrers [GBNTF]</v>
      </c>
      <c r="AN10440" t="s">
        <v>13929</v>
      </c>
      <c r="AO10440" t="s">
        <v>13930</v>
      </c>
    </row>
    <row r="10441" spans="39:41" ht="12" customHeight="1" x14ac:dyDescent="0.2">
      <c r="AM10441" t="str">
        <f t="shared" si="163"/>
        <v>Newtonabbey [IENAY]</v>
      </c>
      <c r="AN10441" t="s">
        <v>16879</v>
      </c>
      <c r="AO10441" t="s">
        <v>16880</v>
      </c>
    </row>
    <row r="10442" spans="39:41" ht="12" customHeight="1" x14ac:dyDescent="0.2">
      <c r="AM10442" t="str">
        <f t="shared" si="163"/>
        <v>Newtown [AUVIC]</v>
      </c>
      <c r="AN10442" t="s">
        <v>1868</v>
      </c>
      <c r="AO10442" t="s">
        <v>1869</v>
      </c>
    </row>
    <row r="10443" spans="39:41" ht="12" customHeight="1" x14ac:dyDescent="0.2">
      <c r="AM10443" t="str">
        <f t="shared" si="163"/>
        <v>Newtown [GBNWN]</v>
      </c>
      <c r="AN10443" t="s">
        <v>13931</v>
      </c>
      <c r="AO10443" t="s">
        <v>1869</v>
      </c>
    </row>
    <row r="10444" spans="39:41" ht="12" customHeight="1" x14ac:dyDescent="0.2">
      <c r="AM10444" t="str">
        <f t="shared" si="163"/>
        <v>Newtown [IENEX]</v>
      </c>
      <c r="AN10444" t="s">
        <v>16881</v>
      </c>
      <c r="AO10444" t="s">
        <v>1869</v>
      </c>
    </row>
    <row r="10445" spans="39:41" ht="12" customHeight="1" x14ac:dyDescent="0.2">
      <c r="AM10445" t="str">
        <f t="shared" si="163"/>
        <v>Neyland [GBNYD]</v>
      </c>
      <c r="AN10445" t="s">
        <v>13932</v>
      </c>
      <c r="AO10445" t="s">
        <v>13933</v>
      </c>
    </row>
    <row r="10446" spans="39:41" ht="12" customHeight="1" x14ac:dyDescent="0.2">
      <c r="AM10446" t="str">
        <f t="shared" si="163"/>
        <v>Nezugaseki [JPNEZ]</v>
      </c>
      <c r="AN10446" t="s">
        <v>20204</v>
      </c>
      <c r="AO10446" t="s">
        <v>20205</v>
      </c>
    </row>
    <row r="10447" spans="39:41" ht="12" customHeight="1" x14ac:dyDescent="0.2">
      <c r="AM10447" t="str">
        <f t="shared" si="163"/>
        <v>Nganhurra [AUNGH]</v>
      </c>
      <c r="AN10447" t="s">
        <v>1870</v>
      </c>
      <c r="AO10447" t="s">
        <v>1871</v>
      </c>
    </row>
    <row r="10448" spans="39:41" ht="12" customHeight="1" x14ac:dyDescent="0.2">
      <c r="AM10448" t="str">
        <f t="shared" si="163"/>
        <v>Ngatik [FMNGA]</v>
      </c>
      <c r="AN10448" t="s">
        <v>10655</v>
      </c>
      <c r="AO10448" t="s">
        <v>10656</v>
      </c>
    </row>
    <row r="10449" spans="39:41" ht="12" customHeight="1" x14ac:dyDescent="0.2">
      <c r="AM10449" t="str">
        <f t="shared" si="163"/>
        <v>Nghe Tinh [VNNGT]</v>
      </c>
      <c r="AN10449" t="s">
        <v>32426</v>
      </c>
      <c r="AO10449" t="s">
        <v>32427</v>
      </c>
    </row>
    <row r="10450" spans="39:41" ht="12" customHeight="1" x14ac:dyDescent="0.2">
      <c r="AM10450" t="str">
        <f t="shared" si="163"/>
        <v>Nghi Son [VNNGH]</v>
      </c>
      <c r="AN10450" t="s">
        <v>32428</v>
      </c>
      <c r="AO10450" t="s">
        <v>32429</v>
      </c>
    </row>
    <row r="10451" spans="39:41" ht="12" customHeight="1" x14ac:dyDescent="0.2">
      <c r="AM10451" t="str">
        <f t="shared" si="163"/>
        <v>Nguyen Van Troi Port [VNNVT]</v>
      </c>
      <c r="AN10451" t="s">
        <v>32430</v>
      </c>
      <c r="AO10451" t="s">
        <v>32431</v>
      </c>
    </row>
    <row r="10452" spans="39:41" ht="12" customHeight="1" x14ac:dyDescent="0.2">
      <c r="AM10452" t="str">
        <f t="shared" si="163"/>
        <v>NH Prosperity [THNHP]</v>
      </c>
      <c r="AN10452" t="s">
        <v>33942</v>
      </c>
      <c r="AO10452" t="s">
        <v>34064</v>
      </c>
    </row>
    <row r="10453" spans="39:41" ht="12" customHeight="1" x14ac:dyDescent="0.2">
      <c r="AM10453" t="str">
        <f t="shared" si="163"/>
        <v>Nha Be Oil Port [VNONB]</v>
      </c>
      <c r="AN10453" t="s">
        <v>32432</v>
      </c>
      <c r="AO10453" t="s">
        <v>32433</v>
      </c>
    </row>
    <row r="10454" spans="39:41" ht="12" customHeight="1" x14ac:dyDescent="0.2">
      <c r="AM10454" t="str">
        <f t="shared" si="163"/>
        <v>Nha Trang [VNNHA]</v>
      </c>
      <c r="AN10454" t="s">
        <v>32434</v>
      </c>
      <c r="AO10454" t="s">
        <v>32435</v>
      </c>
    </row>
    <row r="10455" spans="39:41" ht="12" customHeight="1" x14ac:dyDescent="0.2">
      <c r="AM10455" t="str">
        <f t="shared" si="163"/>
        <v>Nhave [INNHV]</v>
      </c>
      <c r="AN10455" t="s">
        <v>17349</v>
      </c>
      <c r="AO10455" t="s">
        <v>17350</v>
      </c>
    </row>
    <row r="10456" spans="39:41" ht="12" customHeight="1" x14ac:dyDescent="0.2">
      <c r="AM10456" t="str">
        <f t="shared" si="163"/>
        <v>Nhlangano [SZNHL]</v>
      </c>
      <c r="AN10456" t="s">
        <v>28180</v>
      </c>
      <c r="AO10456" t="s">
        <v>28181</v>
      </c>
    </row>
    <row r="10457" spans="39:41" ht="12" customHeight="1" x14ac:dyDescent="0.2">
      <c r="AM10457" t="str">
        <f t="shared" si="163"/>
        <v>Nhulunbuy [AUNHU]</v>
      </c>
      <c r="AN10457" t="s">
        <v>1872</v>
      </c>
      <c r="AO10457" t="s">
        <v>1873</v>
      </c>
    </row>
    <row r="10458" spans="39:41" ht="12" customHeight="1" x14ac:dyDescent="0.2">
      <c r="AM10458" t="str">
        <f t="shared" si="163"/>
        <v>Niagara Falls [CANIA]</v>
      </c>
      <c r="AN10458" t="s">
        <v>4162</v>
      </c>
      <c r="AO10458" t="s">
        <v>4163</v>
      </c>
    </row>
    <row r="10459" spans="39:41" ht="12" customHeight="1" x14ac:dyDescent="0.2">
      <c r="AM10459" t="str">
        <f t="shared" si="163"/>
        <v>Niagara-on-the-Lake [CANOL]</v>
      </c>
      <c r="AN10459" t="s">
        <v>4164</v>
      </c>
      <c r="AO10459" t="s">
        <v>4165</v>
      </c>
    </row>
    <row r="10460" spans="39:41" ht="12" customHeight="1" x14ac:dyDescent="0.2">
      <c r="AM10460" t="str">
        <f t="shared" si="163"/>
        <v>Nianshanyapojiao [CNNSY]</v>
      </c>
      <c r="AN10460" t="s">
        <v>5797</v>
      </c>
      <c r="AO10460" t="s">
        <v>5798</v>
      </c>
    </row>
    <row r="10461" spans="39:41" ht="12" customHeight="1" x14ac:dyDescent="0.2">
      <c r="AM10461" t="str">
        <f t="shared" si="163"/>
        <v>Nicaro [CUICR]</v>
      </c>
      <c r="AN10461" t="s">
        <v>6703</v>
      </c>
      <c r="AO10461" t="s">
        <v>6704</v>
      </c>
    </row>
    <row r="10462" spans="39:41" ht="12" customHeight="1" x14ac:dyDescent="0.2">
      <c r="AM10462" t="str">
        <f t="shared" si="163"/>
        <v>Nice [FRNCE]</v>
      </c>
      <c r="AN10462" t="s">
        <v>11747</v>
      </c>
      <c r="AO10462" t="s">
        <v>11748</v>
      </c>
    </row>
    <row r="10463" spans="39:41" ht="12" customHeight="1" x14ac:dyDescent="0.2">
      <c r="AM10463" t="str">
        <f t="shared" si="163"/>
        <v>Nicha [CNNCA]</v>
      </c>
      <c r="AN10463" t="s">
        <v>5799</v>
      </c>
      <c r="AO10463" t="s">
        <v>5800</v>
      </c>
    </row>
    <row r="10464" spans="39:41" ht="12" customHeight="1" x14ac:dyDescent="0.2">
      <c r="AM10464" t="str">
        <f t="shared" si="163"/>
        <v>Nichinan [JPNIC]</v>
      </c>
      <c r="AN10464" t="s">
        <v>20206</v>
      </c>
      <c r="AO10464" t="s">
        <v>20207</v>
      </c>
    </row>
    <row r="10465" spans="39:41" ht="12" customHeight="1" x14ac:dyDescent="0.2">
      <c r="AM10465" t="str">
        <f t="shared" si="163"/>
        <v>Nicholls [USICH]</v>
      </c>
      <c r="AN10465" t="s">
        <v>30801</v>
      </c>
      <c r="AO10465" t="s">
        <v>30802</v>
      </c>
    </row>
    <row r="10466" spans="39:41" ht="12" customHeight="1" x14ac:dyDescent="0.2">
      <c r="AM10466" t="str">
        <f t="shared" si="163"/>
        <v>Nickelsdorf [ATND2]</v>
      </c>
      <c r="AN10466" t="s">
        <v>1286</v>
      </c>
      <c r="AO10466" t="s">
        <v>1287</v>
      </c>
    </row>
    <row r="10467" spans="39:41" ht="12" customHeight="1" x14ac:dyDescent="0.2">
      <c r="AM10467" t="str">
        <f t="shared" si="163"/>
        <v>Nicosia [CYNIC]</v>
      </c>
      <c r="AN10467" t="s">
        <v>6771</v>
      </c>
      <c r="AO10467" t="s">
        <v>6772</v>
      </c>
    </row>
    <row r="10468" spans="39:41" ht="12" customHeight="1" x14ac:dyDescent="0.2">
      <c r="AM10468" t="str">
        <f t="shared" si="163"/>
        <v>Nidhrion [GRNID]</v>
      </c>
      <c r="AN10468" t="s">
        <v>15396</v>
      </c>
      <c r="AO10468" t="s">
        <v>35950</v>
      </c>
    </row>
    <row r="10469" spans="39:41" ht="12" customHeight="1" x14ac:dyDescent="0.2">
      <c r="AM10469" t="str">
        <f t="shared" si="163"/>
        <v>Nido Terminal [PHNID]</v>
      </c>
      <c r="AN10469" t="s">
        <v>25995</v>
      </c>
      <c r="AO10469" t="s">
        <v>25996</v>
      </c>
    </row>
    <row r="10470" spans="39:41" ht="12" customHeight="1" x14ac:dyDescent="0.2">
      <c r="AM10470" t="str">
        <f t="shared" si="163"/>
        <v>Niebelsbach [DEBWJ]</v>
      </c>
      <c r="AN10470" t="s">
        <v>8005</v>
      </c>
      <c r="AO10470" t="s">
        <v>8006</v>
      </c>
    </row>
    <row r="10471" spans="39:41" ht="12" customHeight="1" x14ac:dyDescent="0.2">
      <c r="AM10471" t="str">
        <f t="shared" si="163"/>
        <v>Niechorze [PLNCH]</v>
      </c>
      <c r="AN10471" t="s">
        <v>26350</v>
      </c>
      <c r="AO10471" t="s">
        <v>26351</v>
      </c>
    </row>
    <row r="10472" spans="39:41" ht="12" customHeight="1" x14ac:dyDescent="0.2">
      <c r="AM10472" t="str">
        <f t="shared" si="163"/>
        <v>Niederbipp [CHNDB]</v>
      </c>
      <c r="AN10472" t="s">
        <v>4727</v>
      </c>
      <c r="AO10472" t="s">
        <v>4728</v>
      </c>
    </row>
    <row r="10473" spans="39:41" ht="12" customHeight="1" x14ac:dyDescent="0.2">
      <c r="AM10473" t="str">
        <f t="shared" si="163"/>
        <v>Niederdollendorf [DEDFX]</v>
      </c>
      <c r="AN10473" t="s">
        <v>8007</v>
      </c>
      <c r="AO10473" t="s">
        <v>8008</v>
      </c>
    </row>
    <row r="10474" spans="39:41" ht="12" customHeight="1" x14ac:dyDescent="0.2">
      <c r="AM10474" t="str">
        <f t="shared" si="163"/>
        <v>Niederkaina [DECH5]</v>
      </c>
      <c r="AN10474" t="s">
        <v>8009</v>
      </c>
      <c r="AO10474" t="s">
        <v>8010</v>
      </c>
    </row>
    <row r="10475" spans="39:41" ht="12" customHeight="1" x14ac:dyDescent="0.2">
      <c r="AM10475" t="str">
        <f t="shared" si="163"/>
        <v>Niederneuching [DENGH]</v>
      </c>
      <c r="AN10475" t="s">
        <v>8011</v>
      </c>
      <c r="AO10475" t="s">
        <v>8012</v>
      </c>
    </row>
    <row r="10476" spans="39:41" ht="12" customHeight="1" x14ac:dyDescent="0.2">
      <c r="AM10476" t="str">
        <f t="shared" si="163"/>
        <v>Niehl/Koln [DENHL]</v>
      </c>
      <c r="AN10476" t="s">
        <v>8013</v>
      </c>
      <c r="AO10476" t="s">
        <v>35477</v>
      </c>
    </row>
    <row r="10477" spans="39:41" ht="12" customHeight="1" x14ac:dyDescent="0.2">
      <c r="AM10477" t="str">
        <f t="shared" si="163"/>
        <v>Niel [BENIL]</v>
      </c>
      <c r="AN10477" t="s">
        <v>2775</v>
      </c>
      <c r="AO10477" t="s">
        <v>2776</v>
      </c>
    </row>
    <row r="10478" spans="39:41" ht="12" customHeight="1" x14ac:dyDescent="0.2">
      <c r="AM10478" t="str">
        <f t="shared" si="163"/>
        <v>Nienburg [DENIE]</v>
      </c>
      <c r="AN10478" t="s">
        <v>8014</v>
      </c>
      <c r="AO10478" t="s">
        <v>8015</v>
      </c>
    </row>
    <row r="10479" spans="39:41" ht="12" customHeight="1" x14ac:dyDescent="0.2">
      <c r="AM10479" t="str">
        <f t="shared" si="163"/>
        <v>Nieschutz [DENCZ]</v>
      </c>
      <c r="AN10479" t="s">
        <v>8016</v>
      </c>
      <c r="AO10479" t="s">
        <v>35478</v>
      </c>
    </row>
    <row r="10480" spans="39:41" ht="12" customHeight="1" x14ac:dyDescent="0.2">
      <c r="AM10480" t="str">
        <f t="shared" si="163"/>
        <v>Nieuw Nickerie [SRICK]</v>
      </c>
      <c r="AN10480" t="s">
        <v>28120</v>
      </c>
      <c r="AO10480" t="s">
        <v>28121</v>
      </c>
    </row>
    <row r="10481" spans="39:41" ht="12" customHeight="1" x14ac:dyDescent="0.2">
      <c r="AM10481" t="str">
        <f t="shared" si="163"/>
        <v>Nieuw-Amsterdam [NLNAM]</v>
      </c>
      <c r="AN10481" t="s">
        <v>23454</v>
      </c>
      <c r="AO10481" t="s">
        <v>23455</v>
      </c>
    </row>
    <row r="10482" spans="39:41" ht="12" customHeight="1" x14ac:dyDescent="0.2">
      <c r="AM10482" t="str">
        <f t="shared" ref="AM10482:AM10545" si="164">AO10482 &amp; " [" &amp; AN10482 &amp; "]"</f>
        <v>Nieuwdorp [NLNIU]</v>
      </c>
      <c r="AN10482" t="s">
        <v>23456</v>
      </c>
      <c r="AO10482" t="s">
        <v>23457</v>
      </c>
    </row>
    <row r="10483" spans="39:41" ht="12" customHeight="1" x14ac:dyDescent="0.2">
      <c r="AM10483" t="str">
        <f t="shared" si="164"/>
        <v>Nieuwe Brug [NLNBU]</v>
      </c>
      <c r="AN10483" t="s">
        <v>23458</v>
      </c>
      <c r="AO10483" t="s">
        <v>23459</v>
      </c>
    </row>
    <row r="10484" spans="39:41" ht="12" customHeight="1" x14ac:dyDescent="0.2">
      <c r="AM10484" t="str">
        <f t="shared" si="164"/>
        <v>Nieuwe Statenzijl [NLNSZ]</v>
      </c>
      <c r="AN10484" t="s">
        <v>23460</v>
      </c>
      <c r="AO10484" t="s">
        <v>23461</v>
      </c>
    </row>
    <row r="10485" spans="39:41" ht="12" customHeight="1" x14ac:dyDescent="0.2">
      <c r="AM10485" t="str">
        <f t="shared" si="164"/>
        <v>Nieuwegein [NLNWG]</v>
      </c>
      <c r="AN10485" t="s">
        <v>33913</v>
      </c>
      <c r="AO10485" t="s">
        <v>34035</v>
      </c>
    </row>
    <row r="10486" spans="39:41" ht="12" customHeight="1" x14ac:dyDescent="0.2">
      <c r="AM10486" t="str">
        <f t="shared" si="164"/>
        <v>Nieuwerbrug [NLNBG]</v>
      </c>
      <c r="AN10486" t="s">
        <v>23462</v>
      </c>
      <c r="AO10486" t="s">
        <v>23463</v>
      </c>
    </row>
    <row r="10487" spans="39:41" ht="12" customHeight="1" x14ac:dyDescent="0.2">
      <c r="AM10487" t="str">
        <f t="shared" si="164"/>
        <v>Nieuwerkerk aan den IJssel [NLNIE]</v>
      </c>
      <c r="AN10487" t="s">
        <v>33914</v>
      </c>
      <c r="AO10487" t="s">
        <v>34036</v>
      </c>
    </row>
    <row r="10488" spans="39:41" ht="12" customHeight="1" x14ac:dyDescent="0.2">
      <c r="AM10488" t="str">
        <f t="shared" si="164"/>
        <v>Nieuwerkerke [NLN8W]</v>
      </c>
      <c r="AN10488" t="s">
        <v>23464</v>
      </c>
      <c r="AO10488" t="s">
        <v>23465</v>
      </c>
    </row>
    <row r="10489" spans="39:41" ht="12" customHeight="1" x14ac:dyDescent="0.2">
      <c r="AM10489" t="str">
        <f t="shared" si="164"/>
        <v>Nieuwolda [NLNWO]</v>
      </c>
      <c r="AN10489" t="s">
        <v>23466</v>
      </c>
      <c r="AO10489" t="s">
        <v>23467</v>
      </c>
    </row>
    <row r="10490" spans="39:41" ht="12" customHeight="1" x14ac:dyDescent="0.2">
      <c r="AM10490" t="str">
        <f t="shared" si="164"/>
        <v>Nieuwpoort [BENIE]</v>
      </c>
      <c r="AN10490" t="s">
        <v>2777</v>
      </c>
      <c r="AO10490" t="s">
        <v>2778</v>
      </c>
    </row>
    <row r="10491" spans="39:41" ht="12" customHeight="1" x14ac:dyDescent="0.2">
      <c r="AM10491" t="str">
        <f t="shared" si="164"/>
        <v>Nieuw-Scheemda [NLNSD]</v>
      </c>
      <c r="AN10491" t="s">
        <v>23468</v>
      </c>
      <c r="AO10491" t="s">
        <v>23469</v>
      </c>
    </row>
    <row r="10492" spans="39:41" ht="12" customHeight="1" x14ac:dyDescent="0.2">
      <c r="AM10492" t="str">
        <f t="shared" si="164"/>
        <v>Nigg [GBNGG]</v>
      </c>
      <c r="AN10492" t="s">
        <v>13934</v>
      </c>
      <c r="AO10492" t="s">
        <v>13935</v>
      </c>
    </row>
    <row r="10493" spans="39:41" ht="12" customHeight="1" x14ac:dyDescent="0.2">
      <c r="AM10493" t="str">
        <f t="shared" si="164"/>
        <v>Nigishima [JPNXG]</v>
      </c>
      <c r="AN10493" t="s">
        <v>20208</v>
      </c>
      <c r="AO10493" t="s">
        <v>20209</v>
      </c>
    </row>
    <row r="10494" spans="39:41" ht="12" customHeight="1" x14ac:dyDescent="0.2">
      <c r="AM10494" t="str">
        <f t="shared" si="164"/>
        <v>Nigtevecht [NLNGV]</v>
      </c>
      <c r="AN10494" t="s">
        <v>23470</v>
      </c>
      <c r="AO10494" t="s">
        <v>23471</v>
      </c>
    </row>
    <row r="10495" spans="39:41" ht="12" customHeight="1" x14ac:dyDescent="0.2">
      <c r="AM10495" t="str">
        <f t="shared" si="164"/>
        <v>Nii [JPNIX]</v>
      </c>
      <c r="AN10495" t="s">
        <v>20210</v>
      </c>
      <c r="AO10495" t="s">
        <v>20211</v>
      </c>
    </row>
    <row r="10496" spans="39:41" ht="12" customHeight="1" x14ac:dyDescent="0.2">
      <c r="AM10496" t="str">
        <f t="shared" si="164"/>
        <v>Niigata [JPKIJ]</v>
      </c>
      <c r="AN10496" t="s">
        <v>20212</v>
      </c>
      <c r="AO10496" t="s">
        <v>20213</v>
      </c>
    </row>
    <row r="10497" spans="39:41" ht="12" customHeight="1" x14ac:dyDescent="0.2">
      <c r="AM10497" t="str">
        <f t="shared" si="164"/>
        <v>Niigatahigashi [JPNIH]</v>
      </c>
      <c r="AN10497" t="s">
        <v>20214</v>
      </c>
      <c r="AO10497" t="s">
        <v>20215</v>
      </c>
    </row>
    <row r="10498" spans="39:41" ht="12" customHeight="1" x14ac:dyDescent="0.2">
      <c r="AM10498" t="str">
        <f t="shared" si="164"/>
        <v>Niigatanishi [JPNIN]</v>
      </c>
      <c r="AN10498" t="s">
        <v>20216</v>
      </c>
      <c r="AO10498" t="s">
        <v>20217</v>
      </c>
    </row>
    <row r="10499" spans="39:41" ht="12" customHeight="1" x14ac:dyDescent="0.2">
      <c r="AM10499" t="str">
        <f t="shared" si="164"/>
        <v>Niihama [JPIHA]</v>
      </c>
      <c r="AN10499" t="s">
        <v>20218</v>
      </c>
      <c r="AO10499" t="s">
        <v>20219</v>
      </c>
    </row>
    <row r="10500" spans="39:41" ht="12" customHeight="1" x14ac:dyDescent="0.2">
      <c r="AM10500" t="str">
        <f t="shared" si="164"/>
        <v>Niijima [JPNIJ]</v>
      </c>
      <c r="AN10500" t="s">
        <v>20220</v>
      </c>
      <c r="AO10500" t="s">
        <v>20221</v>
      </c>
    </row>
    <row r="10501" spans="39:41" ht="12" customHeight="1" x14ac:dyDescent="0.2">
      <c r="AM10501" t="str">
        <f t="shared" si="164"/>
        <v>Niikappu [JPXCA]</v>
      </c>
      <c r="AN10501" t="s">
        <v>20222</v>
      </c>
      <c r="AO10501" t="s">
        <v>20223</v>
      </c>
    </row>
    <row r="10502" spans="39:41" ht="12" customHeight="1" x14ac:dyDescent="0.2">
      <c r="AM10502" t="str">
        <f t="shared" si="164"/>
        <v>Nijezijl [NLNZJ]</v>
      </c>
      <c r="AN10502" t="s">
        <v>23472</v>
      </c>
      <c r="AO10502" t="s">
        <v>23473</v>
      </c>
    </row>
    <row r="10503" spans="39:41" ht="12" customHeight="1" x14ac:dyDescent="0.2">
      <c r="AM10503" t="str">
        <f t="shared" si="164"/>
        <v>Nijkerk [NLNKK]</v>
      </c>
      <c r="AN10503" t="s">
        <v>34107</v>
      </c>
      <c r="AO10503" t="s">
        <v>34153</v>
      </c>
    </row>
    <row r="10504" spans="39:41" ht="12" customHeight="1" x14ac:dyDescent="0.2">
      <c r="AM10504" t="str">
        <f t="shared" si="164"/>
        <v>Nijlen [BENYL]</v>
      </c>
      <c r="AN10504" t="s">
        <v>2779</v>
      </c>
      <c r="AO10504" t="s">
        <v>2780</v>
      </c>
    </row>
    <row r="10505" spans="39:41" ht="12" customHeight="1" x14ac:dyDescent="0.2">
      <c r="AM10505" t="str">
        <f t="shared" si="164"/>
        <v>Nijmegen [NLNIJ]</v>
      </c>
      <c r="AN10505" t="s">
        <v>37049</v>
      </c>
      <c r="AO10505" t="s">
        <v>37050</v>
      </c>
    </row>
    <row r="10506" spans="39:41" ht="12" customHeight="1" x14ac:dyDescent="0.2">
      <c r="AM10506" t="str">
        <f t="shared" si="164"/>
        <v>Nikaho [JPNIK]</v>
      </c>
      <c r="AN10506" t="s">
        <v>20224</v>
      </c>
      <c r="AO10506" t="s">
        <v>20225</v>
      </c>
    </row>
    <row r="10507" spans="39:41" ht="12" customHeight="1" x14ac:dyDescent="0.2">
      <c r="AM10507" t="str">
        <f t="shared" si="164"/>
        <v>Nikolayevsk-na-Amure [RUNIA]</v>
      </c>
      <c r="AN10507" t="s">
        <v>27117</v>
      </c>
      <c r="AO10507" t="s">
        <v>27118</v>
      </c>
    </row>
    <row r="10508" spans="39:41" ht="12" customHeight="1" x14ac:dyDescent="0.2">
      <c r="AM10508" t="str">
        <f t="shared" si="164"/>
        <v>Nikopol [BGNPO]</v>
      </c>
      <c r="AN10508" t="s">
        <v>3152</v>
      </c>
      <c r="AO10508" t="s">
        <v>3153</v>
      </c>
    </row>
    <row r="10509" spans="39:41" ht="12" customHeight="1" x14ac:dyDescent="0.2">
      <c r="AM10509" t="str">
        <f t="shared" si="164"/>
        <v>Nikumaroro [KINIK]</v>
      </c>
      <c r="AN10509" t="s">
        <v>21555</v>
      </c>
      <c r="AO10509" t="s">
        <v>21556</v>
      </c>
    </row>
    <row r="10510" spans="39:41" ht="12" customHeight="1" x14ac:dyDescent="0.2">
      <c r="AM10510" t="str">
        <f t="shared" si="164"/>
        <v>Nilai [MYNII]</v>
      </c>
      <c r="AN10510" t="s">
        <v>22667</v>
      </c>
      <c r="AO10510" t="s">
        <v>22668</v>
      </c>
    </row>
    <row r="10511" spans="39:41" ht="12" customHeight="1" x14ac:dyDescent="0.2">
      <c r="AM10511" t="str">
        <f t="shared" si="164"/>
        <v>Nilsia [FINLS]</v>
      </c>
      <c r="AN10511" t="s">
        <v>10478</v>
      </c>
      <c r="AO10511" t="s">
        <v>10479</v>
      </c>
    </row>
    <row r="10512" spans="39:41" ht="12" customHeight="1" x14ac:dyDescent="0.2">
      <c r="AM10512" t="str">
        <f t="shared" si="164"/>
        <v>Nim Port [THNIM]</v>
      </c>
      <c r="AN10512" t="s">
        <v>28256</v>
      </c>
      <c r="AO10512" t="s">
        <v>28257</v>
      </c>
    </row>
    <row r="10513" spans="39:41" ht="12" customHeight="1" x14ac:dyDescent="0.2">
      <c r="AM10513" t="str">
        <f t="shared" si="164"/>
        <v>Nima [JPNIM]</v>
      </c>
      <c r="AN10513" t="s">
        <v>20226</v>
      </c>
      <c r="AO10513" t="s">
        <v>20227</v>
      </c>
    </row>
    <row r="10514" spans="39:41" ht="12" customHeight="1" x14ac:dyDescent="0.2">
      <c r="AM10514" t="str">
        <f t="shared" si="164"/>
        <v>Nimy [BENBA]</v>
      </c>
      <c r="AN10514" t="s">
        <v>2781</v>
      </c>
      <c r="AO10514" t="s">
        <v>2782</v>
      </c>
    </row>
    <row r="10515" spans="39:41" ht="12" customHeight="1" x14ac:dyDescent="0.2">
      <c r="AM10515" t="str">
        <f t="shared" si="164"/>
        <v>Nindakara [INNEE]</v>
      </c>
      <c r="AN10515" t="s">
        <v>17351</v>
      </c>
      <c r="AO10515" t="s">
        <v>17352</v>
      </c>
    </row>
    <row r="10516" spans="39:41" ht="12" customHeight="1" x14ac:dyDescent="0.2">
      <c r="AM10516" t="str">
        <f t="shared" si="164"/>
        <v>Ningaloo Vision [AUNIV]</v>
      </c>
      <c r="AN10516" t="s">
        <v>1874</v>
      </c>
      <c r="AO10516" t="s">
        <v>1875</v>
      </c>
    </row>
    <row r="10517" spans="39:41" ht="12" customHeight="1" x14ac:dyDescent="0.2">
      <c r="AM10517" t="str">
        <f t="shared" si="164"/>
        <v>Ningbo [CNNBO]</v>
      </c>
      <c r="AN10517" t="s">
        <v>5801</v>
      </c>
      <c r="AO10517" t="s">
        <v>5802</v>
      </c>
    </row>
    <row r="10518" spans="39:41" ht="12" customHeight="1" x14ac:dyDescent="0.2">
      <c r="AM10518" t="str">
        <f t="shared" si="164"/>
        <v>Ningbo Pt [CNNBG]</v>
      </c>
      <c r="AN10518" t="s">
        <v>5803</v>
      </c>
      <c r="AO10518" t="s">
        <v>5804</v>
      </c>
    </row>
    <row r="10519" spans="39:41" ht="12" customHeight="1" x14ac:dyDescent="0.2">
      <c r="AM10519" t="str">
        <f t="shared" si="164"/>
        <v>Ningde [CNNDE]</v>
      </c>
      <c r="AN10519" t="s">
        <v>5805</v>
      </c>
      <c r="AO10519" t="s">
        <v>5806</v>
      </c>
    </row>
    <row r="10520" spans="39:41" ht="12" customHeight="1" x14ac:dyDescent="0.2">
      <c r="AM10520" t="str">
        <f t="shared" si="164"/>
        <v>Ningming [CNNMI]</v>
      </c>
      <c r="AN10520" t="s">
        <v>5807</v>
      </c>
      <c r="AO10520" t="s">
        <v>5808</v>
      </c>
    </row>
    <row r="10521" spans="39:41" ht="12" customHeight="1" x14ac:dyDescent="0.2">
      <c r="AM10521" t="str">
        <f t="shared" si="164"/>
        <v>Ninove [BENNV]</v>
      </c>
      <c r="AN10521" t="s">
        <v>2783</v>
      </c>
      <c r="AO10521" t="s">
        <v>2784</v>
      </c>
    </row>
    <row r="10522" spans="39:41" ht="12" customHeight="1" x14ac:dyDescent="0.2">
      <c r="AM10522" t="str">
        <f t="shared" si="164"/>
        <v>Nio [JPNIO]</v>
      </c>
      <c r="AN10522" t="s">
        <v>20228</v>
      </c>
      <c r="AO10522" t="s">
        <v>20229</v>
      </c>
    </row>
    <row r="10523" spans="39:41" ht="12" customHeight="1" x14ac:dyDescent="0.2">
      <c r="AM10523" t="str">
        <f t="shared" si="164"/>
        <v>Niobrara [USN5B]</v>
      </c>
      <c r="AN10523" t="s">
        <v>30803</v>
      </c>
      <c r="AO10523" t="s">
        <v>30804</v>
      </c>
    </row>
    <row r="10524" spans="39:41" ht="12" customHeight="1" x14ac:dyDescent="0.2">
      <c r="AM10524" t="str">
        <f t="shared" si="164"/>
        <v>Nipah [IDNIP]</v>
      </c>
      <c r="AN10524" t="s">
        <v>16450</v>
      </c>
      <c r="AO10524" t="s">
        <v>16451</v>
      </c>
    </row>
    <row r="10525" spans="39:41" ht="12" customHeight="1" x14ac:dyDescent="0.2">
      <c r="AM10525" t="str">
        <f t="shared" si="164"/>
        <v>Niquero [CUNIQ]</v>
      </c>
      <c r="AN10525" t="s">
        <v>6705</v>
      </c>
      <c r="AO10525" t="s">
        <v>6706</v>
      </c>
    </row>
    <row r="10526" spans="39:41" ht="12" customHeight="1" x14ac:dyDescent="0.2">
      <c r="AM10526" t="str">
        <f t="shared" si="164"/>
        <v>Nishi/Kitadaito [JPNID]</v>
      </c>
      <c r="AN10526" t="s">
        <v>20230</v>
      </c>
      <c r="AO10526" t="s">
        <v>20231</v>
      </c>
    </row>
    <row r="10527" spans="39:41" ht="12" customHeight="1" x14ac:dyDescent="0.2">
      <c r="AM10527" t="str">
        <f t="shared" si="164"/>
        <v>Nishi/Minamidaito [JPNDI]</v>
      </c>
      <c r="AN10527" t="s">
        <v>20232</v>
      </c>
      <c r="AO10527" t="s">
        <v>20233</v>
      </c>
    </row>
    <row r="10528" spans="39:41" ht="12" customHeight="1" x14ac:dyDescent="0.2">
      <c r="AM10528" t="str">
        <f t="shared" si="164"/>
        <v>Nishibe [JPNSB]</v>
      </c>
      <c r="AN10528" t="s">
        <v>20234</v>
      </c>
      <c r="AO10528" t="s">
        <v>20235</v>
      </c>
    </row>
    <row r="10529" spans="39:41" ht="12" customHeight="1" x14ac:dyDescent="0.2">
      <c r="AM10529" t="str">
        <f t="shared" si="164"/>
        <v>Nishiesan [JPNSI]</v>
      </c>
      <c r="AN10529" t="s">
        <v>20236</v>
      </c>
      <c r="AO10529" t="s">
        <v>20237</v>
      </c>
    </row>
    <row r="10530" spans="39:41" ht="12" customHeight="1" x14ac:dyDescent="0.2">
      <c r="AM10530" t="str">
        <f t="shared" si="164"/>
        <v>Nishihara [JPNHR]</v>
      </c>
      <c r="AN10530" t="s">
        <v>20238</v>
      </c>
      <c r="AO10530" t="s">
        <v>20239</v>
      </c>
    </row>
    <row r="10531" spans="39:41" ht="12" customHeight="1" x14ac:dyDescent="0.2">
      <c r="AM10531" t="str">
        <f t="shared" si="164"/>
        <v>Nishikata [JPNST]</v>
      </c>
      <c r="AN10531" t="s">
        <v>20240</v>
      </c>
      <c r="AO10531" t="s">
        <v>20241</v>
      </c>
    </row>
    <row r="10532" spans="39:41" ht="12" customHeight="1" x14ac:dyDescent="0.2">
      <c r="AM10532" t="str">
        <f t="shared" si="164"/>
        <v>Nishiki [JPNSK]</v>
      </c>
      <c r="AN10532" t="s">
        <v>20242</v>
      </c>
      <c r="AO10532" t="s">
        <v>20243</v>
      </c>
    </row>
    <row r="10533" spans="39:41" ht="12" customHeight="1" x14ac:dyDescent="0.2">
      <c r="AM10533" t="str">
        <f t="shared" si="164"/>
        <v>Nishimaizuru [JPMAW]</v>
      </c>
      <c r="AN10533" t="s">
        <v>20244</v>
      </c>
      <c r="AO10533" t="s">
        <v>20245</v>
      </c>
    </row>
    <row r="10534" spans="39:41" ht="12" customHeight="1" x14ac:dyDescent="0.2">
      <c r="AM10534" t="str">
        <f t="shared" si="164"/>
        <v>Nishimura [JPNSM]</v>
      </c>
      <c r="AN10534" t="s">
        <v>20246</v>
      </c>
      <c r="AO10534" t="s">
        <v>20247</v>
      </c>
    </row>
    <row r="10535" spans="39:41" ht="12" customHeight="1" x14ac:dyDescent="0.2">
      <c r="AM10535" t="str">
        <f t="shared" si="164"/>
        <v>Nishinaka [JPNIS]</v>
      </c>
      <c r="AN10535" t="s">
        <v>20248</v>
      </c>
      <c r="AO10535" t="s">
        <v>20249</v>
      </c>
    </row>
    <row r="10536" spans="39:41" ht="12" customHeight="1" x14ac:dyDescent="0.2">
      <c r="AM10536" t="str">
        <f t="shared" si="164"/>
        <v>Nishinomiya [JPNYA]</v>
      </c>
      <c r="AN10536" t="s">
        <v>20250</v>
      </c>
      <c r="AO10536" t="s">
        <v>20251</v>
      </c>
    </row>
    <row r="10537" spans="39:41" ht="12" customHeight="1" x14ac:dyDescent="0.2">
      <c r="AM10537" t="str">
        <f t="shared" si="164"/>
        <v>Nishinoomote [JPIIN]</v>
      </c>
      <c r="AN10537" t="s">
        <v>20252</v>
      </c>
      <c r="AO10537" t="s">
        <v>20253</v>
      </c>
    </row>
    <row r="10538" spans="39:41" ht="12" customHeight="1" x14ac:dyDescent="0.2">
      <c r="AM10538" t="str">
        <f t="shared" si="164"/>
        <v>Nishishioya [JPNSH]</v>
      </c>
      <c r="AN10538" t="s">
        <v>20254</v>
      </c>
      <c r="AO10538" t="s">
        <v>20255</v>
      </c>
    </row>
    <row r="10539" spans="39:41" ht="12" customHeight="1" x14ac:dyDescent="0.2">
      <c r="AM10539" t="str">
        <f t="shared" si="164"/>
        <v>Nishitokyo [JPNTO]</v>
      </c>
      <c r="AN10539" t="s">
        <v>20256</v>
      </c>
      <c r="AO10539" t="s">
        <v>20257</v>
      </c>
    </row>
    <row r="10540" spans="39:41" ht="12" customHeight="1" x14ac:dyDescent="0.2">
      <c r="AM10540" t="str">
        <f t="shared" si="164"/>
        <v>Nishiura [JPNUR]</v>
      </c>
      <c r="AN10540" t="s">
        <v>20258</v>
      </c>
      <c r="AO10540" t="s">
        <v>20259</v>
      </c>
    </row>
    <row r="10541" spans="39:41" ht="12" customHeight="1" x14ac:dyDescent="0.2">
      <c r="AM10541" t="str">
        <f t="shared" si="164"/>
        <v>Nisiros [GRNIS]</v>
      </c>
      <c r="AN10541" t="s">
        <v>15397</v>
      </c>
      <c r="AO10541" t="s">
        <v>15398</v>
      </c>
    </row>
    <row r="10542" spans="39:41" ht="12" customHeight="1" x14ac:dyDescent="0.2">
      <c r="AM10542" t="str">
        <f t="shared" si="164"/>
        <v>Nita [JPNIA]</v>
      </c>
      <c r="AN10542" t="s">
        <v>20260</v>
      </c>
      <c r="AO10542" t="s">
        <v>20261</v>
      </c>
    </row>
    <row r="10543" spans="39:41" ht="12" customHeight="1" x14ac:dyDescent="0.2">
      <c r="AM10543" t="str">
        <f t="shared" si="164"/>
        <v>Niteroi [BRNTR]</v>
      </c>
      <c r="AN10543" t="s">
        <v>3350</v>
      </c>
      <c r="AO10543" t="s">
        <v>3351</v>
      </c>
    </row>
    <row r="10544" spans="39:41" ht="12" customHeight="1" x14ac:dyDescent="0.2">
      <c r="AM10544" t="str">
        <f t="shared" si="164"/>
        <v>Nitti [SLNIT]</v>
      </c>
      <c r="AN10544" t="s">
        <v>28082</v>
      </c>
      <c r="AO10544" t="s">
        <v>28083</v>
      </c>
    </row>
    <row r="10545" spans="39:41" ht="12" customHeight="1" x14ac:dyDescent="0.2">
      <c r="AM10545" t="str">
        <f t="shared" si="164"/>
        <v>Niue Island [NUIUE]</v>
      </c>
      <c r="AN10545" t="s">
        <v>25049</v>
      </c>
      <c r="AO10545" t="s">
        <v>25050</v>
      </c>
    </row>
    <row r="10546" spans="39:41" ht="12" customHeight="1" x14ac:dyDescent="0.2">
      <c r="AM10546" t="str">
        <f t="shared" ref="AM10546:AM10609" si="165">AO10546 &amp; " [" &amp; AN10546 &amp; "]"</f>
        <v>Niuguling [CNNKL]</v>
      </c>
      <c r="AN10546" t="s">
        <v>5809</v>
      </c>
      <c r="AO10546" t="s">
        <v>5810</v>
      </c>
    </row>
    <row r="10547" spans="39:41" ht="12" customHeight="1" x14ac:dyDescent="0.2">
      <c r="AM10547" t="str">
        <f t="shared" si="165"/>
        <v>Niutoushan [CNNTN]</v>
      </c>
      <c r="AN10547" t="s">
        <v>5811</v>
      </c>
      <c r="AO10547" t="s">
        <v>5812</v>
      </c>
    </row>
    <row r="10548" spans="39:41" ht="12" customHeight="1" x14ac:dyDescent="0.2">
      <c r="AM10548" t="str">
        <f t="shared" si="165"/>
        <v>Nivti [INNVT]</v>
      </c>
      <c r="AN10548" t="s">
        <v>17353</v>
      </c>
      <c r="AO10548" t="s">
        <v>17354</v>
      </c>
    </row>
    <row r="10549" spans="39:41" ht="12" customHeight="1" x14ac:dyDescent="0.2">
      <c r="AM10549" t="str">
        <f t="shared" si="165"/>
        <v>Nixon [USNIX]</v>
      </c>
      <c r="AN10549" t="s">
        <v>30805</v>
      </c>
      <c r="AO10549" t="s">
        <v>30806</v>
      </c>
    </row>
    <row r="10550" spans="39:41" ht="12" customHeight="1" x14ac:dyDescent="0.2">
      <c r="AM10550" t="str">
        <f t="shared" si="165"/>
        <v>Nizhnevartovsk [RUNJC]</v>
      </c>
      <c r="AN10550" t="s">
        <v>27119</v>
      </c>
      <c r="AO10550" t="s">
        <v>27120</v>
      </c>
    </row>
    <row r="10551" spans="39:41" ht="12" customHeight="1" x14ac:dyDescent="0.2">
      <c r="AM10551" t="str">
        <f t="shared" si="165"/>
        <v>Nizhniy Novgorod (ex Gorkiy) [RUGOJ]</v>
      </c>
      <c r="AN10551" t="s">
        <v>27121</v>
      </c>
      <c r="AO10551" t="s">
        <v>27122</v>
      </c>
    </row>
    <row r="10552" spans="39:41" ht="12" customHeight="1" x14ac:dyDescent="0.2">
      <c r="AM10552" t="str">
        <f t="shared" si="165"/>
        <v>Nizhnyaya Pesha [RUNPE]</v>
      </c>
      <c r="AN10552" t="s">
        <v>27123</v>
      </c>
      <c r="AO10552" t="s">
        <v>27124</v>
      </c>
    </row>
    <row r="10553" spans="39:41" ht="12" customHeight="1" x14ac:dyDescent="0.2">
      <c r="AM10553" t="str">
        <f t="shared" si="165"/>
        <v>Njardvik [ISNJA]</v>
      </c>
      <c r="AN10553" t="s">
        <v>17742</v>
      </c>
      <c r="AO10553" t="s">
        <v>17743</v>
      </c>
    </row>
    <row r="10554" spans="39:41" ht="12" customHeight="1" x14ac:dyDescent="0.2">
      <c r="AM10554" t="str">
        <f t="shared" si="165"/>
        <v>Njord [XZNJO]</v>
      </c>
      <c r="AN10554" t="s">
        <v>32590</v>
      </c>
      <c r="AO10554" t="s">
        <v>32591</v>
      </c>
    </row>
    <row r="10555" spans="39:41" ht="12" customHeight="1" x14ac:dyDescent="0.2">
      <c r="AM10555" t="str">
        <f t="shared" si="165"/>
        <v>N'Kossa Terminal [CGNKO]</v>
      </c>
      <c r="AN10555" t="s">
        <v>4637</v>
      </c>
      <c r="AO10555" t="s">
        <v>4638</v>
      </c>
    </row>
    <row r="10556" spans="39:41" ht="12" customHeight="1" x14ac:dyDescent="0.2">
      <c r="AM10556" t="str">
        <f t="shared" si="165"/>
        <v>Noank [USNK3]</v>
      </c>
      <c r="AN10556" t="s">
        <v>30807</v>
      </c>
      <c r="AO10556" t="s">
        <v>30808</v>
      </c>
    </row>
    <row r="10557" spans="39:41" ht="12" customHeight="1" x14ac:dyDescent="0.2">
      <c r="AM10557" t="str">
        <f t="shared" si="165"/>
        <v>Nobdenitz [DENO9]</v>
      </c>
      <c r="AN10557" t="s">
        <v>8017</v>
      </c>
      <c r="AO10557" t="s">
        <v>35479</v>
      </c>
    </row>
    <row r="10558" spans="39:41" ht="12" customHeight="1" x14ac:dyDescent="0.2">
      <c r="AM10558" t="str">
        <f t="shared" si="165"/>
        <v>Nobeoka [JPNOB]</v>
      </c>
      <c r="AN10558" t="s">
        <v>20262</v>
      </c>
      <c r="AO10558" t="s">
        <v>20263</v>
      </c>
    </row>
    <row r="10559" spans="39:41" ht="12" customHeight="1" x14ac:dyDescent="0.2">
      <c r="AM10559" t="str">
        <f t="shared" si="165"/>
        <v>Nobeokashinko [JPNBS]</v>
      </c>
      <c r="AN10559" t="s">
        <v>20264</v>
      </c>
      <c r="AO10559" t="s">
        <v>20265</v>
      </c>
    </row>
    <row r="10560" spans="39:41" ht="12" customHeight="1" x14ac:dyDescent="0.2">
      <c r="AM10560" t="str">
        <f t="shared" si="165"/>
        <v>Noblejas [ESNBL]</v>
      </c>
      <c r="AN10560" t="s">
        <v>9990</v>
      </c>
      <c r="AO10560" t="s">
        <v>9991</v>
      </c>
    </row>
    <row r="10561" spans="39:41" ht="12" customHeight="1" x14ac:dyDescent="0.2">
      <c r="AM10561" t="str">
        <f t="shared" si="165"/>
        <v>Noblessneri [EENOB]</v>
      </c>
      <c r="AN10561" t="s">
        <v>9274</v>
      </c>
      <c r="AO10561" t="s">
        <v>9275</v>
      </c>
    </row>
    <row r="10562" spans="39:41" ht="12" customHeight="1" x14ac:dyDescent="0.2">
      <c r="AM10562" t="str">
        <f t="shared" si="165"/>
        <v>Nobu/Mitsushima [JPNBU]</v>
      </c>
      <c r="AN10562" t="s">
        <v>20266</v>
      </c>
      <c r="AO10562" t="s">
        <v>20267</v>
      </c>
    </row>
    <row r="10563" spans="39:41" ht="12" customHeight="1" x14ac:dyDescent="0.2">
      <c r="AM10563" t="str">
        <f t="shared" si="165"/>
        <v>Noeveren [BENVN]</v>
      </c>
      <c r="AN10563" t="s">
        <v>2785</v>
      </c>
      <c r="AO10563" t="s">
        <v>2786</v>
      </c>
    </row>
    <row r="10564" spans="39:41" ht="12" customHeight="1" x14ac:dyDescent="0.2">
      <c r="AM10564" t="str">
        <f t="shared" si="165"/>
        <v>Nogales [USOLS]</v>
      </c>
      <c r="AN10564" t="s">
        <v>30809</v>
      </c>
      <c r="AO10564" t="s">
        <v>30810</v>
      </c>
    </row>
    <row r="10565" spans="39:41" ht="12" customHeight="1" x14ac:dyDescent="0.2">
      <c r="AM10565" t="str">
        <f t="shared" si="165"/>
        <v>Nogliki [RUNOG]</v>
      </c>
      <c r="AN10565" t="s">
        <v>27125</v>
      </c>
      <c r="AO10565" t="s">
        <v>27126</v>
      </c>
    </row>
    <row r="10566" spans="39:41" ht="12" customHeight="1" x14ac:dyDescent="0.2">
      <c r="AM10566" t="str">
        <f t="shared" si="165"/>
        <v>Noh [JPNOU]</v>
      </c>
      <c r="AN10566" t="s">
        <v>20268</v>
      </c>
      <c r="AO10566" t="s">
        <v>20269</v>
      </c>
    </row>
    <row r="10567" spans="39:41" ht="12" customHeight="1" x14ac:dyDescent="0.2">
      <c r="AM10567" t="str">
        <f t="shared" si="165"/>
        <v>Nohara [JPNOH]</v>
      </c>
      <c r="AN10567" t="s">
        <v>20270</v>
      </c>
      <c r="AO10567" t="s">
        <v>20271</v>
      </c>
    </row>
    <row r="10568" spans="39:41" ht="12" customHeight="1" x14ac:dyDescent="0.2">
      <c r="AM10568" t="str">
        <f t="shared" si="165"/>
        <v>Noheji [JPNHJ]</v>
      </c>
      <c r="AN10568" t="s">
        <v>20272</v>
      </c>
      <c r="AO10568" t="s">
        <v>20273</v>
      </c>
    </row>
    <row r="10569" spans="39:41" ht="12" customHeight="1" x14ac:dyDescent="0.2">
      <c r="AM10569" t="str">
        <f t="shared" si="165"/>
        <v>Noho [JPNQH]</v>
      </c>
      <c r="AN10569" t="s">
        <v>20274</v>
      </c>
      <c r="AO10569" t="s">
        <v>20275</v>
      </c>
    </row>
    <row r="10570" spans="39:41" ht="12" customHeight="1" x14ac:dyDescent="0.2">
      <c r="AM10570" t="str">
        <f t="shared" si="165"/>
        <v>Nojiri [JPNJR]</v>
      </c>
      <c r="AN10570" t="s">
        <v>20276</v>
      </c>
      <c r="AO10570" t="s">
        <v>20277</v>
      </c>
    </row>
    <row r="10571" spans="39:41" ht="12" customHeight="1" x14ac:dyDescent="0.2">
      <c r="AM10571" t="str">
        <f t="shared" si="165"/>
        <v>Nokdongsin [KRNDS]</v>
      </c>
      <c r="AN10571" t="s">
        <v>21696</v>
      </c>
      <c r="AO10571" t="s">
        <v>21697</v>
      </c>
    </row>
    <row r="10572" spans="39:41" ht="12" customHeight="1" x14ac:dyDescent="0.2">
      <c r="AM10572" t="str">
        <f t="shared" si="165"/>
        <v>Nokesville [USQNV]</v>
      </c>
      <c r="AN10572" t="s">
        <v>30811</v>
      </c>
      <c r="AO10572" t="s">
        <v>30812</v>
      </c>
    </row>
    <row r="10573" spans="39:41" ht="12" customHeight="1" x14ac:dyDescent="0.2">
      <c r="AM10573" t="str">
        <f t="shared" si="165"/>
        <v>Nol (ports) [SENOL]</v>
      </c>
      <c r="AN10573" t="s">
        <v>27770</v>
      </c>
      <c r="AO10573" t="s">
        <v>27771</v>
      </c>
    </row>
    <row r="10574" spans="39:41" ht="12" customHeight="1" x14ac:dyDescent="0.2">
      <c r="AM10574" t="str">
        <f t="shared" si="165"/>
        <v>Noli [ITNLI]</v>
      </c>
      <c r="AN10574" t="s">
        <v>18109</v>
      </c>
      <c r="AO10574" t="s">
        <v>18110</v>
      </c>
    </row>
    <row r="10575" spans="39:41" ht="12" customHeight="1" x14ac:dyDescent="0.2">
      <c r="AM10575" t="str">
        <f t="shared" si="165"/>
        <v>Nolsoy [FONLS]</v>
      </c>
      <c r="AN10575" t="s">
        <v>10683</v>
      </c>
      <c r="AO10575" t="s">
        <v>35764</v>
      </c>
    </row>
    <row r="10576" spans="39:41" ht="12" customHeight="1" x14ac:dyDescent="0.2">
      <c r="AM10576" t="str">
        <f t="shared" si="165"/>
        <v>Nomaike [JPNMK]</v>
      </c>
      <c r="AN10576" t="s">
        <v>20278</v>
      </c>
      <c r="AO10576" t="s">
        <v>20279</v>
      </c>
    </row>
    <row r="10577" spans="39:41" ht="12" customHeight="1" x14ac:dyDescent="0.2">
      <c r="AM10577" t="str">
        <f t="shared" si="165"/>
        <v>Nome [USOME]</v>
      </c>
      <c r="AN10577" t="s">
        <v>30813</v>
      </c>
      <c r="AO10577" t="s">
        <v>30814</v>
      </c>
    </row>
    <row r="10578" spans="39:41" ht="12" customHeight="1" x14ac:dyDescent="0.2">
      <c r="AM10578" t="str">
        <f t="shared" si="165"/>
        <v>Nomi [JPNMI]</v>
      </c>
      <c r="AN10578" t="s">
        <v>20280</v>
      </c>
      <c r="AO10578" t="s">
        <v>20281</v>
      </c>
    </row>
    <row r="10579" spans="39:41" ht="12" customHeight="1" x14ac:dyDescent="0.2">
      <c r="AM10579" t="str">
        <f t="shared" si="165"/>
        <v>Nomizaki [JPNOM]</v>
      </c>
      <c r="AN10579" t="s">
        <v>20282</v>
      </c>
      <c r="AO10579" t="s">
        <v>20283</v>
      </c>
    </row>
    <row r="10580" spans="39:41" ht="12" customHeight="1" x14ac:dyDescent="0.2">
      <c r="AM10580" t="str">
        <f t="shared" si="165"/>
        <v>Nommay [FRN25]</v>
      </c>
      <c r="AN10580" t="s">
        <v>11749</v>
      </c>
      <c r="AO10580" t="s">
        <v>11750</v>
      </c>
    </row>
    <row r="10581" spans="39:41" ht="12" customHeight="1" x14ac:dyDescent="0.2">
      <c r="AM10581" t="str">
        <f t="shared" si="165"/>
        <v>Nonoc/Surigao Del Norte [PHNON]</v>
      </c>
      <c r="AN10581" t="s">
        <v>25997</v>
      </c>
      <c r="AO10581" t="s">
        <v>25998</v>
      </c>
    </row>
    <row r="10582" spans="39:41" ht="12" customHeight="1" x14ac:dyDescent="0.2">
      <c r="AM10582" t="str">
        <f t="shared" si="165"/>
        <v>Nonohama [JPNON]</v>
      </c>
      <c r="AN10582" t="s">
        <v>20284</v>
      </c>
      <c r="AO10582" t="s">
        <v>20285</v>
      </c>
    </row>
    <row r="10583" spans="39:41" ht="12" customHeight="1" x14ac:dyDescent="0.2">
      <c r="AM10583" t="str">
        <f t="shared" si="165"/>
        <v>Nonoichi, Ishikawa [JPNCO]</v>
      </c>
      <c r="AN10583" t="s">
        <v>37019</v>
      </c>
      <c r="AO10583" t="s">
        <v>37020</v>
      </c>
    </row>
    <row r="10584" spans="39:41" ht="12" customHeight="1" x14ac:dyDescent="0.2">
      <c r="AM10584" t="str">
        <f t="shared" si="165"/>
        <v>Noordeloos [NLNZ8]</v>
      </c>
      <c r="AN10584" t="s">
        <v>23474</v>
      </c>
      <c r="AO10584" t="s">
        <v>23475</v>
      </c>
    </row>
    <row r="10585" spans="39:41" ht="12" customHeight="1" x14ac:dyDescent="0.2">
      <c r="AM10585" t="str">
        <f t="shared" si="165"/>
        <v>Noordwelle [NLNWJ]</v>
      </c>
      <c r="AN10585" t="s">
        <v>23476</v>
      </c>
      <c r="AO10585" t="s">
        <v>23477</v>
      </c>
    </row>
    <row r="10586" spans="39:41" ht="12" customHeight="1" x14ac:dyDescent="0.2">
      <c r="AM10586" t="str">
        <f t="shared" si="165"/>
        <v>Noordwijk aan Zee [NLNDL]</v>
      </c>
      <c r="AN10586" t="s">
        <v>23478</v>
      </c>
      <c r="AO10586" t="s">
        <v>23479</v>
      </c>
    </row>
    <row r="10587" spans="39:41" ht="12" customHeight="1" x14ac:dyDescent="0.2">
      <c r="AM10587" t="str">
        <f t="shared" si="165"/>
        <v>Noqui [AONQI]</v>
      </c>
      <c r="AN10587" t="s">
        <v>877</v>
      </c>
      <c r="AO10587" t="s">
        <v>35239</v>
      </c>
    </row>
    <row r="10588" spans="39:41" ht="12" customHeight="1" x14ac:dyDescent="0.2">
      <c r="AM10588" t="str">
        <f t="shared" si="165"/>
        <v>Norastrom [SENST]</v>
      </c>
      <c r="AN10588" t="s">
        <v>27772</v>
      </c>
      <c r="AO10588" t="s">
        <v>36489</v>
      </c>
    </row>
    <row r="10589" spans="39:41" ht="12" customHeight="1" x14ac:dyDescent="0.2">
      <c r="AM10589" t="str">
        <f t="shared" si="165"/>
        <v>Norco [USNCM]</v>
      </c>
      <c r="AN10589" t="s">
        <v>30815</v>
      </c>
      <c r="AO10589" t="s">
        <v>30816</v>
      </c>
    </row>
    <row r="10590" spans="39:41" ht="12" customHeight="1" x14ac:dyDescent="0.2">
      <c r="AM10590" t="str">
        <f t="shared" si="165"/>
        <v>Norcross [USNCX]</v>
      </c>
      <c r="AN10590" t="s">
        <v>30817</v>
      </c>
      <c r="AO10590" t="s">
        <v>30818</v>
      </c>
    </row>
    <row r="10591" spans="39:41" ht="12" customHeight="1" x14ac:dyDescent="0.2">
      <c r="AM10591" t="str">
        <f t="shared" si="165"/>
        <v>Nordborg [DKNBR]</v>
      </c>
      <c r="AN10591" t="s">
        <v>36868</v>
      </c>
      <c r="AO10591" t="s">
        <v>36869</v>
      </c>
    </row>
    <row r="10592" spans="39:41" ht="12" customHeight="1" x14ac:dyDescent="0.2">
      <c r="AM10592" t="str">
        <f t="shared" si="165"/>
        <v>Nordby Havn, Fano [DKNDB]</v>
      </c>
      <c r="AN10592" t="s">
        <v>8826</v>
      </c>
      <c r="AO10592" t="s">
        <v>35560</v>
      </c>
    </row>
    <row r="10593" spans="39:41" ht="12" customHeight="1" x14ac:dyDescent="0.2">
      <c r="AM10593" t="str">
        <f t="shared" si="165"/>
        <v>Norddal [NONOD]</v>
      </c>
      <c r="AN10593" t="s">
        <v>24550</v>
      </c>
      <c r="AO10593" t="s">
        <v>24551</v>
      </c>
    </row>
    <row r="10594" spans="39:41" ht="12" customHeight="1" x14ac:dyDescent="0.2">
      <c r="AM10594" t="str">
        <f t="shared" si="165"/>
        <v>Norddeich [DENOE]</v>
      </c>
      <c r="AN10594" t="s">
        <v>8018</v>
      </c>
      <c r="AO10594" t="s">
        <v>8019</v>
      </c>
    </row>
    <row r="10595" spans="39:41" ht="12" customHeight="1" x14ac:dyDescent="0.2">
      <c r="AM10595" t="str">
        <f t="shared" si="165"/>
        <v>Norden [DENOD]</v>
      </c>
      <c r="AN10595" t="s">
        <v>8020</v>
      </c>
      <c r="AO10595" t="s">
        <v>8021</v>
      </c>
    </row>
    <row r="10596" spans="39:41" ht="12" customHeight="1" x14ac:dyDescent="0.2">
      <c r="AM10596" t="str">
        <f t="shared" si="165"/>
        <v>Nordenham [DENHA]</v>
      </c>
      <c r="AN10596" t="s">
        <v>8022</v>
      </c>
      <c r="AO10596" t="s">
        <v>8023</v>
      </c>
    </row>
    <row r="10597" spans="39:41" ht="12" customHeight="1" x14ac:dyDescent="0.2">
      <c r="AM10597" t="str">
        <f t="shared" si="165"/>
        <v>Norderney [DENRD]</v>
      </c>
      <c r="AN10597" t="s">
        <v>8024</v>
      </c>
      <c r="AO10597" t="s">
        <v>8025</v>
      </c>
    </row>
    <row r="10598" spans="39:41" ht="12" customHeight="1" x14ac:dyDescent="0.2">
      <c r="AM10598" t="str">
        <f t="shared" si="165"/>
        <v>Nordeste [PTNRD]</v>
      </c>
      <c r="AN10598" t="s">
        <v>26551</v>
      </c>
      <c r="AO10598" t="s">
        <v>26552</v>
      </c>
    </row>
    <row r="10599" spans="39:41" ht="12" customHeight="1" x14ac:dyDescent="0.2">
      <c r="AM10599" t="str">
        <f t="shared" si="165"/>
        <v>Nordfjordeid [NONFD]</v>
      </c>
      <c r="AN10599" t="s">
        <v>24552</v>
      </c>
      <c r="AO10599" t="s">
        <v>24553</v>
      </c>
    </row>
    <row r="10600" spans="39:41" ht="12" customHeight="1" x14ac:dyDescent="0.2">
      <c r="AM10600" t="str">
        <f t="shared" si="165"/>
        <v>Nordfosen [NONFO]</v>
      </c>
      <c r="AN10600" t="s">
        <v>24554</v>
      </c>
      <c r="AO10600" t="s">
        <v>24555</v>
      </c>
    </row>
    <row r="10601" spans="39:41" ht="12" customHeight="1" x14ac:dyDescent="0.2">
      <c r="AM10601" t="str">
        <f t="shared" si="165"/>
        <v>Nordhavn [DKNHN]</v>
      </c>
      <c r="AN10601" t="s">
        <v>33833</v>
      </c>
      <c r="AO10601" t="s">
        <v>33956</v>
      </c>
    </row>
    <row r="10602" spans="39:41" ht="12" customHeight="1" x14ac:dyDescent="0.2">
      <c r="AM10602" t="str">
        <f t="shared" si="165"/>
        <v>Nordheim [DENHE]</v>
      </c>
      <c r="AN10602" t="s">
        <v>8026</v>
      </c>
      <c r="AO10602" t="s">
        <v>8027</v>
      </c>
    </row>
    <row r="10603" spans="39:41" ht="12" customHeight="1" x14ac:dyDescent="0.2">
      <c r="AM10603" t="str">
        <f t="shared" si="165"/>
        <v>Nordhorn [DENHN]</v>
      </c>
      <c r="AN10603" t="s">
        <v>8028</v>
      </c>
      <c r="AO10603" t="s">
        <v>8029</v>
      </c>
    </row>
    <row r="10604" spans="39:41" ht="12" customHeight="1" x14ac:dyDescent="0.2">
      <c r="AM10604" t="str">
        <f t="shared" si="165"/>
        <v>Nordkapp [NONOK]</v>
      </c>
      <c r="AN10604" t="s">
        <v>24556</v>
      </c>
      <c r="AO10604" t="s">
        <v>24557</v>
      </c>
    </row>
    <row r="10605" spans="39:41" ht="12" customHeight="1" x14ac:dyDescent="0.2">
      <c r="AM10605" t="str">
        <f t="shared" si="165"/>
        <v>Nordkjosbotn [NONKB]</v>
      </c>
      <c r="AN10605" t="s">
        <v>24558</v>
      </c>
      <c r="AO10605" t="s">
        <v>24559</v>
      </c>
    </row>
    <row r="10606" spans="39:41" ht="12" customHeight="1" x14ac:dyDescent="0.2">
      <c r="AM10606" t="str">
        <f t="shared" si="165"/>
        <v>Nordlenangen [NONOL]</v>
      </c>
      <c r="AN10606" t="s">
        <v>24560</v>
      </c>
      <c r="AO10606" t="s">
        <v>24561</v>
      </c>
    </row>
    <row r="10607" spans="39:41" ht="12" customHeight="1" x14ac:dyDescent="0.2">
      <c r="AM10607" t="str">
        <f t="shared" si="165"/>
        <v>Nordmaling [SENOG]</v>
      </c>
      <c r="AN10607" t="s">
        <v>27773</v>
      </c>
      <c r="AO10607" t="s">
        <v>27774</v>
      </c>
    </row>
    <row r="10608" spans="39:41" ht="12" customHeight="1" x14ac:dyDescent="0.2">
      <c r="AM10608" t="str">
        <f t="shared" si="165"/>
        <v>Nordmela [NONOM]</v>
      </c>
      <c r="AN10608" t="s">
        <v>24562</v>
      </c>
      <c r="AO10608" t="s">
        <v>24563</v>
      </c>
    </row>
    <row r="10609" spans="39:41" ht="12" customHeight="1" x14ac:dyDescent="0.2">
      <c r="AM10609" t="str">
        <f t="shared" si="165"/>
        <v>Nordreisa [NONOR]</v>
      </c>
      <c r="AN10609" t="s">
        <v>24564</v>
      </c>
      <c r="AO10609" t="s">
        <v>24565</v>
      </c>
    </row>
    <row r="10610" spans="39:41" ht="12" customHeight="1" x14ac:dyDescent="0.2">
      <c r="AM10610" t="str">
        <f t="shared" ref="AM10610:AM10673" si="166">AO10610 &amp; " [" &amp; AN10610 &amp; "]"</f>
        <v>Nordskaget - Froya [NONSF]</v>
      </c>
      <c r="AN10610" t="s">
        <v>24566</v>
      </c>
      <c r="AO10610" t="s">
        <v>36260</v>
      </c>
    </row>
    <row r="10611" spans="39:41" ht="12" customHeight="1" x14ac:dyDescent="0.2">
      <c r="AM10611" t="str">
        <f t="shared" si="166"/>
        <v>Nordstrand [DENOR]</v>
      </c>
      <c r="AN10611" t="s">
        <v>8030</v>
      </c>
      <c r="AO10611" t="s">
        <v>8031</v>
      </c>
    </row>
    <row r="10612" spans="39:41" ht="12" customHeight="1" x14ac:dyDescent="0.2">
      <c r="AM10612" t="str">
        <f t="shared" si="166"/>
        <v>Nordurfjordur [ISNOU]</v>
      </c>
      <c r="AN10612" t="s">
        <v>17744</v>
      </c>
      <c r="AO10612" t="s">
        <v>36056</v>
      </c>
    </row>
    <row r="10613" spans="39:41" ht="12" customHeight="1" x14ac:dyDescent="0.2">
      <c r="AM10613" t="str">
        <f t="shared" si="166"/>
        <v>Norfolk [USORF]</v>
      </c>
      <c r="AN10613" t="s">
        <v>30819</v>
      </c>
      <c r="AO10613" t="s">
        <v>30820</v>
      </c>
    </row>
    <row r="10614" spans="39:41" ht="12" customHeight="1" x14ac:dyDescent="0.2">
      <c r="AM10614" t="str">
        <f t="shared" si="166"/>
        <v>Norg [NLNRG]</v>
      </c>
      <c r="AN10614" t="s">
        <v>23480</v>
      </c>
      <c r="AO10614" t="s">
        <v>23481</v>
      </c>
    </row>
    <row r="10615" spans="39:41" ht="12" customHeight="1" x14ac:dyDescent="0.2">
      <c r="AM10615" t="str">
        <f t="shared" si="166"/>
        <v>Norheimsund [NONHS]</v>
      </c>
      <c r="AN10615" t="s">
        <v>24567</v>
      </c>
      <c r="AO10615" t="s">
        <v>24568</v>
      </c>
    </row>
    <row r="10616" spans="39:41" ht="12" customHeight="1" x14ac:dyDescent="0.2">
      <c r="AM10616" t="str">
        <f t="shared" si="166"/>
        <v>Norjyllandsvarkets havn [DKVSV]</v>
      </c>
      <c r="AN10616" t="s">
        <v>8827</v>
      </c>
      <c r="AO10616" t="s">
        <v>8828</v>
      </c>
    </row>
    <row r="10617" spans="39:41" ht="12" customHeight="1" x14ac:dyDescent="0.2">
      <c r="AM10617" t="str">
        <f t="shared" si="166"/>
        <v>Norman [USNI2]</v>
      </c>
      <c r="AN10617" t="s">
        <v>30821</v>
      </c>
      <c r="AO10617" t="s">
        <v>30822</v>
      </c>
    </row>
    <row r="10618" spans="39:41" ht="12" customHeight="1" x14ac:dyDescent="0.2">
      <c r="AM10618" t="str">
        <f t="shared" si="166"/>
        <v>Norman Island [VGNIS]</v>
      </c>
      <c r="AN10618" t="s">
        <v>32268</v>
      </c>
      <c r="AO10618" t="s">
        <v>32269</v>
      </c>
    </row>
    <row r="10619" spans="39:41" ht="12" customHeight="1" x14ac:dyDescent="0.2">
      <c r="AM10619" t="str">
        <f t="shared" si="166"/>
        <v>Normans Bay [GBNMY]</v>
      </c>
      <c r="AN10619" t="s">
        <v>13936</v>
      </c>
      <c r="AO10619" t="s">
        <v>13937</v>
      </c>
    </row>
    <row r="10620" spans="39:41" ht="12" customHeight="1" x14ac:dyDescent="0.2">
      <c r="AM10620" t="str">
        <f t="shared" si="166"/>
        <v>Norman's Cove [CANCV]</v>
      </c>
      <c r="AN10620" t="s">
        <v>4166</v>
      </c>
      <c r="AO10620" t="s">
        <v>4167</v>
      </c>
    </row>
    <row r="10621" spans="39:41" ht="12" customHeight="1" x14ac:dyDescent="0.2">
      <c r="AM10621" t="str">
        <f t="shared" si="166"/>
        <v>Normanton le Heath [GBNNR]</v>
      </c>
      <c r="AN10621" t="s">
        <v>13938</v>
      </c>
      <c r="AO10621" t="s">
        <v>13939</v>
      </c>
    </row>
    <row r="10622" spans="39:41" ht="12" customHeight="1" x14ac:dyDescent="0.2">
      <c r="AM10622" t="str">
        <f t="shared" si="166"/>
        <v>Norne [XZNNE]</v>
      </c>
      <c r="AN10622" t="s">
        <v>32592</v>
      </c>
      <c r="AO10622" t="s">
        <v>32593</v>
      </c>
    </row>
    <row r="10623" spans="39:41" ht="12" customHeight="1" x14ac:dyDescent="0.2">
      <c r="AM10623" t="str">
        <f t="shared" si="166"/>
        <v>Noro, New Georgia [SBNOR]</v>
      </c>
      <c r="AN10623" t="s">
        <v>27453</v>
      </c>
      <c r="AO10623" t="s">
        <v>27454</v>
      </c>
    </row>
    <row r="10624" spans="39:41" ht="12" customHeight="1" x14ac:dyDescent="0.2">
      <c r="AM10624" t="str">
        <f t="shared" si="166"/>
        <v>Norrbottens Jarnverk-SSAB [SENJA]</v>
      </c>
      <c r="AN10624" t="s">
        <v>27775</v>
      </c>
      <c r="AO10624" t="s">
        <v>36490</v>
      </c>
    </row>
    <row r="10625" spans="39:41" ht="12" customHeight="1" x14ac:dyDescent="0.2">
      <c r="AM10625" t="str">
        <f t="shared" si="166"/>
        <v>Norrbyskar [SENOR]</v>
      </c>
      <c r="AN10625" t="s">
        <v>27776</v>
      </c>
      <c r="AO10625" t="s">
        <v>36491</v>
      </c>
    </row>
    <row r="10626" spans="39:41" ht="12" customHeight="1" x14ac:dyDescent="0.2">
      <c r="AM10626" t="str">
        <f t="shared" si="166"/>
        <v>Norre Aaby [DKNRE]</v>
      </c>
      <c r="AN10626" t="s">
        <v>8829</v>
      </c>
      <c r="AO10626" t="s">
        <v>35561</v>
      </c>
    </row>
    <row r="10627" spans="39:41" ht="12" customHeight="1" x14ac:dyDescent="0.2">
      <c r="AM10627" t="str">
        <f t="shared" si="166"/>
        <v>Norre Snede [DKNSD]</v>
      </c>
      <c r="AN10627" t="s">
        <v>8830</v>
      </c>
      <c r="AO10627" t="s">
        <v>35562</v>
      </c>
    </row>
    <row r="10628" spans="39:41" ht="12" customHeight="1" x14ac:dyDescent="0.2">
      <c r="AM10628" t="str">
        <f t="shared" si="166"/>
        <v>Norresundby [DKNRS]</v>
      </c>
      <c r="AN10628" t="s">
        <v>8831</v>
      </c>
      <c r="AO10628" t="s">
        <v>35563</v>
      </c>
    </row>
    <row r="10629" spans="39:41" ht="12" customHeight="1" x14ac:dyDescent="0.2">
      <c r="AM10629" t="str">
        <f t="shared" si="166"/>
        <v>Norrkoping [SENRK]</v>
      </c>
      <c r="AN10629" t="s">
        <v>27777</v>
      </c>
      <c r="AO10629" t="s">
        <v>36492</v>
      </c>
    </row>
    <row r="10630" spans="39:41" ht="12" customHeight="1" x14ac:dyDescent="0.2">
      <c r="AM10630" t="str">
        <f t="shared" si="166"/>
        <v>Norrsundet [SENOT]</v>
      </c>
      <c r="AN10630" t="s">
        <v>27778</v>
      </c>
      <c r="AO10630" t="s">
        <v>27779</v>
      </c>
    </row>
    <row r="10631" spans="39:41" ht="12" customHeight="1" x14ac:dyDescent="0.2">
      <c r="AM10631" t="str">
        <f t="shared" si="166"/>
        <v>Norrtalje [SENOE]</v>
      </c>
      <c r="AN10631" t="s">
        <v>27780</v>
      </c>
      <c r="AO10631" t="s">
        <v>36493</v>
      </c>
    </row>
    <row r="10632" spans="39:41" ht="12" customHeight="1" x14ac:dyDescent="0.2">
      <c r="AM10632" t="str">
        <f t="shared" si="166"/>
        <v>North Arm Fraser [CANAF]</v>
      </c>
      <c r="AN10632" t="s">
        <v>4168</v>
      </c>
      <c r="AO10632" t="s">
        <v>4169</v>
      </c>
    </row>
    <row r="10633" spans="39:41" ht="12" customHeight="1" x14ac:dyDescent="0.2">
      <c r="AM10633" t="str">
        <f t="shared" si="166"/>
        <v>North Atlantic Ocean [XZNAO]</v>
      </c>
      <c r="AN10633" t="s">
        <v>36632</v>
      </c>
      <c r="AO10633" t="s">
        <v>36633</v>
      </c>
    </row>
    <row r="10634" spans="39:41" ht="12" customHeight="1" x14ac:dyDescent="0.2">
      <c r="AM10634" t="str">
        <f t="shared" si="166"/>
        <v>North Augusta [USNAU]</v>
      </c>
      <c r="AN10634" t="s">
        <v>30823</v>
      </c>
      <c r="AO10634" t="s">
        <v>30824</v>
      </c>
    </row>
    <row r="10635" spans="39:41" ht="12" customHeight="1" x14ac:dyDescent="0.2">
      <c r="AM10635" t="str">
        <f t="shared" si="166"/>
        <v>North Bay Village [USN99]</v>
      </c>
      <c r="AN10635" t="s">
        <v>30825</v>
      </c>
      <c r="AO10635" t="s">
        <v>30826</v>
      </c>
    </row>
    <row r="10636" spans="39:41" ht="12" customHeight="1" x14ac:dyDescent="0.2">
      <c r="AM10636" t="str">
        <f t="shared" si="166"/>
        <v>North Beach [USN4B]</v>
      </c>
      <c r="AN10636" t="s">
        <v>30827</v>
      </c>
      <c r="AO10636" t="s">
        <v>30828</v>
      </c>
    </row>
    <row r="10637" spans="39:41" ht="12" customHeight="1" x14ac:dyDescent="0.2">
      <c r="AM10637" t="str">
        <f t="shared" si="166"/>
        <v>North Bend [CANRB]</v>
      </c>
      <c r="AN10637" t="s">
        <v>4170</v>
      </c>
      <c r="AO10637" t="s">
        <v>4171</v>
      </c>
    </row>
    <row r="10638" spans="39:41" ht="12" customHeight="1" x14ac:dyDescent="0.2">
      <c r="AM10638" t="str">
        <f t="shared" si="166"/>
        <v>North Bend [USOTH]</v>
      </c>
      <c r="AN10638" t="s">
        <v>30829</v>
      </c>
      <c r="AO10638" t="s">
        <v>4171</v>
      </c>
    </row>
    <row r="10639" spans="39:41" ht="12" customHeight="1" x14ac:dyDescent="0.2">
      <c r="AM10639" t="str">
        <f t="shared" si="166"/>
        <v>North Berwick [GBNBW]</v>
      </c>
      <c r="AN10639" t="s">
        <v>13940</v>
      </c>
      <c r="AO10639" t="s">
        <v>13941</v>
      </c>
    </row>
    <row r="10640" spans="39:41" ht="12" customHeight="1" x14ac:dyDescent="0.2">
      <c r="AM10640" t="str">
        <f t="shared" si="166"/>
        <v>North Bridge [AUNB2]</v>
      </c>
      <c r="AN10640" t="s">
        <v>1876</v>
      </c>
      <c r="AO10640" t="s">
        <v>1877</v>
      </c>
    </row>
    <row r="10641" spans="39:41" ht="12" customHeight="1" x14ac:dyDescent="0.2">
      <c r="AM10641" t="str">
        <f t="shared" si="166"/>
        <v>North Caicos [TCNCA]</v>
      </c>
      <c r="AN10641" t="s">
        <v>28186</v>
      </c>
      <c r="AO10641" t="s">
        <v>28187</v>
      </c>
    </row>
    <row r="10642" spans="39:41" ht="12" customHeight="1" x14ac:dyDescent="0.2">
      <c r="AM10642" t="str">
        <f t="shared" si="166"/>
        <v>North Charleston [USNTS]</v>
      </c>
      <c r="AN10642" t="s">
        <v>35008</v>
      </c>
      <c r="AO10642" t="s">
        <v>35009</v>
      </c>
    </row>
    <row r="10643" spans="39:41" ht="12" customHeight="1" x14ac:dyDescent="0.2">
      <c r="AM10643" t="str">
        <f t="shared" si="166"/>
        <v>North Cove [GBNHC]</v>
      </c>
      <c r="AN10643" t="s">
        <v>13942</v>
      </c>
      <c r="AO10643" t="s">
        <v>13943</v>
      </c>
    </row>
    <row r="10644" spans="39:41" ht="12" customHeight="1" x14ac:dyDescent="0.2">
      <c r="AM10644" t="str">
        <f t="shared" si="166"/>
        <v>North Dartmouth [USNDB]</v>
      </c>
      <c r="AN10644" t="s">
        <v>30830</v>
      </c>
      <c r="AO10644" t="s">
        <v>30831</v>
      </c>
    </row>
    <row r="10645" spans="39:41" ht="12" customHeight="1" x14ac:dyDescent="0.2">
      <c r="AM10645" t="str">
        <f t="shared" si="166"/>
        <v>North Ferriby [GBNRF]</v>
      </c>
      <c r="AN10645" t="s">
        <v>13944</v>
      </c>
      <c r="AO10645" t="s">
        <v>13945</v>
      </c>
    </row>
    <row r="10646" spans="39:41" ht="12" customHeight="1" x14ac:dyDescent="0.2">
      <c r="AM10646" t="str">
        <f t="shared" si="166"/>
        <v>North Finchley [GBNFC]</v>
      </c>
      <c r="AN10646" t="s">
        <v>13946</v>
      </c>
      <c r="AO10646" t="s">
        <v>13947</v>
      </c>
    </row>
    <row r="10647" spans="39:41" ht="12" customHeight="1" x14ac:dyDescent="0.2">
      <c r="AM10647" t="str">
        <f t="shared" si="166"/>
        <v>North Grosvenor Dale [USZGN]</v>
      </c>
      <c r="AN10647" t="s">
        <v>30832</v>
      </c>
      <c r="AO10647" t="s">
        <v>30833</v>
      </c>
    </row>
    <row r="10648" spans="39:41" ht="12" customHeight="1" x14ac:dyDescent="0.2">
      <c r="AM10648" t="str">
        <f t="shared" si="166"/>
        <v>North Harris [GBNHS]</v>
      </c>
      <c r="AN10648" t="s">
        <v>13948</v>
      </c>
      <c r="AO10648" t="s">
        <v>13949</v>
      </c>
    </row>
    <row r="10649" spans="39:41" ht="12" customHeight="1" x14ac:dyDescent="0.2">
      <c r="AM10649" t="str">
        <f t="shared" si="166"/>
        <v>North Hartland [USNHQ]</v>
      </c>
      <c r="AN10649" t="s">
        <v>30834</v>
      </c>
      <c r="AO10649" t="s">
        <v>30835</v>
      </c>
    </row>
    <row r="10650" spans="39:41" ht="12" customHeight="1" x14ac:dyDescent="0.2">
      <c r="AM10650" t="str">
        <f t="shared" si="166"/>
        <v>North Haven, Fair Isle [GBNOH]</v>
      </c>
      <c r="AN10650" t="s">
        <v>13950</v>
      </c>
      <c r="AO10650" t="s">
        <v>13951</v>
      </c>
    </row>
    <row r="10651" spans="39:41" ht="12" customHeight="1" x14ac:dyDescent="0.2">
      <c r="AM10651" t="str">
        <f t="shared" si="166"/>
        <v>North Houston [USN2R]</v>
      </c>
      <c r="AN10651" t="s">
        <v>30836</v>
      </c>
      <c r="AO10651" t="s">
        <v>30837</v>
      </c>
    </row>
    <row r="10652" spans="39:41" ht="12" customHeight="1" x14ac:dyDescent="0.2">
      <c r="AM10652" t="str">
        <f t="shared" si="166"/>
        <v>North Lochs [GBNTL]</v>
      </c>
      <c r="AN10652" t="s">
        <v>13952</v>
      </c>
      <c r="AO10652" t="s">
        <v>13953</v>
      </c>
    </row>
    <row r="10653" spans="39:41" ht="12" customHeight="1" x14ac:dyDescent="0.2">
      <c r="AM10653" t="str">
        <f t="shared" si="166"/>
        <v>North Marston [GBNMT]</v>
      </c>
      <c r="AN10653" t="s">
        <v>13954</v>
      </c>
      <c r="AO10653" t="s">
        <v>13955</v>
      </c>
    </row>
    <row r="10654" spans="39:41" ht="12" customHeight="1" x14ac:dyDescent="0.2">
      <c r="AM10654" t="str">
        <f t="shared" si="166"/>
        <v>North Miami [USQNM]</v>
      </c>
      <c r="AN10654" t="s">
        <v>30838</v>
      </c>
      <c r="AO10654" t="s">
        <v>30839</v>
      </c>
    </row>
    <row r="10655" spans="39:41" ht="12" customHeight="1" x14ac:dyDescent="0.2">
      <c r="AM10655" t="str">
        <f t="shared" si="166"/>
        <v>North Monmouth [USUHO]</v>
      </c>
      <c r="AN10655" t="s">
        <v>30840</v>
      </c>
      <c r="AO10655" t="s">
        <v>30841</v>
      </c>
    </row>
    <row r="10656" spans="39:41" ht="12" customHeight="1" x14ac:dyDescent="0.2">
      <c r="AM10656" t="str">
        <f t="shared" si="166"/>
        <v>North Pt [MYSNP]</v>
      </c>
      <c r="AN10656" t="s">
        <v>22669</v>
      </c>
      <c r="AO10656" t="s">
        <v>22670</v>
      </c>
    </row>
    <row r="10657" spans="39:41" ht="12" customHeight="1" x14ac:dyDescent="0.2">
      <c r="AM10657" t="str">
        <f t="shared" si="166"/>
        <v>North Pulau Laut [IDNPL]</v>
      </c>
      <c r="AN10657" t="s">
        <v>16452</v>
      </c>
      <c r="AO10657" t="s">
        <v>16453</v>
      </c>
    </row>
    <row r="10658" spans="39:41" ht="12" customHeight="1" x14ac:dyDescent="0.2">
      <c r="AM10658" t="str">
        <f t="shared" si="166"/>
        <v>North Queensferry [GBNOQ]</v>
      </c>
      <c r="AN10658" t="s">
        <v>13956</v>
      </c>
      <c r="AO10658" t="s">
        <v>13957</v>
      </c>
    </row>
    <row r="10659" spans="39:41" ht="12" customHeight="1" x14ac:dyDescent="0.2">
      <c r="AM10659" t="str">
        <f t="shared" si="166"/>
        <v>North Roe to Hillswick [GBNRR]</v>
      </c>
      <c r="AN10659" t="s">
        <v>13958</v>
      </c>
      <c r="AO10659" t="s">
        <v>13959</v>
      </c>
    </row>
    <row r="10660" spans="39:41" ht="12" customHeight="1" x14ac:dyDescent="0.2">
      <c r="AM10660" t="str">
        <f t="shared" si="166"/>
        <v>North Ronaldsay [GBNRO]</v>
      </c>
      <c r="AN10660" t="s">
        <v>13960</v>
      </c>
      <c r="AO10660" t="s">
        <v>13961</v>
      </c>
    </row>
    <row r="10661" spans="39:41" ht="12" customHeight="1" x14ac:dyDescent="0.2">
      <c r="AM10661" t="str">
        <f t="shared" si="166"/>
        <v>North Rose [USNQZ]</v>
      </c>
      <c r="AN10661" t="s">
        <v>30842</v>
      </c>
      <c r="AO10661" t="s">
        <v>30843</v>
      </c>
    </row>
    <row r="10662" spans="39:41" ht="12" customHeight="1" x14ac:dyDescent="0.2">
      <c r="AM10662" t="str">
        <f t="shared" si="166"/>
        <v>North Royalton [USZNR]</v>
      </c>
      <c r="AN10662" t="s">
        <v>30844</v>
      </c>
      <c r="AO10662" t="s">
        <v>30845</v>
      </c>
    </row>
    <row r="10663" spans="39:41" ht="12" customHeight="1" x14ac:dyDescent="0.2">
      <c r="AM10663" t="str">
        <f t="shared" si="166"/>
        <v>North Salem [USNY5]</v>
      </c>
      <c r="AN10663" t="s">
        <v>30846</v>
      </c>
      <c r="AO10663" t="s">
        <v>30847</v>
      </c>
    </row>
    <row r="10664" spans="39:41" ht="12" customHeight="1" x14ac:dyDescent="0.2">
      <c r="AM10664" t="str">
        <f t="shared" si="166"/>
        <v>North sea [XZZNO]</v>
      </c>
      <c r="AN10664" t="s">
        <v>36651</v>
      </c>
      <c r="AO10664" t="s">
        <v>36652</v>
      </c>
    </row>
    <row r="10665" spans="39:41" ht="12" customHeight="1" x14ac:dyDescent="0.2">
      <c r="AM10665" t="str">
        <f t="shared" si="166"/>
        <v>North Shields [GBNSH]</v>
      </c>
      <c r="AN10665" t="s">
        <v>13962</v>
      </c>
      <c r="AO10665" t="s">
        <v>13963</v>
      </c>
    </row>
    <row r="10666" spans="39:41" ht="12" customHeight="1" x14ac:dyDescent="0.2">
      <c r="AM10666" t="str">
        <f t="shared" si="166"/>
        <v>North Sioux City [USNSC]</v>
      </c>
      <c r="AN10666" t="s">
        <v>30848</v>
      </c>
      <c r="AO10666" t="s">
        <v>30849</v>
      </c>
    </row>
    <row r="10667" spans="39:41" ht="12" customHeight="1" x14ac:dyDescent="0.2">
      <c r="AM10667" t="str">
        <f t="shared" si="166"/>
        <v>North Sunderland [GBNSD]</v>
      </c>
      <c r="AN10667" t="s">
        <v>13964</v>
      </c>
      <c r="AO10667" t="s">
        <v>13965</v>
      </c>
    </row>
    <row r="10668" spans="39:41" ht="12" customHeight="1" x14ac:dyDescent="0.2">
      <c r="AM10668" t="str">
        <f t="shared" si="166"/>
        <v>North Sydney [CANSY]</v>
      </c>
      <c r="AN10668" t="s">
        <v>4172</v>
      </c>
      <c r="AO10668" t="s">
        <v>4173</v>
      </c>
    </row>
    <row r="10669" spans="39:41" ht="12" customHeight="1" x14ac:dyDescent="0.2">
      <c r="AM10669" t="str">
        <f t="shared" si="166"/>
        <v>North Tawton [GBNTZ]</v>
      </c>
      <c r="AN10669" t="s">
        <v>13966</v>
      </c>
      <c r="AO10669" t="s">
        <v>13967</v>
      </c>
    </row>
    <row r="10670" spans="39:41" ht="12" customHeight="1" x14ac:dyDescent="0.2">
      <c r="AM10670" t="str">
        <f t="shared" si="166"/>
        <v>North Uist [GBNUI]</v>
      </c>
      <c r="AN10670" t="s">
        <v>13968</v>
      </c>
      <c r="AO10670" t="s">
        <v>13969</v>
      </c>
    </row>
    <row r="10671" spans="39:41" ht="12" customHeight="1" x14ac:dyDescent="0.2">
      <c r="AM10671" t="str">
        <f t="shared" si="166"/>
        <v>North Walsham [GBNRM]</v>
      </c>
      <c r="AN10671" t="s">
        <v>13970</v>
      </c>
      <c r="AO10671" t="s">
        <v>13971</v>
      </c>
    </row>
    <row r="10672" spans="39:41" ht="12" customHeight="1" x14ac:dyDescent="0.2">
      <c r="AM10672" t="str">
        <f t="shared" si="166"/>
        <v>North Wildwood [USNW2]</v>
      </c>
      <c r="AN10672" t="s">
        <v>30850</v>
      </c>
      <c r="AO10672" t="s">
        <v>30851</v>
      </c>
    </row>
    <row r="10673" spans="39:41" ht="12" customHeight="1" x14ac:dyDescent="0.2">
      <c r="AM10673" t="str">
        <f t="shared" si="166"/>
        <v>North Woodstock [USYNO]</v>
      </c>
      <c r="AN10673" t="s">
        <v>30852</v>
      </c>
      <c r="AO10673" t="s">
        <v>30853</v>
      </c>
    </row>
    <row r="10674" spans="39:41" ht="12" customHeight="1" x14ac:dyDescent="0.2">
      <c r="AM10674" t="str">
        <f t="shared" ref="AM10674:AM10737" si="167">AO10674 &amp; " [" &amp; AN10674 &amp; "]"</f>
        <v>North Woolwich [GBWOL]</v>
      </c>
      <c r="AN10674" t="s">
        <v>13972</v>
      </c>
      <c r="AO10674" t="s">
        <v>13973</v>
      </c>
    </row>
    <row r="10675" spans="39:41" ht="12" customHeight="1" x14ac:dyDescent="0.2">
      <c r="AM10675" t="str">
        <f t="shared" si="167"/>
        <v>Northampton [USNHM]</v>
      </c>
      <c r="AN10675" t="s">
        <v>30854</v>
      </c>
      <c r="AO10675" t="s">
        <v>30855</v>
      </c>
    </row>
    <row r="10676" spans="39:41" ht="12" customHeight="1" x14ac:dyDescent="0.2">
      <c r="AM10676" t="str">
        <f t="shared" si="167"/>
        <v>Northbay [GBNRB]</v>
      </c>
      <c r="AN10676" t="s">
        <v>13974</v>
      </c>
      <c r="AO10676" t="s">
        <v>13975</v>
      </c>
    </row>
    <row r="10677" spans="39:41" ht="12" customHeight="1" x14ac:dyDescent="0.2">
      <c r="AM10677" t="str">
        <f t="shared" si="167"/>
        <v>Northern Endeavour [AUNTE]</v>
      </c>
      <c r="AN10677" t="s">
        <v>1878</v>
      </c>
      <c r="AO10677" t="s">
        <v>1879</v>
      </c>
    </row>
    <row r="10678" spans="39:41" ht="12" customHeight="1" x14ac:dyDescent="0.2">
      <c r="AM10678" t="str">
        <f t="shared" si="167"/>
        <v>Northern Endeavour [XZNTE]</v>
      </c>
      <c r="AN10678" t="s">
        <v>32594</v>
      </c>
      <c r="AO10678" t="s">
        <v>1879</v>
      </c>
    </row>
    <row r="10679" spans="39:41" ht="12" customHeight="1" x14ac:dyDescent="0.2">
      <c r="AM10679" t="str">
        <f t="shared" si="167"/>
        <v>Northfleet [GBNFT]</v>
      </c>
      <c r="AN10679" t="s">
        <v>13976</v>
      </c>
      <c r="AO10679" t="s">
        <v>13977</v>
      </c>
    </row>
    <row r="10680" spans="39:41" ht="12" customHeight="1" x14ac:dyDescent="0.2">
      <c r="AM10680" t="str">
        <f t="shared" si="167"/>
        <v>Northmavine [GBNME]</v>
      </c>
      <c r="AN10680" t="s">
        <v>13978</v>
      </c>
      <c r="AO10680" t="s">
        <v>13979</v>
      </c>
    </row>
    <row r="10681" spans="39:41" ht="12" customHeight="1" x14ac:dyDescent="0.2">
      <c r="AM10681" t="str">
        <f t="shared" si="167"/>
        <v>Northport [USZZH]</v>
      </c>
      <c r="AN10681" t="s">
        <v>30856</v>
      </c>
      <c r="AO10681" t="s">
        <v>30857</v>
      </c>
    </row>
    <row r="10682" spans="39:41" ht="12" customHeight="1" x14ac:dyDescent="0.2">
      <c r="AM10682" t="str">
        <f t="shared" si="167"/>
        <v>Northport/Pt Klang [MYLPK]</v>
      </c>
      <c r="AN10682" t="s">
        <v>22671</v>
      </c>
      <c r="AO10682" t="s">
        <v>22672</v>
      </c>
    </row>
    <row r="10683" spans="39:41" ht="12" customHeight="1" x14ac:dyDescent="0.2">
      <c r="AM10683" t="str">
        <f t="shared" si="167"/>
        <v>Northwich [GBNTH]</v>
      </c>
      <c r="AN10683" t="s">
        <v>13980</v>
      </c>
      <c r="AO10683" t="s">
        <v>13981</v>
      </c>
    </row>
    <row r="10684" spans="39:41" ht="12" customHeight="1" x14ac:dyDescent="0.2">
      <c r="AM10684" t="str">
        <f t="shared" si="167"/>
        <v>Norton [GBNOT]</v>
      </c>
      <c r="AN10684" t="s">
        <v>13982</v>
      </c>
      <c r="AO10684" t="s">
        <v>13983</v>
      </c>
    </row>
    <row r="10685" spans="39:41" ht="12" customHeight="1" x14ac:dyDescent="0.2">
      <c r="AM10685" t="str">
        <f t="shared" si="167"/>
        <v>Norton [GB7TR]</v>
      </c>
      <c r="AN10685" t="s">
        <v>13984</v>
      </c>
      <c r="AO10685" t="s">
        <v>13983</v>
      </c>
    </row>
    <row r="10686" spans="39:41" ht="12" customHeight="1" x14ac:dyDescent="0.2">
      <c r="AM10686" t="str">
        <f t="shared" si="167"/>
        <v>Norton Canes [GBNCN]</v>
      </c>
      <c r="AN10686" t="s">
        <v>13985</v>
      </c>
      <c r="AO10686" t="s">
        <v>13986</v>
      </c>
    </row>
    <row r="10687" spans="39:41" ht="12" customHeight="1" x14ac:dyDescent="0.2">
      <c r="AM10687" t="str">
        <f t="shared" si="167"/>
        <v>Norton Shores [USNTR]</v>
      </c>
      <c r="AN10687" t="s">
        <v>30858</v>
      </c>
      <c r="AO10687" t="s">
        <v>30859</v>
      </c>
    </row>
    <row r="10688" spans="39:41" ht="12" customHeight="1" x14ac:dyDescent="0.2">
      <c r="AM10688" t="str">
        <f t="shared" si="167"/>
        <v>Norwell [USNOW]</v>
      </c>
      <c r="AN10688" t="s">
        <v>30860</v>
      </c>
      <c r="AO10688" t="s">
        <v>30861</v>
      </c>
    </row>
    <row r="10689" spans="39:41" ht="12" customHeight="1" x14ac:dyDescent="0.2">
      <c r="AM10689" t="str">
        <f t="shared" si="167"/>
        <v>Norwich [GBNRW]</v>
      </c>
      <c r="AN10689" t="s">
        <v>13987</v>
      </c>
      <c r="AO10689" t="s">
        <v>13988</v>
      </c>
    </row>
    <row r="10690" spans="39:41" ht="12" customHeight="1" x14ac:dyDescent="0.2">
      <c r="AM10690" t="str">
        <f t="shared" si="167"/>
        <v>Norwood [USNXL]</v>
      </c>
      <c r="AN10690" t="s">
        <v>30862</v>
      </c>
      <c r="AO10690" t="s">
        <v>30863</v>
      </c>
    </row>
    <row r="10691" spans="39:41" ht="12" customHeight="1" x14ac:dyDescent="0.2">
      <c r="AM10691" t="str">
        <f t="shared" si="167"/>
        <v>Noryskali [FONSK]</v>
      </c>
      <c r="AN10691" t="s">
        <v>10684</v>
      </c>
      <c r="AO10691" t="s">
        <v>35765</v>
      </c>
    </row>
    <row r="10692" spans="39:41" ht="12" customHeight="1" x14ac:dyDescent="0.2">
      <c r="AM10692" t="str">
        <f t="shared" si="167"/>
        <v>Noshiro [JPNSR]</v>
      </c>
      <c r="AN10692" t="s">
        <v>20286</v>
      </c>
      <c r="AO10692" t="s">
        <v>20287</v>
      </c>
    </row>
    <row r="10693" spans="39:41" ht="12" customHeight="1" x14ac:dyDescent="0.2">
      <c r="AM10693" t="str">
        <f t="shared" si="167"/>
        <v>Nosy-Be [MGNOS]</v>
      </c>
      <c r="AN10693" t="s">
        <v>22144</v>
      </c>
      <c r="AO10693" t="s">
        <v>22145</v>
      </c>
    </row>
    <row r="10694" spans="39:41" ht="12" customHeight="1" x14ac:dyDescent="0.2">
      <c r="AM10694" t="str">
        <f t="shared" si="167"/>
        <v>Nosy-Varika [MGNOV]</v>
      </c>
      <c r="AN10694" t="s">
        <v>22146</v>
      </c>
      <c r="AO10694" t="s">
        <v>22147</v>
      </c>
    </row>
    <row r="10695" spans="39:41" ht="12" customHeight="1" x14ac:dyDescent="0.2">
      <c r="AM10695" t="str">
        <f t="shared" si="167"/>
        <v>Noti [USTXQ]</v>
      </c>
      <c r="AN10695" t="s">
        <v>30864</v>
      </c>
      <c r="AO10695" t="s">
        <v>30865</v>
      </c>
    </row>
    <row r="10696" spans="39:41" ht="12" customHeight="1" x14ac:dyDescent="0.2">
      <c r="AM10696" t="str">
        <f t="shared" si="167"/>
        <v>Notre-Dame-de-Lourdes [CANDL]</v>
      </c>
      <c r="AN10696" t="s">
        <v>4174</v>
      </c>
      <c r="AO10696" t="s">
        <v>4175</v>
      </c>
    </row>
    <row r="10697" spans="39:41" ht="12" customHeight="1" x14ac:dyDescent="0.2">
      <c r="AM10697" t="str">
        <f t="shared" si="167"/>
        <v>Notre-Dame-du-Bon-Conseil [CANBC]</v>
      </c>
      <c r="AN10697" t="s">
        <v>4176</v>
      </c>
      <c r="AO10697" t="s">
        <v>4177</v>
      </c>
    </row>
    <row r="10698" spans="39:41" ht="12" customHeight="1" x14ac:dyDescent="0.2">
      <c r="AM10698" t="str">
        <f t="shared" si="167"/>
        <v>Notteroy [NONTY]</v>
      </c>
      <c r="AN10698" t="s">
        <v>24569</v>
      </c>
      <c r="AO10698" t="s">
        <v>36261</v>
      </c>
    </row>
    <row r="10699" spans="39:41" ht="12" customHeight="1" x14ac:dyDescent="0.2">
      <c r="AM10699" t="str">
        <f t="shared" si="167"/>
        <v>Nottingham [GBNTG]</v>
      </c>
      <c r="AN10699" t="s">
        <v>13989</v>
      </c>
      <c r="AO10699" t="s">
        <v>13990</v>
      </c>
    </row>
    <row r="10700" spans="39:41" ht="12" customHeight="1" x14ac:dyDescent="0.2">
      <c r="AM10700" t="str">
        <f t="shared" si="167"/>
        <v>Nottingham Road [ZANNL]</v>
      </c>
      <c r="AN10700" t="s">
        <v>34234</v>
      </c>
      <c r="AO10700" t="s">
        <v>34302</v>
      </c>
    </row>
    <row r="10701" spans="39:41" ht="12" customHeight="1" x14ac:dyDescent="0.2">
      <c r="AM10701" t="str">
        <f t="shared" si="167"/>
        <v>Nouadhibou [MRNDB]</v>
      </c>
      <c r="AN10701" t="s">
        <v>22231</v>
      </c>
      <c r="AO10701" t="s">
        <v>22232</v>
      </c>
    </row>
    <row r="10702" spans="39:41" ht="12" customHeight="1" x14ac:dyDescent="0.2">
      <c r="AM10702" t="str">
        <f t="shared" si="167"/>
        <v>Nouakchott [MRNKC]</v>
      </c>
      <c r="AN10702" t="s">
        <v>22233</v>
      </c>
      <c r="AO10702" t="s">
        <v>22234</v>
      </c>
    </row>
    <row r="10703" spans="39:41" ht="12" customHeight="1" x14ac:dyDescent="0.2">
      <c r="AM10703" t="str">
        <f t="shared" si="167"/>
        <v>Noumea [NCNOU]</v>
      </c>
      <c r="AN10703" t="s">
        <v>22887</v>
      </c>
      <c r="AO10703" t="s">
        <v>36108</v>
      </c>
    </row>
    <row r="10704" spans="39:41" ht="12" customHeight="1" x14ac:dyDescent="0.2">
      <c r="AM10704" t="str">
        <f t="shared" si="167"/>
        <v>Nousiainen (Nousis) [FINOU]</v>
      </c>
      <c r="AN10704" t="s">
        <v>10480</v>
      </c>
      <c r="AO10704" t="s">
        <v>10481</v>
      </c>
    </row>
    <row r="10705" spans="39:41" ht="12" customHeight="1" x14ac:dyDescent="0.2">
      <c r="AM10705" t="str">
        <f t="shared" si="167"/>
        <v>Nova Hartz [BRHAR]</v>
      </c>
      <c r="AN10705" t="s">
        <v>3352</v>
      </c>
      <c r="AO10705" t="s">
        <v>3353</v>
      </c>
    </row>
    <row r="10706" spans="39:41" ht="12" customHeight="1" x14ac:dyDescent="0.2">
      <c r="AM10706" t="str">
        <f t="shared" si="167"/>
        <v>Nova Sadam [EENVA]</v>
      </c>
      <c r="AN10706" t="s">
        <v>34077</v>
      </c>
      <c r="AO10706" t="s">
        <v>34123</v>
      </c>
    </row>
    <row r="10707" spans="39:41" ht="12" customHeight="1" x14ac:dyDescent="0.2">
      <c r="AM10707" t="str">
        <f t="shared" si="167"/>
        <v>Nova Siri [ITNSR]</v>
      </c>
      <c r="AN10707" t="s">
        <v>18111</v>
      </c>
      <c r="AO10707" t="s">
        <v>18112</v>
      </c>
    </row>
    <row r="10708" spans="39:41" ht="12" customHeight="1" x14ac:dyDescent="0.2">
      <c r="AM10708" t="str">
        <f t="shared" si="167"/>
        <v>Nova Sofala [MZNSO]</v>
      </c>
      <c r="AN10708" t="s">
        <v>22862</v>
      </c>
      <c r="AO10708" t="s">
        <v>22863</v>
      </c>
    </row>
    <row r="10709" spans="39:41" ht="12" customHeight="1" x14ac:dyDescent="0.2">
      <c r="AM10709" t="str">
        <f t="shared" si="167"/>
        <v>Nova Uniao [BRNVU]</v>
      </c>
      <c r="AN10709" t="s">
        <v>3354</v>
      </c>
      <c r="AO10709" t="s">
        <v>35298</v>
      </c>
    </row>
    <row r="10710" spans="39:41" ht="12" customHeight="1" x14ac:dyDescent="0.2">
      <c r="AM10710" t="str">
        <f t="shared" si="167"/>
        <v>Novaglia [HRNOV]</v>
      </c>
      <c r="AN10710" t="s">
        <v>15832</v>
      </c>
      <c r="AO10710" t="s">
        <v>15833</v>
      </c>
    </row>
    <row r="10711" spans="39:41" ht="12" customHeight="1" x14ac:dyDescent="0.2">
      <c r="AM10711" t="str">
        <f t="shared" si="167"/>
        <v>Novalja [HRNVL]</v>
      </c>
      <c r="AN10711" t="s">
        <v>15834</v>
      </c>
      <c r="AO10711" t="s">
        <v>15835</v>
      </c>
    </row>
    <row r="10712" spans="39:41" ht="12" customHeight="1" x14ac:dyDescent="0.2">
      <c r="AM10712" t="str">
        <f t="shared" si="167"/>
        <v>Noves [ESNVS]</v>
      </c>
      <c r="AN10712" t="s">
        <v>9992</v>
      </c>
      <c r="AO10712" t="s">
        <v>9993</v>
      </c>
    </row>
    <row r="10713" spans="39:41" ht="12" customHeight="1" x14ac:dyDescent="0.2">
      <c r="AM10713" t="str">
        <f t="shared" si="167"/>
        <v>Novi Dojran [MKNOD]</v>
      </c>
      <c r="AN10713" t="s">
        <v>22170</v>
      </c>
      <c r="AO10713" t="s">
        <v>22171</v>
      </c>
    </row>
    <row r="10714" spans="39:41" ht="12" customHeight="1" x14ac:dyDescent="0.2">
      <c r="AM10714" t="str">
        <f t="shared" si="167"/>
        <v>Novi Vinodolski [HRNVD]</v>
      </c>
      <c r="AN10714" t="s">
        <v>15836</v>
      </c>
      <c r="AO10714" t="s">
        <v>15837</v>
      </c>
    </row>
    <row r="10715" spans="39:41" ht="12" customHeight="1" x14ac:dyDescent="0.2">
      <c r="AM10715" t="str">
        <f t="shared" si="167"/>
        <v>Novigrad [HRNVG]</v>
      </c>
      <c r="AN10715" t="s">
        <v>15838</v>
      </c>
      <c r="AO10715" t="s">
        <v>15839</v>
      </c>
    </row>
    <row r="10716" spans="39:41" ht="12" customHeight="1" x14ac:dyDescent="0.2">
      <c r="AM10716" t="str">
        <f t="shared" si="167"/>
        <v>Novillars [FRW2C]</v>
      </c>
      <c r="AN10716" t="s">
        <v>11751</v>
      </c>
      <c r="AO10716" t="s">
        <v>11752</v>
      </c>
    </row>
    <row r="10717" spans="39:41" ht="12" customHeight="1" x14ac:dyDescent="0.2">
      <c r="AM10717" t="str">
        <f t="shared" si="167"/>
        <v>Novodvinsk [RUNDK]</v>
      </c>
      <c r="AN10717" t="s">
        <v>27127</v>
      </c>
      <c r="AO10717" t="s">
        <v>27128</v>
      </c>
    </row>
    <row r="10718" spans="39:41" ht="12" customHeight="1" x14ac:dyDescent="0.2">
      <c r="AM10718" t="str">
        <f t="shared" si="167"/>
        <v>Novomoskovsk [RUNMK]</v>
      </c>
      <c r="AN10718" t="s">
        <v>27129</v>
      </c>
      <c r="AO10718" t="s">
        <v>27130</v>
      </c>
    </row>
    <row r="10719" spans="39:41" ht="12" customHeight="1" x14ac:dyDescent="0.2">
      <c r="AM10719" t="str">
        <f t="shared" si="167"/>
        <v>Novorossiysk [RUNVS]</v>
      </c>
      <c r="AN10719" t="s">
        <v>27131</v>
      </c>
      <c r="AO10719" t="s">
        <v>27132</v>
      </c>
    </row>
    <row r="10720" spans="39:41" ht="12" customHeight="1" x14ac:dyDescent="0.2">
      <c r="AM10720" t="str">
        <f t="shared" si="167"/>
        <v>Novy Knin [CZOVV]</v>
      </c>
      <c r="AN10720" t="s">
        <v>6903</v>
      </c>
      <c r="AO10720" t="s">
        <v>6904</v>
      </c>
    </row>
    <row r="10721" spans="39:41" ht="12" customHeight="1" x14ac:dyDescent="0.2">
      <c r="AM10721" t="str">
        <f t="shared" si="167"/>
        <v>Novy Vestec [CZNVV]</v>
      </c>
      <c r="AN10721" t="s">
        <v>6905</v>
      </c>
      <c r="AO10721" t="s">
        <v>35404</v>
      </c>
    </row>
    <row r="10722" spans="39:41" ht="12" customHeight="1" x14ac:dyDescent="0.2">
      <c r="AM10722" t="str">
        <f t="shared" si="167"/>
        <v>Now Shahr [IRNSH]</v>
      </c>
      <c r="AN10722" t="s">
        <v>17645</v>
      </c>
      <c r="AO10722" t="s">
        <v>17646</v>
      </c>
    </row>
    <row r="10723" spans="39:41" ht="12" customHeight="1" x14ac:dyDescent="0.2">
      <c r="AM10723" t="str">
        <f t="shared" si="167"/>
        <v>Nowe Warpno [PLNWA]</v>
      </c>
      <c r="AN10723" t="s">
        <v>26352</v>
      </c>
      <c r="AO10723" t="s">
        <v>26353</v>
      </c>
    </row>
    <row r="10724" spans="39:41" ht="12" customHeight="1" x14ac:dyDescent="0.2">
      <c r="AM10724" t="str">
        <f t="shared" si="167"/>
        <v>Nowy Port/Gdansk [PLNOW]</v>
      </c>
      <c r="AN10724" t="s">
        <v>26354</v>
      </c>
      <c r="AO10724" t="s">
        <v>26355</v>
      </c>
    </row>
    <row r="10725" spans="39:41" ht="12" customHeight="1" x14ac:dyDescent="0.2">
      <c r="AM10725" t="str">
        <f t="shared" si="167"/>
        <v>Noyen-sur-Seine [FRXVY]</v>
      </c>
      <c r="AN10725" t="s">
        <v>11753</v>
      </c>
      <c r="AO10725" t="s">
        <v>11754</v>
      </c>
    </row>
    <row r="10726" spans="39:41" ht="12" customHeight="1" x14ac:dyDescent="0.2">
      <c r="AM10726" t="str">
        <f t="shared" si="167"/>
        <v>Nudao [CNNUD]</v>
      </c>
      <c r="AN10726" t="s">
        <v>5813</v>
      </c>
      <c r="AO10726" t="s">
        <v>5814</v>
      </c>
    </row>
    <row r="10727" spans="39:41" ht="12" customHeight="1" x14ac:dyDescent="0.2">
      <c r="AM10727" t="str">
        <f t="shared" si="167"/>
        <v>Nueva Aldea [CLNAL]</v>
      </c>
      <c r="AN10727" t="s">
        <v>4903</v>
      </c>
      <c r="AO10727" t="s">
        <v>4904</v>
      </c>
    </row>
    <row r="10728" spans="39:41" ht="12" customHeight="1" x14ac:dyDescent="0.2">
      <c r="AM10728" t="str">
        <f t="shared" si="167"/>
        <v>Nueva Gerona [CUGER]</v>
      </c>
      <c r="AN10728" t="s">
        <v>6707</v>
      </c>
      <c r="AO10728" t="s">
        <v>6708</v>
      </c>
    </row>
    <row r="10729" spans="39:41" ht="12" customHeight="1" x14ac:dyDescent="0.2">
      <c r="AM10729" t="str">
        <f t="shared" si="167"/>
        <v>Nueva Palmira [UYNVP]</v>
      </c>
      <c r="AN10729" t="s">
        <v>32121</v>
      </c>
      <c r="AO10729" t="s">
        <v>32122</v>
      </c>
    </row>
    <row r="10730" spans="39:41" ht="12" customHeight="1" x14ac:dyDescent="0.2">
      <c r="AM10730" t="str">
        <f t="shared" si="167"/>
        <v>Nuevitas [CUNVT]</v>
      </c>
      <c r="AN10730" t="s">
        <v>6709</v>
      </c>
      <c r="AO10730" t="s">
        <v>6710</v>
      </c>
    </row>
    <row r="10731" spans="39:41" ht="12" customHeight="1" x14ac:dyDescent="0.2">
      <c r="AM10731" t="str">
        <f t="shared" si="167"/>
        <v>Nuevo Baztan [ESAD6]</v>
      </c>
      <c r="AN10731" t="s">
        <v>9994</v>
      </c>
      <c r="AO10731" t="s">
        <v>35684</v>
      </c>
    </row>
    <row r="10732" spans="39:41" ht="12" customHeight="1" x14ac:dyDescent="0.2">
      <c r="AM10732" t="str">
        <f t="shared" si="167"/>
        <v>Nuevo Cuscatlan [SVNCU]</v>
      </c>
      <c r="AN10732" t="s">
        <v>28152</v>
      </c>
      <c r="AO10732" t="s">
        <v>28153</v>
      </c>
    </row>
    <row r="10733" spans="39:41" ht="12" customHeight="1" x14ac:dyDescent="0.2">
      <c r="AM10733" t="str">
        <f t="shared" si="167"/>
        <v>Nuffield Springs [ZANUF]</v>
      </c>
      <c r="AN10733" t="s">
        <v>32717</v>
      </c>
      <c r="AO10733" t="s">
        <v>32718</v>
      </c>
    </row>
    <row r="10734" spans="39:41" ht="12" customHeight="1" x14ac:dyDescent="0.2">
      <c r="AM10734" t="str">
        <f t="shared" si="167"/>
        <v>Nuku'alofa [TOTBU]</v>
      </c>
      <c r="AN10734" t="s">
        <v>28379</v>
      </c>
      <c r="AO10734" t="s">
        <v>28380</v>
      </c>
    </row>
    <row r="10735" spans="39:41" ht="12" customHeight="1" x14ac:dyDescent="0.2">
      <c r="AM10735" t="str">
        <f t="shared" si="167"/>
        <v>Nukunonu [TKNKU]</v>
      </c>
      <c r="AN10735" t="s">
        <v>28308</v>
      </c>
      <c r="AO10735" t="s">
        <v>28309</v>
      </c>
    </row>
    <row r="10736" spans="39:41" ht="12" customHeight="1" x14ac:dyDescent="0.2">
      <c r="AM10736" t="str">
        <f t="shared" si="167"/>
        <v>Numana [ITNUM]</v>
      </c>
      <c r="AN10736" t="s">
        <v>18113</v>
      </c>
      <c r="AO10736" t="s">
        <v>18114</v>
      </c>
    </row>
    <row r="10737" spans="39:41" ht="12" customHeight="1" x14ac:dyDescent="0.2">
      <c r="AM10737" t="str">
        <f t="shared" si="167"/>
        <v>Numazu [JPNUM]</v>
      </c>
      <c r="AN10737" t="s">
        <v>20288</v>
      </c>
      <c r="AO10737" t="s">
        <v>20289</v>
      </c>
    </row>
    <row r="10738" spans="39:41" ht="12" customHeight="1" x14ac:dyDescent="0.2">
      <c r="AM10738" t="str">
        <f t="shared" ref="AM10738:AM10800" si="168">AO10738 &amp; " [" &amp; AN10738 &amp; "]"</f>
        <v>Nunohama [JPNNH]</v>
      </c>
      <c r="AN10738" t="s">
        <v>20290</v>
      </c>
      <c r="AO10738" t="s">
        <v>20291</v>
      </c>
    </row>
    <row r="10739" spans="39:41" ht="12" customHeight="1" x14ac:dyDescent="0.2">
      <c r="AM10739" t="str">
        <f t="shared" si="168"/>
        <v>Nunukan [IDNNX]</v>
      </c>
      <c r="AN10739" t="s">
        <v>16454</v>
      </c>
      <c r="AO10739" t="s">
        <v>16455</v>
      </c>
    </row>
    <row r="10740" spans="39:41" ht="12" customHeight="1" x14ac:dyDescent="0.2">
      <c r="AM10740" t="str">
        <f t="shared" si="168"/>
        <v>Nurme [EENRM]</v>
      </c>
      <c r="AN10740" t="s">
        <v>9276</v>
      </c>
      <c r="AO10740" t="s">
        <v>9277</v>
      </c>
    </row>
    <row r="10741" spans="39:41" ht="12" customHeight="1" x14ac:dyDescent="0.2">
      <c r="AM10741" t="str">
        <f t="shared" si="168"/>
        <v>Nurmes [FINUR]</v>
      </c>
      <c r="AN10741" t="s">
        <v>10482</v>
      </c>
      <c r="AO10741" t="s">
        <v>10483</v>
      </c>
    </row>
    <row r="10742" spans="39:41" ht="12" customHeight="1" x14ac:dyDescent="0.2">
      <c r="AM10742" t="str">
        <f t="shared" si="168"/>
        <v>Nurnberg [DENUE]</v>
      </c>
      <c r="AN10742" t="s">
        <v>8032</v>
      </c>
      <c r="AO10742" t="s">
        <v>35480</v>
      </c>
    </row>
    <row r="10743" spans="39:41" ht="12" customHeight="1" x14ac:dyDescent="0.2">
      <c r="AM10743" t="str">
        <f t="shared" si="168"/>
        <v>Nusaybin [TRM47]</v>
      </c>
      <c r="AN10743" t="s">
        <v>28559</v>
      </c>
      <c r="AO10743" t="s">
        <v>28560</v>
      </c>
    </row>
    <row r="10744" spans="39:41" ht="12" customHeight="1" x14ac:dyDescent="0.2">
      <c r="AM10744" t="str">
        <f t="shared" si="168"/>
        <v>Nusfjord [NOZNJ]</v>
      </c>
      <c r="AN10744" t="s">
        <v>24570</v>
      </c>
      <c r="AO10744" t="s">
        <v>24571</v>
      </c>
    </row>
    <row r="10745" spans="39:41" ht="12" customHeight="1" x14ac:dyDescent="0.2">
      <c r="AM10745" t="str">
        <f t="shared" si="168"/>
        <v>Nusplingen [DEPJQ]</v>
      </c>
      <c r="AN10745" t="s">
        <v>8033</v>
      </c>
      <c r="AO10745" t="s">
        <v>8034</v>
      </c>
    </row>
    <row r="10746" spans="39:41" ht="12" customHeight="1" x14ac:dyDescent="0.2">
      <c r="AM10746" t="str">
        <f t="shared" si="168"/>
        <v>Nuuk (Godthaab) [GLGOH]</v>
      </c>
      <c r="AN10746" t="s">
        <v>15009</v>
      </c>
      <c r="AO10746" t="s">
        <v>15010</v>
      </c>
    </row>
    <row r="10747" spans="39:41" ht="12" customHeight="1" x14ac:dyDescent="0.2">
      <c r="AM10747" t="str">
        <f t="shared" si="168"/>
        <v>Nuwaiba [EGNUW]</v>
      </c>
      <c r="AN10747" t="s">
        <v>9504</v>
      </c>
      <c r="AO10747" t="s">
        <v>9505</v>
      </c>
    </row>
    <row r="10748" spans="39:41" ht="12" customHeight="1" x14ac:dyDescent="0.2">
      <c r="AM10748" t="str">
        <f t="shared" si="168"/>
        <v>Nuziders [ATNUZ]</v>
      </c>
      <c r="AN10748" t="s">
        <v>1288</v>
      </c>
      <c r="AO10748" t="s">
        <v>35258</v>
      </c>
    </row>
    <row r="10749" spans="39:41" ht="12" customHeight="1" x14ac:dyDescent="0.2">
      <c r="AM10749" t="str">
        <f t="shared" si="168"/>
        <v>Nyack [USNYX]</v>
      </c>
      <c r="AN10749" t="s">
        <v>30866</v>
      </c>
      <c r="AO10749" t="s">
        <v>30867</v>
      </c>
    </row>
    <row r="10750" spans="39:41" ht="12" customHeight="1" x14ac:dyDescent="0.2">
      <c r="AM10750" t="str">
        <f t="shared" si="168"/>
        <v>Nyagatare [RWNSA]</v>
      </c>
      <c r="AN10750" t="s">
        <v>27360</v>
      </c>
      <c r="AO10750" t="s">
        <v>27361</v>
      </c>
    </row>
    <row r="10751" spans="39:41" ht="12" customHeight="1" x14ac:dyDescent="0.2">
      <c r="AM10751" t="str">
        <f t="shared" si="168"/>
        <v>Ny-Alesund [SJNYA]</v>
      </c>
      <c r="AN10751" t="s">
        <v>28032</v>
      </c>
      <c r="AO10751" t="s">
        <v>36549</v>
      </c>
    </row>
    <row r="10752" spans="39:41" ht="12" customHeight="1" x14ac:dyDescent="0.2">
      <c r="AM10752" t="str">
        <f t="shared" si="168"/>
        <v>Nyanga [GANYA]</v>
      </c>
      <c r="AN10752" t="s">
        <v>12237</v>
      </c>
      <c r="AO10752" t="s">
        <v>12238</v>
      </c>
    </row>
    <row r="10753" spans="39:41" ht="12" customHeight="1" x14ac:dyDescent="0.2">
      <c r="AM10753" t="str">
        <f t="shared" si="168"/>
        <v>Nyborg [DKNBG]</v>
      </c>
      <c r="AN10753" t="s">
        <v>8832</v>
      </c>
      <c r="AO10753" t="s">
        <v>8833</v>
      </c>
    </row>
    <row r="10754" spans="39:41" ht="12" customHeight="1" x14ac:dyDescent="0.2">
      <c r="AM10754" t="str">
        <f t="shared" si="168"/>
        <v>Nyborg Lystbadehavn [DKNYB]</v>
      </c>
      <c r="AN10754" t="s">
        <v>8834</v>
      </c>
      <c r="AO10754" t="s">
        <v>35564</v>
      </c>
    </row>
    <row r="10755" spans="39:41" ht="12" customHeight="1" x14ac:dyDescent="0.2">
      <c r="AM10755" t="str">
        <f t="shared" si="168"/>
        <v>Nyelv [NONYE]</v>
      </c>
      <c r="AN10755" t="s">
        <v>24572</v>
      </c>
      <c r="AO10755" t="s">
        <v>24573</v>
      </c>
    </row>
    <row r="10756" spans="39:41" ht="12" customHeight="1" x14ac:dyDescent="0.2">
      <c r="AM10756" t="str">
        <f t="shared" si="168"/>
        <v>Nyhamn [SENHN]</v>
      </c>
      <c r="AN10756" t="s">
        <v>27781</v>
      </c>
      <c r="AO10756" t="s">
        <v>27782</v>
      </c>
    </row>
    <row r="10757" spans="39:41" ht="12" customHeight="1" x14ac:dyDescent="0.2">
      <c r="AM10757" t="str">
        <f t="shared" si="168"/>
        <v>Nyhamna [NONYH]</v>
      </c>
      <c r="AN10757" t="s">
        <v>24574</v>
      </c>
      <c r="AO10757" t="s">
        <v>24575</v>
      </c>
    </row>
    <row r="10758" spans="39:41" ht="12" customHeight="1" x14ac:dyDescent="0.2">
      <c r="AM10758" t="str">
        <f t="shared" si="168"/>
        <v>Nykarleby (Uusikaarlepyy) [FIUKP]</v>
      </c>
      <c r="AN10758" t="s">
        <v>10484</v>
      </c>
      <c r="AO10758" t="s">
        <v>10485</v>
      </c>
    </row>
    <row r="10759" spans="39:41" ht="12" customHeight="1" x14ac:dyDescent="0.2">
      <c r="AM10759" t="str">
        <f t="shared" si="168"/>
        <v>Nykobing Falster [DKNYF]</v>
      </c>
      <c r="AN10759" t="s">
        <v>8835</v>
      </c>
      <c r="AO10759" t="s">
        <v>35565</v>
      </c>
    </row>
    <row r="10760" spans="39:41" ht="12" customHeight="1" x14ac:dyDescent="0.2">
      <c r="AM10760" t="str">
        <f t="shared" si="168"/>
        <v>Nykobing Mors [DKNYM]</v>
      </c>
      <c r="AN10760" t="s">
        <v>8836</v>
      </c>
      <c r="AO10760" t="s">
        <v>35566</v>
      </c>
    </row>
    <row r="10761" spans="39:41" ht="12" customHeight="1" x14ac:dyDescent="0.2">
      <c r="AM10761" t="str">
        <f t="shared" si="168"/>
        <v>Nykobing Sjaelland [DKN3S]</v>
      </c>
      <c r="AN10761" t="s">
        <v>8837</v>
      </c>
      <c r="AO10761" t="s">
        <v>8838</v>
      </c>
    </row>
    <row r="10762" spans="39:41" ht="12" customHeight="1" x14ac:dyDescent="0.2">
      <c r="AM10762" t="str">
        <f t="shared" si="168"/>
        <v>Nykobing Sjalland [DKNYS]</v>
      </c>
      <c r="AN10762" t="s">
        <v>36870</v>
      </c>
      <c r="AO10762" t="s">
        <v>36871</v>
      </c>
    </row>
    <row r="10763" spans="39:41" ht="12" customHeight="1" x14ac:dyDescent="0.2">
      <c r="AM10763" t="str">
        <f t="shared" si="168"/>
        <v>Nykoping [SENYO]</v>
      </c>
      <c r="AN10763" t="s">
        <v>27783</v>
      </c>
      <c r="AO10763" t="s">
        <v>36494</v>
      </c>
    </row>
    <row r="10764" spans="39:41" ht="12" customHeight="1" x14ac:dyDescent="0.2">
      <c r="AM10764" t="str">
        <f t="shared" si="168"/>
        <v>Nynashamn [SENYN]</v>
      </c>
      <c r="AN10764" t="s">
        <v>27784</v>
      </c>
      <c r="AO10764" t="s">
        <v>36495</v>
      </c>
    </row>
    <row r="10765" spans="39:41" ht="12" customHeight="1" x14ac:dyDescent="0.2">
      <c r="AM10765" t="str">
        <f t="shared" si="168"/>
        <v>Nyrup [DKNR4]</v>
      </c>
      <c r="AN10765" t="s">
        <v>8839</v>
      </c>
      <c r="AO10765" t="s">
        <v>8840</v>
      </c>
    </row>
    <row r="10766" spans="39:41" ht="12" customHeight="1" x14ac:dyDescent="0.2">
      <c r="AM10766" t="str">
        <f t="shared" si="168"/>
        <v>Nyslott (Savonlinna) [FISVL]</v>
      </c>
      <c r="AN10766" t="s">
        <v>10486</v>
      </c>
      <c r="AO10766" t="s">
        <v>10487</v>
      </c>
    </row>
    <row r="10767" spans="39:41" ht="12" customHeight="1" x14ac:dyDescent="0.2">
      <c r="AM10767" t="str">
        <f t="shared" si="168"/>
        <v>Nystad (Uusikaupunki) [FIUKI]</v>
      </c>
      <c r="AN10767" t="s">
        <v>10488</v>
      </c>
      <c r="AO10767" t="s">
        <v>10489</v>
      </c>
    </row>
    <row r="10768" spans="39:41" ht="12" customHeight="1" x14ac:dyDescent="0.2">
      <c r="AM10768" t="str">
        <f t="shared" si="168"/>
        <v>Nysted [DKNTD]</v>
      </c>
      <c r="AN10768" t="s">
        <v>8841</v>
      </c>
      <c r="AO10768" t="s">
        <v>8842</v>
      </c>
    </row>
    <row r="10769" spans="39:41" ht="12" customHeight="1" x14ac:dyDescent="0.2">
      <c r="AM10769" t="str">
        <f t="shared" si="168"/>
        <v>Nyugawa [JPNWA]</v>
      </c>
      <c r="AN10769" t="s">
        <v>20292</v>
      </c>
      <c r="AO10769" t="s">
        <v>20293</v>
      </c>
    </row>
    <row r="10770" spans="39:41" ht="12" customHeight="1" x14ac:dyDescent="0.2">
      <c r="AM10770" t="str">
        <f t="shared" si="168"/>
        <v>Nyukou [JPNYK]</v>
      </c>
      <c r="AN10770" t="s">
        <v>20294</v>
      </c>
      <c r="AO10770" t="s">
        <v>20295</v>
      </c>
    </row>
    <row r="10771" spans="39:41" ht="12" customHeight="1" x14ac:dyDescent="0.2">
      <c r="AM10771" t="str">
        <f t="shared" si="168"/>
        <v>Nyuzu [JPNYZ]</v>
      </c>
      <c r="AN10771" t="s">
        <v>20296</v>
      </c>
      <c r="AO10771" t="s">
        <v>20297</v>
      </c>
    </row>
    <row r="10772" spans="39:41" ht="12" customHeight="1" x14ac:dyDescent="0.2">
      <c r="AM10772" t="str">
        <f t="shared" si="168"/>
        <v>N'Zeto (Ambrizete) [AONTO]</v>
      </c>
      <c r="AN10772" t="s">
        <v>878</v>
      </c>
      <c r="AO10772" t="s">
        <v>879</v>
      </c>
    </row>
    <row r="10773" spans="39:41" ht="12" customHeight="1" x14ac:dyDescent="0.2">
      <c r="AM10773" t="str">
        <f t="shared" si="168"/>
        <v>Oak Bluffs [USOB2]</v>
      </c>
      <c r="AN10773" t="s">
        <v>30868</v>
      </c>
      <c r="AO10773" t="s">
        <v>30869</v>
      </c>
    </row>
    <row r="10774" spans="39:41" ht="12" customHeight="1" x14ac:dyDescent="0.2">
      <c r="AM10774" t="str">
        <f t="shared" si="168"/>
        <v>Oak Flats [AUOKF]</v>
      </c>
      <c r="AN10774" t="s">
        <v>1880</v>
      </c>
      <c r="AO10774" t="s">
        <v>1881</v>
      </c>
    </row>
    <row r="10775" spans="39:41" ht="12" customHeight="1" x14ac:dyDescent="0.2">
      <c r="AM10775" t="str">
        <f t="shared" si="168"/>
        <v>Oak Grove [USAKJ]</v>
      </c>
      <c r="AN10775" t="s">
        <v>30870</v>
      </c>
      <c r="AO10775" t="s">
        <v>30871</v>
      </c>
    </row>
    <row r="10776" spans="39:41" ht="12" customHeight="1" x14ac:dyDescent="0.2">
      <c r="AM10776" t="str">
        <f t="shared" si="168"/>
        <v>Oak Park [USQOP]</v>
      </c>
      <c r="AN10776" t="s">
        <v>30872</v>
      </c>
      <c r="AO10776" t="s">
        <v>30873</v>
      </c>
    </row>
    <row r="10777" spans="39:41" ht="12" customHeight="1" x14ac:dyDescent="0.2">
      <c r="AM10777" t="str">
        <f t="shared" si="168"/>
        <v>Oakboro [USYOB]</v>
      </c>
      <c r="AN10777" t="s">
        <v>30874</v>
      </c>
      <c r="AO10777" t="s">
        <v>30875</v>
      </c>
    </row>
    <row r="10778" spans="39:41" ht="12" customHeight="1" x14ac:dyDescent="0.2">
      <c r="AM10778" t="str">
        <f t="shared" si="168"/>
        <v>Oakhamness [GBOAK]</v>
      </c>
      <c r="AN10778" t="s">
        <v>13991</v>
      </c>
      <c r="AO10778" t="s">
        <v>13992</v>
      </c>
    </row>
    <row r="10779" spans="39:41" ht="12" customHeight="1" x14ac:dyDescent="0.2">
      <c r="AM10779" t="str">
        <f t="shared" si="168"/>
        <v>Oakland [USOAK]</v>
      </c>
      <c r="AN10779" t="s">
        <v>30876</v>
      </c>
      <c r="AO10779" t="s">
        <v>30877</v>
      </c>
    </row>
    <row r="10780" spans="39:41" ht="12" customHeight="1" x14ac:dyDescent="0.2">
      <c r="AM10780" t="str">
        <f t="shared" si="168"/>
        <v>Oakville [CAOAJ]</v>
      </c>
      <c r="AN10780" t="s">
        <v>4178</v>
      </c>
      <c r="AO10780" t="s">
        <v>4179</v>
      </c>
    </row>
    <row r="10781" spans="39:41" ht="12" customHeight="1" x14ac:dyDescent="0.2">
      <c r="AM10781" t="str">
        <f t="shared" si="168"/>
        <v>Oakville [CAOAK]</v>
      </c>
      <c r="AN10781" t="s">
        <v>4180</v>
      </c>
      <c r="AO10781" t="s">
        <v>4179</v>
      </c>
    </row>
    <row r="10782" spans="39:41" ht="12" customHeight="1" x14ac:dyDescent="0.2">
      <c r="AM10782" t="str">
        <f t="shared" si="168"/>
        <v>Oakville [USOKV]</v>
      </c>
      <c r="AN10782" t="s">
        <v>30878</v>
      </c>
      <c r="AO10782" t="s">
        <v>4179</v>
      </c>
    </row>
    <row r="10783" spans="39:41" ht="12" customHeight="1" x14ac:dyDescent="0.2">
      <c r="AM10783" t="str">
        <f t="shared" si="168"/>
        <v>Oarai [JPOAR]</v>
      </c>
      <c r="AN10783" t="s">
        <v>20298</v>
      </c>
      <c r="AO10783" t="s">
        <v>20299</v>
      </c>
    </row>
    <row r="10784" spans="39:41" ht="12" customHeight="1" x14ac:dyDescent="0.2">
      <c r="AM10784" t="str">
        <f t="shared" si="168"/>
        <v>Oaxen [SEOAX]</v>
      </c>
      <c r="AN10784" t="s">
        <v>27785</v>
      </c>
      <c r="AO10784" t="s">
        <v>27786</v>
      </c>
    </row>
    <row r="10785" spans="39:41" ht="12" customHeight="1" x14ac:dyDescent="0.2">
      <c r="AM10785" t="str">
        <f t="shared" si="168"/>
        <v>Obama, Fukui [JPOBM]</v>
      </c>
      <c r="AN10785" t="s">
        <v>20300</v>
      </c>
      <c r="AO10785" t="s">
        <v>20301</v>
      </c>
    </row>
    <row r="10786" spans="39:41" ht="12" customHeight="1" x14ac:dyDescent="0.2">
      <c r="AM10786" t="str">
        <f t="shared" si="168"/>
        <v>Obama, Mie [JPOBA]</v>
      </c>
      <c r="AN10786" t="s">
        <v>20302</v>
      </c>
      <c r="AO10786" t="s">
        <v>20303</v>
      </c>
    </row>
    <row r="10787" spans="39:41" ht="12" customHeight="1" x14ac:dyDescent="0.2">
      <c r="AM10787" t="str">
        <f t="shared" si="168"/>
        <v>Obama, Nagasaki [JPOBB]</v>
      </c>
      <c r="AN10787" t="s">
        <v>20304</v>
      </c>
      <c r="AO10787" t="s">
        <v>20305</v>
      </c>
    </row>
    <row r="10788" spans="39:41" ht="12" customHeight="1" x14ac:dyDescent="0.2">
      <c r="AM10788" t="str">
        <f t="shared" si="168"/>
        <v>Oban [GBOBA]</v>
      </c>
      <c r="AN10788" t="s">
        <v>13993</v>
      </c>
      <c r="AO10788" t="s">
        <v>13994</v>
      </c>
    </row>
    <row r="10789" spans="39:41" ht="12" customHeight="1" x14ac:dyDescent="0.2">
      <c r="AM10789" t="str">
        <f t="shared" si="168"/>
        <v>Obanos [ESONS]</v>
      </c>
      <c r="AN10789" t="s">
        <v>9995</v>
      </c>
      <c r="AO10789" t="s">
        <v>9996</v>
      </c>
    </row>
    <row r="10790" spans="39:41" ht="12" customHeight="1" x14ac:dyDescent="0.2">
      <c r="AM10790" t="str">
        <f t="shared" si="168"/>
        <v>Obatake [JPOOB]</v>
      </c>
      <c r="AN10790" t="s">
        <v>20306</v>
      </c>
      <c r="AO10790" t="s">
        <v>20307</v>
      </c>
    </row>
    <row r="10791" spans="39:41" ht="12" customHeight="1" x14ac:dyDescent="0.2">
      <c r="AM10791" t="str">
        <f t="shared" si="168"/>
        <v>Obbola [SEOBB]</v>
      </c>
      <c r="AN10791" t="s">
        <v>27787</v>
      </c>
      <c r="AO10791" t="s">
        <v>27788</v>
      </c>
    </row>
    <row r="10792" spans="39:41" ht="12" customHeight="1" x14ac:dyDescent="0.2">
      <c r="AM10792" t="str">
        <f t="shared" si="168"/>
        <v>Obe, Ehime [JPOBE]</v>
      </c>
      <c r="AN10792" t="s">
        <v>20308</v>
      </c>
      <c r="AO10792" t="s">
        <v>20309</v>
      </c>
    </row>
    <row r="10793" spans="39:41" ht="12" customHeight="1" x14ac:dyDescent="0.2">
      <c r="AM10793" t="str">
        <f t="shared" si="168"/>
        <v>Ober-Abtsteinach [DEOAB]</v>
      </c>
      <c r="AN10793" t="s">
        <v>8035</v>
      </c>
      <c r="AO10793" t="s">
        <v>8036</v>
      </c>
    </row>
    <row r="10794" spans="39:41" ht="12" customHeight="1" x14ac:dyDescent="0.2">
      <c r="AM10794" t="str">
        <f t="shared" si="168"/>
        <v>Obereiderhafen [DEOEX]</v>
      </c>
      <c r="AN10794" t="s">
        <v>35010</v>
      </c>
      <c r="AO10794" t="s">
        <v>36747</v>
      </c>
    </row>
    <row r="10795" spans="39:41" ht="12" customHeight="1" x14ac:dyDescent="0.2">
      <c r="AM10795" t="str">
        <f t="shared" si="168"/>
        <v>Oberhausen [DEOBE]</v>
      </c>
      <c r="AN10795" t="s">
        <v>8037</v>
      </c>
      <c r="AO10795" t="s">
        <v>8038</v>
      </c>
    </row>
    <row r="10796" spans="39:41" ht="12" customHeight="1" x14ac:dyDescent="0.2">
      <c r="AM10796" t="str">
        <f t="shared" si="168"/>
        <v>Oberhausen an der Nahe [DEOAN]</v>
      </c>
      <c r="AN10796" t="s">
        <v>8039</v>
      </c>
      <c r="AO10796" t="s">
        <v>8040</v>
      </c>
    </row>
    <row r="10797" spans="39:41" ht="12" customHeight="1" x14ac:dyDescent="0.2">
      <c r="AM10797" t="str">
        <f t="shared" si="168"/>
        <v>Oberkotzau [DEOKY]</v>
      </c>
      <c r="AN10797" t="s">
        <v>8041</v>
      </c>
      <c r="AO10797" t="s">
        <v>8042</v>
      </c>
    </row>
    <row r="10798" spans="39:41" ht="12" customHeight="1" x14ac:dyDescent="0.2">
      <c r="AM10798" t="str">
        <f t="shared" si="168"/>
        <v>Oberlin [USXOR]</v>
      </c>
      <c r="AN10798" t="s">
        <v>30879</v>
      </c>
      <c r="AO10798" t="s">
        <v>30880</v>
      </c>
    </row>
    <row r="10799" spans="39:41" ht="12" customHeight="1" x14ac:dyDescent="0.2">
      <c r="AM10799" t="str">
        <f t="shared" si="168"/>
        <v>Obermorlen [DEORM]</v>
      </c>
      <c r="AN10799" t="s">
        <v>8043</v>
      </c>
      <c r="AO10799" t="s">
        <v>35481</v>
      </c>
    </row>
    <row r="10800" spans="39:41" ht="12" customHeight="1" x14ac:dyDescent="0.2">
      <c r="AM10800" t="str">
        <f t="shared" si="168"/>
        <v>Oberneukirchen [ATOBU]</v>
      </c>
      <c r="AN10800" t="s">
        <v>1289</v>
      </c>
      <c r="AO10800" t="s">
        <v>1290</v>
      </c>
    </row>
    <row r="10801" spans="39:41" ht="12" customHeight="1" x14ac:dyDescent="0.2">
      <c r="AM10801" t="str">
        <f t="shared" ref="AM10801:AM10863" si="169">AO10801 &amp; " [" &amp; AN10801 &amp; "]"</f>
        <v>Ober-Olm [DEOLM]</v>
      </c>
      <c r="AN10801" t="s">
        <v>8044</v>
      </c>
      <c r="AO10801" t="s">
        <v>8045</v>
      </c>
    </row>
    <row r="10802" spans="39:41" ht="12" customHeight="1" x14ac:dyDescent="0.2">
      <c r="AM10802" t="str">
        <f t="shared" si="169"/>
        <v>Oberried am Brienzersee [CHODB]</v>
      </c>
      <c r="AN10802" t="s">
        <v>4729</v>
      </c>
      <c r="AO10802" t="s">
        <v>4730</v>
      </c>
    </row>
    <row r="10803" spans="39:41" ht="12" customHeight="1" x14ac:dyDescent="0.2">
      <c r="AM10803" t="str">
        <f t="shared" si="169"/>
        <v>Oberthal [DEDEO]</v>
      </c>
      <c r="AN10803" t="s">
        <v>8046</v>
      </c>
      <c r="AO10803" t="s">
        <v>8047</v>
      </c>
    </row>
    <row r="10804" spans="39:41" ht="12" customHeight="1" x14ac:dyDescent="0.2">
      <c r="AM10804" t="str">
        <f t="shared" si="169"/>
        <v>Oberwesel [DEOEE]</v>
      </c>
      <c r="AN10804" t="s">
        <v>8048</v>
      </c>
      <c r="AO10804" t="s">
        <v>8049</v>
      </c>
    </row>
    <row r="10805" spans="39:41" ht="12" customHeight="1" x14ac:dyDescent="0.2">
      <c r="AM10805" t="str">
        <f t="shared" si="169"/>
        <v>Oberwinter [DEOWT]</v>
      </c>
      <c r="AN10805" t="s">
        <v>8050</v>
      </c>
      <c r="AO10805" t="s">
        <v>8051</v>
      </c>
    </row>
    <row r="10806" spans="39:41" ht="12" customHeight="1" x14ac:dyDescent="0.2">
      <c r="AM10806" t="str">
        <f t="shared" si="169"/>
        <v>Obi Island [IDOBI]</v>
      </c>
      <c r="AN10806" t="s">
        <v>16456</v>
      </c>
      <c r="AO10806" t="s">
        <v>16457</v>
      </c>
    </row>
    <row r="10807" spans="39:41" ht="12" customHeight="1" x14ac:dyDescent="0.2">
      <c r="AM10807" t="str">
        <f t="shared" si="169"/>
        <v>Obion [USOBI]</v>
      </c>
      <c r="AN10807" t="s">
        <v>30881</v>
      </c>
      <c r="AO10807" t="s">
        <v>30882</v>
      </c>
    </row>
    <row r="10808" spans="39:41" ht="12" customHeight="1" x14ac:dyDescent="0.2">
      <c r="AM10808" t="str">
        <f t="shared" si="169"/>
        <v>Obonjan [HRONJ]</v>
      </c>
      <c r="AN10808" t="s">
        <v>15840</v>
      </c>
      <c r="AO10808" t="s">
        <v>15841</v>
      </c>
    </row>
    <row r="10809" spans="39:41" ht="12" customHeight="1" x14ac:dyDescent="0.2">
      <c r="AM10809" t="str">
        <f t="shared" si="169"/>
        <v>Obourg [BEOBR]</v>
      </c>
      <c r="AN10809" t="s">
        <v>2787</v>
      </c>
      <c r="AO10809" t="s">
        <v>2788</v>
      </c>
    </row>
    <row r="10810" spans="39:41" ht="12" customHeight="1" x14ac:dyDescent="0.2">
      <c r="AM10810" t="str">
        <f t="shared" si="169"/>
        <v>Obregon [MXOBR]</v>
      </c>
      <c r="AN10810" t="s">
        <v>22405</v>
      </c>
      <c r="AO10810" t="s">
        <v>36097</v>
      </c>
    </row>
    <row r="10811" spans="39:41" ht="12" customHeight="1" x14ac:dyDescent="0.2">
      <c r="AM10811" t="str">
        <f t="shared" si="169"/>
        <v>Ocean Cay [BSOCE]</v>
      </c>
      <c r="AN10811" t="s">
        <v>3466</v>
      </c>
      <c r="AO10811" t="s">
        <v>3467</v>
      </c>
    </row>
    <row r="10812" spans="39:41" ht="12" customHeight="1" x14ac:dyDescent="0.2">
      <c r="AM10812" t="str">
        <f t="shared" si="169"/>
        <v>Ocean Falls [CAOFA]</v>
      </c>
      <c r="AN10812" t="s">
        <v>4181</v>
      </c>
      <c r="AO10812" t="s">
        <v>4182</v>
      </c>
    </row>
    <row r="10813" spans="39:41" ht="12" customHeight="1" x14ac:dyDescent="0.2">
      <c r="AM10813" t="str">
        <f t="shared" si="169"/>
        <v>Ocean Gate [USOAM]</v>
      </c>
      <c r="AN10813" t="s">
        <v>30883</v>
      </c>
      <c r="AO10813" t="s">
        <v>30884</v>
      </c>
    </row>
    <row r="10814" spans="39:41" ht="12" customHeight="1" x14ac:dyDescent="0.2">
      <c r="AM10814" t="str">
        <f t="shared" si="169"/>
        <v>Ocean View [USOCX]</v>
      </c>
      <c r="AN10814" t="s">
        <v>30885</v>
      </c>
      <c r="AO10814" t="s">
        <v>30886</v>
      </c>
    </row>
    <row r="10815" spans="39:41" ht="12" customHeight="1" x14ac:dyDescent="0.2">
      <c r="AM10815" t="str">
        <f t="shared" si="169"/>
        <v>Oceanport [USOCP]</v>
      </c>
      <c r="AN10815" t="s">
        <v>30887</v>
      </c>
      <c r="AO10815" t="s">
        <v>30888</v>
      </c>
    </row>
    <row r="10816" spans="39:41" ht="12" customHeight="1" x14ac:dyDescent="0.2">
      <c r="AM10816" t="str">
        <f t="shared" si="169"/>
        <v>Ochiyo [JPOOC]</v>
      </c>
      <c r="AN10816" t="s">
        <v>20310</v>
      </c>
      <c r="AO10816" t="s">
        <v>20311</v>
      </c>
    </row>
    <row r="10817" spans="39:41" ht="12" customHeight="1" x14ac:dyDescent="0.2">
      <c r="AM10817" t="str">
        <f t="shared" si="169"/>
        <v>Ocho Rios [JMOCJ]</v>
      </c>
      <c r="AN10817" t="s">
        <v>18432</v>
      </c>
      <c r="AO10817" t="s">
        <v>18433</v>
      </c>
    </row>
    <row r="10818" spans="39:41" ht="12" customHeight="1" x14ac:dyDescent="0.2">
      <c r="AM10818" t="str">
        <f t="shared" si="169"/>
        <v>Ockero [SEOCO]</v>
      </c>
      <c r="AN10818" t="s">
        <v>27789</v>
      </c>
      <c r="AO10818" t="s">
        <v>36496</v>
      </c>
    </row>
    <row r="10819" spans="39:41" ht="12" customHeight="1" x14ac:dyDescent="0.2">
      <c r="AM10819" t="str">
        <f t="shared" si="169"/>
        <v>Ocoa Bay [DOOCO]</v>
      </c>
      <c r="AN10819" t="s">
        <v>9008</v>
      </c>
      <c r="AO10819" t="s">
        <v>9009</v>
      </c>
    </row>
    <row r="10820" spans="39:41" ht="12" customHeight="1" x14ac:dyDescent="0.2">
      <c r="AM10820" t="str">
        <f t="shared" si="169"/>
        <v>Ocoee [USOC7]</v>
      </c>
      <c r="AN10820" t="s">
        <v>30889</v>
      </c>
      <c r="AO10820" t="s">
        <v>30890</v>
      </c>
    </row>
    <row r="10821" spans="39:41" ht="12" customHeight="1" x14ac:dyDescent="0.2">
      <c r="AM10821" t="str">
        <f t="shared" si="169"/>
        <v>Odaejin [KPODA]</v>
      </c>
      <c r="AN10821" t="s">
        <v>21588</v>
      </c>
      <c r="AO10821" t="s">
        <v>21589</v>
      </c>
    </row>
    <row r="10822" spans="39:41" ht="12" customHeight="1" x14ac:dyDescent="0.2">
      <c r="AM10822" t="str">
        <f t="shared" si="169"/>
        <v>Odahigashi [JPODA]</v>
      </c>
      <c r="AN10822" t="s">
        <v>20312</v>
      </c>
      <c r="AO10822" t="s">
        <v>20313</v>
      </c>
    </row>
    <row r="10823" spans="39:41" ht="12" customHeight="1" x14ac:dyDescent="0.2">
      <c r="AM10823" t="str">
        <f t="shared" si="169"/>
        <v>Odda [NOODD]</v>
      </c>
      <c r="AN10823" t="s">
        <v>24576</v>
      </c>
      <c r="AO10823" t="s">
        <v>24577</v>
      </c>
    </row>
    <row r="10824" spans="39:41" ht="12" customHeight="1" x14ac:dyDescent="0.2">
      <c r="AM10824" t="str">
        <f t="shared" si="169"/>
        <v>Oddsta, Fetlar [GBODD]</v>
      </c>
      <c r="AN10824" t="s">
        <v>13995</v>
      </c>
      <c r="AO10824" t="s">
        <v>13996</v>
      </c>
    </row>
    <row r="10825" spans="39:41" ht="12" customHeight="1" x14ac:dyDescent="0.2">
      <c r="AM10825" t="str">
        <f t="shared" si="169"/>
        <v>Odense [DKODE]</v>
      </c>
      <c r="AN10825" t="s">
        <v>8843</v>
      </c>
      <c r="AO10825" t="s">
        <v>8844</v>
      </c>
    </row>
    <row r="10826" spans="39:41" ht="12" customHeight="1" x14ac:dyDescent="0.2">
      <c r="AM10826" t="str">
        <f t="shared" si="169"/>
        <v>Odeshima [JPODS]</v>
      </c>
      <c r="AN10826" t="s">
        <v>20314</v>
      </c>
      <c r="AO10826" t="s">
        <v>20315</v>
      </c>
    </row>
    <row r="10827" spans="39:41" ht="12" customHeight="1" x14ac:dyDescent="0.2">
      <c r="AM10827" t="str">
        <f t="shared" si="169"/>
        <v>Odessa [CAODE]</v>
      </c>
      <c r="AN10827" t="s">
        <v>4183</v>
      </c>
      <c r="AO10827" t="s">
        <v>4184</v>
      </c>
    </row>
    <row r="10828" spans="39:41" ht="12" customHeight="1" x14ac:dyDescent="0.2">
      <c r="AM10828" t="str">
        <f t="shared" si="169"/>
        <v>Odessa [UAODS]</v>
      </c>
      <c r="AN10828" t="s">
        <v>28757</v>
      </c>
      <c r="AO10828" t="s">
        <v>4184</v>
      </c>
    </row>
    <row r="10829" spans="39:41" ht="12" customHeight="1" x14ac:dyDescent="0.2">
      <c r="AM10829" t="str">
        <f t="shared" si="169"/>
        <v>Odessa [USO82]</v>
      </c>
      <c r="AN10829" t="s">
        <v>33949</v>
      </c>
      <c r="AO10829" t="s">
        <v>4184</v>
      </c>
    </row>
    <row r="10830" spans="39:41" ht="12" customHeight="1" x14ac:dyDescent="0.2">
      <c r="AM10830" t="str">
        <f t="shared" si="169"/>
        <v>Odiliapeel [NLODL]</v>
      </c>
      <c r="AN10830" t="s">
        <v>23482</v>
      </c>
      <c r="AO10830" t="s">
        <v>23483</v>
      </c>
    </row>
    <row r="10831" spans="39:41" ht="12" customHeight="1" x14ac:dyDescent="0.2">
      <c r="AM10831" t="str">
        <f t="shared" si="169"/>
        <v>Odiongan [PHODI]</v>
      </c>
      <c r="AN10831" t="s">
        <v>25999</v>
      </c>
      <c r="AO10831" t="s">
        <v>26000</v>
      </c>
    </row>
    <row r="10832" spans="39:41" ht="12" customHeight="1" x14ac:dyDescent="0.2">
      <c r="AM10832" t="str">
        <f t="shared" si="169"/>
        <v>Odoh [JPODO]</v>
      </c>
      <c r="AN10832" t="s">
        <v>20316</v>
      </c>
      <c r="AO10832" t="s">
        <v>20317</v>
      </c>
    </row>
    <row r="10833" spans="39:41" ht="12" customHeight="1" x14ac:dyDescent="0.2">
      <c r="AM10833" t="str">
        <f t="shared" si="169"/>
        <v>Odolena Voda [CZODO]</v>
      </c>
      <c r="AN10833" t="s">
        <v>6906</v>
      </c>
      <c r="AO10833" t="s">
        <v>6907</v>
      </c>
    </row>
    <row r="10834" spans="39:41" ht="12" customHeight="1" x14ac:dyDescent="0.2">
      <c r="AM10834" t="str">
        <f t="shared" si="169"/>
        <v>Odomari [JPODM]</v>
      </c>
      <c r="AN10834" t="s">
        <v>20318</v>
      </c>
      <c r="AO10834" t="s">
        <v>20319</v>
      </c>
    </row>
    <row r="10835" spans="39:41" ht="12" customHeight="1" x14ac:dyDescent="0.2">
      <c r="AM10835" t="str">
        <f t="shared" si="169"/>
        <v>Odudu Terminal [NGODU]</v>
      </c>
      <c r="AN10835" t="s">
        <v>22957</v>
      </c>
      <c r="AO10835" t="s">
        <v>22958</v>
      </c>
    </row>
    <row r="10836" spans="39:41" ht="12" customHeight="1" x14ac:dyDescent="0.2">
      <c r="AM10836" t="str">
        <f t="shared" si="169"/>
        <v>Odunluk [TRODU]</v>
      </c>
      <c r="AN10836" t="s">
        <v>28561</v>
      </c>
      <c r="AO10836" t="s">
        <v>28562</v>
      </c>
    </row>
    <row r="10837" spans="39:41" ht="12" customHeight="1" x14ac:dyDescent="0.2">
      <c r="AM10837" t="str">
        <f t="shared" si="169"/>
        <v>Oegstgeest [NLOGE]</v>
      </c>
      <c r="AN10837" t="s">
        <v>33915</v>
      </c>
      <c r="AO10837" t="s">
        <v>34037</v>
      </c>
    </row>
    <row r="10838" spans="39:41" ht="12" customHeight="1" x14ac:dyDescent="0.2">
      <c r="AM10838" t="str">
        <f t="shared" si="169"/>
        <v>Oehling [ATXAE]</v>
      </c>
      <c r="AN10838" t="s">
        <v>1291</v>
      </c>
      <c r="AO10838" t="s">
        <v>1292</v>
      </c>
    </row>
    <row r="10839" spans="39:41" ht="12" customHeight="1" x14ac:dyDescent="0.2">
      <c r="AM10839" t="str">
        <f t="shared" si="169"/>
        <v>Oeiras [PTOEI]</v>
      </c>
      <c r="AN10839" t="s">
        <v>26553</v>
      </c>
      <c r="AO10839" t="s">
        <v>26554</v>
      </c>
    </row>
    <row r="10840" spans="39:41" ht="12" customHeight="1" x14ac:dyDescent="0.2">
      <c r="AM10840" t="str">
        <f t="shared" si="169"/>
        <v>Oelegem [BEOEL]</v>
      </c>
      <c r="AN10840" t="s">
        <v>2789</v>
      </c>
      <c r="AO10840" t="s">
        <v>2790</v>
      </c>
    </row>
    <row r="10841" spans="39:41" ht="12" customHeight="1" x14ac:dyDescent="0.2">
      <c r="AM10841" t="str">
        <f t="shared" si="169"/>
        <v>Oeselgem [BEOSG]</v>
      </c>
      <c r="AN10841" t="s">
        <v>2791</v>
      </c>
      <c r="AO10841" t="s">
        <v>2792</v>
      </c>
    </row>
    <row r="10842" spans="39:41" ht="12" customHeight="1" x14ac:dyDescent="0.2">
      <c r="AM10842" t="str">
        <f t="shared" si="169"/>
        <v>Oestrich-Winkel [DEOSW]</v>
      </c>
      <c r="AN10842" t="s">
        <v>8052</v>
      </c>
      <c r="AO10842" t="s">
        <v>8053</v>
      </c>
    </row>
    <row r="10843" spans="39:41" ht="12" customHeight="1" x14ac:dyDescent="0.2">
      <c r="AM10843" t="str">
        <f t="shared" si="169"/>
        <v>Oevel [BEOEV]</v>
      </c>
      <c r="AN10843" t="s">
        <v>2793</v>
      </c>
      <c r="AO10843" t="s">
        <v>2794</v>
      </c>
    </row>
    <row r="10844" spans="39:41" ht="12" customHeight="1" x14ac:dyDescent="0.2">
      <c r="AM10844" t="str">
        <f t="shared" si="169"/>
        <v>Off Shore Fujairah [AEOFJ]</v>
      </c>
      <c r="AN10844" t="s">
        <v>763</v>
      </c>
      <c r="AO10844" t="s">
        <v>35233</v>
      </c>
    </row>
    <row r="10845" spans="39:41" ht="12" customHeight="1" x14ac:dyDescent="0.2">
      <c r="AM10845" t="str">
        <f t="shared" si="169"/>
        <v>Off Shore Tui [NZOTU]</v>
      </c>
      <c r="AN10845" t="s">
        <v>25087</v>
      </c>
      <c r="AO10845" t="s">
        <v>36352</v>
      </c>
    </row>
    <row r="10846" spans="39:41" ht="12" customHeight="1" x14ac:dyDescent="0.2">
      <c r="AM10846" t="str">
        <f t="shared" si="169"/>
        <v>Offenbach [DEOFF]</v>
      </c>
      <c r="AN10846" t="s">
        <v>8054</v>
      </c>
      <c r="AO10846" t="s">
        <v>8055</v>
      </c>
    </row>
    <row r="10847" spans="39:41" ht="12" customHeight="1" x14ac:dyDescent="0.2">
      <c r="AM10847" t="str">
        <f t="shared" si="169"/>
        <v>Offshore [XZOFF]</v>
      </c>
      <c r="AN10847" t="s">
        <v>32871</v>
      </c>
      <c r="AO10847" t="s">
        <v>36636</v>
      </c>
    </row>
    <row r="10848" spans="39:41" ht="12" customHeight="1" x14ac:dyDescent="0.2">
      <c r="AM10848" t="str">
        <f t="shared" si="169"/>
        <v>Offshoreinst Halten-Helgeland [XZOFH]</v>
      </c>
      <c r="AN10848" t="s">
        <v>36637</v>
      </c>
      <c r="AO10848" t="s">
        <v>36638</v>
      </c>
    </row>
    <row r="10849" spans="39:41" ht="12" customHeight="1" x14ac:dyDescent="0.2">
      <c r="AM10849" t="str">
        <f t="shared" si="169"/>
        <v>Offshoreinst North Sea [XZOFN]</v>
      </c>
      <c r="AN10849" t="s">
        <v>36639</v>
      </c>
      <c r="AO10849" t="s">
        <v>36640</v>
      </c>
    </row>
    <row r="10850" spans="39:41" ht="12" customHeight="1" x14ac:dyDescent="0.2">
      <c r="AM10850" t="str">
        <f t="shared" si="169"/>
        <v>Offshoreinst. Barents Sea [XZOFB]</v>
      </c>
      <c r="AN10850" t="s">
        <v>36634</v>
      </c>
      <c r="AO10850" t="s">
        <v>36635</v>
      </c>
    </row>
    <row r="10851" spans="39:41" ht="12" customHeight="1" x14ac:dyDescent="0.2">
      <c r="AM10851" t="str">
        <f t="shared" si="169"/>
        <v>Ofra [ILOFR]</v>
      </c>
      <c r="AN10851" t="s">
        <v>16980</v>
      </c>
      <c r="AO10851" t="s">
        <v>16981</v>
      </c>
    </row>
    <row r="10852" spans="39:41" ht="12" customHeight="1" x14ac:dyDescent="0.2">
      <c r="AM10852" t="str">
        <f t="shared" si="169"/>
        <v>Ogasawara [JPOGA]</v>
      </c>
      <c r="AN10852" t="s">
        <v>20320</v>
      </c>
      <c r="AO10852" t="s">
        <v>20321</v>
      </c>
    </row>
    <row r="10853" spans="39:41" ht="12" customHeight="1" x14ac:dyDescent="0.2">
      <c r="AM10853" t="str">
        <f t="shared" si="169"/>
        <v>Ogatsu [JPOAT]</v>
      </c>
      <c r="AN10853" t="s">
        <v>20322</v>
      </c>
      <c r="AO10853" t="s">
        <v>20323</v>
      </c>
    </row>
    <row r="10854" spans="39:41" ht="12" customHeight="1" x14ac:dyDescent="0.2">
      <c r="AM10854" t="str">
        <f t="shared" si="169"/>
        <v>Ogdensburg [USOGS]</v>
      </c>
      <c r="AN10854" t="s">
        <v>30891</v>
      </c>
      <c r="AO10854" t="s">
        <v>30892</v>
      </c>
    </row>
    <row r="10855" spans="39:41" ht="12" customHeight="1" x14ac:dyDescent="0.2">
      <c r="AM10855" t="str">
        <f t="shared" si="169"/>
        <v>Oggau [ATGGU]</v>
      </c>
      <c r="AN10855" t="s">
        <v>1293</v>
      </c>
      <c r="AO10855" t="s">
        <v>1294</v>
      </c>
    </row>
    <row r="10856" spans="39:41" ht="12" customHeight="1" x14ac:dyDescent="0.2">
      <c r="AM10856" t="str">
        <f t="shared" si="169"/>
        <v>Ogi [JPOSG]</v>
      </c>
      <c r="AN10856" t="s">
        <v>20324</v>
      </c>
      <c r="AO10856" t="s">
        <v>20325</v>
      </c>
    </row>
    <row r="10857" spans="39:41" ht="12" customHeight="1" x14ac:dyDescent="0.2">
      <c r="AM10857" t="str">
        <f t="shared" si="169"/>
        <v>Ogi, Ishikawa [JPOII]</v>
      </c>
      <c r="AN10857" t="s">
        <v>20326</v>
      </c>
      <c r="AO10857" t="s">
        <v>20327</v>
      </c>
    </row>
    <row r="10858" spans="39:41" ht="12" customHeight="1" x14ac:dyDescent="0.2">
      <c r="AM10858" t="str">
        <f t="shared" si="169"/>
        <v>Ogi, Kagawa [JPOGK]</v>
      </c>
      <c r="AN10858" t="s">
        <v>20328</v>
      </c>
      <c r="AO10858" t="s">
        <v>20329</v>
      </c>
    </row>
    <row r="10859" spans="39:41" ht="12" customHeight="1" x14ac:dyDescent="0.2">
      <c r="AM10859" t="str">
        <f t="shared" si="169"/>
        <v>Ogi, Niigata [JPOGI]</v>
      </c>
      <c r="AN10859" t="s">
        <v>20330</v>
      </c>
      <c r="AO10859" t="s">
        <v>20331</v>
      </c>
    </row>
    <row r="10860" spans="39:41" ht="12" customHeight="1" x14ac:dyDescent="0.2">
      <c r="AM10860" t="str">
        <f t="shared" si="169"/>
        <v>Ogifushi [JPOGF]</v>
      </c>
      <c r="AN10860" t="s">
        <v>20332</v>
      </c>
      <c r="AO10860" t="s">
        <v>20333</v>
      </c>
    </row>
    <row r="10861" spans="39:41" ht="12" customHeight="1" x14ac:dyDescent="0.2">
      <c r="AM10861" t="str">
        <f t="shared" si="169"/>
        <v>Oginohama [JPOGH]</v>
      </c>
      <c r="AN10861" t="s">
        <v>20334</v>
      </c>
      <c r="AO10861" t="s">
        <v>20335</v>
      </c>
    </row>
    <row r="10862" spans="39:41" ht="12" customHeight="1" x14ac:dyDescent="0.2">
      <c r="AM10862" t="str">
        <f t="shared" si="169"/>
        <v>Oglesby [USOGY]</v>
      </c>
      <c r="AN10862" t="s">
        <v>30893</v>
      </c>
      <c r="AO10862" t="s">
        <v>30894</v>
      </c>
    </row>
    <row r="10863" spans="39:41" ht="12" customHeight="1" x14ac:dyDescent="0.2">
      <c r="AM10863" t="str">
        <f t="shared" si="169"/>
        <v>Ognina [ITOGN]</v>
      </c>
      <c r="AN10863" t="s">
        <v>18115</v>
      </c>
      <c r="AO10863" t="s">
        <v>18116</v>
      </c>
    </row>
    <row r="10864" spans="39:41" ht="12" customHeight="1" x14ac:dyDescent="0.2">
      <c r="AM10864" t="str">
        <f t="shared" ref="AM10864:AM10927" si="170">AO10864 &amp; " [" &amp; AN10864 &amp; "]"</f>
        <v>Ogomori [JPOGM]</v>
      </c>
      <c r="AN10864" t="s">
        <v>20336</v>
      </c>
      <c r="AO10864" t="s">
        <v>20337</v>
      </c>
    </row>
    <row r="10865" spans="39:41" ht="12" customHeight="1" x14ac:dyDescent="0.2">
      <c r="AM10865" t="str">
        <f t="shared" si="170"/>
        <v>Ogre [LVORE]</v>
      </c>
      <c r="AN10865" t="s">
        <v>21941</v>
      </c>
      <c r="AO10865" t="s">
        <v>21942</v>
      </c>
    </row>
    <row r="10866" spans="39:41" ht="12" customHeight="1" x14ac:dyDescent="0.2">
      <c r="AM10866" t="str">
        <f t="shared" si="170"/>
        <v>Oguandjo Terminal [GAOGU]</v>
      </c>
      <c r="AN10866" t="s">
        <v>12239</v>
      </c>
      <c r="AO10866" t="s">
        <v>12240</v>
      </c>
    </row>
    <row r="10867" spans="39:41" ht="12" customHeight="1" x14ac:dyDescent="0.2">
      <c r="AM10867" t="str">
        <f t="shared" si="170"/>
        <v>Ogunquit [USYOQ]</v>
      </c>
      <c r="AN10867" t="s">
        <v>30895</v>
      </c>
      <c r="AO10867" t="s">
        <v>30896</v>
      </c>
    </row>
    <row r="10868" spans="39:41" ht="12" customHeight="1" x14ac:dyDescent="0.2">
      <c r="AM10868" t="str">
        <f t="shared" si="170"/>
        <v>Ohama, Ehime [JPOHM]</v>
      </c>
      <c r="AN10868" t="s">
        <v>20338</v>
      </c>
      <c r="AO10868" t="s">
        <v>20339</v>
      </c>
    </row>
    <row r="10869" spans="39:41" ht="12" customHeight="1" x14ac:dyDescent="0.2">
      <c r="AM10869" t="str">
        <f t="shared" si="170"/>
        <v>Ohama, Kagawa [JPOHA]</v>
      </c>
      <c r="AN10869" t="s">
        <v>20340</v>
      </c>
      <c r="AO10869" t="s">
        <v>20341</v>
      </c>
    </row>
    <row r="10870" spans="39:41" ht="12" customHeight="1" x14ac:dyDescent="0.2">
      <c r="AM10870" t="str">
        <f t="shared" si="170"/>
        <v>Ohama, Kagoshima [JPKHM]</v>
      </c>
      <c r="AN10870" t="s">
        <v>20342</v>
      </c>
      <c r="AO10870" t="s">
        <v>20343</v>
      </c>
    </row>
    <row r="10871" spans="39:41" ht="12" customHeight="1" x14ac:dyDescent="0.2">
      <c r="AM10871" t="str">
        <f t="shared" si="170"/>
        <v>Ohama, Okayama [JPOOH]</v>
      </c>
      <c r="AN10871" t="s">
        <v>20344</v>
      </c>
      <c r="AO10871" t="s">
        <v>20345</v>
      </c>
    </row>
    <row r="10872" spans="39:41" ht="12" customHeight="1" x14ac:dyDescent="0.2">
      <c r="AM10872" t="str">
        <f t="shared" si="170"/>
        <v>Ohama, Tottori [JPOMX]</v>
      </c>
      <c r="AN10872" t="s">
        <v>20346</v>
      </c>
      <c r="AO10872" t="s">
        <v>20347</v>
      </c>
    </row>
    <row r="10873" spans="39:41" ht="12" customHeight="1" x14ac:dyDescent="0.2">
      <c r="AM10873" t="str">
        <f t="shared" si="170"/>
        <v>Ohata [JPOHT]</v>
      </c>
      <c r="AN10873" t="s">
        <v>20348</v>
      </c>
      <c r="AO10873" t="s">
        <v>20349</v>
      </c>
    </row>
    <row r="10874" spans="39:41" ht="12" customHeight="1" x14ac:dyDescent="0.2">
      <c r="AM10874" t="str">
        <f t="shared" si="170"/>
        <v>Ohbe, Kagawa [JPOBX]</v>
      </c>
      <c r="AN10874" t="s">
        <v>20350</v>
      </c>
      <c r="AO10874" t="s">
        <v>20351</v>
      </c>
    </row>
    <row r="10875" spans="39:41" ht="12" customHeight="1" x14ac:dyDescent="0.2">
      <c r="AM10875" t="str">
        <f t="shared" si="170"/>
        <v>Ohbishima [JPOBS]</v>
      </c>
      <c r="AN10875" t="s">
        <v>20352</v>
      </c>
      <c r="AO10875" t="s">
        <v>20353</v>
      </c>
    </row>
    <row r="10876" spans="39:41" ht="12" customHeight="1" x14ac:dyDescent="0.2">
      <c r="AM10876" t="str">
        <f t="shared" si="170"/>
        <v>Ohbukura/Uwajima [JPOKR]</v>
      </c>
      <c r="AN10876" t="s">
        <v>20354</v>
      </c>
      <c r="AO10876" t="s">
        <v>20355</v>
      </c>
    </row>
    <row r="10877" spans="39:41" ht="12" customHeight="1" x14ac:dyDescent="0.2">
      <c r="AM10877" t="str">
        <f t="shared" si="170"/>
        <v>Ohdana [JPODN]</v>
      </c>
      <c r="AN10877" t="s">
        <v>20356</v>
      </c>
      <c r="AO10877" t="s">
        <v>20357</v>
      </c>
    </row>
    <row r="10878" spans="39:41" ht="12" customHeight="1" x14ac:dyDescent="0.2">
      <c r="AM10878" t="str">
        <f t="shared" si="170"/>
        <v>Ohfukaura [JPOFR]</v>
      </c>
      <c r="AN10878" t="s">
        <v>20358</v>
      </c>
      <c r="AO10878" t="s">
        <v>20359</v>
      </c>
    </row>
    <row r="10879" spans="39:41" ht="12" customHeight="1" x14ac:dyDescent="0.2">
      <c r="AM10879" t="str">
        <f t="shared" si="170"/>
        <v>Ohfunakoshi [JPOFK]</v>
      </c>
      <c r="AN10879" t="s">
        <v>20360</v>
      </c>
      <c r="AO10879" t="s">
        <v>20361</v>
      </c>
    </row>
    <row r="10880" spans="39:41" ht="12" customHeight="1" x14ac:dyDescent="0.2">
      <c r="AM10880" t="str">
        <f t="shared" si="170"/>
        <v>Ohfunato [JPOFT]</v>
      </c>
      <c r="AN10880" t="s">
        <v>20362</v>
      </c>
      <c r="AO10880" t="s">
        <v>20363</v>
      </c>
    </row>
    <row r="10881" spans="39:41" ht="12" customHeight="1" x14ac:dyDescent="0.2">
      <c r="AM10881" t="str">
        <f t="shared" si="170"/>
        <v>Ohgaki [JPOOG]</v>
      </c>
      <c r="AN10881" t="s">
        <v>20364</v>
      </c>
      <c r="AO10881" t="s">
        <v>20365</v>
      </c>
    </row>
    <row r="10882" spans="39:41" ht="12" customHeight="1" x14ac:dyDescent="0.2">
      <c r="AM10882" t="str">
        <f t="shared" si="170"/>
        <v>Ohgasari [JPOSR]</v>
      </c>
      <c r="AN10882" t="s">
        <v>20366</v>
      </c>
      <c r="AO10882" t="s">
        <v>20367</v>
      </c>
    </row>
    <row r="10883" spans="39:41" ht="12" customHeight="1" x14ac:dyDescent="0.2">
      <c r="AM10883" t="str">
        <f t="shared" si="170"/>
        <v>Ohge [JPOGE]</v>
      </c>
      <c r="AN10883" t="s">
        <v>20368</v>
      </c>
      <c r="AO10883" t="s">
        <v>20369</v>
      </c>
    </row>
    <row r="10884" spans="39:41" ht="12" customHeight="1" x14ac:dyDescent="0.2">
      <c r="AM10884" t="str">
        <f t="shared" si="170"/>
        <v>Ohgishima [JPOGS]</v>
      </c>
      <c r="AN10884" t="s">
        <v>20370</v>
      </c>
      <c r="AO10884" t="s">
        <v>20371</v>
      </c>
    </row>
    <row r="10885" spans="39:41" ht="12" customHeight="1" x14ac:dyDescent="0.2">
      <c r="AM10885" t="str">
        <f t="shared" si="170"/>
        <v>Ohgushi [JPOGU]</v>
      </c>
      <c r="AN10885" t="s">
        <v>20372</v>
      </c>
      <c r="AO10885" t="s">
        <v>20373</v>
      </c>
    </row>
    <row r="10886" spans="39:41" ht="12" customHeight="1" x14ac:dyDescent="0.2">
      <c r="AM10886" t="str">
        <f t="shared" si="170"/>
        <v>Ohi [JPOHO]</v>
      </c>
      <c r="AN10886" t="s">
        <v>20374</v>
      </c>
      <c r="AO10886" t="s">
        <v>20375</v>
      </c>
    </row>
    <row r="10887" spans="39:41" ht="12" customHeight="1" x14ac:dyDescent="0.2">
      <c r="AM10887" t="str">
        <f t="shared" si="170"/>
        <v>Ohigawa [JPOIG]</v>
      </c>
      <c r="AN10887" t="s">
        <v>20376</v>
      </c>
      <c r="AO10887" t="s">
        <v>20377</v>
      </c>
    </row>
    <row r="10888" spans="39:41" ht="12" customHeight="1" x14ac:dyDescent="0.2">
      <c r="AM10888" t="str">
        <f t="shared" si="170"/>
        <v>O'Higgins [CLOHI]</v>
      </c>
      <c r="AN10888" t="s">
        <v>4905</v>
      </c>
      <c r="AO10888" t="s">
        <v>4906</v>
      </c>
    </row>
    <row r="10889" spans="39:41" ht="12" customHeight="1" x14ac:dyDescent="0.2">
      <c r="AM10889" t="str">
        <f t="shared" si="170"/>
        <v>Ohkawara [JPOKH]</v>
      </c>
      <c r="AN10889" t="s">
        <v>20378</v>
      </c>
      <c r="AO10889" t="s">
        <v>20379</v>
      </c>
    </row>
    <row r="10890" spans="39:41" ht="12" customHeight="1" x14ac:dyDescent="0.2">
      <c r="AM10890" t="str">
        <f t="shared" si="170"/>
        <v>Ohnejime [JPONE]</v>
      </c>
      <c r="AN10890" t="s">
        <v>20380</v>
      </c>
      <c r="AO10890" t="s">
        <v>20381</v>
      </c>
    </row>
    <row r="10891" spans="39:41" ht="12" customHeight="1" x14ac:dyDescent="0.2">
      <c r="AM10891" t="str">
        <f t="shared" si="170"/>
        <v>Ohnishi/Ohsaki [JPONS]</v>
      </c>
      <c r="AN10891" t="s">
        <v>20382</v>
      </c>
      <c r="AO10891" t="s">
        <v>20383</v>
      </c>
    </row>
    <row r="10892" spans="39:41" ht="12" customHeight="1" x14ac:dyDescent="0.2">
      <c r="AM10892" t="str">
        <f t="shared" si="170"/>
        <v>Ohnoh [JPOON]</v>
      </c>
      <c r="AN10892" t="s">
        <v>20384</v>
      </c>
      <c r="AO10892" t="s">
        <v>20385</v>
      </c>
    </row>
    <row r="10893" spans="39:41" ht="12" customHeight="1" x14ac:dyDescent="0.2">
      <c r="AM10893" t="str">
        <f t="shared" si="170"/>
        <v>Ohra [JPORA]</v>
      </c>
      <c r="AN10893" t="s">
        <v>20386</v>
      </c>
      <c r="AO10893" t="s">
        <v>20387</v>
      </c>
    </row>
    <row r="10894" spans="39:41" ht="12" customHeight="1" x14ac:dyDescent="0.2">
      <c r="AM10894" t="str">
        <f t="shared" si="170"/>
        <v>Ohse [JPOUS]</v>
      </c>
      <c r="AN10894" t="s">
        <v>20388</v>
      </c>
      <c r="AO10894" t="s">
        <v>20389</v>
      </c>
    </row>
    <row r="10895" spans="39:41" ht="12" customHeight="1" x14ac:dyDescent="0.2">
      <c r="AM10895" t="str">
        <f t="shared" si="170"/>
        <v>Ohshima, Ehime [JPOSI]</v>
      </c>
      <c r="AN10895" t="s">
        <v>20390</v>
      </c>
      <c r="AO10895" t="s">
        <v>20391</v>
      </c>
    </row>
    <row r="10896" spans="39:41" ht="12" customHeight="1" x14ac:dyDescent="0.2">
      <c r="AM10896" t="str">
        <f t="shared" si="170"/>
        <v>Ohshima, Fukuoka [JPOSS]</v>
      </c>
      <c r="AN10896" t="s">
        <v>20392</v>
      </c>
      <c r="AO10896" t="s">
        <v>20393</v>
      </c>
    </row>
    <row r="10897" spans="39:41" ht="12" customHeight="1" x14ac:dyDescent="0.2">
      <c r="AM10897" t="str">
        <f t="shared" si="170"/>
        <v>Ohshima, Kagawa [JPOOM]</v>
      </c>
      <c r="AN10897" t="s">
        <v>20394</v>
      </c>
      <c r="AO10897" t="s">
        <v>20395</v>
      </c>
    </row>
    <row r="10898" spans="39:41" ht="12" customHeight="1" x14ac:dyDescent="0.2">
      <c r="AM10898" t="str">
        <f t="shared" si="170"/>
        <v>Ohshima, Miyazaki [JPOSO]</v>
      </c>
      <c r="AN10898" t="s">
        <v>20396</v>
      </c>
      <c r="AO10898" t="s">
        <v>20397</v>
      </c>
    </row>
    <row r="10899" spans="39:41" ht="12" customHeight="1" x14ac:dyDescent="0.2">
      <c r="AM10899" t="str">
        <f t="shared" si="170"/>
        <v>Ohshima, Tokyo [JPOIM]</v>
      </c>
      <c r="AN10899" t="s">
        <v>20398</v>
      </c>
      <c r="AO10899" t="s">
        <v>20399</v>
      </c>
    </row>
    <row r="10900" spans="39:41" ht="12" customHeight="1" x14ac:dyDescent="0.2">
      <c r="AM10900" t="str">
        <f t="shared" si="170"/>
        <v>Ohshima, Wakayama [JPOSH]</v>
      </c>
      <c r="AN10900" t="s">
        <v>20400</v>
      </c>
      <c r="AO10900" t="s">
        <v>20401</v>
      </c>
    </row>
    <row r="10901" spans="39:41" ht="12" customHeight="1" x14ac:dyDescent="0.2">
      <c r="AM10901" t="str">
        <f t="shared" si="170"/>
        <v>Ohshima/Hagi [JPHGS]</v>
      </c>
      <c r="AN10901" t="s">
        <v>20402</v>
      </c>
      <c r="AO10901" t="s">
        <v>20403</v>
      </c>
    </row>
    <row r="10902" spans="39:41" ht="12" customHeight="1" x14ac:dyDescent="0.2">
      <c r="AM10902" t="str">
        <f t="shared" si="170"/>
        <v>Ohyama/Mitsushima [JPOYM]</v>
      </c>
      <c r="AN10902" t="s">
        <v>20404</v>
      </c>
      <c r="AO10902" t="s">
        <v>20405</v>
      </c>
    </row>
    <row r="10903" spans="39:41" ht="12" customHeight="1" x14ac:dyDescent="0.2">
      <c r="AM10903" t="str">
        <f t="shared" si="170"/>
        <v>Ohzuku [JPOZJ]</v>
      </c>
      <c r="AN10903" t="s">
        <v>20406</v>
      </c>
      <c r="AO10903" t="s">
        <v>20407</v>
      </c>
    </row>
    <row r="10904" spans="39:41" ht="12" customHeight="1" x14ac:dyDescent="0.2">
      <c r="AM10904" t="str">
        <f t="shared" si="170"/>
        <v>Oia Kyklades [GROIK]</v>
      </c>
      <c r="AN10904" t="s">
        <v>15399</v>
      </c>
      <c r="AO10904" t="s">
        <v>15400</v>
      </c>
    </row>
    <row r="10905" spans="39:41" ht="12" customHeight="1" x14ac:dyDescent="0.2">
      <c r="AM10905" t="str">
        <f t="shared" si="170"/>
        <v>Oigny-en-Valois [FROYI]</v>
      </c>
      <c r="AN10905" t="s">
        <v>11755</v>
      </c>
      <c r="AO10905" t="s">
        <v>11756</v>
      </c>
    </row>
    <row r="10906" spans="39:41" ht="12" customHeight="1" x14ac:dyDescent="0.2">
      <c r="AM10906" t="str">
        <f t="shared" si="170"/>
        <v>Oirschot [NLOIH]</v>
      </c>
      <c r="AN10906" t="s">
        <v>33916</v>
      </c>
      <c r="AO10906" t="s">
        <v>34038</v>
      </c>
    </row>
    <row r="10907" spans="39:41" ht="12" customHeight="1" x14ac:dyDescent="0.2">
      <c r="AM10907" t="str">
        <f t="shared" si="170"/>
        <v>Oiso [JPOIS]</v>
      </c>
      <c r="AN10907" t="s">
        <v>20408</v>
      </c>
      <c r="AO10907" t="s">
        <v>20409</v>
      </c>
    </row>
    <row r="10908" spans="39:41" ht="12" customHeight="1" x14ac:dyDescent="0.2">
      <c r="AM10908" t="str">
        <f t="shared" si="170"/>
        <v>Oisquercq [BEOQC]</v>
      </c>
      <c r="AN10908" t="s">
        <v>2795</v>
      </c>
      <c r="AO10908" t="s">
        <v>2796</v>
      </c>
    </row>
    <row r="10909" spans="39:41" ht="12" customHeight="1" x14ac:dyDescent="0.2">
      <c r="AM10909" t="str">
        <f t="shared" si="170"/>
        <v>Oita [JPOIT]</v>
      </c>
      <c r="AN10909" t="s">
        <v>20410</v>
      </c>
      <c r="AO10909" t="s">
        <v>20411</v>
      </c>
    </row>
    <row r="10910" spans="39:41" ht="12" customHeight="1" x14ac:dyDescent="0.2">
      <c r="AM10910" t="str">
        <f t="shared" si="170"/>
        <v>Oiu [EEOIU]</v>
      </c>
      <c r="AN10910" t="s">
        <v>9278</v>
      </c>
      <c r="AO10910" t="s">
        <v>9279</v>
      </c>
    </row>
    <row r="10911" spans="39:41" ht="12" customHeight="1" x14ac:dyDescent="0.2">
      <c r="AM10911" t="str">
        <f t="shared" si="170"/>
        <v>Ojdula [ROOJD]</v>
      </c>
      <c r="AN10911" t="s">
        <v>26793</v>
      </c>
      <c r="AO10911" t="s">
        <v>26794</v>
      </c>
    </row>
    <row r="10912" spans="39:41" ht="12" customHeight="1" x14ac:dyDescent="0.2">
      <c r="AM10912" t="str">
        <f t="shared" si="170"/>
        <v>Ojika [JPOJI]</v>
      </c>
      <c r="AN10912" t="s">
        <v>20412</v>
      </c>
      <c r="AO10912" t="s">
        <v>20413</v>
      </c>
    </row>
    <row r="10913" spans="39:41" ht="12" customHeight="1" x14ac:dyDescent="0.2">
      <c r="AM10913" t="str">
        <f t="shared" si="170"/>
        <v>Ojoya [JPOYA]</v>
      </c>
      <c r="AN10913" t="s">
        <v>20414</v>
      </c>
      <c r="AO10913" t="s">
        <v>20415</v>
      </c>
    </row>
    <row r="10914" spans="39:41" ht="12" customHeight="1" x14ac:dyDescent="0.2">
      <c r="AM10914" t="str">
        <f t="shared" si="170"/>
        <v>Okada [JPOAA]</v>
      </c>
      <c r="AN10914" t="s">
        <v>20416</v>
      </c>
      <c r="AO10914" t="s">
        <v>20417</v>
      </c>
    </row>
    <row r="10915" spans="39:41" ht="12" customHeight="1" x14ac:dyDescent="0.2">
      <c r="AM10915" t="str">
        <f t="shared" si="170"/>
        <v>Okamoto [JPOKM]</v>
      </c>
      <c r="AN10915" t="s">
        <v>20418</v>
      </c>
      <c r="AO10915" t="s">
        <v>20419</v>
      </c>
    </row>
    <row r="10916" spans="39:41" ht="12" customHeight="1" x14ac:dyDescent="0.2">
      <c r="AM10916" t="str">
        <f t="shared" si="170"/>
        <v>Okamura [JPOMR]</v>
      </c>
      <c r="AN10916" t="s">
        <v>20420</v>
      </c>
      <c r="AO10916" t="s">
        <v>20421</v>
      </c>
    </row>
    <row r="10917" spans="39:41" ht="12" customHeight="1" x14ac:dyDescent="0.2">
      <c r="AM10917" t="str">
        <f t="shared" si="170"/>
        <v>Okarche [USZHE]</v>
      </c>
      <c r="AN10917" t="s">
        <v>30897</v>
      </c>
      <c r="AO10917" t="s">
        <v>30898</v>
      </c>
    </row>
    <row r="10918" spans="39:41" ht="12" customHeight="1" x14ac:dyDescent="0.2">
      <c r="AM10918" t="str">
        <f t="shared" si="170"/>
        <v>Okawa, Nagasaki [JPOOW]</v>
      </c>
      <c r="AN10918" t="s">
        <v>20422</v>
      </c>
      <c r="AO10918" t="s">
        <v>20423</v>
      </c>
    </row>
    <row r="10919" spans="39:41" ht="12" customHeight="1" x14ac:dyDescent="0.2">
      <c r="AM10919" t="str">
        <f t="shared" si="170"/>
        <v>Okawa, Wakayama [JPOKW]</v>
      </c>
      <c r="AN10919" t="s">
        <v>20424</v>
      </c>
      <c r="AO10919" t="s">
        <v>20425</v>
      </c>
    </row>
    <row r="10920" spans="39:41" ht="12" customHeight="1" x14ac:dyDescent="0.2">
      <c r="AM10920" t="str">
        <f t="shared" si="170"/>
        <v>Okayama [JPOKJ]</v>
      </c>
      <c r="AN10920" t="s">
        <v>20426</v>
      </c>
      <c r="AO10920" t="s">
        <v>20427</v>
      </c>
    </row>
    <row r="10921" spans="39:41" ht="12" customHeight="1" x14ac:dyDescent="0.2">
      <c r="AM10921" t="str">
        <f t="shared" si="170"/>
        <v>Okegem [BEOKG]</v>
      </c>
      <c r="AN10921" t="s">
        <v>2797</v>
      </c>
      <c r="AO10921" t="s">
        <v>2798</v>
      </c>
    </row>
    <row r="10922" spans="39:41" ht="12" customHeight="1" x14ac:dyDescent="0.2">
      <c r="AM10922" t="str">
        <f t="shared" si="170"/>
        <v>Okemos [USOKX]</v>
      </c>
      <c r="AN10922" t="s">
        <v>30899</v>
      </c>
      <c r="AO10922" t="s">
        <v>30900</v>
      </c>
    </row>
    <row r="10923" spans="39:41" ht="12" customHeight="1" x14ac:dyDescent="0.2">
      <c r="AM10923" t="str">
        <f t="shared" si="170"/>
        <v>Okgye/Gangneung [KROKK]</v>
      </c>
      <c r="AN10923" t="s">
        <v>21698</v>
      </c>
      <c r="AO10923" t="s">
        <v>21699</v>
      </c>
    </row>
    <row r="10924" spans="39:41" ht="12" customHeight="1" x14ac:dyDescent="0.2">
      <c r="AM10924" t="str">
        <f t="shared" si="170"/>
        <v>Okha [INOKH]</v>
      </c>
      <c r="AN10924" t="s">
        <v>17355</v>
      </c>
      <c r="AO10924" t="s">
        <v>17356</v>
      </c>
    </row>
    <row r="10925" spans="39:41" ht="12" customHeight="1" x14ac:dyDescent="0.2">
      <c r="AM10925" t="str">
        <f t="shared" si="170"/>
        <v>Okha FPSO [AUOKH]</v>
      </c>
      <c r="AN10925" t="s">
        <v>1882</v>
      </c>
      <c r="AO10925" t="s">
        <v>1883</v>
      </c>
    </row>
    <row r="10926" spans="39:41" ht="12" customHeight="1" x14ac:dyDescent="0.2">
      <c r="AM10926" t="str">
        <f t="shared" si="170"/>
        <v>Okha, Sakhalin [RUOKA]</v>
      </c>
      <c r="AN10926" t="s">
        <v>27133</v>
      </c>
      <c r="AO10926" t="s">
        <v>27134</v>
      </c>
    </row>
    <row r="10927" spans="39:41" ht="12" customHeight="1" x14ac:dyDescent="0.2">
      <c r="AM10927" t="str">
        <f t="shared" si="170"/>
        <v>Okhotsk [RUOHO]</v>
      </c>
      <c r="AN10927" t="s">
        <v>27135</v>
      </c>
      <c r="AO10927" t="s">
        <v>27136</v>
      </c>
    </row>
    <row r="10928" spans="39:41" ht="12" customHeight="1" x14ac:dyDescent="0.2">
      <c r="AM10928" t="str">
        <f t="shared" ref="AM10928:AM10991" si="171">AO10928 &amp; " [" &amp; AN10928 &amp; "]"</f>
        <v>Oki [JPOKI]</v>
      </c>
      <c r="AN10928" t="s">
        <v>20428</v>
      </c>
      <c r="AO10928" t="s">
        <v>20429</v>
      </c>
    </row>
    <row r="10929" spans="39:41" ht="12" customHeight="1" x14ac:dyDescent="0.2">
      <c r="AM10929" t="str">
        <f t="shared" si="171"/>
        <v>Okinajima [JPOKN]</v>
      </c>
      <c r="AN10929" t="s">
        <v>20430</v>
      </c>
      <c r="AO10929" t="s">
        <v>20431</v>
      </c>
    </row>
    <row r="10930" spans="39:41" ht="12" customHeight="1" x14ac:dyDescent="0.2">
      <c r="AM10930" t="str">
        <f t="shared" si="171"/>
        <v>Okinokojima [JPOKK]</v>
      </c>
      <c r="AN10930" t="s">
        <v>20432</v>
      </c>
      <c r="AO10930" t="s">
        <v>20433</v>
      </c>
    </row>
    <row r="10931" spans="39:41" ht="12" customHeight="1" x14ac:dyDescent="0.2">
      <c r="AM10931" t="str">
        <f t="shared" si="171"/>
        <v>Okitsu, Chiba [JPOKC]</v>
      </c>
      <c r="AN10931" t="s">
        <v>20434</v>
      </c>
      <c r="AO10931" t="s">
        <v>20435</v>
      </c>
    </row>
    <row r="10932" spans="39:41" ht="12" customHeight="1" x14ac:dyDescent="0.2">
      <c r="AM10932" t="str">
        <f t="shared" si="171"/>
        <v>Okitsu, Shizuoka [JPOKT]</v>
      </c>
      <c r="AN10932" t="s">
        <v>20436</v>
      </c>
      <c r="AO10932" t="s">
        <v>20437</v>
      </c>
    </row>
    <row r="10933" spans="39:41" ht="12" customHeight="1" x14ac:dyDescent="0.2">
      <c r="AM10933" t="str">
        <f t="shared" si="171"/>
        <v>Okiura, Hiroshima [JPOIU]</v>
      </c>
      <c r="AN10933" t="s">
        <v>20438</v>
      </c>
      <c r="AO10933" t="s">
        <v>20439</v>
      </c>
    </row>
    <row r="10934" spans="39:41" ht="12" customHeight="1" x14ac:dyDescent="0.2">
      <c r="AM10934" t="str">
        <f t="shared" si="171"/>
        <v>Okiura, Yamaguchi [JPOKX]</v>
      </c>
      <c r="AN10934" t="s">
        <v>20440</v>
      </c>
      <c r="AO10934" t="s">
        <v>20441</v>
      </c>
    </row>
    <row r="10935" spans="39:41" ht="12" customHeight="1" x14ac:dyDescent="0.2">
      <c r="AM10935" t="str">
        <f t="shared" si="171"/>
        <v>Okiuranishi [JPOKS]</v>
      </c>
      <c r="AN10935" t="s">
        <v>20442</v>
      </c>
      <c r="AO10935" t="s">
        <v>20443</v>
      </c>
    </row>
    <row r="10936" spans="39:41" ht="12" customHeight="1" x14ac:dyDescent="0.2">
      <c r="AM10936" t="str">
        <f t="shared" si="171"/>
        <v>Okogi [JPOKG]</v>
      </c>
      <c r="AN10936" t="s">
        <v>20444</v>
      </c>
      <c r="AO10936" t="s">
        <v>20445</v>
      </c>
    </row>
    <row r="10937" spans="39:41" ht="12" customHeight="1" x14ac:dyDescent="0.2">
      <c r="AM10937" t="str">
        <f t="shared" si="171"/>
        <v>Okono [NGOKN]</v>
      </c>
      <c r="AN10937" t="s">
        <v>22959</v>
      </c>
      <c r="AO10937" t="s">
        <v>22960</v>
      </c>
    </row>
    <row r="10938" spans="39:41" ht="12" customHeight="1" x14ac:dyDescent="0.2">
      <c r="AM10938" t="str">
        <f t="shared" si="171"/>
        <v>Okpo/Geoje [KROKP]</v>
      </c>
      <c r="AN10938" t="s">
        <v>21700</v>
      </c>
      <c r="AO10938" t="s">
        <v>21701</v>
      </c>
    </row>
    <row r="10939" spans="39:41" ht="12" customHeight="1" x14ac:dyDescent="0.2">
      <c r="AM10939" t="str">
        <f t="shared" si="171"/>
        <v>Okrika [NGOKR]</v>
      </c>
      <c r="AN10939" t="s">
        <v>22961</v>
      </c>
      <c r="AO10939" t="s">
        <v>22962</v>
      </c>
    </row>
    <row r="10940" spans="39:41" ht="12" customHeight="1" x14ac:dyDescent="0.2">
      <c r="AM10940" t="str">
        <f t="shared" si="171"/>
        <v>Okruzhnoe [RUOKZ]</v>
      </c>
      <c r="AN10940" t="s">
        <v>27137</v>
      </c>
      <c r="AO10940" t="s">
        <v>27138</v>
      </c>
    </row>
    <row r="10941" spans="39:41" ht="12" customHeight="1" x14ac:dyDescent="0.2">
      <c r="AM10941" t="str">
        <f t="shared" si="171"/>
        <v>Oksfjord [NOOKF]</v>
      </c>
      <c r="AN10941" t="s">
        <v>24578</v>
      </c>
      <c r="AO10941" t="s">
        <v>36262</v>
      </c>
    </row>
    <row r="10942" spans="39:41" ht="12" customHeight="1" x14ac:dyDescent="0.2">
      <c r="AM10942" t="str">
        <f t="shared" si="171"/>
        <v>Oksnes [NOOKS]</v>
      </c>
      <c r="AN10942" t="s">
        <v>24579</v>
      </c>
      <c r="AO10942" t="s">
        <v>24580</v>
      </c>
    </row>
    <row r="10943" spans="39:41" ht="12" customHeight="1" x14ac:dyDescent="0.2">
      <c r="AM10943" t="str">
        <f t="shared" si="171"/>
        <v>Oktyabrsk [UAOCT]</v>
      </c>
      <c r="AN10943" t="s">
        <v>28758</v>
      </c>
      <c r="AO10943" t="s">
        <v>28759</v>
      </c>
    </row>
    <row r="10944" spans="39:41" ht="12" customHeight="1" x14ac:dyDescent="0.2">
      <c r="AM10944" t="str">
        <f t="shared" si="171"/>
        <v>Oktyabr'skiy [RUOKT]</v>
      </c>
      <c r="AN10944" t="s">
        <v>27139</v>
      </c>
      <c r="AO10944" t="s">
        <v>27140</v>
      </c>
    </row>
    <row r="10945" spans="39:41" ht="12" customHeight="1" x14ac:dyDescent="0.2">
      <c r="AM10945" t="str">
        <f t="shared" si="171"/>
        <v>Oktyabrskoye [RUOYE]</v>
      </c>
      <c r="AN10945" t="s">
        <v>27141</v>
      </c>
      <c r="AO10945" t="s">
        <v>27142</v>
      </c>
    </row>
    <row r="10946" spans="39:41" ht="12" customHeight="1" x14ac:dyDescent="0.2">
      <c r="AM10946" t="str">
        <f t="shared" si="171"/>
        <v>Oku [JPOKU]</v>
      </c>
      <c r="AN10946" t="s">
        <v>20446</v>
      </c>
      <c r="AO10946" t="s">
        <v>20447</v>
      </c>
    </row>
    <row r="10947" spans="39:41" ht="12" customHeight="1" x14ac:dyDescent="0.2">
      <c r="AM10947" t="str">
        <f t="shared" si="171"/>
        <v>Okubo, Kagoshima [JPOOJ]</v>
      </c>
      <c r="AN10947" t="s">
        <v>20448</v>
      </c>
      <c r="AO10947" t="s">
        <v>20449</v>
      </c>
    </row>
    <row r="10948" spans="39:41" ht="12" customHeight="1" x14ac:dyDescent="0.2">
      <c r="AM10948" t="str">
        <f t="shared" si="171"/>
        <v>Okubo, Tokyo [JPOKB]</v>
      </c>
      <c r="AN10948" t="s">
        <v>20450</v>
      </c>
      <c r="AO10948" t="s">
        <v>20451</v>
      </c>
    </row>
    <row r="10949" spans="39:41" ht="12" customHeight="1" x14ac:dyDescent="0.2">
      <c r="AM10949" t="str">
        <f t="shared" si="171"/>
        <v>Okunouchi [JPOCH]</v>
      </c>
      <c r="AN10949" t="s">
        <v>20452</v>
      </c>
      <c r="AO10949" t="s">
        <v>20453</v>
      </c>
    </row>
    <row r="10950" spans="39:41" ht="12" customHeight="1" x14ac:dyDescent="0.2">
      <c r="AM10950" t="str">
        <f t="shared" si="171"/>
        <v>Okwori [NGOKW]</v>
      </c>
      <c r="AN10950" t="s">
        <v>22963</v>
      </c>
      <c r="AO10950" t="s">
        <v>22964</v>
      </c>
    </row>
    <row r="10951" spans="39:41" ht="12" customHeight="1" x14ac:dyDescent="0.2">
      <c r="AM10951" t="str">
        <f t="shared" si="171"/>
        <v>Olafsfjordur [ISOLF]</v>
      </c>
      <c r="AN10951" t="s">
        <v>17745</v>
      </c>
      <c r="AO10951" t="s">
        <v>36057</v>
      </c>
    </row>
    <row r="10952" spans="39:41" ht="12" customHeight="1" x14ac:dyDescent="0.2">
      <c r="AM10952" t="str">
        <f t="shared" si="171"/>
        <v>Olafsvik [ISOLV]</v>
      </c>
      <c r="AN10952" t="s">
        <v>17746</v>
      </c>
      <c r="AO10952" t="s">
        <v>36058</v>
      </c>
    </row>
    <row r="10953" spans="39:41" ht="12" customHeight="1" x14ac:dyDescent="0.2">
      <c r="AM10953" t="str">
        <f t="shared" si="171"/>
        <v>Olah Jasa Andal/Jakarta [IDOJA]</v>
      </c>
      <c r="AN10953" t="s">
        <v>16458</v>
      </c>
      <c r="AO10953" t="s">
        <v>16459</v>
      </c>
    </row>
    <row r="10954" spans="39:41" ht="12" customHeight="1" x14ac:dyDescent="0.2">
      <c r="AM10954" t="str">
        <f t="shared" si="171"/>
        <v>Olavarria [AROVI]</v>
      </c>
      <c r="AN10954" t="s">
        <v>1051</v>
      </c>
      <c r="AO10954" t="s">
        <v>35245</v>
      </c>
    </row>
    <row r="10955" spans="39:41" ht="12" customHeight="1" x14ac:dyDescent="0.2">
      <c r="AM10955" t="str">
        <f t="shared" si="171"/>
        <v>Olawa [PLOLA]</v>
      </c>
      <c r="AN10955" t="s">
        <v>26356</v>
      </c>
      <c r="AO10955" t="s">
        <v>26357</v>
      </c>
    </row>
    <row r="10956" spans="39:41" ht="12" customHeight="1" x14ac:dyDescent="0.2">
      <c r="AM10956" t="str">
        <f t="shared" si="171"/>
        <v>Olazagutia [ESOLZ]</v>
      </c>
      <c r="AN10956" t="s">
        <v>9997</v>
      </c>
      <c r="AO10956" t="s">
        <v>35685</v>
      </c>
    </row>
    <row r="10957" spans="39:41" ht="12" customHeight="1" x14ac:dyDescent="0.2">
      <c r="AM10957" t="str">
        <f t="shared" si="171"/>
        <v>Olbia [ITOLB]</v>
      </c>
      <c r="AN10957" t="s">
        <v>18117</v>
      </c>
      <c r="AO10957" t="s">
        <v>18118</v>
      </c>
    </row>
    <row r="10958" spans="39:41" ht="12" customHeight="1" x14ac:dyDescent="0.2">
      <c r="AM10958" t="str">
        <f t="shared" si="171"/>
        <v>Old Brookville [USDXX]</v>
      </c>
      <c r="AN10958" t="s">
        <v>30901</v>
      </c>
      <c r="AO10958" t="s">
        <v>30902</v>
      </c>
    </row>
    <row r="10959" spans="39:41" ht="12" customHeight="1" x14ac:dyDescent="0.2">
      <c r="AM10959" t="str">
        <f t="shared" si="171"/>
        <v>Old Dalby [GBODL]</v>
      </c>
      <c r="AN10959" t="s">
        <v>13997</v>
      </c>
      <c r="AO10959" t="s">
        <v>13998</v>
      </c>
    </row>
    <row r="10960" spans="39:41" ht="12" customHeight="1" x14ac:dyDescent="0.2">
      <c r="AM10960" t="str">
        <f t="shared" si="171"/>
        <v>Old Dornie [GBODO]</v>
      </c>
      <c r="AN10960" t="s">
        <v>13999</v>
      </c>
      <c r="AO10960" t="s">
        <v>14000</v>
      </c>
    </row>
    <row r="10961" spans="39:41" ht="12" customHeight="1" x14ac:dyDescent="0.2">
      <c r="AM10961" t="str">
        <f t="shared" si="171"/>
        <v>Old Kilpatrick [GBOKK]</v>
      </c>
      <c r="AN10961" t="s">
        <v>14001</v>
      </c>
      <c r="AO10961" t="s">
        <v>14002</v>
      </c>
    </row>
    <row r="10962" spans="39:41" ht="12" customHeight="1" x14ac:dyDescent="0.2">
      <c r="AM10962" t="str">
        <f t="shared" si="171"/>
        <v>Old Rock Hill [USDKH]</v>
      </c>
      <c r="AN10962" t="s">
        <v>30903</v>
      </c>
      <c r="AO10962" t="s">
        <v>30904</v>
      </c>
    </row>
    <row r="10963" spans="39:41" ht="12" customHeight="1" x14ac:dyDescent="0.2">
      <c r="AM10963" t="str">
        <f t="shared" si="171"/>
        <v>Olden [NOOLD]</v>
      </c>
      <c r="AN10963" t="s">
        <v>24581</v>
      </c>
      <c r="AO10963" t="s">
        <v>24582</v>
      </c>
    </row>
    <row r="10964" spans="39:41" ht="12" customHeight="1" x14ac:dyDescent="0.2">
      <c r="AM10964" t="str">
        <f t="shared" si="171"/>
        <v>Oldenburg [DEOLO]</v>
      </c>
      <c r="AN10964" t="s">
        <v>8056</v>
      </c>
      <c r="AO10964" t="s">
        <v>8057</v>
      </c>
    </row>
    <row r="10965" spans="39:41" ht="12" customHeight="1" x14ac:dyDescent="0.2">
      <c r="AM10965" t="str">
        <f t="shared" si="171"/>
        <v>Oldenbuttel [DEOLB]</v>
      </c>
      <c r="AN10965" t="s">
        <v>8058</v>
      </c>
      <c r="AO10965" t="s">
        <v>35482</v>
      </c>
    </row>
    <row r="10966" spans="39:41" ht="12" customHeight="1" x14ac:dyDescent="0.2">
      <c r="AM10966" t="str">
        <f t="shared" si="171"/>
        <v>Oldendorf [DEOLD]</v>
      </c>
      <c r="AN10966" t="s">
        <v>8059</v>
      </c>
      <c r="AO10966" t="s">
        <v>8060</v>
      </c>
    </row>
    <row r="10967" spans="39:41" ht="12" customHeight="1" x14ac:dyDescent="0.2">
      <c r="AM10967" t="str">
        <f t="shared" si="171"/>
        <v>Olderdalen [NOOLL]</v>
      </c>
      <c r="AN10967" t="s">
        <v>24583</v>
      </c>
      <c r="AO10967" t="s">
        <v>24584</v>
      </c>
    </row>
    <row r="10968" spans="39:41" ht="12" customHeight="1" x14ac:dyDescent="0.2">
      <c r="AM10968" t="str">
        <f t="shared" si="171"/>
        <v>Oldersum [DEOLU]</v>
      </c>
      <c r="AN10968" t="s">
        <v>8061</v>
      </c>
      <c r="AO10968" t="s">
        <v>8062</v>
      </c>
    </row>
    <row r="10969" spans="39:41" ht="12" customHeight="1" x14ac:dyDescent="0.2">
      <c r="AM10969" t="str">
        <f t="shared" si="171"/>
        <v>Oldervik [NOOLR]</v>
      </c>
      <c r="AN10969" t="s">
        <v>24585</v>
      </c>
      <c r="AO10969" t="s">
        <v>24586</v>
      </c>
    </row>
    <row r="10970" spans="39:41" ht="12" customHeight="1" x14ac:dyDescent="0.2">
      <c r="AM10970" t="str">
        <f t="shared" si="171"/>
        <v>Oldham [GBODH]</v>
      </c>
      <c r="AN10970" t="s">
        <v>14003</v>
      </c>
      <c r="AO10970" t="s">
        <v>14004</v>
      </c>
    </row>
    <row r="10971" spans="39:41" ht="12" customHeight="1" x14ac:dyDescent="0.2">
      <c r="AM10971" t="str">
        <f t="shared" si="171"/>
        <v>Olee Lheue [IDOLO]</v>
      </c>
      <c r="AN10971" t="s">
        <v>16460</v>
      </c>
      <c r="AO10971" t="s">
        <v>16461</v>
      </c>
    </row>
    <row r="10972" spans="39:41" ht="12" customHeight="1" x14ac:dyDescent="0.2">
      <c r="AM10972" t="str">
        <f t="shared" si="171"/>
        <v>Olekminsk [RUOMK]</v>
      </c>
      <c r="AN10972" t="s">
        <v>27143</v>
      </c>
      <c r="AO10972" t="s">
        <v>27144</v>
      </c>
    </row>
    <row r="10973" spans="39:41" ht="12" customHeight="1" x14ac:dyDescent="0.2">
      <c r="AM10973" t="str">
        <f t="shared" si="171"/>
        <v>Olen [BEOLN]</v>
      </c>
      <c r="AN10973" t="s">
        <v>2799</v>
      </c>
      <c r="AO10973" t="s">
        <v>2800</v>
      </c>
    </row>
    <row r="10974" spans="39:41" ht="12" customHeight="1" x14ac:dyDescent="0.2">
      <c r="AM10974" t="str">
        <f t="shared" si="171"/>
        <v>Olen [NOOLN]</v>
      </c>
      <c r="AN10974" t="s">
        <v>24587</v>
      </c>
      <c r="AO10974" t="s">
        <v>2800</v>
      </c>
    </row>
    <row r="10975" spans="39:41" ht="12" customHeight="1" x14ac:dyDescent="0.2">
      <c r="AM10975" t="str">
        <f t="shared" si="171"/>
        <v>Oleniy Ostrov [RUOLO]</v>
      </c>
      <c r="AN10975" t="s">
        <v>27145</v>
      </c>
      <c r="AO10975" t="s">
        <v>27146</v>
      </c>
    </row>
    <row r="10976" spans="39:41" ht="12" customHeight="1" x14ac:dyDescent="0.2">
      <c r="AM10976" t="str">
        <f t="shared" si="171"/>
        <v>Olenya, Guba [RUOLG]</v>
      </c>
      <c r="AN10976" t="s">
        <v>27147</v>
      </c>
      <c r="AO10976" t="s">
        <v>27148</v>
      </c>
    </row>
    <row r="10977" spans="39:41" ht="12" customHeight="1" x14ac:dyDescent="0.2">
      <c r="AM10977" t="str">
        <f t="shared" si="171"/>
        <v>Oleum [USOL2]</v>
      </c>
      <c r="AN10977" t="s">
        <v>30905</v>
      </c>
      <c r="AO10977" t="s">
        <v>30906</v>
      </c>
    </row>
    <row r="10978" spans="39:41" ht="12" customHeight="1" x14ac:dyDescent="0.2">
      <c r="AM10978" t="str">
        <f t="shared" si="171"/>
        <v>Ol'ga [RUOLP]</v>
      </c>
      <c r="AN10978" t="s">
        <v>35011</v>
      </c>
      <c r="AO10978" t="s">
        <v>35012</v>
      </c>
    </row>
    <row r="10979" spans="39:41" ht="12" customHeight="1" x14ac:dyDescent="0.2">
      <c r="AM10979" t="str">
        <f t="shared" si="171"/>
        <v>Olhao [PTOLH]</v>
      </c>
      <c r="AN10979" t="s">
        <v>26555</v>
      </c>
      <c r="AO10979" t="s">
        <v>36388</v>
      </c>
    </row>
    <row r="10980" spans="39:41" ht="12" customHeight="1" x14ac:dyDescent="0.2">
      <c r="AM10980" t="str">
        <f t="shared" si="171"/>
        <v>Olhos de Agua [PTOLA]</v>
      </c>
      <c r="AN10980" t="s">
        <v>26556</v>
      </c>
      <c r="AO10980" t="s">
        <v>36389</v>
      </c>
    </row>
    <row r="10981" spans="39:41" ht="12" customHeight="1" x14ac:dyDescent="0.2">
      <c r="AM10981" t="str">
        <f t="shared" si="171"/>
        <v>Olias del Rey [ESOLY]</v>
      </c>
      <c r="AN10981" t="s">
        <v>9998</v>
      </c>
      <c r="AO10981" t="s">
        <v>9999</v>
      </c>
    </row>
    <row r="10982" spans="39:41" ht="12" customHeight="1" x14ac:dyDescent="0.2">
      <c r="AM10982" t="str">
        <f t="shared" si="171"/>
        <v>Oliver [CAOVR]</v>
      </c>
      <c r="AN10982" t="s">
        <v>4185</v>
      </c>
      <c r="AO10982" t="s">
        <v>4186</v>
      </c>
    </row>
    <row r="10983" spans="39:41" ht="12" customHeight="1" x14ac:dyDescent="0.2">
      <c r="AM10983" t="str">
        <f t="shared" si="171"/>
        <v>Olivette [USZOT]</v>
      </c>
      <c r="AN10983" t="s">
        <v>30907</v>
      </c>
      <c r="AO10983" t="s">
        <v>30908</v>
      </c>
    </row>
    <row r="10984" spans="39:41" ht="12" customHeight="1" x14ac:dyDescent="0.2">
      <c r="AM10984" t="str">
        <f t="shared" si="171"/>
        <v>Olkiluoto [FIOLK]</v>
      </c>
      <c r="AN10984" t="s">
        <v>10490</v>
      </c>
      <c r="AO10984" t="s">
        <v>10491</v>
      </c>
    </row>
    <row r="10985" spans="39:41" ht="12" customHeight="1" x14ac:dyDescent="0.2">
      <c r="AM10985" t="str">
        <f t="shared" si="171"/>
        <v>Ollignies [BEOGS]</v>
      </c>
      <c r="AN10985" t="s">
        <v>2801</v>
      </c>
      <c r="AO10985" t="s">
        <v>2802</v>
      </c>
    </row>
    <row r="10986" spans="39:41" ht="12" customHeight="1" x14ac:dyDescent="0.2">
      <c r="AM10986" t="str">
        <f t="shared" si="171"/>
        <v>Olongapo [PHOLO]</v>
      </c>
      <c r="AN10986" t="s">
        <v>26001</v>
      </c>
      <c r="AO10986" t="s">
        <v>26002</v>
      </c>
    </row>
    <row r="10987" spans="39:41" ht="12" customHeight="1" x14ac:dyDescent="0.2">
      <c r="AM10987" t="str">
        <f t="shared" si="171"/>
        <v>Olonzac [FR43H]</v>
      </c>
      <c r="AN10987" t="s">
        <v>11757</v>
      </c>
      <c r="AO10987" t="s">
        <v>11758</v>
      </c>
    </row>
    <row r="10988" spans="39:41" ht="12" customHeight="1" x14ac:dyDescent="0.2">
      <c r="AM10988" t="str">
        <f t="shared" si="171"/>
        <v>Olpenitz [DEOLP]</v>
      </c>
      <c r="AN10988" t="s">
        <v>8063</v>
      </c>
      <c r="AO10988" t="s">
        <v>8064</v>
      </c>
    </row>
    <row r="10989" spans="39:41" ht="12" customHeight="1" x14ac:dyDescent="0.2">
      <c r="AM10989" t="str">
        <f t="shared" si="171"/>
        <v>Oltenita [ROOLT]</v>
      </c>
      <c r="AN10989" t="s">
        <v>26795</v>
      </c>
      <c r="AO10989" t="s">
        <v>26796</v>
      </c>
    </row>
    <row r="10990" spans="39:41" ht="12" customHeight="1" x14ac:dyDescent="0.2">
      <c r="AM10990" t="str">
        <f t="shared" si="171"/>
        <v>Olton [USQOT]</v>
      </c>
      <c r="AN10990" t="s">
        <v>30909</v>
      </c>
      <c r="AO10990" t="s">
        <v>30910</v>
      </c>
    </row>
    <row r="10991" spans="39:41" ht="12" customHeight="1" x14ac:dyDescent="0.2">
      <c r="AM10991" t="str">
        <f t="shared" si="171"/>
        <v>Oluvil [LKOLU]</v>
      </c>
      <c r="AN10991" t="s">
        <v>21847</v>
      </c>
      <c r="AO10991" t="s">
        <v>21848</v>
      </c>
    </row>
    <row r="10992" spans="39:41" ht="12" customHeight="1" x14ac:dyDescent="0.2">
      <c r="AM10992" t="str">
        <f t="shared" ref="AM10992:AM11054" si="172">AO10992 &amp; " [" &amp; AN10992 &amp; "]"</f>
        <v>Olve [NOOLV]</v>
      </c>
      <c r="AN10992" t="s">
        <v>24588</v>
      </c>
      <c r="AO10992" t="s">
        <v>36263</v>
      </c>
    </row>
    <row r="10993" spans="39:41" ht="12" customHeight="1" x14ac:dyDescent="0.2">
      <c r="AM10993" t="str">
        <f t="shared" si="172"/>
        <v>Olya [RUOYA]</v>
      </c>
      <c r="AN10993" t="s">
        <v>27149</v>
      </c>
      <c r="AO10993" t="s">
        <v>27150</v>
      </c>
    </row>
    <row r="10994" spans="39:41" ht="12" customHeight="1" x14ac:dyDescent="0.2">
      <c r="AM10994" t="str">
        <f t="shared" si="172"/>
        <v>Olympia [USOLM]</v>
      </c>
      <c r="AN10994" t="s">
        <v>30911</v>
      </c>
      <c r="AO10994" t="s">
        <v>30912</v>
      </c>
    </row>
    <row r="10995" spans="39:41" ht="12" customHeight="1" x14ac:dyDescent="0.2">
      <c r="AM10995" t="str">
        <f t="shared" si="172"/>
        <v>Olyphant [USQOA]</v>
      </c>
      <c r="AN10995" t="s">
        <v>30913</v>
      </c>
      <c r="AO10995" t="s">
        <v>30914</v>
      </c>
    </row>
    <row r="10996" spans="39:41" ht="12" customHeight="1" x14ac:dyDescent="0.2">
      <c r="AM10996" t="str">
        <f t="shared" si="172"/>
        <v>Oma [JPOAX]</v>
      </c>
      <c r="AN10996" t="s">
        <v>20454</v>
      </c>
      <c r="AO10996" t="s">
        <v>20455</v>
      </c>
    </row>
    <row r="10997" spans="39:41" ht="12" customHeight="1" x14ac:dyDescent="0.2">
      <c r="AM10997" t="str">
        <f t="shared" si="172"/>
        <v>Omaezaki [JPOMZ]</v>
      </c>
      <c r="AN10997" t="s">
        <v>20456</v>
      </c>
      <c r="AO10997" t="s">
        <v>20457</v>
      </c>
    </row>
    <row r="10998" spans="39:41" ht="12" customHeight="1" x14ac:dyDescent="0.2">
      <c r="AM10998" t="str">
        <f t="shared" si="172"/>
        <v>Omaha [USOMA]</v>
      </c>
      <c r="AN10998" t="s">
        <v>30915</v>
      </c>
      <c r="AO10998" t="s">
        <v>30916</v>
      </c>
    </row>
    <row r="10999" spans="39:41" ht="12" customHeight="1" x14ac:dyDescent="0.2">
      <c r="AM10999" t="str">
        <f t="shared" si="172"/>
        <v>Omastranda [NOOMA]</v>
      </c>
      <c r="AN10999" t="s">
        <v>24589</v>
      </c>
      <c r="AO10999" t="s">
        <v>24590</v>
      </c>
    </row>
    <row r="11000" spans="39:41" ht="12" customHeight="1" x14ac:dyDescent="0.2">
      <c r="AM11000" t="str">
        <f t="shared" si="172"/>
        <v>Ombo [NOOMB]</v>
      </c>
      <c r="AN11000" t="s">
        <v>24591</v>
      </c>
      <c r="AO11000" t="s">
        <v>24592</v>
      </c>
    </row>
    <row r="11001" spans="39:41" ht="12" customHeight="1" x14ac:dyDescent="0.2">
      <c r="AM11001" t="str">
        <f t="shared" si="172"/>
        <v>Ombret-Rawsa [BEOBT]</v>
      </c>
      <c r="AN11001" t="s">
        <v>2803</v>
      </c>
      <c r="AO11001" t="s">
        <v>2804</v>
      </c>
    </row>
    <row r="11002" spans="39:41" ht="12" customHeight="1" x14ac:dyDescent="0.2">
      <c r="AM11002" t="str">
        <f t="shared" si="172"/>
        <v>Omedu Rand [EEOMR]</v>
      </c>
      <c r="AN11002" t="s">
        <v>9280</v>
      </c>
      <c r="AO11002" t="s">
        <v>9281</v>
      </c>
    </row>
    <row r="11003" spans="39:41" ht="12" customHeight="1" x14ac:dyDescent="0.2">
      <c r="AM11003" t="str">
        <f t="shared" si="172"/>
        <v>Omi [JPAOM]</v>
      </c>
      <c r="AN11003" t="s">
        <v>20458</v>
      </c>
      <c r="AO11003" t="s">
        <v>20459</v>
      </c>
    </row>
    <row r="11004" spans="39:41" ht="12" customHeight="1" x14ac:dyDescent="0.2">
      <c r="AM11004" t="str">
        <f t="shared" si="172"/>
        <v>Omi [JPOMI]</v>
      </c>
      <c r="AN11004" t="s">
        <v>20460</v>
      </c>
      <c r="AO11004" t="s">
        <v>20459</v>
      </c>
    </row>
    <row r="11005" spans="39:41" ht="12" customHeight="1" x14ac:dyDescent="0.2">
      <c r="AM11005" t="str">
        <f t="shared" si="172"/>
        <v>Ominato [JPOMT]</v>
      </c>
      <c r="AN11005" t="s">
        <v>20461</v>
      </c>
      <c r="AO11005" t="s">
        <v>20462</v>
      </c>
    </row>
    <row r="11006" spans="39:41" ht="12" customHeight="1" x14ac:dyDescent="0.2">
      <c r="AM11006" t="str">
        <f t="shared" si="172"/>
        <v>Omis [HROMS]</v>
      </c>
      <c r="AN11006" t="s">
        <v>15842</v>
      </c>
      <c r="AO11006" t="s">
        <v>15843</v>
      </c>
    </row>
    <row r="11007" spans="39:41" ht="12" customHeight="1" x14ac:dyDescent="0.2">
      <c r="AM11007" t="str">
        <f t="shared" si="172"/>
        <v>Omisalj [HROMI]</v>
      </c>
      <c r="AN11007" t="s">
        <v>15844</v>
      </c>
      <c r="AO11007" t="s">
        <v>15845</v>
      </c>
    </row>
    <row r="11008" spans="39:41" ht="12" customHeight="1" x14ac:dyDescent="0.2">
      <c r="AM11008" t="str">
        <f t="shared" si="172"/>
        <v>Omishima [JPOMS]</v>
      </c>
      <c r="AN11008" t="s">
        <v>20463</v>
      </c>
      <c r="AO11008" t="s">
        <v>20464</v>
      </c>
    </row>
    <row r="11009" spans="39:41" ht="12" customHeight="1" x14ac:dyDescent="0.2">
      <c r="AM11009" t="str">
        <f t="shared" si="172"/>
        <v>Omiyaji [JPOMY]</v>
      </c>
      <c r="AN11009" t="s">
        <v>20465</v>
      </c>
      <c r="AO11009" t="s">
        <v>20466</v>
      </c>
    </row>
    <row r="11010" spans="39:41" ht="12" customHeight="1" x14ac:dyDescent="0.2">
      <c r="AM11010" t="str">
        <f t="shared" si="172"/>
        <v>Omo [DKOMO]</v>
      </c>
      <c r="AN11010" t="s">
        <v>8845</v>
      </c>
      <c r="AO11010" t="s">
        <v>35567</v>
      </c>
    </row>
    <row r="11011" spans="39:41" ht="12" customHeight="1" x14ac:dyDescent="0.2">
      <c r="AM11011" t="str">
        <f t="shared" si="172"/>
        <v>Omoa [HNOMO]</v>
      </c>
      <c r="AN11011" t="s">
        <v>15677</v>
      </c>
      <c r="AO11011" t="s">
        <v>15678</v>
      </c>
    </row>
    <row r="11012" spans="39:41" ht="12" customHeight="1" x14ac:dyDescent="0.2">
      <c r="AM11012" t="str">
        <f t="shared" si="172"/>
        <v>Omodaka [JPOMD]</v>
      </c>
      <c r="AN11012" t="s">
        <v>20467</v>
      </c>
      <c r="AO11012" t="s">
        <v>20468</v>
      </c>
    </row>
    <row r="11013" spans="39:41" ht="12" customHeight="1" x14ac:dyDescent="0.2">
      <c r="AM11013" t="str">
        <f t="shared" si="172"/>
        <v>Omon [JPOMN]</v>
      </c>
      <c r="AN11013" t="s">
        <v>20469</v>
      </c>
      <c r="AO11013" t="s">
        <v>20470</v>
      </c>
    </row>
    <row r="11014" spans="39:41" ht="12" customHeight="1" x14ac:dyDescent="0.2">
      <c r="AM11014" t="str">
        <f t="shared" si="172"/>
        <v>Omonawa [JPOMW]</v>
      </c>
      <c r="AN11014" t="s">
        <v>20471</v>
      </c>
      <c r="AO11014" t="s">
        <v>20472</v>
      </c>
    </row>
    <row r="11015" spans="39:41" ht="12" customHeight="1" x14ac:dyDescent="0.2">
      <c r="AM11015" t="str">
        <f t="shared" si="172"/>
        <v>Omosu [JPOJM]</v>
      </c>
      <c r="AN11015" t="s">
        <v>20473</v>
      </c>
      <c r="AO11015" t="s">
        <v>20474</v>
      </c>
    </row>
    <row r="11016" spans="39:41" ht="12" customHeight="1" x14ac:dyDescent="0.2">
      <c r="AM11016" t="str">
        <f t="shared" si="172"/>
        <v>Omotehama [JPOMH]</v>
      </c>
      <c r="AN11016" t="s">
        <v>20475</v>
      </c>
      <c r="AO11016" t="s">
        <v>20476</v>
      </c>
    </row>
    <row r="11017" spans="39:41" ht="12" customHeight="1" x14ac:dyDescent="0.2">
      <c r="AM11017" t="str">
        <f t="shared" si="172"/>
        <v>Omoto [JPOMO]</v>
      </c>
      <c r="AN11017" t="s">
        <v>20477</v>
      </c>
      <c r="AO11017" t="s">
        <v>20478</v>
      </c>
    </row>
    <row r="11018" spans="39:41" ht="12" customHeight="1" x14ac:dyDescent="0.2">
      <c r="AM11018" t="str">
        <f t="shared" si="172"/>
        <v>Omu [JPOUM]</v>
      </c>
      <c r="AN11018" t="s">
        <v>20479</v>
      </c>
      <c r="AO11018" t="s">
        <v>20480</v>
      </c>
    </row>
    <row r="11019" spans="39:41" ht="12" customHeight="1" x14ac:dyDescent="0.2">
      <c r="AM11019" t="str">
        <f t="shared" si="172"/>
        <v>Omura [JPOMJ]</v>
      </c>
      <c r="AN11019" t="s">
        <v>20481</v>
      </c>
      <c r="AO11019" t="s">
        <v>20482</v>
      </c>
    </row>
    <row r="11020" spans="39:41" ht="12" customHeight="1" x14ac:dyDescent="0.2">
      <c r="AM11020" t="str">
        <f t="shared" si="172"/>
        <v>Omuta [JPOMU]</v>
      </c>
      <c r="AN11020" t="s">
        <v>20483</v>
      </c>
      <c r="AO11020" t="s">
        <v>20484</v>
      </c>
    </row>
    <row r="11021" spans="39:41" ht="12" customHeight="1" x14ac:dyDescent="0.2">
      <c r="AM11021" t="str">
        <f t="shared" si="172"/>
        <v>On [SEOEN]</v>
      </c>
      <c r="AN11021" t="s">
        <v>27790</v>
      </c>
      <c r="AO11021" t="s">
        <v>75</v>
      </c>
    </row>
    <row r="11022" spans="39:41" ht="12" customHeight="1" x14ac:dyDescent="0.2">
      <c r="AM11022" t="str">
        <f t="shared" si="172"/>
        <v>Onagawa [JPONG]</v>
      </c>
      <c r="AN11022" t="s">
        <v>20485</v>
      </c>
      <c r="AO11022" t="s">
        <v>20486</v>
      </c>
    </row>
    <row r="11023" spans="39:41" ht="12" customHeight="1" x14ac:dyDescent="0.2">
      <c r="AM11023" t="str">
        <f t="shared" si="172"/>
        <v>Onahama [JPONA]</v>
      </c>
      <c r="AN11023" t="s">
        <v>20487</v>
      </c>
      <c r="AO11023" t="s">
        <v>20488</v>
      </c>
    </row>
    <row r="11024" spans="39:41" ht="12" customHeight="1" x14ac:dyDescent="0.2">
      <c r="AM11024" t="str">
        <f t="shared" si="172"/>
        <v>Onawa [USIA3]</v>
      </c>
      <c r="AN11024" t="s">
        <v>30917</v>
      </c>
      <c r="AO11024" t="s">
        <v>30918</v>
      </c>
    </row>
    <row r="11025" spans="39:41" ht="12" customHeight="1" x14ac:dyDescent="0.2">
      <c r="AM11025" t="str">
        <f t="shared" si="172"/>
        <v>Ondarroa [ESOND]</v>
      </c>
      <c r="AN11025" t="s">
        <v>10000</v>
      </c>
      <c r="AO11025" t="s">
        <v>35686</v>
      </c>
    </row>
    <row r="11026" spans="39:41" ht="12" customHeight="1" x14ac:dyDescent="0.2">
      <c r="AM11026" t="str">
        <f t="shared" si="172"/>
        <v>Ondes [FRJFM]</v>
      </c>
      <c r="AN11026" t="s">
        <v>11759</v>
      </c>
      <c r="AO11026" t="s">
        <v>11760</v>
      </c>
    </row>
    <row r="11027" spans="39:41" ht="12" customHeight="1" x14ac:dyDescent="0.2">
      <c r="AM11027" t="str">
        <f t="shared" si="172"/>
        <v>Onega [RUONG]</v>
      </c>
      <c r="AN11027" t="s">
        <v>27151</v>
      </c>
      <c r="AO11027" t="s">
        <v>27152</v>
      </c>
    </row>
    <row r="11028" spans="39:41" ht="12" customHeight="1" x14ac:dyDescent="0.2">
      <c r="AM11028" t="str">
        <f t="shared" si="172"/>
        <v>Oneglia [ITONE]</v>
      </c>
      <c r="AN11028" t="s">
        <v>18119</v>
      </c>
      <c r="AO11028" t="s">
        <v>18120</v>
      </c>
    </row>
    <row r="11029" spans="39:41" ht="12" customHeight="1" x14ac:dyDescent="0.2">
      <c r="AM11029" t="str">
        <f t="shared" si="172"/>
        <v>Onehunga (Manukau Harbour) [NZONE]</v>
      </c>
      <c r="AN11029" t="s">
        <v>25088</v>
      </c>
      <c r="AO11029" t="s">
        <v>25089</v>
      </c>
    </row>
    <row r="11030" spans="39:41" ht="12" customHeight="1" x14ac:dyDescent="0.2">
      <c r="AM11030" t="str">
        <f t="shared" si="172"/>
        <v>Ongachi [JPOGC]</v>
      </c>
      <c r="AN11030" t="s">
        <v>20489</v>
      </c>
      <c r="AO11030" t="s">
        <v>20490</v>
      </c>
    </row>
    <row r="11031" spans="39:41" ht="12" customHeight="1" x14ac:dyDescent="0.2">
      <c r="AM11031" t="str">
        <f t="shared" si="172"/>
        <v>Oniike [JPONJ]</v>
      </c>
      <c r="AN11031" t="s">
        <v>20491</v>
      </c>
      <c r="AO11031" t="s">
        <v>20492</v>
      </c>
    </row>
    <row r="11032" spans="39:41" ht="12" customHeight="1" x14ac:dyDescent="0.2">
      <c r="AM11032" t="str">
        <f t="shared" si="172"/>
        <v>Oniki [JPONK]</v>
      </c>
      <c r="AN11032" t="s">
        <v>20493</v>
      </c>
      <c r="AO11032" t="s">
        <v>20494</v>
      </c>
    </row>
    <row r="11033" spans="39:41" ht="12" customHeight="1" x14ac:dyDescent="0.2">
      <c r="AM11033" t="str">
        <f t="shared" si="172"/>
        <v>Onishi [JPONI]</v>
      </c>
      <c r="AN11033" t="s">
        <v>20495</v>
      </c>
      <c r="AO11033" t="s">
        <v>20496</v>
      </c>
    </row>
    <row r="11034" spans="39:41" ht="12" customHeight="1" x14ac:dyDescent="0.2">
      <c r="AM11034" t="str">
        <f t="shared" si="172"/>
        <v>Oniwaki [JPONW]</v>
      </c>
      <c r="AN11034" t="s">
        <v>20497</v>
      </c>
      <c r="AO11034" t="s">
        <v>20498</v>
      </c>
    </row>
    <row r="11035" spans="39:41" ht="12" customHeight="1" x14ac:dyDescent="0.2">
      <c r="AM11035" t="str">
        <f t="shared" si="172"/>
        <v>Onjal [INONJ]</v>
      </c>
      <c r="AN11035" t="s">
        <v>17357</v>
      </c>
      <c r="AO11035" t="s">
        <v>17358</v>
      </c>
    </row>
    <row r="11036" spans="39:41" ht="12" customHeight="1" x14ac:dyDescent="0.2">
      <c r="AM11036" t="str">
        <f t="shared" si="172"/>
        <v>Onkerzele [BEOZL]</v>
      </c>
      <c r="AN11036" t="s">
        <v>2805</v>
      </c>
      <c r="AO11036" t="s">
        <v>2806</v>
      </c>
    </row>
    <row r="11037" spans="39:41" ht="12" customHeight="1" x14ac:dyDescent="0.2">
      <c r="AM11037" t="str">
        <f t="shared" si="172"/>
        <v>Onne [NGONN]</v>
      </c>
      <c r="AN11037" t="s">
        <v>22965</v>
      </c>
      <c r="AO11037" t="s">
        <v>22966</v>
      </c>
    </row>
    <row r="11038" spans="39:41" ht="12" customHeight="1" x14ac:dyDescent="0.2">
      <c r="AM11038" t="str">
        <f t="shared" si="172"/>
        <v>Onoaida [JPOAD]</v>
      </c>
      <c r="AN11038" t="s">
        <v>20499</v>
      </c>
      <c r="AO11038" t="s">
        <v>20500</v>
      </c>
    </row>
    <row r="11039" spans="39:41" ht="12" customHeight="1" x14ac:dyDescent="0.2">
      <c r="AM11039" t="str">
        <f t="shared" si="172"/>
        <v>Onoda [JPOND]</v>
      </c>
      <c r="AN11039" t="s">
        <v>20501</v>
      </c>
      <c r="AO11039" t="s">
        <v>20502</v>
      </c>
    </row>
    <row r="11040" spans="39:41" ht="12" customHeight="1" x14ac:dyDescent="0.2">
      <c r="AM11040" t="str">
        <f t="shared" si="172"/>
        <v>Onomichi [JPONO]</v>
      </c>
      <c r="AN11040" t="s">
        <v>20503</v>
      </c>
      <c r="AO11040" t="s">
        <v>20504</v>
      </c>
    </row>
    <row r="11041" spans="39:41" ht="12" customHeight="1" x14ac:dyDescent="0.2">
      <c r="AM11041" t="str">
        <f t="shared" si="172"/>
        <v>OnomichiItozaki [JPONX]</v>
      </c>
      <c r="AN11041" t="s">
        <v>20505</v>
      </c>
      <c r="AO11041" t="s">
        <v>20506</v>
      </c>
    </row>
    <row r="11042" spans="39:41" ht="12" customHeight="1" x14ac:dyDescent="0.2">
      <c r="AM11042" t="str">
        <f t="shared" si="172"/>
        <v>Onsan/Ulsan [KRONS]</v>
      </c>
      <c r="AN11042" t="s">
        <v>21702</v>
      </c>
      <c r="AO11042" t="s">
        <v>21703</v>
      </c>
    </row>
    <row r="11043" spans="39:41" ht="12" customHeight="1" x14ac:dyDescent="0.2">
      <c r="AM11043" t="str">
        <f t="shared" si="172"/>
        <v>Onslow [AUONS]</v>
      </c>
      <c r="AN11043" t="s">
        <v>1884</v>
      </c>
      <c r="AO11043" t="s">
        <v>1885</v>
      </c>
    </row>
    <row r="11044" spans="39:41" ht="12" customHeight="1" x14ac:dyDescent="0.2">
      <c r="AM11044" t="str">
        <f t="shared" si="172"/>
        <v>Ontario [USOT5]</v>
      </c>
      <c r="AN11044" t="s">
        <v>30919</v>
      </c>
      <c r="AO11044" t="s">
        <v>30920</v>
      </c>
    </row>
    <row r="11045" spans="39:41" ht="12" customHeight="1" x14ac:dyDescent="0.2">
      <c r="AM11045" t="str">
        <f t="shared" si="172"/>
        <v>Ontonagon [USONG]</v>
      </c>
      <c r="AN11045" t="s">
        <v>30921</v>
      </c>
      <c r="AO11045" t="s">
        <v>30922</v>
      </c>
    </row>
    <row r="11046" spans="39:41" ht="12" customHeight="1" x14ac:dyDescent="0.2">
      <c r="AM11046" t="str">
        <f t="shared" si="172"/>
        <v>Ooigem [BEOOG]</v>
      </c>
      <c r="AN11046" t="s">
        <v>2807</v>
      </c>
      <c r="AO11046" t="s">
        <v>2808</v>
      </c>
    </row>
    <row r="11047" spans="39:41" ht="12" customHeight="1" x14ac:dyDescent="0.2">
      <c r="AM11047" t="str">
        <f t="shared" si="172"/>
        <v>Ooltewah [USZOW]</v>
      </c>
      <c r="AN11047" t="s">
        <v>30923</v>
      </c>
      <c r="AO11047" t="s">
        <v>30924</v>
      </c>
    </row>
    <row r="11048" spans="39:41" ht="12" customHeight="1" x14ac:dyDescent="0.2">
      <c r="AM11048" t="str">
        <f t="shared" si="172"/>
        <v>Ooltgensplaat [NLOGP]</v>
      </c>
      <c r="AN11048" t="s">
        <v>23484</v>
      </c>
      <c r="AO11048" t="s">
        <v>23485</v>
      </c>
    </row>
    <row r="11049" spans="39:41" ht="12" customHeight="1" x14ac:dyDescent="0.2">
      <c r="AM11049" t="str">
        <f t="shared" si="172"/>
        <v>Oortkaten [DEOTK]</v>
      </c>
      <c r="AN11049" t="s">
        <v>8065</v>
      </c>
      <c r="AO11049" t="s">
        <v>8066</v>
      </c>
    </row>
    <row r="11050" spans="39:41" ht="12" customHeight="1" x14ac:dyDescent="0.2">
      <c r="AM11050" t="str">
        <f t="shared" si="172"/>
        <v>Oostende (Ostend) [BEOST]</v>
      </c>
      <c r="AN11050" t="s">
        <v>2809</v>
      </c>
      <c r="AO11050" t="s">
        <v>2810</v>
      </c>
    </row>
    <row r="11051" spans="39:41" ht="12" customHeight="1" x14ac:dyDescent="0.2">
      <c r="AM11051" t="str">
        <f t="shared" si="172"/>
        <v>Oosterhout [NLOOS]</v>
      </c>
      <c r="AN11051" t="s">
        <v>23486</v>
      </c>
      <c r="AO11051" t="s">
        <v>23487</v>
      </c>
    </row>
    <row r="11052" spans="39:41" ht="12" customHeight="1" x14ac:dyDescent="0.2">
      <c r="AM11052" t="str">
        <f t="shared" si="172"/>
        <v>Oosterlittens [NLOLS]</v>
      </c>
      <c r="AN11052" t="s">
        <v>23488</v>
      </c>
      <c r="AO11052" t="s">
        <v>23489</v>
      </c>
    </row>
    <row r="11053" spans="39:41" ht="12" customHeight="1" x14ac:dyDescent="0.2">
      <c r="AM11053" t="str">
        <f t="shared" si="172"/>
        <v>Oosterlo [BEOTL]</v>
      </c>
      <c r="AN11053" t="s">
        <v>2811</v>
      </c>
      <c r="AO11053" t="s">
        <v>2812</v>
      </c>
    </row>
    <row r="11054" spans="39:41" ht="12" customHeight="1" x14ac:dyDescent="0.2">
      <c r="AM11054" t="str">
        <f t="shared" si="172"/>
        <v>Oostermeer [NLOME]</v>
      </c>
      <c r="AN11054" t="s">
        <v>23490</v>
      </c>
      <c r="AO11054" t="s">
        <v>23491</v>
      </c>
    </row>
    <row r="11055" spans="39:41" ht="12" customHeight="1" x14ac:dyDescent="0.2">
      <c r="AM11055" t="str">
        <f t="shared" ref="AM11055:AM11118" si="173">AO11055 &amp; " [" &amp; AN11055 &amp; "]"</f>
        <v>Oostham [BEOSH]</v>
      </c>
      <c r="AN11055" t="s">
        <v>36793</v>
      </c>
      <c r="AO11055" t="s">
        <v>36794</v>
      </c>
    </row>
    <row r="11056" spans="39:41" ht="12" customHeight="1" x14ac:dyDescent="0.2">
      <c r="AM11056" t="str">
        <f t="shared" si="173"/>
        <v>Oosthem [NLOHM]</v>
      </c>
      <c r="AN11056" t="s">
        <v>23492</v>
      </c>
      <c r="AO11056" t="s">
        <v>23493</v>
      </c>
    </row>
    <row r="11057" spans="39:41" ht="12" customHeight="1" x14ac:dyDescent="0.2">
      <c r="AM11057" t="str">
        <f t="shared" si="173"/>
        <v>Oosthuizen [NLOHZ]</v>
      </c>
      <c r="AN11057" t="s">
        <v>23494</v>
      </c>
      <c r="AO11057" t="s">
        <v>23495</v>
      </c>
    </row>
    <row r="11058" spans="39:41" ht="12" customHeight="1" x14ac:dyDescent="0.2">
      <c r="AM11058" t="str">
        <f t="shared" si="173"/>
        <v>Oostkamp [BEOKP]</v>
      </c>
      <c r="AN11058" t="s">
        <v>2813</v>
      </c>
      <c r="AO11058" t="s">
        <v>2814</v>
      </c>
    </row>
    <row r="11059" spans="39:41" ht="12" customHeight="1" x14ac:dyDescent="0.2">
      <c r="AM11059" t="str">
        <f t="shared" si="173"/>
        <v>Oostkerke [BEOTK]</v>
      </c>
      <c r="AN11059" t="s">
        <v>2815</v>
      </c>
      <c r="AO11059" t="s">
        <v>2816</v>
      </c>
    </row>
    <row r="11060" spans="39:41" ht="12" customHeight="1" x14ac:dyDescent="0.2">
      <c r="AM11060" t="str">
        <f t="shared" si="173"/>
        <v>Oostmahorn [NLOMH]</v>
      </c>
      <c r="AN11060" t="s">
        <v>23496</v>
      </c>
      <c r="AO11060" t="s">
        <v>23497</v>
      </c>
    </row>
    <row r="11061" spans="39:41" ht="12" customHeight="1" x14ac:dyDescent="0.2">
      <c r="AM11061" t="str">
        <f t="shared" si="173"/>
        <v>Opatija [HROPA]</v>
      </c>
      <c r="AN11061" t="s">
        <v>15846</v>
      </c>
      <c r="AO11061" t="s">
        <v>15847</v>
      </c>
    </row>
    <row r="11062" spans="39:41" ht="12" customHeight="1" x14ac:dyDescent="0.2">
      <c r="AM11062" t="str">
        <f t="shared" si="173"/>
        <v>Opatovac [HROPT]</v>
      </c>
      <c r="AN11062" t="s">
        <v>15848</v>
      </c>
      <c r="AO11062" t="s">
        <v>15849</v>
      </c>
    </row>
    <row r="11063" spans="39:41" ht="12" customHeight="1" x14ac:dyDescent="0.2">
      <c r="AM11063" t="str">
        <f t="shared" si="173"/>
        <v>Ophoven [BEOHN]</v>
      </c>
      <c r="AN11063" t="s">
        <v>2817</v>
      </c>
      <c r="AO11063" t="s">
        <v>2818</v>
      </c>
    </row>
    <row r="11064" spans="39:41" ht="12" customHeight="1" x14ac:dyDescent="0.2">
      <c r="AM11064" t="str">
        <f t="shared" si="173"/>
        <v>Opitter [BEOPI]</v>
      </c>
      <c r="AN11064" t="s">
        <v>2819</v>
      </c>
      <c r="AO11064" t="s">
        <v>2820</v>
      </c>
    </row>
    <row r="11065" spans="39:41" ht="12" customHeight="1" x14ac:dyDescent="0.2">
      <c r="AM11065" t="str">
        <f t="shared" si="173"/>
        <v>Opocno [CZOCX]</v>
      </c>
      <c r="AN11065" t="s">
        <v>6908</v>
      </c>
      <c r="AO11065" t="s">
        <v>6909</v>
      </c>
    </row>
    <row r="11066" spans="39:41" ht="12" customHeight="1" x14ac:dyDescent="0.2">
      <c r="AM11066" t="str">
        <f t="shared" si="173"/>
        <v>Opol [PHOPO]</v>
      </c>
      <c r="AN11066" t="s">
        <v>26003</v>
      </c>
      <c r="AO11066" t="s">
        <v>26004</v>
      </c>
    </row>
    <row r="11067" spans="39:41" ht="12" customHeight="1" x14ac:dyDescent="0.2">
      <c r="AM11067" t="str">
        <f t="shared" si="173"/>
        <v>Oppama [JPOPA]</v>
      </c>
      <c r="AN11067" t="s">
        <v>20507</v>
      </c>
      <c r="AO11067" t="s">
        <v>20508</v>
      </c>
    </row>
    <row r="11068" spans="39:41" ht="12" customHeight="1" x14ac:dyDescent="0.2">
      <c r="AM11068" t="str">
        <f t="shared" si="173"/>
        <v>Oppegard [NOOPG]</v>
      </c>
      <c r="AN11068" t="s">
        <v>24593</v>
      </c>
      <c r="AO11068" t="s">
        <v>36264</v>
      </c>
    </row>
    <row r="11069" spans="39:41" ht="12" customHeight="1" x14ac:dyDescent="0.2">
      <c r="AM11069" t="str">
        <f t="shared" si="173"/>
        <v>Oppenheim [DEOPP]</v>
      </c>
      <c r="AN11069" t="s">
        <v>8067</v>
      </c>
      <c r="AO11069" t="s">
        <v>8068</v>
      </c>
    </row>
    <row r="11070" spans="39:41" ht="12" customHeight="1" x14ac:dyDescent="0.2">
      <c r="AM11070" t="str">
        <f t="shared" si="173"/>
        <v>Opua [NZOPX]</v>
      </c>
      <c r="AN11070" t="s">
        <v>25090</v>
      </c>
      <c r="AO11070" t="s">
        <v>25091</v>
      </c>
    </row>
    <row r="11071" spans="39:41" ht="12" customHeight="1" x14ac:dyDescent="0.2">
      <c r="AM11071" t="str">
        <f t="shared" si="173"/>
        <v>Oracabessa [JMORC]</v>
      </c>
      <c r="AN11071" t="s">
        <v>18434</v>
      </c>
      <c r="AO11071" t="s">
        <v>18435</v>
      </c>
    </row>
    <row r="11072" spans="39:41" ht="12" customHeight="1" x14ac:dyDescent="0.2">
      <c r="AM11072" t="str">
        <f t="shared" si="173"/>
        <v>Oran [DZORN]</v>
      </c>
      <c r="AN11072" t="s">
        <v>9066</v>
      </c>
      <c r="AO11072" t="s">
        <v>9067</v>
      </c>
    </row>
    <row r="11073" spans="39:41" ht="12" customHeight="1" x14ac:dyDescent="0.2">
      <c r="AM11073" t="str">
        <f t="shared" si="173"/>
        <v>Oran Dry Port [DZ2ON]</v>
      </c>
      <c r="AN11073" t="s">
        <v>36669</v>
      </c>
      <c r="AO11073" t="s">
        <v>36670</v>
      </c>
    </row>
    <row r="11074" spans="39:41" ht="12" customHeight="1" x14ac:dyDescent="0.2">
      <c r="AM11074" t="str">
        <f t="shared" si="173"/>
        <v>Orange Beach [USOBC]</v>
      </c>
      <c r="AN11074" t="s">
        <v>30925</v>
      </c>
      <c r="AO11074" t="s">
        <v>30926</v>
      </c>
    </row>
    <row r="11075" spans="39:41" ht="12" customHeight="1" x14ac:dyDescent="0.2">
      <c r="AM11075" t="str">
        <f t="shared" si="173"/>
        <v>Oranjestad [AWORJ]</v>
      </c>
      <c r="AN11075" t="s">
        <v>2148</v>
      </c>
      <c r="AO11075" t="s">
        <v>2149</v>
      </c>
    </row>
    <row r="11076" spans="39:41" ht="12" customHeight="1" x14ac:dyDescent="0.2">
      <c r="AM11076" t="str">
        <f t="shared" si="173"/>
        <v>Oranzherei [RUOZE]</v>
      </c>
      <c r="AN11076" t="s">
        <v>27153</v>
      </c>
      <c r="AO11076" t="s">
        <v>27154</v>
      </c>
    </row>
    <row r="11077" spans="39:41" ht="12" customHeight="1" x14ac:dyDescent="0.2">
      <c r="AM11077" t="str">
        <f t="shared" si="173"/>
        <v>Oras/Catbalogan [PHORS]</v>
      </c>
      <c r="AN11077" t="s">
        <v>26005</v>
      </c>
      <c r="AO11077" t="s">
        <v>26006</v>
      </c>
    </row>
    <row r="11078" spans="39:41" ht="12" customHeight="1" x14ac:dyDescent="0.2">
      <c r="AM11078" t="str">
        <f t="shared" si="173"/>
        <v>Orayuita [PHORA]</v>
      </c>
      <c r="AN11078" t="s">
        <v>26007</v>
      </c>
      <c r="AO11078" t="s">
        <v>26008</v>
      </c>
    </row>
    <row r="11079" spans="39:41" ht="12" customHeight="1" x14ac:dyDescent="0.2">
      <c r="AM11079" t="str">
        <f t="shared" si="173"/>
        <v>Orbetello [ITOBT]</v>
      </c>
      <c r="AN11079" t="s">
        <v>18121</v>
      </c>
      <c r="AO11079" t="s">
        <v>18122</v>
      </c>
    </row>
    <row r="11080" spans="39:41" ht="12" customHeight="1" x14ac:dyDescent="0.2">
      <c r="AM11080" t="str">
        <f t="shared" si="173"/>
        <v>Orca [USOSZ]</v>
      </c>
      <c r="AN11080" t="s">
        <v>30927</v>
      </c>
      <c r="AO11080" t="s">
        <v>30928</v>
      </c>
    </row>
    <row r="11081" spans="39:41" ht="12" customHeight="1" x14ac:dyDescent="0.2">
      <c r="AM11081" t="str">
        <f t="shared" si="173"/>
        <v>Orcadas [AQORC]</v>
      </c>
      <c r="AN11081" t="s">
        <v>954</v>
      </c>
      <c r="AO11081" t="s">
        <v>955</v>
      </c>
    </row>
    <row r="11082" spans="39:41" ht="12" customHeight="1" x14ac:dyDescent="0.2">
      <c r="AM11082" t="str">
        <f t="shared" si="173"/>
        <v>Orchamps [FROHP]</v>
      </c>
      <c r="AN11082" t="s">
        <v>11761</v>
      </c>
      <c r="AO11082" t="s">
        <v>11762</v>
      </c>
    </row>
    <row r="11083" spans="39:41" ht="12" customHeight="1" x14ac:dyDescent="0.2">
      <c r="AM11083" t="str">
        <f t="shared" si="173"/>
        <v>Orcutt [US8MN]</v>
      </c>
      <c r="AN11083" t="s">
        <v>30929</v>
      </c>
      <c r="AO11083" t="s">
        <v>30930</v>
      </c>
    </row>
    <row r="11084" spans="39:41" ht="12" customHeight="1" x14ac:dyDescent="0.2">
      <c r="AM11084" t="str">
        <f t="shared" si="173"/>
        <v>Ordenes [ESOEJ]</v>
      </c>
      <c r="AN11084" t="s">
        <v>36914</v>
      </c>
      <c r="AO11084" t="s">
        <v>36915</v>
      </c>
    </row>
    <row r="11085" spans="39:41" ht="12" customHeight="1" x14ac:dyDescent="0.2">
      <c r="AM11085" t="str">
        <f t="shared" si="173"/>
        <v>Ordu [TRORD]</v>
      </c>
      <c r="AN11085" t="s">
        <v>28563</v>
      </c>
      <c r="AO11085" t="s">
        <v>28564</v>
      </c>
    </row>
    <row r="11086" spans="39:41" ht="12" customHeight="1" x14ac:dyDescent="0.2">
      <c r="AM11086" t="str">
        <f t="shared" si="173"/>
        <v>Orebic [HRORB]</v>
      </c>
      <c r="AN11086" t="s">
        <v>15850</v>
      </c>
      <c r="AO11086" t="s">
        <v>15851</v>
      </c>
    </row>
    <row r="11087" spans="39:41" ht="12" customHeight="1" x14ac:dyDescent="0.2">
      <c r="AM11087" t="str">
        <f t="shared" si="173"/>
        <v>Oregon [USOEG]</v>
      </c>
      <c r="AN11087" t="s">
        <v>30931</v>
      </c>
      <c r="AO11087" t="s">
        <v>30932</v>
      </c>
    </row>
    <row r="11088" spans="39:41" ht="12" customHeight="1" x14ac:dyDescent="0.2">
      <c r="AM11088" t="str">
        <f t="shared" si="173"/>
        <v>Oregrund [SEOGR]</v>
      </c>
      <c r="AN11088" t="s">
        <v>27791</v>
      </c>
      <c r="AO11088" t="s">
        <v>36497</v>
      </c>
    </row>
    <row r="11089" spans="39:41" ht="12" customHeight="1" x14ac:dyDescent="0.2">
      <c r="AM11089" t="str">
        <f t="shared" si="173"/>
        <v>Orehoved, Falster [DKORE]</v>
      </c>
      <c r="AN11089" t="s">
        <v>8846</v>
      </c>
      <c r="AO11089" t="s">
        <v>8847</v>
      </c>
    </row>
    <row r="11090" spans="39:41" ht="12" customHeight="1" x14ac:dyDescent="0.2">
      <c r="AM11090" t="str">
        <f t="shared" si="173"/>
        <v>Orei [GRORE]</v>
      </c>
      <c r="AN11090" t="s">
        <v>15401</v>
      </c>
      <c r="AO11090" t="s">
        <v>15402</v>
      </c>
    </row>
    <row r="11091" spans="39:41" ht="12" customHeight="1" x14ac:dyDescent="0.2">
      <c r="AM11091" t="str">
        <f t="shared" si="173"/>
        <v>Orekhovo-Zuevo [RUHZO]</v>
      </c>
      <c r="AN11091" t="s">
        <v>27155</v>
      </c>
      <c r="AO11091" t="s">
        <v>27156</v>
      </c>
    </row>
    <row r="11092" spans="39:41" ht="12" customHeight="1" x14ac:dyDescent="0.2">
      <c r="AM11092" t="str">
        <f t="shared" si="173"/>
        <v>Orford [GBORH]</v>
      </c>
      <c r="AN11092" t="s">
        <v>14005</v>
      </c>
      <c r="AO11092" t="s">
        <v>14006</v>
      </c>
    </row>
    <row r="11093" spans="39:41" ht="12" customHeight="1" x14ac:dyDescent="0.2">
      <c r="AM11093" t="str">
        <f t="shared" si="173"/>
        <v>Origami [JPORG]</v>
      </c>
      <c r="AN11093" t="s">
        <v>20509</v>
      </c>
      <c r="AO11093" t="s">
        <v>20510</v>
      </c>
    </row>
    <row r="11094" spans="39:41" ht="12" customHeight="1" x14ac:dyDescent="0.2">
      <c r="AM11094" t="str">
        <f t="shared" si="173"/>
        <v>Orino [JPORN]</v>
      </c>
      <c r="AN11094" t="s">
        <v>20511</v>
      </c>
      <c r="AO11094" t="s">
        <v>20512</v>
      </c>
    </row>
    <row r="11095" spans="39:41" ht="12" customHeight="1" x14ac:dyDescent="0.2">
      <c r="AM11095" t="str">
        <f t="shared" si="173"/>
        <v>Orissa [INORS]</v>
      </c>
      <c r="AN11095" t="s">
        <v>17359</v>
      </c>
      <c r="AO11095" t="s">
        <v>17360</v>
      </c>
    </row>
    <row r="11096" spans="39:41" ht="12" customHeight="1" x14ac:dyDescent="0.2">
      <c r="AM11096" t="str">
        <f t="shared" si="173"/>
        <v>Orissaare [EEORI]</v>
      </c>
      <c r="AN11096" t="s">
        <v>9282</v>
      </c>
      <c r="AO11096" t="s">
        <v>9283</v>
      </c>
    </row>
    <row r="11097" spans="39:41" ht="12" customHeight="1" x14ac:dyDescent="0.2">
      <c r="AM11097" t="str">
        <f t="shared" si="173"/>
        <v>Oristano [ITQOS]</v>
      </c>
      <c r="AN11097" t="s">
        <v>18123</v>
      </c>
      <c r="AO11097" t="s">
        <v>18124</v>
      </c>
    </row>
    <row r="11098" spans="39:41" ht="12" customHeight="1" x14ac:dyDescent="0.2">
      <c r="AM11098" t="str">
        <f t="shared" si="173"/>
        <v>Orjaku [EEORJ]</v>
      </c>
      <c r="AN11098" t="s">
        <v>9284</v>
      </c>
      <c r="AO11098" t="s">
        <v>9285</v>
      </c>
    </row>
    <row r="11099" spans="39:41" ht="12" customHeight="1" x14ac:dyDescent="0.2">
      <c r="AM11099" t="str">
        <f t="shared" si="173"/>
        <v>Orjiva [ESORJ]</v>
      </c>
      <c r="AN11099" t="s">
        <v>10001</v>
      </c>
      <c r="AO11099" t="s">
        <v>35687</v>
      </c>
    </row>
    <row r="11100" spans="39:41" ht="12" customHeight="1" x14ac:dyDescent="0.2">
      <c r="AM11100" t="str">
        <f t="shared" si="173"/>
        <v>Orkanger [NOORK]</v>
      </c>
      <c r="AN11100" t="s">
        <v>24594</v>
      </c>
      <c r="AO11100" t="s">
        <v>24595</v>
      </c>
    </row>
    <row r="11101" spans="39:41" ht="12" customHeight="1" x14ac:dyDescent="0.2">
      <c r="AM11101" t="str">
        <f t="shared" si="173"/>
        <v>Orkdal [NOORD]</v>
      </c>
      <c r="AN11101" t="s">
        <v>24596</v>
      </c>
      <c r="AO11101" t="s">
        <v>24597</v>
      </c>
    </row>
    <row r="11102" spans="39:41" ht="12" customHeight="1" x14ac:dyDescent="0.2">
      <c r="AM11102" t="str">
        <f t="shared" si="173"/>
        <v>Orkney [GBORK]</v>
      </c>
      <c r="AN11102" t="s">
        <v>14007</v>
      </c>
      <c r="AO11102" t="s">
        <v>14008</v>
      </c>
    </row>
    <row r="11103" spans="39:41" ht="12" customHeight="1" x14ac:dyDescent="0.2">
      <c r="AM11103" t="str">
        <f t="shared" si="173"/>
        <v>Orland [NOOLA]</v>
      </c>
      <c r="AN11103" t="s">
        <v>24598</v>
      </c>
      <c r="AO11103" t="s">
        <v>36265</v>
      </c>
    </row>
    <row r="11104" spans="39:41" ht="12" customHeight="1" x14ac:dyDescent="0.2">
      <c r="AM11104" t="str">
        <f t="shared" si="173"/>
        <v>Orleans [CAOLS]</v>
      </c>
      <c r="AN11104" t="s">
        <v>4187</v>
      </c>
      <c r="AO11104" t="s">
        <v>35331</v>
      </c>
    </row>
    <row r="11105" spans="39:41" ht="12" customHeight="1" x14ac:dyDescent="0.2">
      <c r="AM11105" t="str">
        <f t="shared" si="173"/>
        <v>Ormara [PKORW]</v>
      </c>
      <c r="AN11105" t="s">
        <v>26260</v>
      </c>
      <c r="AO11105" t="s">
        <v>26261</v>
      </c>
    </row>
    <row r="11106" spans="39:41" ht="12" customHeight="1" x14ac:dyDescent="0.2">
      <c r="AM11106" t="str">
        <f t="shared" si="173"/>
        <v>Ormoc/Tacloban [PHORC]</v>
      </c>
      <c r="AN11106" t="s">
        <v>26009</v>
      </c>
      <c r="AO11106" t="s">
        <v>26010</v>
      </c>
    </row>
    <row r="11107" spans="39:41" ht="12" customHeight="1" x14ac:dyDescent="0.2">
      <c r="AM11107" t="str">
        <f t="shared" si="173"/>
        <v>Ormos Panormou [GRPNT]</v>
      </c>
      <c r="AN11107" t="s">
        <v>15403</v>
      </c>
      <c r="AO11107" t="s">
        <v>35951</v>
      </c>
    </row>
    <row r="11108" spans="39:41" ht="12" customHeight="1" x14ac:dyDescent="0.2">
      <c r="AM11108" t="str">
        <f t="shared" si="173"/>
        <v>Ornes [NOSVI]</v>
      </c>
      <c r="AN11108" t="s">
        <v>24599</v>
      </c>
      <c r="AO11108" t="s">
        <v>36266</v>
      </c>
    </row>
    <row r="11109" spans="39:41" ht="12" customHeight="1" x14ac:dyDescent="0.2">
      <c r="AM11109" t="str">
        <f t="shared" si="173"/>
        <v>Ornskoldsvik [SEOER]</v>
      </c>
      <c r="AN11109" t="s">
        <v>27792</v>
      </c>
      <c r="AO11109" t="s">
        <v>36498</v>
      </c>
    </row>
    <row r="11110" spans="39:41" ht="12" customHeight="1" x14ac:dyDescent="0.2">
      <c r="AM11110" t="str">
        <f t="shared" si="173"/>
        <v>Oro [DKORO]</v>
      </c>
      <c r="AN11110" t="s">
        <v>8848</v>
      </c>
      <c r="AO11110" t="s">
        <v>35568</v>
      </c>
    </row>
    <row r="11111" spans="39:41" ht="12" customHeight="1" x14ac:dyDescent="0.2">
      <c r="AM11111" t="str">
        <f t="shared" si="173"/>
        <v>Orobay [PGROR]</v>
      </c>
      <c r="AN11111" t="s">
        <v>25446</v>
      </c>
      <c r="AO11111" t="s">
        <v>25447</v>
      </c>
    </row>
    <row r="11112" spans="39:41" ht="12" customHeight="1" x14ac:dyDescent="0.2">
      <c r="AM11112" t="str">
        <f t="shared" si="173"/>
        <v>Oron [NGORO]</v>
      </c>
      <c r="AN11112" t="s">
        <v>22967</v>
      </c>
      <c r="AO11112" t="s">
        <v>22968</v>
      </c>
    </row>
    <row r="11113" spans="39:41" ht="12" customHeight="1" x14ac:dyDescent="0.2">
      <c r="AM11113" t="str">
        <f t="shared" si="173"/>
        <v>Orondo [USYDO]</v>
      </c>
      <c r="AN11113" t="s">
        <v>30933</v>
      </c>
      <c r="AO11113" t="s">
        <v>30934</v>
      </c>
    </row>
    <row r="11114" spans="39:41" ht="12" customHeight="1" x14ac:dyDescent="0.2">
      <c r="AM11114" t="str">
        <f t="shared" si="173"/>
        <v>Oropos [GRORO]</v>
      </c>
      <c r="AN11114" t="s">
        <v>15404</v>
      </c>
      <c r="AO11114" t="s">
        <v>15405</v>
      </c>
    </row>
    <row r="11115" spans="39:41" ht="12" customHeight="1" x14ac:dyDescent="0.2">
      <c r="AM11115" t="str">
        <f t="shared" si="173"/>
        <v>Oroquieta [PHORL]</v>
      </c>
      <c r="AN11115" t="s">
        <v>26011</v>
      </c>
      <c r="AO11115" t="s">
        <v>26012</v>
      </c>
    </row>
    <row r="11116" spans="39:41" ht="12" customHeight="1" x14ac:dyDescent="0.2">
      <c r="AM11116" t="str">
        <f t="shared" si="173"/>
        <v>Oroso [ESOSR]</v>
      </c>
      <c r="AN11116" t="s">
        <v>10002</v>
      </c>
      <c r="AO11116" t="s">
        <v>10003</v>
      </c>
    </row>
    <row r="11117" spans="39:41" ht="12" customHeight="1" x14ac:dyDescent="0.2">
      <c r="AM11117" t="str">
        <f t="shared" si="173"/>
        <v>Orotina [CRORO]</v>
      </c>
      <c r="AN11117" t="s">
        <v>6606</v>
      </c>
      <c r="AO11117" t="s">
        <v>6607</v>
      </c>
    </row>
    <row r="11118" spans="39:41" ht="12" customHeight="1" x14ac:dyDescent="0.2">
      <c r="AM11118" t="str">
        <f t="shared" si="173"/>
        <v>Orroir [BEORR]</v>
      </c>
      <c r="AN11118" t="s">
        <v>2821</v>
      </c>
      <c r="AO11118" t="s">
        <v>2822</v>
      </c>
    </row>
    <row r="11119" spans="39:41" ht="12" customHeight="1" x14ac:dyDescent="0.2">
      <c r="AM11119" t="str">
        <f t="shared" ref="AM11119:AM11182" si="174">AO11119 &amp; " [" &amp; AN11119 &amp; "]"</f>
        <v>Orskog [NOOSG]</v>
      </c>
      <c r="AN11119" t="s">
        <v>24600</v>
      </c>
      <c r="AO11119" t="s">
        <v>36267</v>
      </c>
    </row>
    <row r="11120" spans="39:41" ht="12" customHeight="1" x14ac:dyDescent="0.2">
      <c r="AM11120" t="str">
        <f t="shared" si="174"/>
        <v>Orsova [ROORV]</v>
      </c>
      <c r="AN11120" t="s">
        <v>26797</v>
      </c>
      <c r="AO11120" t="s">
        <v>26798</v>
      </c>
    </row>
    <row r="11121" spans="39:41" ht="12" customHeight="1" x14ac:dyDescent="0.2">
      <c r="AM11121" t="str">
        <f t="shared" si="174"/>
        <v>Orsoy [DEORS]</v>
      </c>
      <c r="AN11121" t="s">
        <v>8069</v>
      </c>
      <c r="AO11121" t="s">
        <v>8070</v>
      </c>
    </row>
    <row r="11122" spans="39:41" ht="12" customHeight="1" x14ac:dyDescent="0.2">
      <c r="AM11122" t="str">
        <f t="shared" si="174"/>
        <v>Orsta [NOORS]</v>
      </c>
      <c r="AN11122" t="s">
        <v>24601</v>
      </c>
      <c r="AO11122" t="s">
        <v>36268</v>
      </c>
    </row>
    <row r="11123" spans="39:41" ht="12" customHeight="1" x14ac:dyDescent="0.2">
      <c r="AM11123" t="str">
        <f t="shared" si="174"/>
        <v>Orth/Fehmarn [DEORT]</v>
      </c>
      <c r="AN11123" t="s">
        <v>8071</v>
      </c>
      <c r="AO11123" t="s">
        <v>8072</v>
      </c>
    </row>
    <row r="11124" spans="39:41" ht="12" customHeight="1" x14ac:dyDescent="0.2">
      <c r="AM11124" t="str">
        <f t="shared" si="174"/>
        <v>Ortigueira [ESOTG]</v>
      </c>
      <c r="AN11124" t="s">
        <v>10004</v>
      </c>
      <c r="AO11124" t="s">
        <v>10005</v>
      </c>
    </row>
    <row r="11125" spans="39:41" ht="12" customHeight="1" x14ac:dyDescent="0.2">
      <c r="AM11125" t="str">
        <f t="shared" si="174"/>
        <v>Ortnevik [NOORV]</v>
      </c>
      <c r="AN11125" t="s">
        <v>24602</v>
      </c>
      <c r="AO11125" t="s">
        <v>24603</v>
      </c>
    </row>
    <row r="11126" spans="39:41" ht="12" customHeight="1" x14ac:dyDescent="0.2">
      <c r="AM11126" t="str">
        <f t="shared" si="174"/>
        <v>Ortona [ITOTN]</v>
      </c>
      <c r="AN11126" t="s">
        <v>18125</v>
      </c>
      <c r="AO11126" t="s">
        <v>18126</v>
      </c>
    </row>
    <row r="11127" spans="39:41" ht="12" customHeight="1" x14ac:dyDescent="0.2">
      <c r="AM11127" t="str">
        <f t="shared" si="174"/>
        <v>Ortviken [SEORT]</v>
      </c>
      <c r="AN11127" t="s">
        <v>27793</v>
      </c>
      <c r="AO11127" t="s">
        <v>27794</v>
      </c>
    </row>
    <row r="11128" spans="39:41" ht="12" customHeight="1" x14ac:dyDescent="0.2">
      <c r="AM11128" t="str">
        <f t="shared" si="174"/>
        <v>Orviken [SEORV]</v>
      </c>
      <c r="AN11128" t="s">
        <v>27795</v>
      </c>
      <c r="AO11128" t="s">
        <v>36499</v>
      </c>
    </row>
    <row r="11129" spans="39:41" ht="12" customHeight="1" x14ac:dyDescent="0.2">
      <c r="AM11129" t="str">
        <f t="shared" si="174"/>
        <v>Oryakhovo [BGOKH]</v>
      </c>
      <c r="AN11129" t="s">
        <v>3154</v>
      </c>
      <c r="AO11129" t="s">
        <v>3155</v>
      </c>
    </row>
    <row r="11130" spans="39:41" ht="12" customHeight="1" x14ac:dyDescent="0.2">
      <c r="AM11130" t="str">
        <f t="shared" si="174"/>
        <v>Orzola [ESOZL]</v>
      </c>
      <c r="AN11130" t="s">
        <v>10006</v>
      </c>
      <c r="AO11130" t="s">
        <v>10007</v>
      </c>
    </row>
    <row r="11131" spans="39:41" ht="12" customHeight="1" x14ac:dyDescent="0.2">
      <c r="AM11131" t="str">
        <f t="shared" si="174"/>
        <v>Os [NOOOS]</v>
      </c>
      <c r="AN11131" t="s">
        <v>24604</v>
      </c>
      <c r="AO11131" t="s">
        <v>24605</v>
      </c>
    </row>
    <row r="11132" spans="39:41" ht="12" customHeight="1" x14ac:dyDescent="0.2">
      <c r="AM11132" t="str">
        <f t="shared" si="174"/>
        <v>Osaka [JPOSA]</v>
      </c>
      <c r="AN11132" t="s">
        <v>20513</v>
      </c>
      <c r="AO11132" t="s">
        <v>20514</v>
      </c>
    </row>
    <row r="11133" spans="39:41" ht="12" customHeight="1" x14ac:dyDescent="0.2">
      <c r="AM11133" t="str">
        <f t="shared" si="174"/>
        <v>Osaka, Tottori [JPOUK]</v>
      </c>
      <c r="AN11133" t="s">
        <v>20515</v>
      </c>
      <c r="AO11133" t="s">
        <v>20516</v>
      </c>
    </row>
    <row r="11134" spans="39:41" ht="12" customHeight="1" x14ac:dyDescent="0.2">
      <c r="AM11134" t="str">
        <f t="shared" si="174"/>
        <v>Osaki, Kagoshima [JPOSX]</v>
      </c>
      <c r="AN11134" t="s">
        <v>20517</v>
      </c>
      <c r="AO11134" t="s">
        <v>20518</v>
      </c>
    </row>
    <row r="11135" spans="39:41" ht="12" customHeight="1" x14ac:dyDescent="0.2">
      <c r="AM11135" t="str">
        <f t="shared" si="174"/>
        <v>Osaki, Miyagi [JPOSK]</v>
      </c>
      <c r="AN11135" t="s">
        <v>20519</v>
      </c>
      <c r="AO11135" t="s">
        <v>20520</v>
      </c>
    </row>
    <row r="11136" spans="39:41" ht="12" customHeight="1" x14ac:dyDescent="0.2">
      <c r="AM11136" t="str">
        <f t="shared" si="174"/>
        <v>Osaki/Mitsushima [JPOSN]</v>
      </c>
      <c r="AN11136" t="s">
        <v>20521</v>
      </c>
      <c r="AO11136" t="s">
        <v>20522</v>
      </c>
    </row>
    <row r="11137" spans="39:41" ht="12" customHeight="1" x14ac:dyDescent="0.2">
      <c r="AM11137" t="str">
        <f t="shared" si="174"/>
        <v>Osako [JPOJO]</v>
      </c>
      <c r="AN11137" t="s">
        <v>20523</v>
      </c>
      <c r="AO11137" t="s">
        <v>20524</v>
      </c>
    </row>
    <row r="11138" spans="39:41" ht="12" customHeight="1" x14ac:dyDescent="0.2">
      <c r="AM11138" t="str">
        <f t="shared" si="174"/>
        <v>Osato [JPOTO]</v>
      </c>
      <c r="AN11138" t="s">
        <v>20525</v>
      </c>
      <c r="AO11138" t="s">
        <v>20526</v>
      </c>
    </row>
    <row r="11139" spans="39:41" ht="12" customHeight="1" x14ac:dyDescent="0.2">
      <c r="AM11139" t="str">
        <f t="shared" si="174"/>
        <v>Osborne Island [AUOSB]</v>
      </c>
      <c r="AN11139" t="s">
        <v>1886</v>
      </c>
      <c r="AO11139" t="s">
        <v>1887</v>
      </c>
    </row>
    <row r="11140" spans="39:41" ht="12" customHeight="1" x14ac:dyDescent="0.2">
      <c r="AM11140" t="str">
        <f t="shared" si="174"/>
        <v>Osby [SEOSB]</v>
      </c>
      <c r="AN11140" t="s">
        <v>37154</v>
      </c>
      <c r="AO11140" t="s">
        <v>37155</v>
      </c>
    </row>
    <row r="11141" spans="39:41" ht="12" customHeight="1" x14ac:dyDescent="0.2">
      <c r="AM11141" t="str">
        <f t="shared" si="174"/>
        <v>Osceola [USM2S]</v>
      </c>
      <c r="AN11141" t="s">
        <v>30935</v>
      </c>
      <c r="AO11141" t="s">
        <v>30936</v>
      </c>
    </row>
    <row r="11142" spans="39:41" ht="12" customHeight="1" x14ac:dyDescent="0.2">
      <c r="AM11142" t="str">
        <f t="shared" si="174"/>
        <v>Osen [NOOSN]</v>
      </c>
      <c r="AN11142" t="s">
        <v>24606</v>
      </c>
      <c r="AO11142" t="s">
        <v>24607</v>
      </c>
    </row>
    <row r="11143" spans="39:41" ht="12" customHeight="1" x14ac:dyDescent="0.2">
      <c r="AM11143" t="str">
        <f t="shared" si="174"/>
        <v>Osetoyanagi [JPOST]</v>
      </c>
      <c r="AN11143" t="s">
        <v>20527</v>
      </c>
      <c r="AO11143" t="s">
        <v>20528</v>
      </c>
    </row>
    <row r="11144" spans="39:41" ht="12" customHeight="1" x14ac:dyDescent="0.2">
      <c r="AM11144" t="str">
        <f t="shared" si="174"/>
        <v>Oshawa [CAOSH]</v>
      </c>
      <c r="AN11144" t="s">
        <v>4188</v>
      </c>
      <c r="AO11144" t="s">
        <v>4189</v>
      </c>
    </row>
    <row r="11145" spans="39:41" ht="12" customHeight="1" x14ac:dyDescent="0.2">
      <c r="AM11145" t="str">
        <f t="shared" si="174"/>
        <v>Oshidomari [JPOSD]</v>
      </c>
      <c r="AN11145" t="s">
        <v>20529</v>
      </c>
      <c r="AO11145" t="s">
        <v>20530</v>
      </c>
    </row>
    <row r="11146" spans="39:41" ht="12" customHeight="1" x14ac:dyDescent="0.2">
      <c r="AM11146" t="str">
        <f t="shared" si="174"/>
        <v>Oshima, Nagasaki [JPOSM]</v>
      </c>
      <c r="AN11146" t="s">
        <v>20531</v>
      </c>
      <c r="AO11146" t="s">
        <v>36077</v>
      </c>
    </row>
    <row r="11147" spans="39:41" ht="12" customHeight="1" x14ac:dyDescent="0.2">
      <c r="AM11147" t="str">
        <f t="shared" si="174"/>
        <v>Oshima, Yamaguchi [JPOSL]</v>
      </c>
      <c r="AN11147" t="s">
        <v>20532</v>
      </c>
      <c r="AO11147" t="s">
        <v>20533</v>
      </c>
    </row>
    <row r="11148" spans="39:41" ht="12" customHeight="1" x14ac:dyDescent="0.2">
      <c r="AM11148" t="str">
        <f t="shared" si="174"/>
        <v>Osice [CZOSI]</v>
      </c>
      <c r="AN11148" t="s">
        <v>6910</v>
      </c>
      <c r="AO11148" t="s">
        <v>6911</v>
      </c>
    </row>
    <row r="11149" spans="39:41" ht="12" customHeight="1" x14ac:dyDescent="0.2">
      <c r="AM11149" t="str">
        <f t="shared" si="174"/>
        <v>Osijek [HROSI]</v>
      </c>
      <c r="AN11149" t="s">
        <v>15852</v>
      </c>
      <c r="AO11149" t="s">
        <v>15853</v>
      </c>
    </row>
    <row r="11150" spans="39:41" ht="12" customHeight="1" x14ac:dyDescent="0.2">
      <c r="AM11150" t="str">
        <f t="shared" si="174"/>
        <v>Osik [CZPAO]</v>
      </c>
      <c r="AN11150" t="s">
        <v>6912</v>
      </c>
      <c r="AO11150" t="s">
        <v>6913</v>
      </c>
    </row>
    <row r="11151" spans="39:41" ht="12" customHeight="1" x14ac:dyDescent="0.2">
      <c r="AM11151" t="str">
        <f t="shared" si="174"/>
        <v>Osinow Dolny [PLOSD]</v>
      </c>
      <c r="AN11151" t="s">
        <v>26358</v>
      </c>
      <c r="AO11151" t="s">
        <v>36370</v>
      </c>
    </row>
    <row r="11152" spans="39:41" ht="12" customHeight="1" x14ac:dyDescent="0.2">
      <c r="AM11152" t="str">
        <f t="shared" si="174"/>
        <v>Oskaloosa [USOS3]</v>
      </c>
      <c r="AN11152" t="s">
        <v>30937</v>
      </c>
      <c r="AO11152" t="s">
        <v>30938</v>
      </c>
    </row>
    <row r="11153" spans="39:41" ht="12" customHeight="1" x14ac:dyDescent="0.2">
      <c r="AM11153" t="str">
        <f t="shared" si="174"/>
        <v>Oskarshamn [SEOSK]</v>
      </c>
      <c r="AN11153" t="s">
        <v>27796</v>
      </c>
      <c r="AO11153" t="s">
        <v>27797</v>
      </c>
    </row>
    <row r="11154" spans="39:41" ht="12" customHeight="1" x14ac:dyDescent="0.2">
      <c r="AM11154" t="str">
        <f t="shared" si="174"/>
        <v>Oslo [NOOSL]</v>
      </c>
      <c r="AN11154" t="s">
        <v>24608</v>
      </c>
      <c r="AO11154" t="s">
        <v>24609</v>
      </c>
    </row>
    <row r="11155" spans="39:41" ht="12" customHeight="1" x14ac:dyDescent="0.2">
      <c r="AM11155" t="str">
        <f t="shared" si="174"/>
        <v>Osloss [DEOSL]</v>
      </c>
      <c r="AN11155" t="s">
        <v>8073</v>
      </c>
      <c r="AO11155" t="s">
        <v>8074</v>
      </c>
    </row>
    <row r="11156" spans="39:41" ht="12" customHeight="1" x14ac:dyDescent="0.2">
      <c r="AM11156" t="str">
        <f t="shared" si="174"/>
        <v>Osmussaare Sadam [EEOSM]</v>
      </c>
      <c r="AN11156" t="s">
        <v>36699</v>
      </c>
      <c r="AO11156" t="s">
        <v>36700</v>
      </c>
    </row>
    <row r="11157" spans="39:41" ht="12" customHeight="1" x14ac:dyDescent="0.2">
      <c r="AM11157" t="str">
        <f t="shared" si="174"/>
        <v>Osnabruck [DEOSN]</v>
      </c>
      <c r="AN11157" t="s">
        <v>8075</v>
      </c>
      <c r="AO11157" t="s">
        <v>35483</v>
      </c>
    </row>
    <row r="11158" spans="39:41" ht="12" customHeight="1" x14ac:dyDescent="0.2">
      <c r="AM11158" t="str">
        <f t="shared" si="174"/>
        <v>Osnes - Vindafjord [NOOSE]</v>
      </c>
      <c r="AN11158" t="s">
        <v>24610</v>
      </c>
      <c r="AO11158" t="s">
        <v>24611</v>
      </c>
    </row>
    <row r="11159" spans="39:41" ht="12" customHeight="1" x14ac:dyDescent="0.2">
      <c r="AM11159" t="str">
        <f t="shared" si="174"/>
        <v>Oso [NGOSO]</v>
      </c>
      <c r="AN11159" t="s">
        <v>22969</v>
      </c>
      <c r="AO11159" t="s">
        <v>22970</v>
      </c>
    </row>
    <row r="11160" spans="39:41" ht="12" customHeight="1" x14ac:dyDescent="0.2">
      <c r="AM11160" t="str">
        <f t="shared" si="174"/>
        <v>Osoe [JPOSE]</v>
      </c>
      <c r="AN11160" t="s">
        <v>20534</v>
      </c>
      <c r="AO11160" t="s">
        <v>20535</v>
      </c>
    </row>
    <row r="11161" spans="39:41" ht="12" customHeight="1" x14ac:dyDescent="0.2">
      <c r="AM11161" t="str">
        <f t="shared" si="174"/>
        <v>Osorno [CLZOS]</v>
      </c>
      <c r="AN11161" t="s">
        <v>4907</v>
      </c>
      <c r="AO11161" t="s">
        <v>4908</v>
      </c>
    </row>
    <row r="11162" spans="39:41" ht="12" customHeight="1" x14ac:dyDescent="0.2">
      <c r="AM11162" t="str">
        <f t="shared" si="174"/>
        <v>Ospakseyri [ISOSP]</v>
      </c>
      <c r="AN11162" t="s">
        <v>17747</v>
      </c>
      <c r="AO11162" t="s">
        <v>17748</v>
      </c>
    </row>
    <row r="11163" spans="39:41" ht="12" customHeight="1" x14ac:dyDescent="0.2">
      <c r="AM11163" t="str">
        <f t="shared" si="174"/>
        <v>Oss [NLOSS]</v>
      </c>
      <c r="AN11163" t="s">
        <v>23498</v>
      </c>
      <c r="AO11163" t="s">
        <v>23499</v>
      </c>
    </row>
    <row r="11164" spans="39:41" ht="12" customHeight="1" x14ac:dyDescent="0.2">
      <c r="AM11164" t="str">
        <f t="shared" si="174"/>
        <v>Ossenberg [DEOSB]</v>
      </c>
      <c r="AN11164" t="s">
        <v>8076</v>
      </c>
      <c r="AO11164" t="s">
        <v>8077</v>
      </c>
    </row>
    <row r="11165" spans="39:41" ht="12" customHeight="1" x14ac:dyDescent="0.2">
      <c r="AM11165" t="str">
        <f t="shared" si="174"/>
        <v>Ossenzijl [NLOZL]</v>
      </c>
      <c r="AN11165" t="s">
        <v>23500</v>
      </c>
      <c r="AO11165" t="s">
        <v>23501</v>
      </c>
    </row>
    <row r="11166" spans="39:41" ht="12" customHeight="1" x14ac:dyDescent="0.2">
      <c r="AM11166" t="str">
        <f t="shared" si="174"/>
        <v>Osterby [EEOST]</v>
      </c>
      <c r="AN11166" t="s">
        <v>9286</v>
      </c>
      <c r="AO11166" t="s">
        <v>35632</v>
      </c>
    </row>
    <row r="11167" spans="39:41" ht="12" customHeight="1" x14ac:dyDescent="0.2">
      <c r="AM11167" t="str">
        <f t="shared" si="174"/>
        <v>Ostermoor [DEOSR]</v>
      </c>
      <c r="AN11167" t="s">
        <v>8078</v>
      </c>
      <c r="AO11167" t="s">
        <v>8079</v>
      </c>
    </row>
    <row r="11168" spans="39:41" ht="12" customHeight="1" x14ac:dyDescent="0.2">
      <c r="AM11168" t="str">
        <f t="shared" si="174"/>
        <v>Osteroy [NOOST]</v>
      </c>
      <c r="AN11168" t="s">
        <v>24612</v>
      </c>
      <c r="AO11168" t="s">
        <v>36269</v>
      </c>
    </row>
    <row r="11169" spans="39:41" ht="12" customHeight="1" x14ac:dyDescent="0.2">
      <c r="AM11169" t="str">
        <f t="shared" si="174"/>
        <v>Osterronfeld [DETRD]</v>
      </c>
      <c r="AN11169" t="s">
        <v>8080</v>
      </c>
      <c r="AO11169" t="s">
        <v>35484</v>
      </c>
    </row>
    <row r="11170" spans="39:41" ht="12" customHeight="1" x14ac:dyDescent="0.2">
      <c r="AM11170" t="str">
        <f t="shared" si="174"/>
        <v>Osterville [USOV3]</v>
      </c>
      <c r="AN11170" t="s">
        <v>30939</v>
      </c>
      <c r="AO11170" t="s">
        <v>30940</v>
      </c>
    </row>
    <row r="11171" spans="39:41" ht="12" customHeight="1" x14ac:dyDescent="0.2">
      <c r="AM11171" t="str">
        <f t="shared" si="174"/>
        <v>Osterwald [DETER]</v>
      </c>
      <c r="AN11171" t="s">
        <v>8081</v>
      </c>
      <c r="AO11171" t="s">
        <v>8082</v>
      </c>
    </row>
    <row r="11172" spans="39:41" ht="12" customHeight="1" x14ac:dyDescent="0.2">
      <c r="AM11172" t="str">
        <f t="shared" si="174"/>
        <v>Ostrand [SEOST]</v>
      </c>
      <c r="AN11172" t="s">
        <v>27798</v>
      </c>
      <c r="AO11172" t="s">
        <v>36500</v>
      </c>
    </row>
    <row r="11173" spans="39:41" ht="12" customHeight="1" x14ac:dyDescent="0.2">
      <c r="AM11173" t="str">
        <f t="shared" si="174"/>
        <v>Osuki [JPOSU]</v>
      </c>
      <c r="AN11173" t="s">
        <v>20536</v>
      </c>
      <c r="AO11173" t="s">
        <v>20537</v>
      </c>
    </row>
    <row r="11174" spans="39:41" ht="12" customHeight="1" x14ac:dyDescent="0.2">
      <c r="AM11174" t="str">
        <f t="shared" si="174"/>
        <v>Oswaldtwistle [GBOWW]</v>
      </c>
      <c r="AN11174" t="s">
        <v>14009</v>
      </c>
      <c r="AO11174" t="s">
        <v>14010</v>
      </c>
    </row>
    <row r="11175" spans="39:41" ht="12" customHeight="1" x14ac:dyDescent="0.2">
      <c r="AM11175" t="str">
        <f t="shared" si="174"/>
        <v>Oswego [USOSW]</v>
      </c>
      <c r="AN11175" t="s">
        <v>30941</v>
      </c>
      <c r="AO11175" t="s">
        <v>30942</v>
      </c>
    </row>
    <row r="11176" spans="39:41" ht="12" customHeight="1" x14ac:dyDescent="0.2">
      <c r="AM11176" t="str">
        <f t="shared" si="174"/>
        <v>Ota, Gunma [JPOTG]</v>
      </c>
      <c r="AN11176" t="s">
        <v>37021</v>
      </c>
      <c r="AO11176" t="s">
        <v>37022</v>
      </c>
    </row>
    <row r="11177" spans="39:41" ht="12" customHeight="1" x14ac:dyDescent="0.2">
      <c r="AM11177" t="str">
        <f t="shared" si="174"/>
        <v>Otago Harbour [NZORR]</v>
      </c>
      <c r="AN11177" t="s">
        <v>25092</v>
      </c>
      <c r="AO11177" t="s">
        <v>25093</v>
      </c>
    </row>
    <row r="11178" spans="39:41" ht="12" customHeight="1" x14ac:dyDescent="0.2">
      <c r="AM11178" t="str">
        <f t="shared" si="174"/>
        <v>Otake [JPOTK]</v>
      </c>
      <c r="AN11178" t="s">
        <v>20538</v>
      </c>
      <c r="AO11178" t="s">
        <v>20539</v>
      </c>
    </row>
    <row r="11179" spans="39:41" ht="12" customHeight="1" x14ac:dyDescent="0.2">
      <c r="AM11179" t="str">
        <f t="shared" si="174"/>
        <v>Otao [JPOTA]</v>
      </c>
      <c r="AN11179" t="s">
        <v>20540</v>
      </c>
      <c r="AO11179" t="s">
        <v>20541</v>
      </c>
    </row>
    <row r="11180" spans="39:41" ht="12" customHeight="1" x14ac:dyDescent="0.2">
      <c r="AM11180" t="str">
        <f t="shared" si="174"/>
        <v>Otaru [JPOTR]</v>
      </c>
      <c r="AN11180" t="s">
        <v>20542</v>
      </c>
      <c r="AO11180" t="s">
        <v>20543</v>
      </c>
    </row>
    <row r="11181" spans="39:41" ht="12" customHeight="1" x14ac:dyDescent="0.2">
      <c r="AM11181" t="str">
        <f t="shared" si="174"/>
        <v>Otawa [JPOTW]</v>
      </c>
      <c r="AN11181" t="s">
        <v>20544</v>
      </c>
      <c r="AO11181" t="s">
        <v>20545</v>
      </c>
    </row>
    <row r="11182" spans="39:41" ht="12" customHeight="1" x14ac:dyDescent="0.2">
      <c r="AM11182" t="str">
        <f t="shared" si="174"/>
        <v>Oteiza/Bislig [PHOTE]</v>
      </c>
      <c r="AN11182" t="s">
        <v>26013</v>
      </c>
      <c r="AO11182" t="s">
        <v>26014</v>
      </c>
    </row>
    <row r="11183" spans="39:41" ht="12" customHeight="1" x14ac:dyDescent="0.2">
      <c r="AM11183" t="str">
        <f t="shared" ref="AM11183:AM11246" si="175">AO11183 &amp; " [" &amp; AN11183 &amp; "]"</f>
        <v>Otematata [NZOTT]</v>
      </c>
      <c r="AN11183" t="s">
        <v>25094</v>
      </c>
      <c r="AO11183" t="s">
        <v>25095</v>
      </c>
    </row>
    <row r="11184" spans="39:41" ht="12" customHeight="1" x14ac:dyDescent="0.2">
      <c r="AM11184" t="str">
        <f t="shared" si="175"/>
        <v>Otepa [PFOTP]</v>
      </c>
      <c r="AN11184" t="s">
        <v>25330</v>
      </c>
      <c r="AO11184" t="s">
        <v>25331</v>
      </c>
    </row>
    <row r="11185" spans="39:41" ht="12" customHeight="1" x14ac:dyDescent="0.2">
      <c r="AM11185" t="str">
        <f t="shared" si="175"/>
        <v>Oteren [NOT8N]</v>
      </c>
      <c r="AN11185" t="s">
        <v>36687</v>
      </c>
      <c r="AO11185" t="s">
        <v>36688</v>
      </c>
    </row>
    <row r="11186" spans="39:41" ht="12" customHeight="1" x14ac:dyDescent="0.2">
      <c r="AM11186" t="str">
        <f t="shared" si="175"/>
        <v>Oterleek [NLORL]</v>
      </c>
      <c r="AN11186" t="s">
        <v>23502</v>
      </c>
      <c r="AO11186" t="s">
        <v>23503</v>
      </c>
    </row>
    <row r="11187" spans="39:41" ht="12" customHeight="1" x14ac:dyDescent="0.2">
      <c r="AM11187" t="str">
        <f t="shared" si="175"/>
        <v>Othonoi [GROTH]</v>
      </c>
      <c r="AN11187" t="s">
        <v>15406</v>
      </c>
      <c r="AO11187" t="s">
        <v>35952</v>
      </c>
    </row>
    <row r="11188" spans="39:41" ht="12" customHeight="1" x14ac:dyDescent="0.2">
      <c r="AM11188" t="str">
        <f t="shared" si="175"/>
        <v>Oti [EEOTI]</v>
      </c>
      <c r="AN11188" t="s">
        <v>9287</v>
      </c>
      <c r="AO11188" t="s">
        <v>9288</v>
      </c>
    </row>
    <row r="11189" spans="39:41" ht="12" customHeight="1" x14ac:dyDescent="0.2">
      <c r="AM11189" t="str">
        <f t="shared" si="175"/>
        <v>Otomi [JPOTM]</v>
      </c>
      <c r="AN11189" t="s">
        <v>20546</v>
      </c>
      <c r="AO11189" t="s">
        <v>20547</v>
      </c>
    </row>
    <row r="11190" spans="39:41" ht="12" customHeight="1" x14ac:dyDescent="0.2">
      <c r="AM11190" t="str">
        <f t="shared" si="175"/>
        <v>Otranto [ITOTO]</v>
      </c>
      <c r="AN11190" t="s">
        <v>18127</v>
      </c>
      <c r="AO11190" t="s">
        <v>18128</v>
      </c>
    </row>
    <row r="11191" spans="39:41" ht="12" customHeight="1" x14ac:dyDescent="0.2">
      <c r="AM11191" t="str">
        <f t="shared" si="175"/>
        <v>Otsa [EEOTS]</v>
      </c>
      <c r="AN11191" t="s">
        <v>9289</v>
      </c>
      <c r="AO11191" t="s">
        <v>9290</v>
      </c>
    </row>
    <row r="11192" spans="39:41" ht="12" customHeight="1" x14ac:dyDescent="0.2">
      <c r="AM11192" t="str">
        <f t="shared" si="175"/>
        <v>Otsu, Ibaraki [JPOSJ]</v>
      </c>
      <c r="AN11192" t="s">
        <v>20548</v>
      </c>
      <c r="AO11192" t="s">
        <v>20549</v>
      </c>
    </row>
    <row r="11193" spans="39:41" ht="12" customHeight="1" x14ac:dyDescent="0.2">
      <c r="AM11193" t="str">
        <f t="shared" si="175"/>
        <v>Otsu, Shiga [JPOTU]</v>
      </c>
      <c r="AN11193" t="s">
        <v>20550</v>
      </c>
      <c r="AO11193" t="s">
        <v>20551</v>
      </c>
    </row>
    <row r="11194" spans="39:41" ht="12" customHeight="1" x14ac:dyDescent="0.2">
      <c r="AM11194" t="str">
        <f t="shared" si="175"/>
        <v>Otsuchi [JPOTJ]</v>
      </c>
      <c r="AN11194" t="s">
        <v>20552</v>
      </c>
      <c r="AO11194" t="s">
        <v>20553</v>
      </c>
    </row>
    <row r="11195" spans="39:41" ht="12" customHeight="1" x14ac:dyDescent="0.2">
      <c r="AM11195" t="str">
        <f t="shared" si="175"/>
        <v>Ottawa [CAOTT]</v>
      </c>
      <c r="AN11195" t="s">
        <v>4190</v>
      </c>
      <c r="AO11195" t="s">
        <v>4191</v>
      </c>
    </row>
    <row r="11196" spans="39:41" ht="12" customHeight="1" x14ac:dyDescent="0.2">
      <c r="AM11196" t="str">
        <f t="shared" si="175"/>
        <v>Ottawa Lake [USOTL]</v>
      </c>
      <c r="AN11196" t="s">
        <v>30943</v>
      </c>
      <c r="AO11196" t="s">
        <v>30944</v>
      </c>
    </row>
    <row r="11197" spans="39:41" ht="12" customHeight="1" x14ac:dyDescent="0.2">
      <c r="AM11197" t="str">
        <f t="shared" si="175"/>
        <v>Ottendorf [DESXD]</v>
      </c>
      <c r="AN11197" t="s">
        <v>8083</v>
      </c>
      <c r="AO11197" t="s">
        <v>8084</v>
      </c>
    </row>
    <row r="11198" spans="39:41" ht="12" customHeight="1" x14ac:dyDescent="0.2">
      <c r="AM11198" t="str">
        <f t="shared" si="175"/>
        <v>Ottensheim [ATOSH]</v>
      </c>
      <c r="AN11198" t="s">
        <v>1295</v>
      </c>
      <c r="AO11198" t="s">
        <v>1296</v>
      </c>
    </row>
    <row r="11199" spans="39:41" ht="12" customHeight="1" x14ac:dyDescent="0.2">
      <c r="AM11199" t="str">
        <f t="shared" si="175"/>
        <v>Otterbacken [SEOTT]</v>
      </c>
      <c r="AN11199" t="s">
        <v>27799</v>
      </c>
      <c r="AO11199" t="s">
        <v>36501</v>
      </c>
    </row>
    <row r="11200" spans="39:41" ht="12" customHeight="1" x14ac:dyDescent="0.2">
      <c r="AM11200" t="str">
        <f t="shared" si="175"/>
        <v>Otterndorf [DEOTT]</v>
      </c>
      <c r="AN11200" t="s">
        <v>8085</v>
      </c>
      <c r="AO11200" t="s">
        <v>8086</v>
      </c>
    </row>
    <row r="11201" spans="39:41" ht="12" customHeight="1" x14ac:dyDescent="0.2">
      <c r="AM11201" t="str">
        <f t="shared" si="175"/>
        <v>Otternish, North Uist [GBOTR]</v>
      </c>
      <c r="AN11201" t="s">
        <v>14011</v>
      </c>
      <c r="AO11201" t="s">
        <v>14012</v>
      </c>
    </row>
    <row r="11202" spans="39:41" ht="12" customHeight="1" x14ac:dyDescent="0.2">
      <c r="AM11202" t="str">
        <f t="shared" si="175"/>
        <v>Ottersbo [NOOTB]</v>
      </c>
      <c r="AN11202" t="s">
        <v>37094</v>
      </c>
      <c r="AO11202" t="s">
        <v>37095</v>
      </c>
    </row>
    <row r="11203" spans="39:41" ht="12" customHeight="1" x14ac:dyDescent="0.2">
      <c r="AM11203" t="str">
        <f t="shared" si="175"/>
        <v>Ottersoy [NOOTO]</v>
      </c>
      <c r="AN11203" t="s">
        <v>24613</v>
      </c>
      <c r="AO11203" t="s">
        <v>36270</v>
      </c>
    </row>
    <row r="11204" spans="39:41" ht="12" customHeight="1" x14ac:dyDescent="0.2">
      <c r="AM11204" t="str">
        <f t="shared" si="175"/>
        <v>Ottersoya [NOOTA]</v>
      </c>
      <c r="AN11204" t="s">
        <v>24614</v>
      </c>
      <c r="AO11204" t="s">
        <v>36271</v>
      </c>
    </row>
    <row r="11205" spans="39:41" ht="12" customHeight="1" x14ac:dyDescent="0.2">
      <c r="AM11205" t="str">
        <f t="shared" si="175"/>
        <v>Ottmarsheim [FROTM]</v>
      </c>
      <c r="AN11205" t="s">
        <v>11763</v>
      </c>
      <c r="AO11205" t="s">
        <v>11764</v>
      </c>
    </row>
    <row r="11206" spans="39:41" ht="12" customHeight="1" x14ac:dyDescent="0.2">
      <c r="AM11206" t="str">
        <f t="shared" si="175"/>
        <v>Ottsville [USOSV]</v>
      </c>
      <c r="AN11206" t="s">
        <v>30945</v>
      </c>
      <c r="AO11206" t="s">
        <v>30946</v>
      </c>
    </row>
    <row r="11207" spans="39:41" ht="12" customHeight="1" x14ac:dyDescent="0.2">
      <c r="AM11207" t="str">
        <f t="shared" si="175"/>
        <v>Ottumwa [USOTM]</v>
      </c>
      <c r="AN11207" t="s">
        <v>30947</v>
      </c>
      <c r="AO11207" t="s">
        <v>30948</v>
      </c>
    </row>
    <row r="11208" spans="39:41" ht="12" customHeight="1" x14ac:dyDescent="0.2">
      <c r="AM11208" t="str">
        <f t="shared" si="175"/>
        <v>Oud Gein [NLOGN]</v>
      </c>
      <c r="AN11208" t="s">
        <v>23504</v>
      </c>
      <c r="AO11208" t="s">
        <v>23505</v>
      </c>
    </row>
    <row r="11209" spans="39:41" ht="12" customHeight="1" x14ac:dyDescent="0.2">
      <c r="AM11209" t="str">
        <f t="shared" si="175"/>
        <v>Oud-Alblas [NLA2Z]</v>
      </c>
      <c r="AN11209" t="s">
        <v>23506</v>
      </c>
      <c r="AO11209" t="s">
        <v>23507</v>
      </c>
    </row>
    <row r="11210" spans="39:41" ht="12" customHeight="1" x14ac:dyDescent="0.2">
      <c r="AM11210" t="str">
        <f t="shared" si="175"/>
        <v>Oud-Beijerland [NLOBL]</v>
      </c>
      <c r="AN11210" t="s">
        <v>33917</v>
      </c>
      <c r="AO11210" t="s">
        <v>34039</v>
      </c>
    </row>
    <row r="11211" spans="39:41" ht="12" customHeight="1" x14ac:dyDescent="0.2">
      <c r="AM11211" t="str">
        <f t="shared" si="175"/>
        <v>Oude Schouw [NLOHW]</v>
      </c>
      <c r="AN11211" t="s">
        <v>23508</v>
      </c>
      <c r="AO11211" t="s">
        <v>23509</v>
      </c>
    </row>
    <row r="11212" spans="39:41" ht="12" customHeight="1" x14ac:dyDescent="0.2">
      <c r="AM11212" t="str">
        <f t="shared" si="175"/>
        <v>Oudega [NLOGA]</v>
      </c>
      <c r="AN11212" t="s">
        <v>23510</v>
      </c>
      <c r="AO11212" t="s">
        <v>23511</v>
      </c>
    </row>
    <row r="11213" spans="39:41" ht="12" customHeight="1" x14ac:dyDescent="0.2">
      <c r="AM11213" t="str">
        <f t="shared" si="175"/>
        <v>Oudenaarde [BEOUD]</v>
      </c>
      <c r="AN11213" t="s">
        <v>2823</v>
      </c>
      <c r="AO11213" t="s">
        <v>2824</v>
      </c>
    </row>
    <row r="11214" spans="39:41" ht="12" customHeight="1" x14ac:dyDescent="0.2">
      <c r="AM11214" t="str">
        <f t="shared" si="175"/>
        <v>Oudenburg [BEOBG]</v>
      </c>
      <c r="AN11214" t="s">
        <v>2825</v>
      </c>
      <c r="AO11214" t="s">
        <v>2826</v>
      </c>
    </row>
    <row r="11215" spans="39:41" ht="12" customHeight="1" x14ac:dyDescent="0.2">
      <c r="AM11215" t="str">
        <f t="shared" si="175"/>
        <v>Oudenrijn [NLORJ]</v>
      </c>
      <c r="AN11215" t="s">
        <v>23512</v>
      </c>
      <c r="AO11215" t="s">
        <v>23513</v>
      </c>
    </row>
    <row r="11216" spans="39:41" ht="12" customHeight="1" x14ac:dyDescent="0.2">
      <c r="AM11216" t="str">
        <f t="shared" si="175"/>
        <v>Ouderkerk aan de Amstel [NLODR]</v>
      </c>
      <c r="AN11216" t="s">
        <v>23514</v>
      </c>
      <c r="AO11216" t="s">
        <v>23515</v>
      </c>
    </row>
    <row r="11217" spans="39:41" ht="12" customHeight="1" x14ac:dyDescent="0.2">
      <c r="AM11217" t="str">
        <f t="shared" si="175"/>
        <v>Oudna [TNOUD]</v>
      </c>
      <c r="AN11217" t="s">
        <v>28360</v>
      </c>
      <c r="AO11217" t="s">
        <v>28361</v>
      </c>
    </row>
    <row r="11218" spans="39:41" ht="12" customHeight="1" x14ac:dyDescent="0.2">
      <c r="AM11218" t="str">
        <f t="shared" si="175"/>
        <v>Oud-Sabbinge [NLOSG]</v>
      </c>
      <c r="AN11218" t="s">
        <v>23516</v>
      </c>
      <c r="AO11218" t="s">
        <v>23517</v>
      </c>
    </row>
    <row r="11219" spans="39:41" ht="12" customHeight="1" x14ac:dyDescent="0.2">
      <c r="AM11219" t="str">
        <f t="shared" si="175"/>
        <v>Oud-Turnhout [BEOTH]</v>
      </c>
      <c r="AN11219" t="s">
        <v>2827</v>
      </c>
      <c r="AO11219" t="s">
        <v>2828</v>
      </c>
    </row>
    <row r="11220" spans="39:41" ht="12" customHeight="1" x14ac:dyDescent="0.2">
      <c r="AM11220" t="str">
        <f t="shared" si="175"/>
        <v>Oud-Zuilen [NLOZU]</v>
      </c>
      <c r="AN11220" t="s">
        <v>23518</v>
      </c>
      <c r="AO11220" t="s">
        <v>23519</v>
      </c>
    </row>
    <row r="11221" spans="39:41" ht="12" customHeight="1" x14ac:dyDescent="0.2">
      <c r="AM11221" t="str">
        <f t="shared" si="175"/>
        <v>Ouesso [CGOUE]</v>
      </c>
      <c r="AN11221" t="s">
        <v>4639</v>
      </c>
      <c r="AO11221" t="s">
        <v>4640</v>
      </c>
    </row>
    <row r="11222" spans="39:41" ht="12" customHeight="1" x14ac:dyDescent="0.2">
      <c r="AM11222" t="str">
        <f t="shared" si="175"/>
        <v>Ougree [BEOUG]</v>
      </c>
      <c r="AN11222" t="s">
        <v>2829</v>
      </c>
      <c r="AO11222" t="s">
        <v>35276</v>
      </c>
    </row>
    <row r="11223" spans="39:41" ht="12" customHeight="1" x14ac:dyDescent="0.2">
      <c r="AM11223" t="str">
        <f t="shared" si="175"/>
        <v>Ouistreham [FROUI]</v>
      </c>
      <c r="AN11223" t="s">
        <v>11765</v>
      </c>
      <c r="AO11223" t="s">
        <v>11766</v>
      </c>
    </row>
    <row r="11224" spans="39:41" ht="12" customHeight="1" x14ac:dyDescent="0.2">
      <c r="AM11224" t="str">
        <f t="shared" si="175"/>
        <v>Oulton Broad [GBOBR]</v>
      </c>
      <c r="AN11224" t="s">
        <v>14013</v>
      </c>
      <c r="AO11224" t="s">
        <v>14014</v>
      </c>
    </row>
    <row r="11225" spans="39:41" ht="12" customHeight="1" x14ac:dyDescent="0.2">
      <c r="AM11225" t="str">
        <f t="shared" si="175"/>
        <v>Oulu (Uleaborg) [FIOUL]</v>
      </c>
      <c r="AN11225" t="s">
        <v>10492</v>
      </c>
      <c r="AO11225" t="s">
        <v>35742</v>
      </c>
    </row>
    <row r="11226" spans="39:41" ht="12" customHeight="1" x14ac:dyDescent="0.2">
      <c r="AM11226" t="str">
        <f t="shared" si="175"/>
        <v>Oupeye [BEOPY]</v>
      </c>
      <c r="AN11226" t="s">
        <v>2830</v>
      </c>
      <c r="AO11226" t="s">
        <v>2831</v>
      </c>
    </row>
    <row r="11227" spans="39:41" ht="12" customHeight="1" x14ac:dyDescent="0.2">
      <c r="AM11227" t="str">
        <f t="shared" si="175"/>
        <v>Oura, Saga [JPOOA]</v>
      </c>
      <c r="AN11227" t="s">
        <v>20554</v>
      </c>
      <c r="AO11227" t="s">
        <v>20555</v>
      </c>
    </row>
    <row r="11228" spans="39:41" ht="12" customHeight="1" x14ac:dyDescent="0.2">
      <c r="AM11228" t="str">
        <f t="shared" si="175"/>
        <v>Oura/Ariake [JPOUA]</v>
      </c>
      <c r="AN11228" t="s">
        <v>20556</v>
      </c>
      <c r="AO11228" t="s">
        <v>20557</v>
      </c>
    </row>
    <row r="11229" spans="39:41" ht="12" customHeight="1" x14ac:dyDescent="0.2">
      <c r="AM11229" t="str">
        <f t="shared" si="175"/>
        <v>Oura/Kamitsushima [JPOUR]</v>
      </c>
      <c r="AN11229" t="s">
        <v>20558</v>
      </c>
      <c r="AO11229" t="s">
        <v>20559</v>
      </c>
    </row>
    <row r="11230" spans="39:41" ht="12" customHeight="1" x14ac:dyDescent="0.2">
      <c r="AM11230" t="str">
        <f t="shared" si="175"/>
        <v>Oura/Kasaoka [JPOOR]</v>
      </c>
      <c r="AN11230" t="s">
        <v>20560</v>
      </c>
      <c r="AO11230" t="s">
        <v>20561</v>
      </c>
    </row>
    <row r="11231" spans="39:41" ht="12" customHeight="1" x14ac:dyDescent="0.2">
      <c r="AM11231" t="str">
        <f t="shared" si="175"/>
        <v>Oura/Marugame [JPORX]</v>
      </c>
      <c r="AN11231" t="s">
        <v>20562</v>
      </c>
      <c r="AO11231" t="s">
        <v>20563</v>
      </c>
    </row>
    <row r="11232" spans="39:41" ht="12" customHeight="1" x14ac:dyDescent="0.2">
      <c r="AM11232" t="str">
        <f t="shared" si="175"/>
        <v>Oura/Uchinoura [JPORR]</v>
      </c>
      <c r="AN11232" t="s">
        <v>20564</v>
      </c>
      <c r="AO11232" t="s">
        <v>20565</v>
      </c>
    </row>
    <row r="11233" spans="39:41" ht="12" customHeight="1" x14ac:dyDescent="0.2">
      <c r="AM11233" t="str">
        <f t="shared" si="175"/>
        <v>Ouranopolis [GROUR]</v>
      </c>
      <c r="AN11233" t="s">
        <v>15407</v>
      </c>
      <c r="AO11233" t="s">
        <v>35953</v>
      </c>
    </row>
    <row r="11234" spans="39:41" ht="12" customHeight="1" x14ac:dyDescent="0.2">
      <c r="AM11234" t="str">
        <f t="shared" si="175"/>
        <v>Outeiro [BROUT]</v>
      </c>
      <c r="AN11234" t="s">
        <v>3355</v>
      </c>
      <c r="AO11234" t="s">
        <v>3356</v>
      </c>
    </row>
    <row r="11235" spans="39:41" ht="12" customHeight="1" x14ac:dyDescent="0.2">
      <c r="AM11235" t="str">
        <f t="shared" si="175"/>
        <v>Outes [ESOUT]</v>
      </c>
      <c r="AN11235" t="s">
        <v>10008</v>
      </c>
      <c r="AO11235" t="s">
        <v>10009</v>
      </c>
    </row>
    <row r="11236" spans="39:41" ht="12" customHeight="1" x14ac:dyDescent="0.2">
      <c r="AM11236" t="str">
        <f t="shared" si="175"/>
        <v>Outlook [US3VC]</v>
      </c>
      <c r="AN11236" t="s">
        <v>30949</v>
      </c>
      <c r="AO11236" t="s">
        <v>30950</v>
      </c>
    </row>
    <row r="11237" spans="39:41" ht="12" customHeight="1" x14ac:dyDescent="0.2">
      <c r="AM11237" t="str">
        <f t="shared" si="175"/>
        <v>Ouzai [LBOUZ]</v>
      </c>
      <c r="AN11237" t="s">
        <v>21798</v>
      </c>
      <c r="AO11237" t="s">
        <v>21799</v>
      </c>
    </row>
    <row r="11238" spans="39:41" ht="12" customHeight="1" x14ac:dyDescent="0.2">
      <c r="AM11238" t="str">
        <f t="shared" si="175"/>
        <v>Ovalle [CLOVL]</v>
      </c>
      <c r="AN11238" t="s">
        <v>4909</v>
      </c>
      <c r="AO11238" t="s">
        <v>4910</v>
      </c>
    </row>
    <row r="11239" spans="39:41" ht="12" customHeight="1" x14ac:dyDescent="0.2">
      <c r="AM11239" t="str">
        <f t="shared" si="175"/>
        <v>Overberg [NLOVG]</v>
      </c>
      <c r="AN11239" t="s">
        <v>23520</v>
      </c>
      <c r="AO11239" t="s">
        <v>23521</v>
      </c>
    </row>
    <row r="11240" spans="39:41" ht="12" customHeight="1" x14ac:dyDescent="0.2">
      <c r="AM11240" t="str">
        <f t="shared" si="175"/>
        <v>Overboelare [BEOLE]</v>
      </c>
      <c r="AN11240" t="s">
        <v>2832</v>
      </c>
      <c r="AO11240" t="s">
        <v>2833</v>
      </c>
    </row>
    <row r="11241" spans="39:41" ht="12" customHeight="1" x14ac:dyDescent="0.2">
      <c r="AM11241" t="str">
        <f t="shared" si="175"/>
        <v>Overpelt [BEOVE]</v>
      </c>
      <c r="AN11241" t="s">
        <v>2834</v>
      </c>
      <c r="AO11241" t="s">
        <v>2835</v>
      </c>
    </row>
    <row r="11242" spans="39:41" ht="12" customHeight="1" x14ac:dyDescent="0.2">
      <c r="AM11242" t="str">
        <f t="shared" si="175"/>
        <v>Overschild [NLOSK]</v>
      </c>
      <c r="AN11242" t="s">
        <v>23522</v>
      </c>
      <c r="AO11242" t="s">
        <v>23523</v>
      </c>
    </row>
    <row r="11243" spans="39:41" ht="12" customHeight="1" x14ac:dyDescent="0.2">
      <c r="AM11243" t="str">
        <f t="shared" si="175"/>
        <v>Ovidiu [ROOVI]</v>
      </c>
      <c r="AN11243" t="s">
        <v>26799</v>
      </c>
      <c r="AO11243" t="s">
        <v>26800</v>
      </c>
    </row>
    <row r="11244" spans="39:41" ht="12" customHeight="1" x14ac:dyDescent="0.2">
      <c r="AM11244" t="str">
        <f t="shared" si="175"/>
        <v>Oviedo [USZOD]</v>
      </c>
      <c r="AN11244" t="s">
        <v>30951</v>
      </c>
      <c r="AO11244" t="s">
        <v>30952</v>
      </c>
    </row>
    <row r="11245" spans="39:41" ht="12" customHeight="1" x14ac:dyDescent="0.2">
      <c r="AM11245" t="str">
        <f t="shared" si="175"/>
        <v>Owase [JPOWA]</v>
      </c>
      <c r="AN11245" t="s">
        <v>20566</v>
      </c>
      <c r="AO11245" t="s">
        <v>20567</v>
      </c>
    </row>
    <row r="11246" spans="39:41" ht="12" customHeight="1" x14ac:dyDescent="0.2">
      <c r="AM11246" t="str">
        <f t="shared" si="175"/>
        <v>Owen Sound [CAOWS]</v>
      </c>
      <c r="AN11246" t="s">
        <v>4192</v>
      </c>
      <c r="AO11246" t="s">
        <v>4193</v>
      </c>
    </row>
    <row r="11247" spans="39:41" ht="12" customHeight="1" x14ac:dyDescent="0.2">
      <c r="AM11247" t="str">
        <f t="shared" ref="AM11247:AM11310" si="176">AO11247 &amp; " [" &amp; AN11247 &amp; "]"</f>
        <v>Owendo [GAOWE]</v>
      </c>
      <c r="AN11247" t="s">
        <v>12241</v>
      </c>
      <c r="AO11247" t="s">
        <v>12242</v>
      </c>
    </row>
    <row r="11248" spans="39:41" ht="12" customHeight="1" x14ac:dyDescent="0.2">
      <c r="AM11248" t="str">
        <f t="shared" si="176"/>
        <v>Owensboro [USOWB]</v>
      </c>
      <c r="AN11248" t="s">
        <v>30953</v>
      </c>
      <c r="AO11248" t="s">
        <v>30954</v>
      </c>
    </row>
    <row r="11249" spans="39:41" ht="12" customHeight="1" x14ac:dyDescent="0.2">
      <c r="AM11249" t="str">
        <f t="shared" si="176"/>
        <v>Oxelosund [SEOXE]</v>
      </c>
      <c r="AN11249" t="s">
        <v>27800</v>
      </c>
      <c r="AO11249" t="s">
        <v>36502</v>
      </c>
    </row>
    <row r="11250" spans="39:41" ht="12" customHeight="1" x14ac:dyDescent="0.2">
      <c r="AM11250" t="str">
        <f t="shared" si="176"/>
        <v>Oxnard-Ventura Apt [USOXR]</v>
      </c>
      <c r="AN11250" t="s">
        <v>30955</v>
      </c>
      <c r="AO11250" t="s">
        <v>30956</v>
      </c>
    </row>
    <row r="11251" spans="39:41" ht="12" customHeight="1" x14ac:dyDescent="0.2">
      <c r="AM11251" t="str">
        <f t="shared" si="176"/>
        <v>Oyabu [JPOYB]</v>
      </c>
      <c r="AN11251" t="s">
        <v>20568</v>
      </c>
      <c r="AO11251" t="s">
        <v>20569</v>
      </c>
    </row>
    <row r="11252" spans="39:41" ht="12" customHeight="1" x14ac:dyDescent="0.2">
      <c r="AM11252" t="str">
        <f t="shared" si="176"/>
        <v>Oygarden [NOOYG]</v>
      </c>
      <c r="AN11252" t="s">
        <v>24615</v>
      </c>
      <c r="AO11252" t="s">
        <v>36272</v>
      </c>
    </row>
    <row r="11253" spans="39:41" ht="12" customHeight="1" x14ac:dyDescent="0.2">
      <c r="AM11253" t="str">
        <f t="shared" si="176"/>
        <v>Oyo [CGOYO]</v>
      </c>
      <c r="AN11253" t="s">
        <v>4641</v>
      </c>
      <c r="AO11253" t="s">
        <v>4642</v>
      </c>
    </row>
    <row r="11254" spans="39:41" ht="12" customHeight="1" x14ac:dyDescent="0.2">
      <c r="AM11254" t="str">
        <f t="shared" si="176"/>
        <v>Oyo [NGOYO]</v>
      </c>
      <c r="AN11254" t="s">
        <v>22971</v>
      </c>
      <c r="AO11254" t="s">
        <v>4642</v>
      </c>
    </row>
    <row r="11255" spans="39:41" ht="12" customHeight="1" x14ac:dyDescent="0.2">
      <c r="AM11255" t="str">
        <f t="shared" si="176"/>
        <v>Ozaki [JPOZX]</v>
      </c>
      <c r="AN11255" t="s">
        <v>20570</v>
      </c>
      <c r="AO11255" t="s">
        <v>20571</v>
      </c>
    </row>
    <row r="11256" spans="39:41" ht="12" customHeight="1" x14ac:dyDescent="0.2">
      <c r="AM11256" t="str">
        <f t="shared" si="176"/>
        <v>Ozamis, Mindanao [PHOZC]</v>
      </c>
      <c r="AN11256" t="s">
        <v>26015</v>
      </c>
      <c r="AO11256" t="s">
        <v>26016</v>
      </c>
    </row>
    <row r="11257" spans="39:41" ht="12" customHeight="1" x14ac:dyDescent="0.2">
      <c r="AM11257" t="str">
        <f t="shared" si="176"/>
        <v>Ozerko [RUOZK]</v>
      </c>
      <c r="AN11257" t="s">
        <v>27157</v>
      </c>
      <c r="AO11257" t="s">
        <v>27158</v>
      </c>
    </row>
    <row r="11258" spans="39:41" ht="12" customHeight="1" x14ac:dyDescent="0.2">
      <c r="AM11258" t="str">
        <f t="shared" si="176"/>
        <v>Ozery [RUOZY]</v>
      </c>
      <c r="AN11258" t="s">
        <v>27159</v>
      </c>
      <c r="AO11258" t="s">
        <v>36406</v>
      </c>
    </row>
    <row r="11259" spans="39:41" ht="12" customHeight="1" x14ac:dyDescent="0.2">
      <c r="AM11259" t="str">
        <f t="shared" si="176"/>
        <v>Ozu [JPOOO]</v>
      </c>
      <c r="AN11259" t="s">
        <v>20572</v>
      </c>
      <c r="AO11259" t="s">
        <v>20573</v>
      </c>
    </row>
    <row r="11260" spans="39:41" ht="12" customHeight="1" x14ac:dyDescent="0.2">
      <c r="AM11260" t="str">
        <f t="shared" si="176"/>
        <v>Ozuku [JPOZU]</v>
      </c>
      <c r="AN11260" t="s">
        <v>20574</v>
      </c>
      <c r="AO11260" t="s">
        <v>20575</v>
      </c>
    </row>
    <row r="11261" spans="39:41" ht="12" customHeight="1" x14ac:dyDescent="0.2">
      <c r="AM11261" t="str">
        <f t="shared" si="176"/>
        <v>Paal [BEPAL]</v>
      </c>
      <c r="AN11261" t="s">
        <v>2836</v>
      </c>
      <c r="AO11261" t="s">
        <v>2837</v>
      </c>
    </row>
    <row r="11262" spans="39:41" ht="12" customHeight="1" x14ac:dyDescent="0.2">
      <c r="AM11262" t="str">
        <f t="shared" si="176"/>
        <v>Paamiut (Fredrikshaab) [GLJFR]</v>
      </c>
      <c r="AN11262" t="s">
        <v>15011</v>
      </c>
      <c r="AO11262" t="s">
        <v>15012</v>
      </c>
    </row>
    <row r="11263" spans="39:41" ht="12" customHeight="1" x14ac:dyDescent="0.2">
      <c r="AM11263" t="str">
        <f t="shared" si="176"/>
        <v>Paardeneiland [ZAPNL]</v>
      </c>
      <c r="AN11263" t="s">
        <v>32719</v>
      </c>
      <c r="AO11263" t="s">
        <v>32720</v>
      </c>
    </row>
    <row r="11264" spans="39:41" ht="12" customHeight="1" x14ac:dyDescent="0.2">
      <c r="AM11264" t="str">
        <f t="shared" si="176"/>
        <v>Paatsalu [EEPAA]</v>
      </c>
      <c r="AN11264" t="s">
        <v>9291</v>
      </c>
      <c r="AO11264" t="s">
        <v>9292</v>
      </c>
    </row>
    <row r="11265" spans="39:41" ht="12" customHeight="1" x14ac:dyDescent="0.2">
      <c r="AM11265" t="str">
        <f t="shared" si="176"/>
        <v>Pablo Podesta [ARPP9]</v>
      </c>
      <c r="AN11265" t="s">
        <v>1052</v>
      </c>
      <c r="AO11265" t="s">
        <v>35246</v>
      </c>
    </row>
    <row r="11266" spans="39:41" ht="12" customHeight="1" x14ac:dyDescent="0.2">
      <c r="AM11266" t="str">
        <f t="shared" si="176"/>
        <v>Pacasmayo [PEPAC]</v>
      </c>
      <c r="AN11266" t="s">
        <v>25273</v>
      </c>
      <c r="AO11266" t="s">
        <v>25274</v>
      </c>
    </row>
    <row r="11267" spans="39:41" ht="12" customHeight="1" x14ac:dyDescent="0.2">
      <c r="AM11267" t="str">
        <f t="shared" si="176"/>
        <v>Pachi [GRPME]</v>
      </c>
      <c r="AN11267" t="s">
        <v>15408</v>
      </c>
      <c r="AO11267" t="s">
        <v>15409</v>
      </c>
    </row>
    <row r="11268" spans="39:41" ht="12" customHeight="1" x14ac:dyDescent="0.2">
      <c r="AM11268" t="str">
        <f t="shared" si="176"/>
        <v>Pacio de Rozas/Batangas [PHPDR]</v>
      </c>
      <c r="AN11268" t="s">
        <v>26017</v>
      </c>
      <c r="AO11268" t="s">
        <v>26018</v>
      </c>
    </row>
    <row r="11269" spans="39:41" ht="12" customHeight="1" x14ac:dyDescent="0.2">
      <c r="AM11269" t="str">
        <f t="shared" si="176"/>
        <v>Padang [IDPDG]</v>
      </c>
      <c r="AN11269" t="s">
        <v>16462</v>
      </c>
      <c r="AO11269" t="s">
        <v>16463</v>
      </c>
    </row>
    <row r="11270" spans="39:41" ht="12" customHeight="1" x14ac:dyDescent="0.2">
      <c r="AM11270" t="str">
        <f t="shared" si="176"/>
        <v>Paddington [AUPAG]</v>
      </c>
      <c r="AN11270" t="s">
        <v>1888</v>
      </c>
      <c r="AO11270" t="s">
        <v>1889</v>
      </c>
    </row>
    <row r="11271" spans="39:41" ht="12" customHeight="1" x14ac:dyDescent="0.2">
      <c r="AM11271" t="str">
        <f t="shared" si="176"/>
        <v>Paddington [GBPAT]</v>
      </c>
      <c r="AN11271" t="s">
        <v>14015</v>
      </c>
      <c r="AO11271" t="s">
        <v>1889</v>
      </c>
    </row>
    <row r="11272" spans="39:41" ht="12" customHeight="1" x14ac:dyDescent="0.2">
      <c r="AM11272" t="str">
        <f t="shared" si="176"/>
        <v>Padstow [AUDSW]</v>
      </c>
      <c r="AN11272" t="s">
        <v>1890</v>
      </c>
      <c r="AO11272" t="s">
        <v>1891</v>
      </c>
    </row>
    <row r="11273" spans="39:41" ht="12" customHeight="1" x14ac:dyDescent="0.2">
      <c r="AM11273" t="str">
        <f t="shared" si="176"/>
        <v>Padstow [GBPAD]</v>
      </c>
      <c r="AN11273" t="s">
        <v>14016</v>
      </c>
      <c r="AO11273" t="s">
        <v>1891</v>
      </c>
    </row>
    <row r="11274" spans="39:41" ht="12" customHeight="1" x14ac:dyDescent="0.2">
      <c r="AM11274" t="str">
        <f t="shared" si="176"/>
        <v>Padubidri [INPDD]</v>
      </c>
      <c r="AN11274" t="s">
        <v>17361</v>
      </c>
      <c r="AO11274" t="s">
        <v>17362</v>
      </c>
    </row>
    <row r="11275" spans="39:41" ht="12" customHeight="1" x14ac:dyDescent="0.2">
      <c r="AM11275" t="str">
        <f t="shared" si="176"/>
        <v>Paducah [USPAH]</v>
      </c>
      <c r="AN11275" t="s">
        <v>30957</v>
      </c>
      <c r="AO11275" t="s">
        <v>30958</v>
      </c>
    </row>
    <row r="11276" spans="39:41" ht="12" customHeight="1" x14ac:dyDescent="0.2">
      <c r="AM11276" t="str">
        <f t="shared" si="176"/>
        <v>Pag [HRPAG]</v>
      </c>
      <c r="AN11276" t="s">
        <v>15854</v>
      </c>
      <c r="AO11276" t="s">
        <v>15855</v>
      </c>
    </row>
    <row r="11277" spans="39:41" ht="12" customHeight="1" x14ac:dyDescent="0.2">
      <c r="AM11277" t="str">
        <f t="shared" si="176"/>
        <v>Pagadian/Zamboanga [PHPAG]</v>
      </c>
      <c r="AN11277" t="s">
        <v>26019</v>
      </c>
      <c r="AO11277" t="s">
        <v>26020</v>
      </c>
    </row>
    <row r="11278" spans="39:41" ht="12" customHeight="1" x14ac:dyDescent="0.2">
      <c r="AM11278" t="str">
        <f t="shared" si="176"/>
        <v>Pagatan, Kalimantan [IDPAG]</v>
      </c>
      <c r="AN11278" t="s">
        <v>16464</v>
      </c>
      <c r="AO11278" t="s">
        <v>16465</v>
      </c>
    </row>
    <row r="11279" spans="39:41" ht="12" customHeight="1" x14ac:dyDescent="0.2">
      <c r="AM11279" t="str">
        <f t="shared" si="176"/>
        <v>Pagedale [USPGE]</v>
      </c>
      <c r="AN11279" t="s">
        <v>30959</v>
      </c>
      <c r="AO11279" t="s">
        <v>30960</v>
      </c>
    </row>
    <row r="11280" spans="39:41" ht="12" customHeight="1" x14ac:dyDescent="0.2">
      <c r="AM11280" t="str">
        <f t="shared" si="176"/>
        <v>Pagerungan [IDPGA]</v>
      </c>
      <c r="AN11280" t="s">
        <v>16466</v>
      </c>
      <c r="AO11280" t="s">
        <v>16467</v>
      </c>
    </row>
    <row r="11281" spans="39:41" ht="12" customHeight="1" x14ac:dyDescent="0.2">
      <c r="AM11281" t="str">
        <f t="shared" si="176"/>
        <v>Pagimana [IDPGM]</v>
      </c>
      <c r="AN11281" t="s">
        <v>16468</v>
      </c>
      <c r="AO11281" t="s">
        <v>16469</v>
      </c>
    </row>
    <row r="11282" spans="39:41" ht="12" customHeight="1" x14ac:dyDescent="0.2">
      <c r="AM11282" t="str">
        <f t="shared" si="176"/>
        <v>Paglesham [GBPAG]</v>
      </c>
      <c r="AN11282" t="s">
        <v>14017</v>
      </c>
      <c r="AO11282" t="s">
        <v>14018</v>
      </c>
    </row>
    <row r="11283" spans="39:41" ht="12" customHeight="1" x14ac:dyDescent="0.2">
      <c r="AM11283" t="str">
        <f t="shared" si="176"/>
        <v>Pagny-la-Ville [FRPAD]</v>
      </c>
      <c r="AN11283" t="s">
        <v>11767</v>
      </c>
      <c r="AO11283" t="s">
        <v>11768</v>
      </c>
    </row>
    <row r="11284" spans="39:41" ht="12" customHeight="1" x14ac:dyDescent="0.2">
      <c r="AM11284" t="str">
        <f t="shared" si="176"/>
        <v>Pago Pago [ASPPG]</v>
      </c>
      <c r="AN11284" t="s">
        <v>1159</v>
      </c>
      <c r="AO11284" t="s">
        <v>1160</v>
      </c>
    </row>
    <row r="11285" spans="39:41" ht="12" customHeight="1" x14ac:dyDescent="0.2">
      <c r="AM11285" t="str">
        <f t="shared" si="176"/>
        <v>Pagudpud, Luzon [PHPPP]</v>
      </c>
      <c r="AN11285" t="s">
        <v>26021</v>
      </c>
      <c r="AO11285" t="s">
        <v>26022</v>
      </c>
    </row>
    <row r="11286" spans="39:41" ht="12" customHeight="1" x14ac:dyDescent="0.2">
      <c r="AM11286" t="str">
        <f t="shared" si="176"/>
        <v>Pahlhude [DEPAH]</v>
      </c>
      <c r="AN11286" t="s">
        <v>8087</v>
      </c>
      <c r="AO11286" t="s">
        <v>8088</v>
      </c>
    </row>
    <row r="11287" spans="39:41" ht="12" customHeight="1" x14ac:dyDescent="0.2">
      <c r="AM11287" t="str">
        <f t="shared" si="176"/>
        <v>Paillencourt [FRPNU]</v>
      </c>
      <c r="AN11287" t="s">
        <v>11769</v>
      </c>
      <c r="AO11287" t="s">
        <v>11770</v>
      </c>
    </row>
    <row r="11288" spans="39:41" ht="12" customHeight="1" x14ac:dyDescent="0.2">
      <c r="AM11288" t="str">
        <f t="shared" si="176"/>
        <v>Paimboeuf [FRPBF]</v>
      </c>
      <c r="AN11288" t="s">
        <v>11771</v>
      </c>
      <c r="AO11288" t="s">
        <v>11772</v>
      </c>
    </row>
    <row r="11289" spans="39:41" ht="12" customHeight="1" x14ac:dyDescent="0.2">
      <c r="AM11289" t="str">
        <f t="shared" si="176"/>
        <v>Paimpol [FRPAI]</v>
      </c>
      <c r="AN11289" t="s">
        <v>11773</v>
      </c>
      <c r="AO11289" t="s">
        <v>11774</v>
      </c>
    </row>
    <row r="11290" spans="39:41" ht="12" customHeight="1" x14ac:dyDescent="0.2">
      <c r="AM11290" t="str">
        <f t="shared" si="176"/>
        <v>Paisley [USPY6]</v>
      </c>
      <c r="AN11290" t="s">
        <v>30961</v>
      </c>
      <c r="AO11290" t="s">
        <v>30962</v>
      </c>
    </row>
    <row r="11291" spans="39:41" ht="12" customHeight="1" x14ac:dyDescent="0.2">
      <c r="AM11291" t="str">
        <f t="shared" si="176"/>
        <v>Paita [PEPAI]</v>
      </c>
      <c r="AN11291" t="s">
        <v>25275</v>
      </c>
      <c r="AO11291" t="s">
        <v>25276</v>
      </c>
    </row>
    <row r="11292" spans="39:41" ht="12" customHeight="1" x14ac:dyDescent="0.2">
      <c r="AM11292" t="str">
        <f t="shared" si="176"/>
        <v>Paizhou [CNPZO]</v>
      </c>
      <c r="AN11292" t="s">
        <v>5815</v>
      </c>
      <c r="AO11292" t="s">
        <v>5816</v>
      </c>
    </row>
    <row r="11293" spans="39:41" ht="12" customHeight="1" x14ac:dyDescent="0.2">
      <c r="AM11293" t="str">
        <f t="shared" si="176"/>
        <v>Pajara Fuerteventura [ESPAF]</v>
      </c>
      <c r="AN11293" t="s">
        <v>10010</v>
      </c>
      <c r="AO11293" t="s">
        <v>10011</v>
      </c>
    </row>
    <row r="11294" spans="39:41" ht="12" customHeight="1" x14ac:dyDescent="0.2">
      <c r="AM11294" t="str">
        <f t="shared" si="176"/>
        <v>Pajaritos [MXPAJ]</v>
      </c>
      <c r="AN11294" t="s">
        <v>22406</v>
      </c>
      <c r="AO11294" t="s">
        <v>22407</v>
      </c>
    </row>
    <row r="11295" spans="39:41" ht="12" customHeight="1" x14ac:dyDescent="0.2">
      <c r="AM11295" t="str">
        <f t="shared" si="176"/>
        <v>Pakbara [THPKB]</v>
      </c>
      <c r="AN11295" t="s">
        <v>28258</v>
      </c>
      <c r="AO11295" t="s">
        <v>28259</v>
      </c>
    </row>
    <row r="11296" spans="39:41" ht="12" customHeight="1" x14ac:dyDescent="0.2">
      <c r="AM11296" t="str">
        <f t="shared" si="176"/>
        <v>Pakistan International Container Terminal/Karachi [PKPCT]</v>
      </c>
      <c r="AN11296" t="s">
        <v>26262</v>
      </c>
      <c r="AO11296" t="s">
        <v>26263</v>
      </c>
    </row>
    <row r="11297" spans="39:41" ht="12" customHeight="1" x14ac:dyDescent="0.2">
      <c r="AM11297" t="str">
        <f t="shared" si="176"/>
        <v>Paknam [THPKN]</v>
      </c>
      <c r="AN11297" t="s">
        <v>28260</v>
      </c>
      <c r="AO11297" t="s">
        <v>28261</v>
      </c>
    </row>
    <row r="11298" spans="39:41" ht="12" customHeight="1" x14ac:dyDescent="0.2">
      <c r="AM11298" t="str">
        <f t="shared" si="176"/>
        <v>Pakpanang [THPKP]</v>
      </c>
      <c r="AN11298" t="s">
        <v>28262</v>
      </c>
      <c r="AO11298" t="s">
        <v>28263</v>
      </c>
    </row>
    <row r="11299" spans="39:41" ht="12" customHeight="1" x14ac:dyDescent="0.2">
      <c r="AM11299" t="str">
        <f t="shared" si="176"/>
        <v>Palaia Epidavros [GRPEP]</v>
      </c>
      <c r="AN11299" t="s">
        <v>15410</v>
      </c>
      <c r="AO11299" t="s">
        <v>35954</v>
      </c>
    </row>
    <row r="11300" spans="39:41" ht="12" customHeight="1" x14ac:dyDescent="0.2">
      <c r="AM11300" t="str">
        <f t="shared" si="176"/>
        <v>Palaia Fokaia [GRPFA]</v>
      </c>
      <c r="AN11300" t="s">
        <v>15411</v>
      </c>
      <c r="AO11300" t="s">
        <v>35955</v>
      </c>
    </row>
    <row r="11301" spans="39:41" ht="12" customHeight="1" x14ac:dyDescent="0.2">
      <c r="AM11301" t="str">
        <f t="shared" si="176"/>
        <v>Palamit Bay/San Jose [PHPLB]</v>
      </c>
      <c r="AN11301" t="s">
        <v>26023</v>
      </c>
      <c r="AO11301" t="s">
        <v>26024</v>
      </c>
    </row>
    <row r="11302" spans="39:41" ht="12" customHeight="1" x14ac:dyDescent="0.2">
      <c r="AM11302" t="str">
        <f t="shared" si="176"/>
        <v>Palamos [ESPAL]</v>
      </c>
      <c r="AN11302" t="s">
        <v>10012</v>
      </c>
      <c r="AO11302" t="s">
        <v>35688</v>
      </c>
    </row>
    <row r="11303" spans="39:41" ht="12" customHeight="1" x14ac:dyDescent="0.2">
      <c r="AM11303" t="str">
        <f t="shared" si="176"/>
        <v>Palanca Terminal [AOPAT]</v>
      </c>
      <c r="AN11303" t="s">
        <v>880</v>
      </c>
      <c r="AO11303" t="s">
        <v>881</v>
      </c>
    </row>
    <row r="11304" spans="39:41" ht="12" customHeight="1" x14ac:dyDescent="0.2">
      <c r="AM11304" t="str">
        <f t="shared" si="176"/>
        <v>Palapag/San Jose [PHPLP]</v>
      </c>
      <c r="AN11304" t="s">
        <v>26025</v>
      </c>
      <c r="AO11304" t="s">
        <v>26026</v>
      </c>
    </row>
    <row r="11305" spans="39:41" ht="12" customHeight="1" x14ac:dyDescent="0.2">
      <c r="AM11305" t="str">
        <f t="shared" si="176"/>
        <v>Palapo, Sulawesi [IDPPO]</v>
      </c>
      <c r="AN11305" t="s">
        <v>16470</v>
      </c>
      <c r="AO11305" t="s">
        <v>16471</v>
      </c>
    </row>
    <row r="11306" spans="39:41" ht="12" customHeight="1" x14ac:dyDescent="0.2">
      <c r="AM11306" t="str">
        <f t="shared" si="176"/>
        <v>Palatine Bridge [USPBE]</v>
      </c>
      <c r="AN11306" t="s">
        <v>30963</v>
      </c>
      <c r="AO11306" t="s">
        <v>30964</v>
      </c>
    </row>
    <row r="11307" spans="39:41" ht="12" customHeight="1" x14ac:dyDescent="0.2">
      <c r="AM11307" t="str">
        <f t="shared" si="176"/>
        <v>Palau [ITPAU]</v>
      </c>
      <c r="AN11307" t="s">
        <v>18129</v>
      </c>
      <c r="AO11307" t="s">
        <v>18130</v>
      </c>
    </row>
    <row r="11308" spans="39:41" ht="12" customHeight="1" x14ac:dyDescent="0.2">
      <c r="AM11308" t="str">
        <f t="shared" si="176"/>
        <v>Palawan/Ozamis [PHPLW]</v>
      </c>
      <c r="AN11308" t="s">
        <v>26027</v>
      </c>
      <c r="AO11308" t="s">
        <v>26028</v>
      </c>
    </row>
    <row r="11309" spans="39:41" ht="12" customHeight="1" x14ac:dyDescent="0.2">
      <c r="AM11309" t="str">
        <f t="shared" si="176"/>
        <v>Paldiski Lounasadam [EEPLS]</v>
      </c>
      <c r="AN11309" t="s">
        <v>9293</v>
      </c>
      <c r="AO11309" t="s">
        <v>35633</v>
      </c>
    </row>
    <row r="11310" spans="39:41" ht="12" customHeight="1" x14ac:dyDescent="0.2">
      <c r="AM11310" t="str">
        <f t="shared" si="176"/>
        <v>Paldiski Pohjasadam [EEPLN]</v>
      </c>
      <c r="AN11310" t="s">
        <v>9294</v>
      </c>
      <c r="AO11310" t="s">
        <v>35634</v>
      </c>
    </row>
    <row r="11311" spans="39:41" ht="12" customHeight="1" x14ac:dyDescent="0.2">
      <c r="AM11311" t="str">
        <f t="shared" ref="AM11311:AM11374" si="177">AO11311 &amp; " [" &amp; AN11311 &amp; "]"</f>
        <v>Palembang, Sumatra [IDPLM]</v>
      </c>
      <c r="AN11311" t="s">
        <v>16472</v>
      </c>
      <c r="AO11311" t="s">
        <v>16473</v>
      </c>
    </row>
    <row r="11312" spans="39:41" ht="12" customHeight="1" x14ac:dyDescent="0.2">
      <c r="AM11312" t="str">
        <f t="shared" si="177"/>
        <v>Paleochora [GRPCH]</v>
      </c>
      <c r="AN11312" t="s">
        <v>15412</v>
      </c>
      <c r="AO11312" t="s">
        <v>15413</v>
      </c>
    </row>
    <row r="11313" spans="39:41" ht="12" customHeight="1" x14ac:dyDescent="0.2">
      <c r="AM11313" t="str">
        <f t="shared" si="177"/>
        <v>Paleohora Sfakion [GRPSF]</v>
      </c>
      <c r="AN11313" t="s">
        <v>15414</v>
      </c>
      <c r="AO11313" t="s">
        <v>15415</v>
      </c>
    </row>
    <row r="11314" spans="39:41" ht="12" customHeight="1" x14ac:dyDescent="0.2">
      <c r="AM11314" t="str">
        <f t="shared" si="177"/>
        <v>Palermo [ITPMO]</v>
      </c>
      <c r="AN11314" t="s">
        <v>18131</v>
      </c>
      <c r="AO11314" t="s">
        <v>18132</v>
      </c>
    </row>
    <row r="11315" spans="39:41" ht="12" customHeight="1" x14ac:dyDescent="0.2">
      <c r="AM11315" t="str">
        <f t="shared" si="177"/>
        <v>Palinuro [ITPLN]</v>
      </c>
      <c r="AN11315" t="s">
        <v>18133</v>
      </c>
      <c r="AO11315" t="s">
        <v>18134</v>
      </c>
    </row>
    <row r="11316" spans="39:41" ht="12" customHeight="1" x14ac:dyDescent="0.2">
      <c r="AM11316" t="str">
        <f t="shared" si="177"/>
        <v>Paljassaare [EEPAS]</v>
      </c>
      <c r="AN11316" t="s">
        <v>9295</v>
      </c>
      <c r="AO11316" t="s">
        <v>9296</v>
      </c>
    </row>
    <row r="11317" spans="39:41" ht="12" customHeight="1" x14ac:dyDescent="0.2">
      <c r="AM11317" t="str">
        <f t="shared" si="177"/>
        <v>Palm [USPQM]</v>
      </c>
      <c r="AN11317" t="s">
        <v>30965</v>
      </c>
      <c r="AO11317" t="s">
        <v>30966</v>
      </c>
    </row>
    <row r="11318" spans="39:41" ht="12" customHeight="1" x14ac:dyDescent="0.2">
      <c r="AM11318" t="str">
        <f t="shared" si="177"/>
        <v>Palm Island [AUPMK]</v>
      </c>
      <c r="AN11318" t="s">
        <v>1892</v>
      </c>
      <c r="AO11318" t="s">
        <v>1893</v>
      </c>
    </row>
    <row r="11319" spans="39:41" ht="12" customHeight="1" x14ac:dyDescent="0.2">
      <c r="AM11319" t="str">
        <f t="shared" si="177"/>
        <v>Palma de Mallorca [ESPMI]</v>
      </c>
      <c r="AN11319" t="s">
        <v>10013</v>
      </c>
      <c r="AO11319" t="s">
        <v>10014</v>
      </c>
    </row>
    <row r="11320" spans="39:41" ht="12" customHeight="1" x14ac:dyDescent="0.2">
      <c r="AM11320" t="str">
        <f t="shared" si="177"/>
        <v>Palma Del Condado [ESPDQ]</v>
      </c>
      <c r="AN11320" t="s">
        <v>36916</v>
      </c>
      <c r="AO11320" t="s">
        <v>36917</v>
      </c>
    </row>
    <row r="11321" spans="39:41" ht="12" customHeight="1" x14ac:dyDescent="0.2">
      <c r="AM11321" t="str">
        <f t="shared" si="177"/>
        <v>Palmar Norte [CRPAN]</v>
      </c>
      <c r="AN11321" t="s">
        <v>6608</v>
      </c>
      <c r="AO11321" t="s">
        <v>6609</v>
      </c>
    </row>
    <row r="11322" spans="39:41" ht="12" customHeight="1" x14ac:dyDescent="0.2">
      <c r="AM11322" t="str">
        <f t="shared" si="177"/>
        <v>Palmarejo/Maracaibo L. [VEPMR]</v>
      </c>
      <c r="AN11322" t="s">
        <v>32209</v>
      </c>
      <c r="AO11322" t="s">
        <v>32210</v>
      </c>
    </row>
    <row r="11323" spans="39:41" ht="12" customHeight="1" x14ac:dyDescent="0.2">
      <c r="AM11323" t="str">
        <f t="shared" si="177"/>
        <v>Palmeira [CVPAL]</v>
      </c>
      <c r="AN11323" t="s">
        <v>36843</v>
      </c>
      <c r="AO11323" t="s">
        <v>36844</v>
      </c>
    </row>
    <row r="11324" spans="39:41" ht="12" customHeight="1" x14ac:dyDescent="0.2">
      <c r="AM11324" t="str">
        <f t="shared" si="177"/>
        <v>Palmer [AQPLM]</v>
      </c>
      <c r="AN11324" t="s">
        <v>956</v>
      </c>
      <c r="AO11324" t="s">
        <v>957</v>
      </c>
    </row>
    <row r="11325" spans="39:41" ht="12" customHeight="1" x14ac:dyDescent="0.2">
      <c r="AM11325" t="str">
        <f t="shared" si="177"/>
        <v>Palmerston [AUPAL]</v>
      </c>
      <c r="AN11325" t="s">
        <v>1894</v>
      </c>
      <c r="AO11325" t="s">
        <v>1895</v>
      </c>
    </row>
    <row r="11326" spans="39:41" ht="12" customHeight="1" x14ac:dyDescent="0.2">
      <c r="AM11326" t="str">
        <f t="shared" si="177"/>
        <v>Palmertown [USPMZ]</v>
      </c>
      <c r="AN11326" t="s">
        <v>30967</v>
      </c>
      <c r="AO11326" t="s">
        <v>30968</v>
      </c>
    </row>
    <row r="11327" spans="39:41" ht="12" customHeight="1" x14ac:dyDescent="0.2">
      <c r="AM11327" t="str">
        <f t="shared" si="177"/>
        <v>Palmetto Bay [USP64]</v>
      </c>
      <c r="AN11327" t="s">
        <v>30969</v>
      </c>
      <c r="AO11327" t="s">
        <v>30970</v>
      </c>
    </row>
    <row r="11328" spans="39:41" ht="12" customHeight="1" x14ac:dyDescent="0.2">
      <c r="AM11328" t="str">
        <f t="shared" si="177"/>
        <v>Palmi [ITPMM]</v>
      </c>
      <c r="AN11328" t="s">
        <v>18135</v>
      </c>
      <c r="AO11328" t="s">
        <v>18136</v>
      </c>
    </row>
    <row r="11329" spans="39:41" ht="12" customHeight="1" x14ac:dyDescent="0.2">
      <c r="AM11329" t="str">
        <f t="shared" si="177"/>
        <v>Palmonostora [HUPAL]</v>
      </c>
      <c r="AN11329" t="s">
        <v>16120</v>
      </c>
      <c r="AO11329" t="s">
        <v>36026</v>
      </c>
    </row>
    <row r="11330" spans="39:41" ht="12" customHeight="1" x14ac:dyDescent="0.2">
      <c r="AM11330" t="str">
        <f t="shared" si="177"/>
        <v>Palnackie [GBPAL]</v>
      </c>
      <c r="AN11330" t="s">
        <v>14019</v>
      </c>
      <c r="AO11330" t="s">
        <v>14020</v>
      </c>
    </row>
    <row r="11331" spans="39:41" ht="12" customHeight="1" x14ac:dyDescent="0.2">
      <c r="AM11331" t="str">
        <f t="shared" si="177"/>
        <v>Palo Alto [CUPAL]</v>
      </c>
      <c r="AN11331" t="s">
        <v>6711</v>
      </c>
      <c r="AO11331" t="s">
        <v>6712</v>
      </c>
    </row>
    <row r="11332" spans="39:41" ht="12" customHeight="1" x14ac:dyDescent="0.2">
      <c r="AM11332" t="str">
        <f t="shared" si="177"/>
        <v>Palo Pinto [USPGZ]</v>
      </c>
      <c r="AN11332" t="s">
        <v>30971</v>
      </c>
      <c r="AO11332" t="s">
        <v>30972</v>
      </c>
    </row>
    <row r="11333" spans="39:41" ht="12" customHeight="1" x14ac:dyDescent="0.2">
      <c r="AM11333" t="str">
        <f t="shared" si="177"/>
        <v>Paloh, Sarawak [MYPAL]</v>
      </c>
      <c r="AN11333" t="s">
        <v>22673</v>
      </c>
      <c r="AO11333" t="s">
        <v>22674</v>
      </c>
    </row>
    <row r="11334" spans="39:41" ht="12" customHeight="1" x14ac:dyDescent="0.2">
      <c r="AM11334" t="str">
        <f t="shared" si="177"/>
        <v>Palomeque [ESTO9]</v>
      </c>
      <c r="AN11334" t="s">
        <v>10015</v>
      </c>
      <c r="AO11334" t="s">
        <v>10016</v>
      </c>
    </row>
    <row r="11335" spans="39:41" ht="12" customHeight="1" x14ac:dyDescent="0.2">
      <c r="AM11335" t="str">
        <f t="shared" si="177"/>
        <v>Paloukia [GRPAO]</v>
      </c>
      <c r="AN11335" t="s">
        <v>15416</v>
      </c>
      <c r="AO11335" t="s">
        <v>35956</v>
      </c>
    </row>
    <row r="11336" spans="39:41" ht="12" customHeight="1" x14ac:dyDescent="0.2">
      <c r="AM11336" t="str">
        <f t="shared" si="177"/>
        <v>Palshet [INPSH]</v>
      </c>
      <c r="AN11336" t="s">
        <v>17363</v>
      </c>
      <c r="AO11336" t="s">
        <v>17364</v>
      </c>
    </row>
    <row r="11337" spans="39:41" ht="12" customHeight="1" x14ac:dyDescent="0.2">
      <c r="AM11337" t="str">
        <f t="shared" si="177"/>
        <v>Palu [IDPAL]</v>
      </c>
      <c r="AN11337" t="s">
        <v>16474</v>
      </c>
      <c r="AO11337" t="s">
        <v>16475</v>
      </c>
    </row>
    <row r="11338" spans="39:41" ht="12" customHeight="1" x14ac:dyDescent="0.2">
      <c r="AM11338" t="str">
        <f t="shared" si="177"/>
        <v>Palua [VEPLA]</v>
      </c>
      <c r="AN11338" t="s">
        <v>32211</v>
      </c>
      <c r="AO11338" t="s">
        <v>36587</v>
      </c>
    </row>
    <row r="11339" spans="39:41" ht="12" customHeight="1" x14ac:dyDescent="0.2">
      <c r="AM11339" t="str">
        <f t="shared" si="177"/>
        <v>Pamanukan, Java [IDPNN]</v>
      </c>
      <c r="AN11339" t="s">
        <v>16476</v>
      </c>
      <c r="AO11339" t="s">
        <v>16477</v>
      </c>
    </row>
    <row r="11340" spans="39:41" ht="12" customHeight="1" x14ac:dyDescent="0.2">
      <c r="AM11340" t="str">
        <f t="shared" si="177"/>
        <v>Pamban [INPMB]</v>
      </c>
      <c r="AN11340" t="s">
        <v>17365</v>
      </c>
      <c r="AO11340" t="s">
        <v>17366</v>
      </c>
    </row>
    <row r="11341" spans="39:41" ht="12" customHeight="1" x14ac:dyDescent="0.2">
      <c r="AM11341" t="str">
        <f t="shared" si="177"/>
        <v>Pamel [BEPML]</v>
      </c>
      <c r="AN11341" t="s">
        <v>2838</v>
      </c>
      <c r="AO11341" t="s">
        <v>2839</v>
      </c>
    </row>
    <row r="11342" spans="39:41" ht="12" customHeight="1" x14ac:dyDescent="0.2">
      <c r="AM11342" t="str">
        <f t="shared" si="177"/>
        <v>Pamintayan/Zamboanga [PHPMT]</v>
      </c>
      <c r="AN11342" t="s">
        <v>26029</v>
      </c>
      <c r="AO11342" t="s">
        <v>26030</v>
      </c>
    </row>
    <row r="11343" spans="39:41" ht="12" customHeight="1" x14ac:dyDescent="0.2">
      <c r="AM11343" t="str">
        <f t="shared" si="177"/>
        <v>Pampa Melchorita [PEPMC]</v>
      </c>
      <c r="AN11343" t="s">
        <v>25277</v>
      </c>
      <c r="AO11343" t="s">
        <v>25278</v>
      </c>
    </row>
    <row r="11344" spans="39:41" ht="12" customHeight="1" x14ac:dyDescent="0.2">
      <c r="AM11344" t="str">
        <f t="shared" si="177"/>
        <v>Pampanga [PHPAM]</v>
      </c>
      <c r="AN11344" t="s">
        <v>26031</v>
      </c>
      <c r="AO11344" t="s">
        <v>26032</v>
      </c>
    </row>
    <row r="11345" spans="39:41" ht="12" customHeight="1" x14ac:dyDescent="0.2">
      <c r="AM11345" t="str">
        <f t="shared" si="177"/>
        <v>Pampatar [VEPMP]</v>
      </c>
      <c r="AN11345" t="s">
        <v>32212</v>
      </c>
      <c r="AO11345" t="s">
        <v>32213</v>
      </c>
    </row>
    <row r="11346" spans="39:41" ht="12" customHeight="1" x14ac:dyDescent="0.2">
      <c r="AM11346" t="str">
        <f t="shared" si="177"/>
        <v>Pamplin [USQPM]</v>
      </c>
      <c r="AN11346" t="s">
        <v>30973</v>
      </c>
      <c r="AO11346" t="s">
        <v>30974</v>
      </c>
    </row>
    <row r="11347" spans="39:41" ht="12" customHeight="1" x14ac:dyDescent="0.2">
      <c r="AM11347" t="str">
        <f t="shared" si="177"/>
        <v>Pamplona/Aparri [PHPPL]</v>
      </c>
      <c r="AN11347" t="s">
        <v>26033</v>
      </c>
      <c r="AO11347" t="s">
        <v>26034</v>
      </c>
    </row>
    <row r="11348" spans="39:41" ht="12" customHeight="1" x14ac:dyDescent="0.2">
      <c r="AM11348" t="str">
        <f t="shared" si="177"/>
        <v>Panabutan/Zamboanga [PHPNB]</v>
      </c>
      <c r="AN11348" t="s">
        <v>26035</v>
      </c>
      <c r="AO11348" t="s">
        <v>26036</v>
      </c>
    </row>
    <row r="11349" spans="39:41" ht="12" customHeight="1" x14ac:dyDescent="0.2">
      <c r="AM11349" t="str">
        <f t="shared" si="177"/>
        <v>Panacan/Davao [PHPCN]</v>
      </c>
      <c r="AN11349" t="s">
        <v>26037</v>
      </c>
      <c r="AO11349" t="s">
        <v>26038</v>
      </c>
    </row>
    <row r="11350" spans="39:41" ht="12" customHeight="1" x14ac:dyDescent="0.2">
      <c r="AM11350" t="str">
        <f t="shared" si="177"/>
        <v>Panacosa/Puerto Princesa [PHPCA]</v>
      </c>
      <c r="AN11350" t="s">
        <v>26039</v>
      </c>
      <c r="AO11350" t="s">
        <v>26040</v>
      </c>
    </row>
    <row r="11351" spans="39:41" ht="12" customHeight="1" x14ac:dyDescent="0.2">
      <c r="AM11351" t="str">
        <f t="shared" si="177"/>
        <v>Panaji Port [INPAN]</v>
      </c>
      <c r="AN11351" t="s">
        <v>17367</v>
      </c>
      <c r="AO11351" t="s">
        <v>17368</v>
      </c>
    </row>
    <row r="11352" spans="39:41" ht="12" customHeight="1" x14ac:dyDescent="0.2">
      <c r="AM11352" t="str">
        <f t="shared" si="177"/>
        <v>Panama Channel [XZPAN]</v>
      </c>
      <c r="AN11352" t="s">
        <v>36641</v>
      </c>
      <c r="AO11352" t="s">
        <v>36642</v>
      </c>
    </row>
    <row r="11353" spans="39:41" ht="12" customHeight="1" x14ac:dyDescent="0.2">
      <c r="AM11353" t="str">
        <f t="shared" si="177"/>
        <v>Panama City [USPFN]</v>
      </c>
      <c r="AN11353" t="s">
        <v>30975</v>
      </c>
      <c r="AO11353" t="s">
        <v>30976</v>
      </c>
    </row>
    <row r="11354" spans="39:41" ht="12" customHeight="1" x14ac:dyDescent="0.2">
      <c r="AM11354" t="str">
        <f t="shared" si="177"/>
        <v>Panama, Ciudad de [PAPTY]</v>
      </c>
      <c r="AN11354" t="s">
        <v>25209</v>
      </c>
      <c r="AO11354" t="s">
        <v>36357</v>
      </c>
    </row>
    <row r="11355" spans="39:41" ht="12" customHeight="1" x14ac:dyDescent="0.2">
      <c r="AM11355" t="str">
        <f t="shared" si="177"/>
        <v>Panambur, Va Mangalore [INPNM]</v>
      </c>
      <c r="AN11355" t="s">
        <v>17369</v>
      </c>
      <c r="AO11355" t="s">
        <v>17370</v>
      </c>
    </row>
    <row r="11356" spans="39:41" ht="12" customHeight="1" x14ac:dyDescent="0.2">
      <c r="AM11356" t="str">
        <f t="shared" si="177"/>
        <v>Panarea [ITPAN]</v>
      </c>
      <c r="AN11356" t="s">
        <v>18137</v>
      </c>
      <c r="AO11356" t="s">
        <v>18138</v>
      </c>
    </row>
    <row r="11357" spans="39:41" ht="12" customHeight="1" x14ac:dyDescent="0.2">
      <c r="AM11357" t="str">
        <f t="shared" si="177"/>
        <v>Panarukan, Java [IDPRN]</v>
      </c>
      <c r="AN11357" t="s">
        <v>16478</v>
      </c>
      <c r="AO11357" t="s">
        <v>16479</v>
      </c>
    </row>
    <row r="11358" spans="39:41" ht="12" customHeight="1" x14ac:dyDescent="0.2">
      <c r="AM11358" t="str">
        <f t="shared" si="177"/>
        <v>Panchang [MYPAN]</v>
      </c>
      <c r="AN11358" t="s">
        <v>22675</v>
      </c>
      <c r="AO11358" t="s">
        <v>22676</v>
      </c>
    </row>
    <row r="11359" spans="39:41" ht="12" customHeight="1" x14ac:dyDescent="0.2">
      <c r="AM11359" t="str">
        <f t="shared" si="177"/>
        <v>Pancorbo [ESPBU]</v>
      </c>
      <c r="AN11359" t="s">
        <v>10017</v>
      </c>
      <c r="AO11359" t="s">
        <v>10018</v>
      </c>
    </row>
    <row r="11360" spans="39:41" ht="12" customHeight="1" x14ac:dyDescent="0.2">
      <c r="AM11360" t="str">
        <f t="shared" si="177"/>
        <v>Pandjung Mani [IDPJM]</v>
      </c>
      <c r="AN11360" t="s">
        <v>16480</v>
      </c>
      <c r="AO11360" t="s">
        <v>16481</v>
      </c>
    </row>
    <row r="11361" spans="39:41" ht="12" customHeight="1" x14ac:dyDescent="0.2">
      <c r="AM11361" t="str">
        <f t="shared" si="177"/>
        <v>Pandoro Terminal [IEPAT]</v>
      </c>
      <c r="AN11361" t="s">
        <v>16882</v>
      </c>
      <c r="AO11361" t="s">
        <v>16883</v>
      </c>
    </row>
    <row r="11362" spans="39:41" ht="12" customHeight="1" x14ac:dyDescent="0.2">
      <c r="AM11362" t="str">
        <f t="shared" si="177"/>
        <v>Pangai [TOPAN]</v>
      </c>
      <c r="AN11362" t="s">
        <v>28381</v>
      </c>
      <c r="AO11362" t="s">
        <v>28382</v>
      </c>
    </row>
    <row r="11363" spans="39:41" ht="12" customHeight="1" x14ac:dyDescent="0.2">
      <c r="AM11363" t="str">
        <f t="shared" si="177"/>
        <v>Pangani [TZPAN]</v>
      </c>
      <c r="AN11363" t="s">
        <v>28730</v>
      </c>
      <c r="AO11363" t="s">
        <v>28731</v>
      </c>
    </row>
    <row r="11364" spans="39:41" ht="12" customHeight="1" x14ac:dyDescent="0.2">
      <c r="AM11364" t="str">
        <f t="shared" si="177"/>
        <v>Pangaon [BDPGN]</v>
      </c>
      <c r="AN11364" t="s">
        <v>2204</v>
      </c>
      <c r="AO11364" t="s">
        <v>2205</v>
      </c>
    </row>
    <row r="11365" spans="39:41" ht="12" customHeight="1" x14ac:dyDescent="0.2">
      <c r="AM11365" t="str">
        <f t="shared" si="177"/>
        <v>Pangkal Balam, Banka [IDPGX]</v>
      </c>
      <c r="AN11365" t="s">
        <v>16482</v>
      </c>
      <c r="AO11365" t="s">
        <v>16483</v>
      </c>
    </row>
    <row r="11366" spans="39:41" ht="12" customHeight="1" x14ac:dyDescent="0.2">
      <c r="AM11366" t="str">
        <f t="shared" si="177"/>
        <v>Pangkalan Brandan, Sumatra [IDPKR]</v>
      </c>
      <c r="AN11366" t="s">
        <v>16484</v>
      </c>
      <c r="AO11366" t="s">
        <v>16485</v>
      </c>
    </row>
    <row r="11367" spans="39:41" ht="12" customHeight="1" x14ac:dyDescent="0.2">
      <c r="AM11367" t="str">
        <f t="shared" si="177"/>
        <v>Pangkalan Susu, Sumatra [IDPKS]</v>
      </c>
      <c r="AN11367" t="s">
        <v>16486</v>
      </c>
      <c r="AO11367" t="s">
        <v>16487</v>
      </c>
    </row>
    <row r="11368" spans="39:41" ht="12" customHeight="1" x14ac:dyDescent="0.2">
      <c r="AM11368" t="str">
        <f t="shared" si="177"/>
        <v>Pangkalanbuun [IDPKN]</v>
      </c>
      <c r="AN11368" t="s">
        <v>16488</v>
      </c>
      <c r="AO11368" t="s">
        <v>16489</v>
      </c>
    </row>
    <row r="11369" spans="39:41" ht="12" customHeight="1" x14ac:dyDescent="0.2">
      <c r="AM11369" t="str">
        <f t="shared" si="177"/>
        <v>Pangkalpinang, Banka [IDPGK]</v>
      </c>
      <c r="AN11369" t="s">
        <v>16490</v>
      </c>
      <c r="AO11369" t="s">
        <v>16491</v>
      </c>
    </row>
    <row r="11370" spans="39:41" ht="12" customHeight="1" x14ac:dyDescent="0.2">
      <c r="AM11370" t="str">
        <f t="shared" si="177"/>
        <v>Pangnirtung [CAPNT]</v>
      </c>
      <c r="AN11370" t="s">
        <v>4194</v>
      </c>
      <c r="AO11370" t="s">
        <v>4195</v>
      </c>
    </row>
    <row r="11371" spans="39:41" ht="12" customHeight="1" x14ac:dyDescent="0.2">
      <c r="AM11371" t="str">
        <f t="shared" si="177"/>
        <v>Panguipulli [CLPAN]</v>
      </c>
      <c r="AN11371" t="s">
        <v>4911</v>
      </c>
      <c r="AO11371" t="s">
        <v>4912</v>
      </c>
    </row>
    <row r="11372" spans="39:41" ht="12" customHeight="1" x14ac:dyDescent="0.2">
      <c r="AM11372" t="str">
        <f t="shared" si="177"/>
        <v>Pangutaran/Jolo [PHPGT]</v>
      </c>
      <c r="AN11372" t="s">
        <v>26041</v>
      </c>
      <c r="AO11372" t="s">
        <v>26042</v>
      </c>
    </row>
    <row r="11373" spans="39:41" ht="12" customHeight="1" x14ac:dyDescent="0.2">
      <c r="AM11373" t="str">
        <f t="shared" si="177"/>
        <v>Panheel [NLPHL]</v>
      </c>
      <c r="AN11373" t="s">
        <v>23524</v>
      </c>
      <c r="AO11373" t="s">
        <v>23525</v>
      </c>
    </row>
    <row r="11374" spans="39:41" ht="12" customHeight="1" x14ac:dyDescent="0.2">
      <c r="AM11374" t="str">
        <f t="shared" si="177"/>
        <v>Paninirongan/Sanjose [PHPNN]</v>
      </c>
      <c r="AN11374" t="s">
        <v>26043</v>
      </c>
      <c r="AO11374" t="s">
        <v>26044</v>
      </c>
    </row>
    <row r="11375" spans="39:41" ht="12" customHeight="1" x14ac:dyDescent="0.2">
      <c r="AM11375" t="str">
        <f t="shared" ref="AM11375:AM11438" si="178">AO11375 &amp; " [" &amp; AN11375 &amp; "]"</f>
        <v>Panjang [IDPNJ]</v>
      </c>
      <c r="AN11375" t="s">
        <v>16492</v>
      </c>
      <c r="AO11375" t="s">
        <v>16493</v>
      </c>
    </row>
    <row r="11376" spans="39:41" ht="12" customHeight="1" x14ac:dyDescent="0.2">
      <c r="AM11376" t="str">
        <f t="shared" si="178"/>
        <v>Panjim [INPNJ]</v>
      </c>
      <c r="AN11376" t="s">
        <v>17371</v>
      </c>
      <c r="AO11376" t="s">
        <v>17372</v>
      </c>
    </row>
    <row r="11377" spans="39:41" ht="12" customHeight="1" x14ac:dyDescent="0.2">
      <c r="AM11377" t="str">
        <f t="shared" si="178"/>
        <v>Panjin [CNPAJ]</v>
      </c>
      <c r="AN11377" t="s">
        <v>5817</v>
      </c>
      <c r="AO11377" t="s">
        <v>5818</v>
      </c>
    </row>
    <row r="11378" spans="39:41" ht="12" customHeight="1" x14ac:dyDescent="0.2">
      <c r="AM11378" t="str">
        <f t="shared" si="178"/>
        <v>Panora [USP77]</v>
      </c>
      <c r="AN11378" t="s">
        <v>30977</v>
      </c>
      <c r="AO11378" t="s">
        <v>30978</v>
      </c>
    </row>
    <row r="11379" spans="39:41" ht="12" customHeight="1" x14ac:dyDescent="0.2">
      <c r="AM11379" t="str">
        <f t="shared" si="178"/>
        <v>Pantang [CNPNT]</v>
      </c>
      <c r="AN11379" t="s">
        <v>5819</v>
      </c>
      <c r="AO11379" t="s">
        <v>5820</v>
      </c>
    </row>
    <row r="11380" spans="39:41" ht="12" customHeight="1" x14ac:dyDescent="0.2">
      <c r="AM11380" t="str">
        <f t="shared" si="178"/>
        <v>Pantelleria [ITPNL]</v>
      </c>
      <c r="AN11380" t="s">
        <v>18139</v>
      </c>
      <c r="AO11380" t="s">
        <v>18140</v>
      </c>
    </row>
    <row r="11381" spans="39:41" ht="12" customHeight="1" x14ac:dyDescent="0.2">
      <c r="AM11381" t="str">
        <f t="shared" si="178"/>
        <v>Pantin [FRTIN]</v>
      </c>
      <c r="AN11381" t="s">
        <v>11775</v>
      </c>
      <c r="AO11381" t="s">
        <v>11776</v>
      </c>
    </row>
    <row r="11382" spans="39:41" ht="12" customHeight="1" x14ac:dyDescent="0.2">
      <c r="AM11382" t="str">
        <f t="shared" si="178"/>
        <v>Pantoja [ESPAN]</v>
      </c>
      <c r="AN11382" t="s">
        <v>10019</v>
      </c>
      <c r="AO11382" t="s">
        <v>10020</v>
      </c>
    </row>
    <row r="11383" spans="39:41" ht="12" customHeight="1" x14ac:dyDescent="0.2">
      <c r="AM11383" t="str">
        <f t="shared" si="178"/>
        <v>Pantoloan, Sv [IDPTL]</v>
      </c>
      <c r="AN11383" t="s">
        <v>16494</v>
      </c>
      <c r="AO11383" t="s">
        <v>16495</v>
      </c>
    </row>
    <row r="11384" spans="39:41" ht="12" customHeight="1" x14ac:dyDescent="0.2">
      <c r="AM11384" t="str">
        <f t="shared" si="178"/>
        <v>Paola [ITAOA]</v>
      </c>
      <c r="AN11384" t="s">
        <v>18141</v>
      </c>
      <c r="AO11384" t="s">
        <v>18142</v>
      </c>
    </row>
    <row r="11385" spans="39:41" ht="12" customHeight="1" x14ac:dyDescent="0.2">
      <c r="AM11385" t="str">
        <f t="shared" si="178"/>
        <v>Papa Westray [GBPPW]</v>
      </c>
      <c r="AN11385" t="s">
        <v>14021</v>
      </c>
      <c r="AO11385" t="s">
        <v>14022</v>
      </c>
    </row>
    <row r="11386" spans="39:41" ht="12" customHeight="1" x14ac:dyDescent="0.2">
      <c r="AM11386" t="str">
        <f t="shared" si="178"/>
        <v>Papeete [PFPPT]</v>
      </c>
      <c r="AN11386" t="s">
        <v>25332</v>
      </c>
      <c r="AO11386" t="s">
        <v>25333</v>
      </c>
    </row>
    <row r="11387" spans="39:41" ht="12" customHeight="1" x14ac:dyDescent="0.2">
      <c r="AM11387" t="str">
        <f t="shared" si="178"/>
        <v>Papenburg [DEPAP]</v>
      </c>
      <c r="AN11387" t="s">
        <v>8089</v>
      </c>
      <c r="AO11387" t="s">
        <v>8090</v>
      </c>
    </row>
    <row r="11388" spans="39:41" ht="12" customHeight="1" x14ac:dyDescent="0.2">
      <c r="AM11388" t="str">
        <f t="shared" si="178"/>
        <v>Papendrecht [NLPAP]</v>
      </c>
      <c r="AN11388" t="s">
        <v>37053</v>
      </c>
      <c r="AO11388" t="s">
        <v>37054</v>
      </c>
    </row>
    <row r="11389" spans="39:41" ht="12" customHeight="1" x14ac:dyDescent="0.2">
      <c r="AM11389" t="str">
        <f t="shared" si="178"/>
        <v>Paphos [CYPFO]</v>
      </c>
      <c r="AN11389" t="s">
        <v>6773</v>
      </c>
      <c r="AO11389" t="s">
        <v>6774</v>
      </c>
    </row>
    <row r="11390" spans="39:41" ht="12" customHeight="1" x14ac:dyDescent="0.2">
      <c r="AM11390" t="str">
        <f t="shared" si="178"/>
        <v>Papissaare Sadam [EEPAP]</v>
      </c>
      <c r="AN11390" t="s">
        <v>36667</v>
      </c>
      <c r="AO11390" t="s">
        <v>36668</v>
      </c>
    </row>
    <row r="11391" spans="39:41" ht="12" customHeight="1" x14ac:dyDescent="0.2">
      <c r="AM11391" t="str">
        <f t="shared" si="178"/>
        <v>Par [GBPAR]</v>
      </c>
      <c r="AN11391" t="s">
        <v>14023</v>
      </c>
      <c r="AO11391" t="s">
        <v>14024</v>
      </c>
    </row>
    <row r="11392" spans="39:41" ht="12" customHeight="1" x14ac:dyDescent="0.2">
      <c r="AM11392" t="str">
        <f t="shared" si="178"/>
        <v>Paracotos [VEPCT]</v>
      </c>
      <c r="AN11392" t="s">
        <v>32214</v>
      </c>
      <c r="AO11392" t="s">
        <v>32215</v>
      </c>
    </row>
    <row r="11393" spans="39:41" ht="12" customHeight="1" x14ac:dyDescent="0.2">
      <c r="AM11393" t="str">
        <f t="shared" si="178"/>
        <v>Paradero [VEPAR]</v>
      </c>
      <c r="AN11393" t="s">
        <v>32216</v>
      </c>
      <c r="AO11393" t="s">
        <v>32217</v>
      </c>
    </row>
    <row r="11394" spans="39:41" ht="12" customHeight="1" x14ac:dyDescent="0.2">
      <c r="AM11394" t="str">
        <f t="shared" si="178"/>
        <v>Paradip Garh [INPRT]</v>
      </c>
      <c r="AN11394" t="s">
        <v>17373</v>
      </c>
      <c r="AO11394" t="s">
        <v>17374</v>
      </c>
    </row>
    <row r="11395" spans="39:41" ht="12" customHeight="1" x14ac:dyDescent="0.2">
      <c r="AM11395" t="str">
        <f t="shared" si="178"/>
        <v>Paradip Port [INPPT]</v>
      </c>
      <c r="AN11395" t="s">
        <v>17375</v>
      </c>
      <c r="AO11395" t="s">
        <v>17376</v>
      </c>
    </row>
    <row r="11396" spans="39:41" ht="12" customHeight="1" x14ac:dyDescent="0.2">
      <c r="AM11396" t="str">
        <f t="shared" si="178"/>
        <v>Paraguana Refinery Center [VEPRC]</v>
      </c>
      <c r="AN11396" t="s">
        <v>32218</v>
      </c>
      <c r="AO11396" t="s">
        <v>32219</v>
      </c>
    </row>
    <row r="11397" spans="39:41" ht="12" customHeight="1" x14ac:dyDescent="0.2">
      <c r="AM11397" t="str">
        <f t="shared" si="178"/>
        <v>Parai [BRPRJ]</v>
      </c>
      <c r="AN11397" t="s">
        <v>3357</v>
      </c>
      <c r="AO11397" t="s">
        <v>35299</v>
      </c>
    </row>
    <row r="11398" spans="39:41" ht="12" customHeight="1" x14ac:dyDescent="0.2">
      <c r="AM11398" t="str">
        <f t="shared" si="178"/>
        <v>Parainen (Pargas) [FIPAR]</v>
      </c>
      <c r="AN11398" t="s">
        <v>10493</v>
      </c>
      <c r="AO11398" t="s">
        <v>10494</v>
      </c>
    </row>
    <row r="11399" spans="39:41" ht="12" customHeight="1" x14ac:dyDescent="0.2">
      <c r="AM11399" t="str">
        <f t="shared" si="178"/>
        <v>Paraiso [PAPAI]</v>
      </c>
      <c r="AN11399" t="s">
        <v>25210</v>
      </c>
      <c r="AO11399" t="s">
        <v>25211</v>
      </c>
    </row>
    <row r="11400" spans="39:41" ht="12" customHeight="1" x14ac:dyDescent="0.2">
      <c r="AM11400" t="str">
        <f t="shared" si="178"/>
        <v>Paramaribo [SRPBM]</v>
      </c>
      <c r="AN11400" t="s">
        <v>28122</v>
      </c>
      <c r="AO11400" t="s">
        <v>28123</v>
      </c>
    </row>
    <row r="11401" spans="39:41" ht="12" customHeight="1" x14ac:dyDescent="0.2">
      <c r="AM11401" t="str">
        <f t="shared" si="178"/>
        <v>Paramonga [PEPAM]</v>
      </c>
      <c r="AN11401" t="s">
        <v>25279</v>
      </c>
      <c r="AO11401" t="s">
        <v>25280</v>
      </c>
    </row>
    <row r="11402" spans="39:41" ht="12" customHeight="1" x14ac:dyDescent="0.2">
      <c r="AM11402" t="str">
        <f t="shared" si="178"/>
        <v>Parana [ARPRA]</v>
      </c>
      <c r="AN11402" t="s">
        <v>1053</v>
      </c>
      <c r="AO11402" t="s">
        <v>35247</v>
      </c>
    </row>
    <row r="11403" spans="39:41" ht="12" customHeight="1" x14ac:dyDescent="0.2">
      <c r="AM11403" t="str">
        <f t="shared" si="178"/>
        <v>Parana [BRPNN]</v>
      </c>
      <c r="AN11403" t="s">
        <v>3358</v>
      </c>
      <c r="AO11403" t="s">
        <v>35247</v>
      </c>
    </row>
    <row r="11404" spans="39:41" ht="12" customHeight="1" x14ac:dyDescent="0.2">
      <c r="AM11404" t="str">
        <f t="shared" si="178"/>
        <v>Paranagua [BRPNG]</v>
      </c>
      <c r="AN11404" t="s">
        <v>3359</v>
      </c>
      <c r="AO11404" t="s">
        <v>35300</v>
      </c>
    </row>
    <row r="11405" spans="39:41" ht="12" customHeight="1" x14ac:dyDescent="0.2">
      <c r="AM11405" t="str">
        <f t="shared" si="178"/>
        <v>Paranam [SRPRM]</v>
      </c>
      <c r="AN11405" t="s">
        <v>28124</v>
      </c>
      <c r="AO11405" t="s">
        <v>28125</v>
      </c>
    </row>
    <row r="11406" spans="39:41" ht="12" customHeight="1" x14ac:dyDescent="0.2">
      <c r="AM11406" t="str">
        <f t="shared" si="178"/>
        <v>Parang [PHPRA]</v>
      </c>
      <c r="AN11406" t="s">
        <v>26045</v>
      </c>
      <c r="AO11406" t="s">
        <v>26046</v>
      </c>
    </row>
    <row r="11407" spans="39:41" ht="12" customHeight="1" x14ac:dyDescent="0.2">
      <c r="AM11407" t="str">
        <f t="shared" si="178"/>
        <v>Parey [DEPRY]</v>
      </c>
      <c r="AN11407" t="s">
        <v>8091</v>
      </c>
      <c r="AO11407" t="s">
        <v>8092</v>
      </c>
    </row>
    <row r="11408" spans="39:41" ht="12" customHeight="1" x14ac:dyDescent="0.2">
      <c r="AM11408" t="str">
        <f t="shared" si="178"/>
        <v>Parga [GRPAR]</v>
      </c>
      <c r="AN11408" t="s">
        <v>15417</v>
      </c>
      <c r="AO11408" t="s">
        <v>35957</v>
      </c>
    </row>
    <row r="11409" spans="39:41" ht="12" customHeight="1" x14ac:dyDescent="0.2">
      <c r="AM11409" t="str">
        <f t="shared" si="178"/>
        <v>Pargny-sur-Saulx [FRPYX]</v>
      </c>
      <c r="AN11409" t="s">
        <v>11777</v>
      </c>
      <c r="AO11409" t="s">
        <v>11778</v>
      </c>
    </row>
    <row r="11410" spans="39:41" ht="12" customHeight="1" x14ac:dyDescent="0.2">
      <c r="AM11410" t="str">
        <f t="shared" si="178"/>
        <v>Pargua [CLPGA]</v>
      </c>
      <c r="AN11410" t="s">
        <v>4913</v>
      </c>
      <c r="AO11410" t="s">
        <v>4914</v>
      </c>
    </row>
    <row r="11411" spans="39:41" ht="12" customHeight="1" x14ac:dyDescent="0.2">
      <c r="AM11411" t="str">
        <f t="shared" si="178"/>
        <v>Parhalahti [FIPAH]</v>
      </c>
      <c r="AN11411" t="s">
        <v>10495</v>
      </c>
      <c r="AO11411" t="s">
        <v>10496</v>
      </c>
    </row>
    <row r="11412" spans="39:41" ht="12" customHeight="1" x14ac:dyDescent="0.2">
      <c r="AM11412" t="str">
        <f t="shared" si="178"/>
        <v>Parham [AGPHM]</v>
      </c>
      <c r="AN11412" t="s">
        <v>800</v>
      </c>
      <c r="AO11412" t="s">
        <v>801</v>
      </c>
    </row>
    <row r="11413" spans="39:41" ht="12" customHeight="1" x14ac:dyDescent="0.2">
      <c r="AM11413" t="str">
        <f t="shared" si="178"/>
        <v>Parikkala [FIPRK]</v>
      </c>
      <c r="AN11413" t="s">
        <v>10497</v>
      </c>
      <c r="AO11413" t="s">
        <v>10498</v>
      </c>
    </row>
    <row r="11414" spans="39:41" ht="12" customHeight="1" x14ac:dyDescent="0.2">
      <c r="AM11414" t="str">
        <f t="shared" si="178"/>
        <v>Paris [FRPAR]</v>
      </c>
      <c r="AN11414" t="s">
        <v>11779</v>
      </c>
      <c r="AO11414" t="s">
        <v>11780</v>
      </c>
    </row>
    <row r="11415" spans="39:41" ht="12" customHeight="1" x14ac:dyDescent="0.2">
      <c r="AM11415" t="str">
        <f t="shared" si="178"/>
        <v>Parkentin [DEPTN]</v>
      </c>
      <c r="AN11415" t="s">
        <v>8093</v>
      </c>
      <c r="AO11415" t="s">
        <v>8094</v>
      </c>
    </row>
    <row r="11416" spans="39:41" ht="12" customHeight="1" x14ac:dyDescent="0.2">
      <c r="AM11416" t="str">
        <f t="shared" si="178"/>
        <v>Parkeston Quay [GBPST]</v>
      </c>
      <c r="AN11416" t="s">
        <v>14025</v>
      </c>
      <c r="AO11416" t="s">
        <v>14026</v>
      </c>
    </row>
    <row r="11417" spans="39:41" ht="12" customHeight="1" x14ac:dyDescent="0.2">
      <c r="AM11417" t="str">
        <f t="shared" si="178"/>
        <v>Parks [USPK3]</v>
      </c>
      <c r="AN11417" t="s">
        <v>30979</v>
      </c>
      <c r="AO11417" t="s">
        <v>30980</v>
      </c>
    </row>
    <row r="11418" spans="39:41" ht="12" customHeight="1" x14ac:dyDescent="0.2">
      <c r="AM11418" t="str">
        <f t="shared" si="178"/>
        <v>Parkton [USPKT]</v>
      </c>
      <c r="AN11418" t="s">
        <v>30981</v>
      </c>
      <c r="AO11418" t="s">
        <v>30982</v>
      </c>
    </row>
    <row r="11419" spans="39:41" ht="12" customHeight="1" x14ac:dyDescent="0.2">
      <c r="AM11419" t="str">
        <f t="shared" si="178"/>
        <v>Parnaiba [BRPHB]</v>
      </c>
      <c r="AN11419" t="s">
        <v>3360</v>
      </c>
      <c r="AO11419" t="s">
        <v>35301</v>
      </c>
    </row>
    <row r="11420" spans="39:41" ht="12" customHeight="1" x14ac:dyDescent="0.2">
      <c r="AM11420" t="str">
        <f t="shared" si="178"/>
        <v>Parnell Place [IEPAP]</v>
      </c>
      <c r="AN11420" t="s">
        <v>16884</v>
      </c>
      <c r="AO11420" t="s">
        <v>16885</v>
      </c>
    </row>
    <row r="11421" spans="39:41" ht="12" customHeight="1" x14ac:dyDescent="0.2">
      <c r="AM11421" t="str">
        <f t="shared" si="178"/>
        <v>Parnu [EEPRN]</v>
      </c>
      <c r="AN11421" t="s">
        <v>9297</v>
      </c>
      <c r="AO11421" t="s">
        <v>35635</v>
      </c>
    </row>
    <row r="11422" spans="39:41" ht="12" customHeight="1" x14ac:dyDescent="0.2">
      <c r="AM11422" t="str">
        <f t="shared" si="178"/>
        <v>Parnu Sadama Vaikesadam [EEPRV]</v>
      </c>
      <c r="AN11422" t="s">
        <v>9298</v>
      </c>
      <c r="AO11422" t="s">
        <v>35636</v>
      </c>
    </row>
    <row r="11423" spans="39:41" ht="12" customHeight="1" x14ac:dyDescent="0.2">
      <c r="AM11423" t="str">
        <f t="shared" si="178"/>
        <v>Parola [FIPAA]</v>
      </c>
      <c r="AN11423" t="s">
        <v>10499</v>
      </c>
      <c r="AO11423" t="s">
        <v>10500</v>
      </c>
    </row>
    <row r="11424" spans="39:41" ht="12" customHeight="1" x14ac:dyDescent="0.2">
      <c r="AM11424" t="str">
        <f t="shared" si="178"/>
        <v>Paros [GRPAS]</v>
      </c>
      <c r="AN11424" t="s">
        <v>15418</v>
      </c>
      <c r="AO11424" t="s">
        <v>35958</v>
      </c>
    </row>
    <row r="11425" spans="39:41" ht="12" customHeight="1" x14ac:dyDescent="0.2">
      <c r="AM11425" t="str">
        <f t="shared" si="178"/>
        <v>Parrita [CRPAR]</v>
      </c>
      <c r="AN11425" t="s">
        <v>6610</v>
      </c>
      <c r="AO11425" t="s">
        <v>6611</v>
      </c>
    </row>
    <row r="11426" spans="39:41" ht="12" customHeight="1" x14ac:dyDescent="0.2">
      <c r="AM11426" t="str">
        <f t="shared" si="178"/>
        <v>Parrsboro [CAPAR]</v>
      </c>
      <c r="AN11426" t="s">
        <v>4196</v>
      </c>
      <c r="AO11426" t="s">
        <v>4197</v>
      </c>
    </row>
    <row r="11427" spans="39:41" ht="12" customHeight="1" x14ac:dyDescent="0.2">
      <c r="AM11427" t="str">
        <f t="shared" si="178"/>
        <v>Parry Sound [CAPRS]</v>
      </c>
      <c r="AN11427" t="s">
        <v>4198</v>
      </c>
      <c r="AO11427" t="s">
        <v>4199</v>
      </c>
    </row>
    <row r="11428" spans="39:41" ht="12" customHeight="1" x14ac:dyDescent="0.2">
      <c r="AM11428" t="str">
        <f t="shared" si="178"/>
        <v>Partington [GBPTT]</v>
      </c>
      <c r="AN11428" t="s">
        <v>14027</v>
      </c>
      <c r="AO11428" t="s">
        <v>14028</v>
      </c>
    </row>
    <row r="11429" spans="39:41" ht="12" customHeight="1" x14ac:dyDescent="0.2">
      <c r="AM11429" t="str">
        <f t="shared" si="178"/>
        <v>Pasadena [USPAS]</v>
      </c>
      <c r="AN11429" t="s">
        <v>30983</v>
      </c>
      <c r="AO11429" t="s">
        <v>30984</v>
      </c>
    </row>
    <row r="11430" spans="39:41" ht="12" customHeight="1" x14ac:dyDescent="0.2">
      <c r="AM11430" t="str">
        <f t="shared" si="178"/>
        <v>Pasajes [ESPAS]</v>
      </c>
      <c r="AN11430" t="s">
        <v>10021</v>
      </c>
      <c r="AO11430" t="s">
        <v>10022</v>
      </c>
    </row>
    <row r="11431" spans="39:41" ht="12" customHeight="1" x14ac:dyDescent="0.2">
      <c r="AM11431" t="str">
        <f t="shared" si="178"/>
        <v>Pasakoy [TR9AK]</v>
      </c>
      <c r="AN11431" t="s">
        <v>28565</v>
      </c>
      <c r="AO11431" t="s">
        <v>36579</v>
      </c>
    </row>
    <row r="11432" spans="39:41" ht="12" customHeight="1" x14ac:dyDescent="0.2">
      <c r="AM11432" t="str">
        <f t="shared" si="178"/>
        <v>Pasaleng, Luzon [PHPSL]</v>
      </c>
      <c r="AN11432" t="s">
        <v>26047</v>
      </c>
      <c r="AO11432" t="s">
        <v>26048</v>
      </c>
    </row>
    <row r="11433" spans="39:41" ht="12" customHeight="1" x14ac:dyDescent="0.2">
      <c r="AM11433" t="str">
        <f t="shared" si="178"/>
        <v>Pasay, Luzon [PHPAS]</v>
      </c>
      <c r="AN11433" t="s">
        <v>26049</v>
      </c>
      <c r="AO11433" t="s">
        <v>26050</v>
      </c>
    </row>
    <row r="11434" spans="39:41" ht="12" customHeight="1" x14ac:dyDescent="0.2">
      <c r="AM11434" t="str">
        <f t="shared" si="178"/>
        <v>Pascagoula [USPGL]</v>
      </c>
      <c r="AN11434" t="s">
        <v>30985</v>
      </c>
      <c r="AO11434" t="s">
        <v>30986</v>
      </c>
    </row>
    <row r="11435" spans="39:41" ht="12" customHeight="1" x14ac:dyDescent="0.2">
      <c r="AM11435" t="str">
        <f t="shared" si="178"/>
        <v>Pasir Gogok [MYPAS]</v>
      </c>
      <c r="AN11435" t="s">
        <v>22677</v>
      </c>
      <c r="AO11435" t="s">
        <v>22678</v>
      </c>
    </row>
    <row r="11436" spans="39:41" ht="12" customHeight="1" x14ac:dyDescent="0.2">
      <c r="AM11436" t="str">
        <f t="shared" si="178"/>
        <v>Pasir Gudang, Johor [MYPGU]</v>
      </c>
      <c r="AN11436" t="s">
        <v>22679</v>
      </c>
      <c r="AO11436" t="s">
        <v>22680</v>
      </c>
    </row>
    <row r="11437" spans="39:41" ht="12" customHeight="1" x14ac:dyDescent="0.2">
      <c r="AM11437" t="str">
        <f t="shared" si="178"/>
        <v>Pasir Hitam [MYPHI]</v>
      </c>
      <c r="AN11437" t="s">
        <v>22681</v>
      </c>
      <c r="AO11437" t="s">
        <v>22682</v>
      </c>
    </row>
    <row r="11438" spans="39:41" ht="12" customHeight="1" x14ac:dyDescent="0.2">
      <c r="AM11438" t="str">
        <f t="shared" si="178"/>
        <v>Pasir Panjang [IDPAS]</v>
      </c>
      <c r="AN11438" t="s">
        <v>16496</v>
      </c>
      <c r="AO11438" t="s">
        <v>16497</v>
      </c>
    </row>
    <row r="11439" spans="39:41" ht="12" customHeight="1" x14ac:dyDescent="0.2">
      <c r="AM11439" t="str">
        <f t="shared" ref="AM11439:AM11502" si="179">AO11439 &amp; " [" &amp; AN11439 &amp; "]"</f>
        <v>PASIR PANJANG Terminal [SGPPT]</v>
      </c>
      <c r="AN11439" t="s">
        <v>34192</v>
      </c>
      <c r="AO11439" t="s">
        <v>34264</v>
      </c>
    </row>
    <row r="11440" spans="39:41" ht="12" customHeight="1" x14ac:dyDescent="0.2">
      <c r="AM11440" t="str">
        <f t="shared" si="179"/>
        <v>Pasir Panjang Wharves [SGPAP]</v>
      </c>
      <c r="AN11440" t="s">
        <v>27967</v>
      </c>
      <c r="AO11440" t="s">
        <v>27968</v>
      </c>
    </row>
    <row r="11441" spans="39:41" ht="12" customHeight="1" x14ac:dyDescent="0.2">
      <c r="AM11441" t="str">
        <f t="shared" si="179"/>
        <v>Paskallavik [SEPAS]</v>
      </c>
      <c r="AN11441" t="s">
        <v>27801</v>
      </c>
      <c r="AO11441" t="s">
        <v>36503</v>
      </c>
    </row>
    <row r="11442" spans="39:41" ht="12" customHeight="1" x14ac:dyDescent="0.2">
      <c r="AM11442" t="str">
        <f t="shared" si="179"/>
        <v>Paslepa-Viigi Sadam [EEPSV]</v>
      </c>
      <c r="AN11442" t="s">
        <v>33839</v>
      </c>
      <c r="AO11442" t="s">
        <v>33962</v>
      </c>
    </row>
    <row r="11443" spans="39:41" ht="12" customHeight="1" x14ac:dyDescent="0.2">
      <c r="AM11443" t="str">
        <f t="shared" si="179"/>
        <v>Pasman [HRPAS]</v>
      </c>
      <c r="AN11443" t="s">
        <v>15856</v>
      </c>
      <c r="AO11443" t="s">
        <v>15857</v>
      </c>
    </row>
    <row r="11444" spans="39:41" ht="12" customHeight="1" x14ac:dyDescent="0.2">
      <c r="AM11444" t="str">
        <f t="shared" si="179"/>
        <v>Pasni [PKPSI]</v>
      </c>
      <c r="AN11444" t="s">
        <v>26264</v>
      </c>
      <c r="AO11444" t="s">
        <v>26265</v>
      </c>
    </row>
    <row r="11445" spans="39:41" ht="12" customHeight="1" x14ac:dyDescent="0.2">
      <c r="AM11445" t="str">
        <f t="shared" si="179"/>
        <v>Paso Lago O'Higgins/O'Higgins [CLLOH]</v>
      </c>
      <c r="AN11445" t="s">
        <v>4915</v>
      </c>
      <c r="AO11445" t="s">
        <v>4916</v>
      </c>
    </row>
    <row r="11446" spans="39:41" ht="12" customHeight="1" x14ac:dyDescent="0.2">
      <c r="AM11446" t="str">
        <f t="shared" si="179"/>
        <v>Paspebiac [CAPAS]</v>
      </c>
      <c r="AN11446" t="s">
        <v>4200</v>
      </c>
      <c r="AO11446" t="s">
        <v>4201</v>
      </c>
    </row>
    <row r="11447" spans="39:41" ht="12" customHeight="1" x14ac:dyDescent="0.2">
      <c r="AM11447" t="str">
        <f t="shared" si="179"/>
        <v>Passage West [IEPAW]</v>
      </c>
      <c r="AN11447" t="s">
        <v>16886</v>
      </c>
      <c r="AO11447" t="s">
        <v>16887</v>
      </c>
    </row>
    <row r="11448" spans="39:41" ht="12" customHeight="1" x14ac:dyDescent="0.2">
      <c r="AM11448" t="str">
        <f t="shared" si="179"/>
        <v>Passau [DEPAS]</v>
      </c>
      <c r="AN11448" t="s">
        <v>8095</v>
      </c>
      <c r="AO11448" t="s">
        <v>8096</v>
      </c>
    </row>
    <row r="11449" spans="39:41" ht="12" customHeight="1" x14ac:dyDescent="0.2">
      <c r="AM11449" t="str">
        <f t="shared" si="179"/>
        <v>Pasuruan, Java [IDPAZ]</v>
      </c>
      <c r="AN11449" t="s">
        <v>16498</v>
      </c>
      <c r="AO11449" t="s">
        <v>16499</v>
      </c>
    </row>
    <row r="11450" spans="39:41" ht="12" customHeight="1" x14ac:dyDescent="0.2">
      <c r="AM11450" t="str">
        <f t="shared" si="179"/>
        <v>Pataholm [SEPHM]</v>
      </c>
      <c r="AN11450" t="s">
        <v>27802</v>
      </c>
      <c r="AO11450" t="s">
        <v>27803</v>
      </c>
    </row>
    <row r="11451" spans="39:41" ht="12" customHeight="1" x14ac:dyDescent="0.2">
      <c r="AM11451" t="str">
        <f t="shared" si="179"/>
        <v>Patareisadam [EEPAR]</v>
      </c>
      <c r="AN11451" t="s">
        <v>9299</v>
      </c>
      <c r="AO11451" t="s">
        <v>9300</v>
      </c>
    </row>
    <row r="11452" spans="39:41" ht="12" customHeight="1" x14ac:dyDescent="0.2">
      <c r="AM11452" t="str">
        <f t="shared" si="179"/>
        <v>Patchogue [USPCP]</v>
      </c>
      <c r="AN11452" t="s">
        <v>30987</v>
      </c>
      <c r="AO11452" t="s">
        <v>30988</v>
      </c>
    </row>
    <row r="11453" spans="39:41" ht="12" customHeight="1" x14ac:dyDescent="0.2">
      <c r="AM11453" t="str">
        <f t="shared" si="179"/>
        <v>Paternion [ATATK]</v>
      </c>
      <c r="AN11453" t="s">
        <v>1297</v>
      </c>
      <c r="AO11453" t="s">
        <v>1298</v>
      </c>
    </row>
    <row r="11454" spans="39:41" ht="12" customHeight="1" x14ac:dyDescent="0.2">
      <c r="AM11454" t="str">
        <f t="shared" si="179"/>
        <v>Paterson [USPWG]</v>
      </c>
      <c r="AN11454" t="s">
        <v>30989</v>
      </c>
      <c r="AO11454" t="s">
        <v>30990</v>
      </c>
    </row>
    <row r="11455" spans="39:41" ht="12" customHeight="1" x14ac:dyDescent="0.2">
      <c r="AM11455" t="str">
        <f t="shared" si="179"/>
        <v>Patillos [CLPTI]</v>
      </c>
      <c r="AN11455" t="s">
        <v>4917</v>
      </c>
      <c r="AO11455" t="s">
        <v>4918</v>
      </c>
    </row>
    <row r="11456" spans="39:41" ht="12" customHeight="1" x14ac:dyDescent="0.2">
      <c r="AM11456" t="str">
        <f t="shared" si="179"/>
        <v>Patmos [GRPMS]</v>
      </c>
      <c r="AN11456" t="s">
        <v>15419</v>
      </c>
      <c r="AO11456" t="s">
        <v>35959</v>
      </c>
    </row>
    <row r="11457" spans="39:41" ht="12" customHeight="1" x14ac:dyDescent="0.2">
      <c r="AM11457" t="str">
        <f t="shared" si="179"/>
        <v>Patna [GBPNA]</v>
      </c>
      <c r="AN11457" t="s">
        <v>14029</v>
      </c>
      <c r="AO11457" t="s">
        <v>14030</v>
      </c>
    </row>
    <row r="11458" spans="39:41" ht="12" customHeight="1" x14ac:dyDescent="0.2">
      <c r="AM11458" t="str">
        <f t="shared" si="179"/>
        <v>Patras [GRGPA]</v>
      </c>
      <c r="AN11458" t="s">
        <v>15420</v>
      </c>
      <c r="AO11458" t="s">
        <v>15421</v>
      </c>
    </row>
    <row r="11459" spans="39:41" ht="12" customHeight="1" x14ac:dyDescent="0.2">
      <c r="AM11459" t="str">
        <f t="shared" si="179"/>
        <v>Patreksfjordur - hofn [ISPAT]</v>
      </c>
      <c r="AN11459" t="s">
        <v>17749</v>
      </c>
      <c r="AO11459" t="s">
        <v>36059</v>
      </c>
    </row>
    <row r="11460" spans="39:41" ht="12" customHeight="1" x14ac:dyDescent="0.2">
      <c r="AM11460" t="str">
        <f t="shared" si="179"/>
        <v>Patricia Bay [CAPTB]</v>
      </c>
      <c r="AN11460" t="s">
        <v>4202</v>
      </c>
      <c r="AO11460" t="s">
        <v>4203</v>
      </c>
    </row>
    <row r="11461" spans="39:41" ht="12" customHeight="1" x14ac:dyDescent="0.2">
      <c r="AM11461" t="str">
        <f t="shared" si="179"/>
        <v>Pattani [THPTN]</v>
      </c>
      <c r="AN11461" t="s">
        <v>34219</v>
      </c>
      <c r="AO11461" t="s">
        <v>28264</v>
      </c>
    </row>
    <row r="11462" spans="39:41" ht="12" customHeight="1" x14ac:dyDescent="0.2">
      <c r="AM11462" t="str">
        <f t="shared" si="179"/>
        <v>Patti [ITPTI]</v>
      </c>
      <c r="AN11462" t="s">
        <v>18143</v>
      </c>
      <c r="AO11462" t="s">
        <v>18144</v>
      </c>
    </row>
    <row r="11463" spans="39:41" ht="12" customHeight="1" x14ac:dyDescent="0.2">
      <c r="AM11463" t="str">
        <f t="shared" si="179"/>
        <v>Pauillac [FRPAP]</v>
      </c>
      <c r="AN11463" t="s">
        <v>11781</v>
      </c>
      <c r="AO11463" t="s">
        <v>11782</v>
      </c>
    </row>
    <row r="11464" spans="39:41" ht="12" customHeight="1" x14ac:dyDescent="0.2">
      <c r="AM11464" t="str">
        <f t="shared" si="179"/>
        <v>Paulesti [ROPAU]</v>
      </c>
      <c r="AN11464" t="s">
        <v>26801</v>
      </c>
      <c r="AO11464" t="s">
        <v>26802</v>
      </c>
    </row>
    <row r="11465" spans="39:41" ht="12" customHeight="1" x14ac:dyDescent="0.2">
      <c r="AM11465" t="str">
        <f t="shared" si="179"/>
        <v>Paulsboro [USPAU]</v>
      </c>
      <c r="AN11465" t="s">
        <v>37190</v>
      </c>
      <c r="AO11465" t="s">
        <v>37191</v>
      </c>
    </row>
    <row r="11466" spans="39:41" ht="12" customHeight="1" x14ac:dyDescent="0.2">
      <c r="AM11466" t="str">
        <f t="shared" si="179"/>
        <v>Pautzfeld [DEPZI]</v>
      </c>
      <c r="AN11466" t="s">
        <v>8097</v>
      </c>
      <c r="AO11466" t="s">
        <v>8098</v>
      </c>
    </row>
    <row r="11467" spans="39:41" ht="12" customHeight="1" x14ac:dyDescent="0.2">
      <c r="AM11467" t="str">
        <f t="shared" si="179"/>
        <v>Pavilosta [LVPVT]</v>
      </c>
      <c r="AN11467" t="s">
        <v>37031</v>
      </c>
      <c r="AO11467" t="s">
        <v>37032</v>
      </c>
    </row>
    <row r="11468" spans="39:41" ht="12" customHeight="1" x14ac:dyDescent="0.2">
      <c r="AM11468" t="str">
        <f t="shared" si="179"/>
        <v>Paxi [GRPAX]</v>
      </c>
      <c r="AN11468" t="s">
        <v>15422</v>
      </c>
      <c r="AO11468" t="s">
        <v>15423</v>
      </c>
    </row>
    <row r="11469" spans="39:41" ht="12" customHeight="1" x14ac:dyDescent="0.2">
      <c r="AM11469" t="str">
        <f t="shared" si="179"/>
        <v>Payardi [PAPAY]</v>
      </c>
      <c r="AN11469" t="s">
        <v>25212</v>
      </c>
      <c r="AO11469" t="s">
        <v>25213</v>
      </c>
    </row>
    <row r="11470" spans="39:41" ht="12" customHeight="1" x14ac:dyDescent="0.2">
      <c r="AM11470" t="str">
        <f t="shared" si="179"/>
        <v>Payra Port [BDPAY]</v>
      </c>
      <c r="AN11470" t="s">
        <v>2206</v>
      </c>
      <c r="AO11470" t="s">
        <v>2207</v>
      </c>
    </row>
    <row r="11471" spans="39:41" ht="12" customHeight="1" x14ac:dyDescent="0.2">
      <c r="AM11471" t="str">
        <f t="shared" si="179"/>
        <v>Paysandu [UYPDU]</v>
      </c>
      <c r="AN11471" t="s">
        <v>32123</v>
      </c>
      <c r="AO11471" t="s">
        <v>32124</v>
      </c>
    </row>
    <row r="11472" spans="39:41" ht="12" customHeight="1" x14ac:dyDescent="0.2">
      <c r="AM11472" t="str">
        <f t="shared" si="179"/>
        <v>Pazar [TRPZR]</v>
      </c>
      <c r="AN11472" t="s">
        <v>28566</v>
      </c>
      <c r="AO11472" t="s">
        <v>28567</v>
      </c>
    </row>
    <row r="11473" spans="39:41" ht="12" customHeight="1" x14ac:dyDescent="0.2">
      <c r="AM11473" t="str">
        <f t="shared" si="179"/>
        <v>Pazflor FPSO [AOPAZ]</v>
      </c>
      <c r="AN11473" t="s">
        <v>882</v>
      </c>
      <c r="AO11473" t="s">
        <v>883</v>
      </c>
    </row>
    <row r="11474" spans="39:41" ht="12" customHeight="1" x14ac:dyDescent="0.2">
      <c r="AM11474" t="str">
        <f t="shared" si="179"/>
        <v>Peacehaven [GBPHV]</v>
      </c>
      <c r="AN11474" t="s">
        <v>14031</v>
      </c>
      <c r="AO11474" t="s">
        <v>14032</v>
      </c>
    </row>
    <row r="11475" spans="39:41" ht="12" customHeight="1" x14ac:dyDescent="0.2">
      <c r="AM11475" t="str">
        <f t="shared" si="179"/>
        <v>Peach Bottom [USYL2]</v>
      </c>
      <c r="AN11475" t="s">
        <v>30991</v>
      </c>
      <c r="AO11475" t="s">
        <v>30992</v>
      </c>
    </row>
    <row r="11476" spans="39:41" ht="12" customHeight="1" x14ac:dyDescent="0.2">
      <c r="AM11476" t="str">
        <f t="shared" si="179"/>
        <v>Pearl Harbor [USPEA]</v>
      </c>
      <c r="AN11476" t="s">
        <v>30993</v>
      </c>
      <c r="AO11476" t="s">
        <v>30994</v>
      </c>
    </row>
    <row r="11477" spans="39:41" ht="12" customHeight="1" x14ac:dyDescent="0.2">
      <c r="AM11477" t="str">
        <f t="shared" si="179"/>
        <v>Pearson [USPS6]</v>
      </c>
      <c r="AN11477" t="s">
        <v>30995</v>
      </c>
      <c r="AO11477" t="s">
        <v>30996</v>
      </c>
    </row>
    <row r="11478" spans="39:41" ht="12" customHeight="1" x14ac:dyDescent="0.2">
      <c r="AM11478" t="str">
        <f t="shared" si="179"/>
        <v>Pebane [MZPEB]</v>
      </c>
      <c r="AN11478" t="s">
        <v>22864</v>
      </c>
      <c r="AO11478" t="s">
        <v>22865</v>
      </c>
    </row>
    <row r="11479" spans="39:41" ht="12" customHeight="1" x14ac:dyDescent="0.2">
      <c r="AM11479" t="str">
        <f t="shared" si="179"/>
        <v>Pecem [BRPEC]</v>
      </c>
      <c r="AN11479" t="s">
        <v>3361</v>
      </c>
      <c r="AO11479" t="s">
        <v>35302</v>
      </c>
    </row>
    <row r="11480" spans="39:41" ht="12" customHeight="1" x14ac:dyDescent="0.2">
      <c r="AM11480" t="str">
        <f t="shared" si="179"/>
        <v>Pechenga [RUPCE]</v>
      </c>
      <c r="AN11480" t="s">
        <v>27160</v>
      </c>
      <c r="AO11480" t="s">
        <v>27161</v>
      </c>
    </row>
    <row r="11481" spans="39:41" ht="12" customHeight="1" x14ac:dyDescent="0.2">
      <c r="AM11481" t="str">
        <f t="shared" si="179"/>
        <v>Pechora [RUPEX]</v>
      </c>
      <c r="AN11481" t="s">
        <v>27162</v>
      </c>
      <c r="AO11481" t="s">
        <v>27163</v>
      </c>
    </row>
    <row r="11482" spans="39:41" ht="12" customHeight="1" x14ac:dyDescent="0.2">
      <c r="AM11482" t="str">
        <f t="shared" si="179"/>
        <v>Pecket [CLPCK]</v>
      </c>
      <c r="AN11482" t="s">
        <v>4919</v>
      </c>
      <c r="AO11482" t="s">
        <v>4920</v>
      </c>
    </row>
    <row r="11483" spans="39:41" ht="12" customHeight="1" x14ac:dyDescent="0.2">
      <c r="AM11483" t="str">
        <f t="shared" si="179"/>
        <v>Peconic [USQPN]</v>
      </c>
      <c r="AN11483" t="s">
        <v>30997</v>
      </c>
      <c r="AO11483" t="s">
        <v>30998</v>
      </c>
    </row>
    <row r="11484" spans="39:41" ht="12" customHeight="1" x14ac:dyDescent="0.2">
      <c r="AM11484" t="str">
        <f t="shared" si="179"/>
        <v>Pecq [BEPCQ]</v>
      </c>
      <c r="AN11484" t="s">
        <v>2840</v>
      </c>
      <c r="AO11484" t="s">
        <v>2841</v>
      </c>
    </row>
    <row r="11485" spans="39:41" ht="12" customHeight="1" x14ac:dyDescent="0.2">
      <c r="AM11485" t="str">
        <f t="shared" si="179"/>
        <v>Pedaso [ITPED]</v>
      </c>
      <c r="AN11485" t="s">
        <v>18145</v>
      </c>
      <c r="AO11485" t="s">
        <v>18146</v>
      </c>
    </row>
    <row r="11486" spans="39:41" ht="12" customHeight="1" x14ac:dyDescent="0.2">
      <c r="AM11486" t="str">
        <f t="shared" si="179"/>
        <v>Pedena [MYPED]</v>
      </c>
      <c r="AN11486" t="s">
        <v>22683</v>
      </c>
      <c r="AO11486" t="s">
        <v>22684</v>
      </c>
    </row>
    <row r="11487" spans="39:41" ht="12" customHeight="1" x14ac:dyDescent="0.2">
      <c r="AM11487" t="str">
        <f t="shared" si="179"/>
        <v>Pedernales [DOPDR]</v>
      </c>
      <c r="AN11487" t="s">
        <v>9010</v>
      </c>
      <c r="AO11487" t="s">
        <v>9011</v>
      </c>
    </row>
    <row r="11488" spans="39:41" ht="12" customHeight="1" x14ac:dyDescent="0.2">
      <c r="AM11488" t="str">
        <f t="shared" si="179"/>
        <v>Pedras Negras [BRPEN]</v>
      </c>
      <c r="AN11488" t="s">
        <v>3362</v>
      </c>
      <c r="AO11488" t="s">
        <v>3363</v>
      </c>
    </row>
    <row r="11489" spans="39:41" ht="12" customHeight="1" x14ac:dyDescent="0.2">
      <c r="AM11489" t="str">
        <f t="shared" si="179"/>
        <v>Pedregal [PAPED]</v>
      </c>
      <c r="AN11489" t="s">
        <v>25214</v>
      </c>
      <c r="AO11489" t="s">
        <v>25215</v>
      </c>
    </row>
    <row r="11490" spans="39:41" ht="12" customHeight="1" x14ac:dyDescent="0.2">
      <c r="AM11490" t="str">
        <f t="shared" si="179"/>
        <v>Pedro Carbo [ECCAR]</v>
      </c>
      <c r="AN11490" t="s">
        <v>9103</v>
      </c>
      <c r="AO11490" t="s">
        <v>9104</v>
      </c>
    </row>
    <row r="11491" spans="39:41" ht="12" customHeight="1" x14ac:dyDescent="0.2">
      <c r="AM11491" t="str">
        <f t="shared" si="179"/>
        <v>Peel [IMPEL]</v>
      </c>
      <c r="AN11491" t="s">
        <v>16989</v>
      </c>
      <c r="AO11491" t="s">
        <v>16990</v>
      </c>
    </row>
    <row r="11492" spans="39:41" ht="12" customHeight="1" x14ac:dyDescent="0.2">
      <c r="AM11492" t="str">
        <f t="shared" si="179"/>
        <v>Peenemunde [DEPEF]</v>
      </c>
      <c r="AN11492" t="s">
        <v>8099</v>
      </c>
      <c r="AO11492" t="s">
        <v>35485</v>
      </c>
    </row>
    <row r="11493" spans="39:41" ht="12" customHeight="1" x14ac:dyDescent="0.2">
      <c r="AM11493" t="str">
        <f t="shared" si="179"/>
        <v>Peerni [EEPRI]</v>
      </c>
      <c r="AN11493" t="s">
        <v>9301</v>
      </c>
      <c r="AO11493" t="s">
        <v>9302</v>
      </c>
    </row>
    <row r="11494" spans="39:41" ht="12" customHeight="1" x14ac:dyDescent="0.2">
      <c r="AM11494" t="str">
        <f t="shared" si="179"/>
        <v>Pegoes Velhos [PTPVH]</v>
      </c>
      <c r="AN11494" t="s">
        <v>26557</v>
      </c>
      <c r="AO11494" t="s">
        <v>26558</v>
      </c>
    </row>
    <row r="11495" spans="39:41" ht="12" customHeight="1" x14ac:dyDescent="0.2">
      <c r="AM11495" t="str">
        <f t="shared" si="179"/>
        <v>Pegu [MMPEG]</v>
      </c>
      <c r="AN11495" t="s">
        <v>22202</v>
      </c>
      <c r="AO11495" t="s">
        <v>22203</v>
      </c>
    </row>
    <row r="11496" spans="39:41" ht="12" customHeight="1" x14ac:dyDescent="0.2">
      <c r="AM11496" t="str">
        <f t="shared" si="179"/>
        <v>Peine [DEPEI]</v>
      </c>
      <c r="AN11496" t="s">
        <v>8100</v>
      </c>
      <c r="AO11496" t="s">
        <v>8101</v>
      </c>
    </row>
    <row r="11497" spans="39:41" ht="12" customHeight="1" x14ac:dyDescent="0.2">
      <c r="AM11497" t="str">
        <f t="shared" si="179"/>
        <v>Pekalongan, Java [IDPEX]</v>
      </c>
      <c r="AN11497" t="s">
        <v>16500</v>
      </c>
      <c r="AO11497" t="s">
        <v>16501</v>
      </c>
    </row>
    <row r="11498" spans="39:41" ht="12" customHeight="1" x14ac:dyDescent="0.2">
      <c r="AM11498" t="str">
        <f t="shared" si="179"/>
        <v>Pelabuhan Badas [IDPBB]</v>
      </c>
      <c r="AN11498" t="s">
        <v>16502</v>
      </c>
      <c r="AO11498" t="s">
        <v>16503</v>
      </c>
    </row>
    <row r="11499" spans="39:41" ht="12" customHeight="1" x14ac:dyDescent="0.2">
      <c r="AM11499" t="str">
        <f t="shared" si="179"/>
        <v>Pelabuhan Futong Terminal [IDFTG]</v>
      </c>
      <c r="AN11499" t="s">
        <v>16504</v>
      </c>
      <c r="AO11499" t="s">
        <v>16505</v>
      </c>
    </row>
    <row r="11500" spans="39:41" ht="12" customHeight="1" x14ac:dyDescent="0.2">
      <c r="AM11500" t="str">
        <f t="shared" si="179"/>
        <v>Pelasyia [GRPEL]</v>
      </c>
      <c r="AN11500" t="s">
        <v>15424</v>
      </c>
      <c r="AO11500" t="s">
        <v>35960</v>
      </c>
    </row>
    <row r="11501" spans="39:41" ht="12" customHeight="1" x14ac:dyDescent="0.2">
      <c r="AM11501" t="str">
        <f t="shared" si="179"/>
        <v>Pelican Point [AUPEL]</v>
      </c>
      <c r="AN11501" t="s">
        <v>1896</v>
      </c>
      <c r="AO11501" t="s">
        <v>1897</v>
      </c>
    </row>
    <row r="11502" spans="39:41" ht="12" customHeight="1" x14ac:dyDescent="0.2">
      <c r="AM11502" t="str">
        <f t="shared" si="179"/>
        <v>Pellet Plant Jetty/Shiroda [INPPJ]</v>
      </c>
      <c r="AN11502" t="s">
        <v>17377</v>
      </c>
      <c r="AO11502" t="s">
        <v>17378</v>
      </c>
    </row>
    <row r="11503" spans="39:41" ht="12" customHeight="1" x14ac:dyDescent="0.2">
      <c r="AM11503" t="str">
        <f t="shared" ref="AM11503:AM11566" si="180">AO11503 &amp; " [" &amp; AN11503 &amp; "]"</f>
        <v>Pellworm [DEPEL]</v>
      </c>
      <c r="AN11503" t="s">
        <v>8102</v>
      </c>
      <c r="AO11503" t="s">
        <v>8103</v>
      </c>
    </row>
    <row r="11504" spans="39:41" ht="12" customHeight="1" x14ac:dyDescent="0.2">
      <c r="AM11504" t="str">
        <f t="shared" si="180"/>
        <v>Pelotas [BRPET]</v>
      </c>
      <c r="AN11504" t="s">
        <v>3364</v>
      </c>
      <c r="AO11504" t="s">
        <v>3365</v>
      </c>
    </row>
    <row r="11505" spans="39:41" ht="12" customHeight="1" x14ac:dyDescent="0.2">
      <c r="AM11505" t="str">
        <f t="shared" si="180"/>
        <v>Pemba [MZPOL]</v>
      </c>
      <c r="AN11505" t="s">
        <v>22866</v>
      </c>
      <c r="AO11505" t="s">
        <v>22867</v>
      </c>
    </row>
    <row r="11506" spans="39:41" ht="12" customHeight="1" x14ac:dyDescent="0.2">
      <c r="AM11506" t="str">
        <f t="shared" si="180"/>
        <v>Pemba [TZPMA]</v>
      </c>
      <c r="AN11506" t="s">
        <v>28732</v>
      </c>
      <c r="AO11506" t="s">
        <v>22867</v>
      </c>
    </row>
    <row r="11507" spans="39:41" ht="12" customHeight="1" x14ac:dyDescent="0.2">
      <c r="AM11507" t="str">
        <f t="shared" si="180"/>
        <v>Pembrey [GBPMY]</v>
      </c>
      <c r="AN11507" t="s">
        <v>14033</v>
      </c>
      <c r="AO11507" t="s">
        <v>14034</v>
      </c>
    </row>
    <row r="11508" spans="39:41" ht="12" customHeight="1" x14ac:dyDescent="0.2">
      <c r="AM11508" t="str">
        <f t="shared" si="180"/>
        <v>Pembridge [GBPBD]</v>
      </c>
      <c r="AN11508" t="s">
        <v>14035</v>
      </c>
      <c r="AO11508" t="s">
        <v>14036</v>
      </c>
    </row>
    <row r="11509" spans="39:41" ht="12" customHeight="1" x14ac:dyDescent="0.2">
      <c r="AM11509" t="str">
        <f t="shared" si="180"/>
        <v>Pembroke [GBPEM]</v>
      </c>
      <c r="AN11509" t="s">
        <v>14037</v>
      </c>
      <c r="AO11509" t="s">
        <v>14038</v>
      </c>
    </row>
    <row r="11510" spans="39:41" ht="12" customHeight="1" x14ac:dyDescent="0.2">
      <c r="AM11510" t="str">
        <f t="shared" si="180"/>
        <v>Pembroke [USJUY]</v>
      </c>
      <c r="AN11510" t="s">
        <v>30999</v>
      </c>
      <c r="AO11510" t="s">
        <v>14038</v>
      </c>
    </row>
    <row r="11511" spans="39:41" ht="12" customHeight="1" x14ac:dyDescent="0.2">
      <c r="AM11511" t="str">
        <f t="shared" si="180"/>
        <v>Pembroke Dock [GBPED]</v>
      </c>
      <c r="AN11511" t="s">
        <v>14039</v>
      </c>
      <c r="AO11511" t="s">
        <v>14040</v>
      </c>
    </row>
    <row r="11512" spans="39:41" ht="12" customHeight="1" x14ac:dyDescent="0.2">
      <c r="AM11512" t="str">
        <f t="shared" si="180"/>
        <v>Pembroke Park [USZPB]</v>
      </c>
      <c r="AN11512" t="s">
        <v>31000</v>
      </c>
      <c r="AO11512" t="s">
        <v>31001</v>
      </c>
    </row>
    <row r="11513" spans="39:41" ht="12" customHeight="1" x14ac:dyDescent="0.2">
      <c r="AM11513" t="str">
        <f t="shared" si="180"/>
        <v>Penamaior [PTIOR]</v>
      </c>
      <c r="AN11513" t="s">
        <v>26559</v>
      </c>
      <c r="AO11513" t="s">
        <v>26560</v>
      </c>
    </row>
    <row r="11514" spans="39:41" ht="12" customHeight="1" x14ac:dyDescent="0.2">
      <c r="AM11514" t="str">
        <f t="shared" si="180"/>
        <v>Penang (Georgetown) [MYPEN]</v>
      </c>
      <c r="AN11514" t="s">
        <v>22685</v>
      </c>
      <c r="AO11514" t="s">
        <v>22686</v>
      </c>
    </row>
    <row r="11515" spans="39:41" ht="12" customHeight="1" x14ac:dyDescent="0.2">
      <c r="AM11515" t="str">
        <f t="shared" si="180"/>
        <v>Penara Marine Terminal [MYPMT]</v>
      </c>
      <c r="AN11515" t="s">
        <v>22687</v>
      </c>
      <c r="AO11515" t="s">
        <v>22688</v>
      </c>
    </row>
    <row r="11516" spans="39:41" ht="12" customHeight="1" x14ac:dyDescent="0.2">
      <c r="AM11516" t="str">
        <f t="shared" si="180"/>
        <v>Penarth [GBPNH]</v>
      </c>
      <c r="AN11516" t="s">
        <v>14041</v>
      </c>
      <c r="AO11516" t="s">
        <v>14042</v>
      </c>
    </row>
    <row r="11517" spans="39:41" ht="12" customHeight="1" x14ac:dyDescent="0.2">
      <c r="AM11517" t="str">
        <f t="shared" si="180"/>
        <v>Penberth [GBPNB]</v>
      </c>
      <c r="AN11517" t="s">
        <v>14043</v>
      </c>
      <c r="AO11517" t="s">
        <v>14044</v>
      </c>
    </row>
    <row r="11518" spans="39:41" ht="12" customHeight="1" x14ac:dyDescent="0.2">
      <c r="AM11518" t="str">
        <f t="shared" si="180"/>
        <v>Pen-Clawdd [GBPDD]</v>
      </c>
      <c r="AN11518" t="s">
        <v>14045</v>
      </c>
      <c r="AO11518" t="s">
        <v>14046</v>
      </c>
    </row>
    <row r="11519" spans="39:41" ht="12" customHeight="1" x14ac:dyDescent="0.2">
      <c r="AM11519" t="str">
        <f t="shared" si="180"/>
        <v>Penco [CLPEO]</v>
      </c>
      <c r="AN11519" t="s">
        <v>4921</v>
      </c>
      <c r="AO11519" t="s">
        <v>4922</v>
      </c>
    </row>
    <row r="11520" spans="39:41" ht="12" customHeight="1" x14ac:dyDescent="0.2">
      <c r="AM11520" t="str">
        <f t="shared" si="180"/>
        <v>Pendeen [GBPNE]</v>
      </c>
      <c r="AN11520" t="s">
        <v>14047</v>
      </c>
      <c r="AO11520" t="s">
        <v>14048</v>
      </c>
    </row>
    <row r="11521" spans="39:41" ht="12" customHeight="1" x14ac:dyDescent="0.2">
      <c r="AM11521" t="str">
        <f t="shared" si="180"/>
        <v>Pender Harbour [CAPEH]</v>
      </c>
      <c r="AN11521" t="s">
        <v>4204</v>
      </c>
      <c r="AO11521" t="s">
        <v>4205</v>
      </c>
    </row>
    <row r="11522" spans="39:41" ht="12" customHeight="1" x14ac:dyDescent="0.2">
      <c r="AM11522" t="str">
        <f t="shared" si="180"/>
        <v>Pendik [TRPEN]</v>
      </c>
      <c r="AN11522" t="s">
        <v>28568</v>
      </c>
      <c r="AO11522" t="s">
        <v>28569</v>
      </c>
    </row>
    <row r="11523" spans="39:41" ht="12" customHeight="1" x14ac:dyDescent="0.2">
      <c r="AM11523" t="str">
        <f t="shared" si="180"/>
        <v>Pending [MYPND]</v>
      </c>
      <c r="AN11523" t="s">
        <v>22689</v>
      </c>
      <c r="AO11523" t="s">
        <v>22690</v>
      </c>
    </row>
    <row r="11524" spans="39:41" ht="12" customHeight="1" x14ac:dyDescent="0.2">
      <c r="AM11524" t="str">
        <f t="shared" si="180"/>
        <v>Pendle Hills [AUPEN]</v>
      </c>
      <c r="AN11524" t="s">
        <v>1898</v>
      </c>
      <c r="AO11524" t="s">
        <v>1899</v>
      </c>
    </row>
    <row r="11525" spans="39:41" ht="12" customHeight="1" x14ac:dyDescent="0.2">
      <c r="AM11525" t="str">
        <f t="shared" si="180"/>
        <v>Penetanguishene [CAPTH]</v>
      </c>
      <c r="AN11525" t="s">
        <v>4206</v>
      </c>
      <c r="AO11525" t="s">
        <v>4207</v>
      </c>
    </row>
    <row r="11526" spans="39:41" ht="12" customHeight="1" x14ac:dyDescent="0.2">
      <c r="AM11526" t="str">
        <f t="shared" si="180"/>
        <v>Pengerang [MYPGG]</v>
      </c>
      <c r="AN11526" t="s">
        <v>22691</v>
      </c>
      <c r="AO11526" t="s">
        <v>22692</v>
      </c>
    </row>
    <row r="11527" spans="39:41" ht="12" customHeight="1" x14ac:dyDescent="0.2">
      <c r="AM11527" t="str">
        <f t="shared" si="180"/>
        <v>Pengkalan Kubor [MYPKK]</v>
      </c>
      <c r="AN11527" t="s">
        <v>22693</v>
      </c>
      <c r="AO11527" t="s">
        <v>22694</v>
      </c>
    </row>
    <row r="11528" spans="39:41" ht="12" customHeight="1" x14ac:dyDescent="0.2">
      <c r="AM11528" t="str">
        <f t="shared" si="180"/>
        <v>Penglai Pt [CNPLI]</v>
      </c>
      <c r="AN11528" t="s">
        <v>5821</v>
      </c>
      <c r="AO11528" t="s">
        <v>5822</v>
      </c>
    </row>
    <row r="11529" spans="39:41" ht="12" customHeight="1" x14ac:dyDescent="0.2">
      <c r="AM11529" t="str">
        <f t="shared" si="180"/>
        <v>Pengze [CNPZE]</v>
      </c>
      <c r="AN11529" t="s">
        <v>5823</v>
      </c>
      <c r="AO11529" t="s">
        <v>5824</v>
      </c>
    </row>
    <row r="11530" spans="39:41" ht="12" customHeight="1" x14ac:dyDescent="0.2">
      <c r="AM11530" t="str">
        <f t="shared" si="180"/>
        <v>Peniche [PTPEN]</v>
      </c>
      <c r="AN11530" t="s">
        <v>26561</v>
      </c>
      <c r="AO11530" t="s">
        <v>26562</v>
      </c>
    </row>
    <row r="11531" spans="39:41" ht="12" customHeight="1" x14ac:dyDescent="0.2">
      <c r="AM11531" t="str">
        <f t="shared" si="180"/>
        <v>Penkridge [GBPKD]</v>
      </c>
      <c r="AN11531" t="s">
        <v>14049</v>
      </c>
      <c r="AO11531" t="s">
        <v>14050</v>
      </c>
    </row>
    <row r="11532" spans="39:41" ht="12" customHeight="1" x14ac:dyDescent="0.2">
      <c r="AM11532" t="str">
        <f t="shared" si="180"/>
        <v>Penmaenmawr [GBPMM]</v>
      </c>
      <c r="AN11532" t="s">
        <v>14051</v>
      </c>
      <c r="AO11532" t="s">
        <v>14052</v>
      </c>
    </row>
    <row r="11533" spans="39:41" ht="12" customHeight="1" x14ac:dyDescent="0.2">
      <c r="AM11533" t="str">
        <f t="shared" si="180"/>
        <v>Penmarc'H Point [FRNRH]</v>
      </c>
      <c r="AN11533" t="s">
        <v>11783</v>
      </c>
      <c r="AO11533" t="s">
        <v>11784</v>
      </c>
    </row>
    <row r="11534" spans="39:41" ht="12" customHeight="1" x14ac:dyDescent="0.2">
      <c r="AM11534" t="str">
        <f t="shared" si="180"/>
        <v>Penn Valley [US7CA]</v>
      </c>
      <c r="AN11534" t="s">
        <v>31002</v>
      </c>
      <c r="AO11534" t="s">
        <v>31003</v>
      </c>
    </row>
    <row r="11535" spans="39:41" ht="12" customHeight="1" x14ac:dyDescent="0.2">
      <c r="AM11535" t="str">
        <f t="shared" si="180"/>
        <v>Pennala [FIPNL]</v>
      </c>
      <c r="AN11535" t="s">
        <v>10501</v>
      </c>
      <c r="AO11535" t="s">
        <v>10502</v>
      </c>
    </row>
    <row r="11536" spans="39:41" ht="12" customHeight="1" x14ac:dyDescent="0.2">
      <c r="AM11536" t="str">
        <f t="shared" si="180"/>
        <v>Pennan [GBENN]</v>
      </c>
      <c r="AN11536" t="s">
        <v>14053</v>
      </c>
      <c r="AO11536" t="s">
        <v>14054</v>
      </c>
    </row>
    <row r="11537" spans="39:41" ht="12" customHeight="1" x14ac:dyDescent="0.2">
      <c r="AM11537" t="str">
        <f t="shared" si="180"/>
        <v>Penngrove [US9DK]</v>
      </c>
      <c r="AN11537" t="s">
        <v>31004</v>
      </c>
      <c r="AO11537" t="s">
        <v>31005</v>
      </c>
    </row>
    <row r="11538" spans="39:41" ht="12" customHeight="1" x14ac:dyDescent="0.2">
      <c r="AM11538" t="str">
        <f t="shared" si="180"/>
        <v>Pennington [ZAPEN]</v>
      </c>
      <c r="AN11538" t="s">
        <v>34235</v>
      </c>
      <c r="AO11538" t="s">
        <v>34303</v>
      </c>
    </row>
    <row r="11539" spans="39:41" ht="12" customHeight="1" x14ac:dyDescent="0.2">
      <c r="AM11539" t="str">
        <f t="shared" si="180"/>
        <v>Pennsauken [USPPS]</v>
      </c>
      <c r="AN11539" t="s">
        <v>31006</v>
      </c>
      <c r="AO11539" t="s">
        <v>31007</v>
      </c>
    </row>
    <row r="11540" spans="39:41" ht="12" customHeight="1" x14ac:dyDescent="0.2">
      <c r="AM11540" t="str">
        <f t="shared" si="180"/>
        <v>Penryn [GBPRY]</v>
      </c>
      <c r="AN11540" t="s">
        <v>14055</v>
      </c>
      <c r="AO11540" t="s">
        <v>14056</v>
      </c>
    </row>
    <row r="11541" spans="39:41" ht="12" customHeight="1" x14ac:dyDescent="0.2">
      <c r="AM11541" t="str">
        <f t="shared" si="180"/>
        <v>Pensacola [USPNS]</v>
      </c>
      <c r="AN11541" t="s">
        <v>31008</v>
      </c>
      <c r="AO11541" t="s">
        <v>31009</v>
      </c>
    </row>
    <row r="11542" spans="39:41" ht="12" customHeight="1" x14ac:dyDescent="0.2">
      <c r="AM11542" t="str">
        <f t="shared" si="180"/>
        <v>Pensacola Beach [USPB4]</v>
      </c>
      <c r="AN11542" t="s">
        <v>31010</v>
      </c>
      <c r="AO11542" t="s">
        <v>31011</v>
      </c>
    </row>
    <row r="11543" spans="39:41" ht="12" customHeight="1" x14ac:dyDescent="0.2">
      <c r="AM11543" t="str">
        <f t="shared" si="180"/>
        <v>Penshurst [CRPEN]</v>
      </c>
      <c r="AN11543" t="s">
        <v>6612</v>
      </c>
      <c r="AO11543" t="s">
        <v>6613</v>
      </c>
    </row>
    <row r="11544" spans="39:41" ht="12" customHeight="1" x14ac:dyDescent="0.2">
      <c r="AM11544" t="str">
        <f t="shared" si="180"/>
        <v>Pente [DEPEN]</v>
      </c>
      <c r="AN11544" t="s">
        <v>8104</v>
      </c>
      <c r="AO11544" t="s">
        <v>8105</v>
      </c>
    </row>
    <row r="11545" spans="39:41" ht="12" customHeight="1" x14ac:dyDescent="0.2">
      <c r="AM11545" t="str">
        <f t="shared" si="180"/>
        <v>Pentraeth [GBPAE]</v>
      </c>
      <c r="AN11545" t="s">
        <v>14057</v>
      </c>
      <c r="AO11545" t="s">
        <v>14058</v>
      </c>
    </row>
    <row r="11546" spans="39:41" ht="12" customHeight="1" x14ac:dyDescent="0.2">
      <c r="AM11546" t="str">
        <f t="shared" si="180"/>
        <v>Penuba [IDPNG]</v>
      </c>
      <c r="AN11546" t="s">
        <v>16506</v>
      </c>
      <c r="AO11546" t="s">
        <v>16507</v>
      </c>
    </row>
    <row r="11547" spans="39:41" ht="12" customHeight="1" x14ac:dyDescent="0.2">
      <c r="AM11547" t="str">
        <f t="shared" si="180"/>
        <v>Penzance [GBPEN]</v>
      </c>
      <c r="AN11547" t="s">
        <v>14059</v>
      </c>
      <c r="AO11547" t="s">
        <v>14060</v>
      </c>
    </row>
    <row r="11548" spans="39:41" ht="12" customHeight="1" x14ac:dyDescent="0.2">
      <c r="AM11548" t="str">
        <f t="shared" si="180"/>
        <v>Pepel [SLPEP]</v>
      </c>
      <c r="AN11548" t="s">
        <v>28084</v>
      </c>
      <c r="AO11548" t="s">
        <v>28085</v>
      </c>
    </row>
    <row r="11549" spans="39:41" ht="12" customHeight="1" x14ac:dyDescent="0.2">
      <c r="AM11549" t="str">
        <f t="shared" si="180"/>
        <v>Pequannock [USPQN]</v>
      </c>
      <c r="AN11549" t="s">
        <v>31012</v>
      </c>
      <c r="AO11549" t="s">
        <v>31013</v>
      </c>
    </row>
    <row r="11550" spans="39:41" ht="12" customHeight="1" x14ac:dyDescent="0.2">
      <c r="AM11550" t="str">
        <f t="shared" si="180"/>
        <v>Perafita [PTPFT]</v>
      </c>
      <c r="AN11550" t="s">
        <v>26563</v>
      </c>
      <c r="AO11550" t="s">
        <v>26564</v>
      </c>
    </row>
    <row r="11551" spans="39:41" ht="12" customHeight="1" x14ac:dyDescent="0.2">
      <c r="AM11551" t="str">
        <f t="shared" si="180"/>
        <v>Perai [MYRAI]</v>
      </c>
      <c r="AN11551" t="s">
        <v>22695</v>
      </c>
      <c r="AO11551" t="s">
        <v>22696</v>
      </c>
    </row>
    <row r="11552" spans="39:41" ht="12" customHeight="1" x14ac:dyDescent="0.2">
      <c r="AM11552" t="str">
        <f t="shared" si="180"/>
        <v>Perama [GRPER]</v>
      </c>
      <c r="AN11552" t="s">
        <v>15425</v>
      </c>
      <c r="AO11552" t="s">
        <v>15426</v>
      </c>
    </row>
    <row r="11553" spans="39:41" ht="12" customHeight="1" x14ac:dyDescent="0.2">
      <c r="AM11553" t="str">
        <f t="shared" si="180"/>
        <v>Perama Geras Mytilinis [GRPGM]</v>
      </c>
      <c r="AN11553" t="s">
        <v>15427</v>
      </c>
      <c r="AO11553" t="s">
        <v>15428</v>
      </c>
    </row>
    <row r="11554" spans="39:41" ht="12" customHeight="1" x14ac:dyDescent="0.2">
      <c r="AM11554" t="str">
        <f t="shared" si="180"/>
        <v>Perawang [IDPER]</v>
      </c>
      <c r="AN11554" t="s">
        <v>16508</v>
      </c>
      <c r="AO11554" t="s">
        <v>16509</v>
      </c>
    </row>
    <row r="11555" spans="39:41" ht="12" customHeight="1" x14ac:dyDescent="0.2">
      <c r="AM11555" t="str">
        <f t="shared" si="180"/>
        <v>Perawang [IDPWG]</v>
      </c>
      <c r="AN11555" t="s">
        <v>16510</v>
      </c>
      <c r="AO11555" t="s">
        <v>16509</v>
      </c>
    </row>
    <row r="11556" spans="39:41" ht="12" customHeight="1" x14ac:dyDescent="0.2">
      <c r="AM11556" t="str">
        <f t="shared" si="180"/>
        <v>Perdue Hill [USXPE]</v>
      </c>
      <c r="AN11556" t="s">
        <v>31014</v>
      </c>
      <c r="AO11556" t="s">
        <v>31015</v>
      </c>
    </row>
    <row r="11557" spans="39:41" ht="12" customHeight="1" x14ac:dyDescent="0.2">
      <c r="AM11557" t="str">
        <f t="shared" si="180"/>
        <v>Perea [GRPRR]</v>
      </c>
      <c r="AN11557" t="s">
        <v>15429</v>
      </c>
      <c r="AO11557" t="s">
        <v>15430</v>
      </c>
    </row>
    <row r="11558" spans="39:41" ht="12" customHeight="1" x14ac:dyDescent="0.2">
      <c r="AM11558" t="str">
        <f t="shared" si="180"/>
        <v>Peregrebnoye [RUPGE]</v>
      </c>
      <c r="AN11558" t="s">
        <v>27164</v>
      </c>
      <c r="AO11558" t="s">
        <v>27165</v>
      </c>
    </row>
    <row r="11559" spans="39:41" ht="12" customHeight="1" x14ac:dyDescent="0.2">
      <c r="AM11559" t="str">
        <f t="shared" si="180"/>
        <v>Perignat-les-Sarlieve [FRG63]</v>
      </c>
      <c r="AN11559" t="s">
        <v>11785</v>
      </c>
      <c r="AO11559" t="s">
        <v>35829</v>
      </c>
    </row>
    <row r="11560" spans="39:41" ht="12" customHeight="1" x14ac:dyDescent="0.2">
      <c r="AM11560" t="str">
        <f t="shared" si="180"/>
        <v>Perim Island [YEPRM]</v>
      </c>
      <c r="AN11560" t="s">
        <v>32650</v>
      </c>
      <c r="AO11560" t="s">
        <v>32651</v>
      </c>
    </row>
    <row r="11561" spans="39:41" ht="12" customHeight="1" x14ac:dyDescent="0.2">
      <c r="AM11561" t="str">
        <f t="shared" si="180"/>
        <v>Perna (Pernaja) [FIPER]</v>
      </c>
      <c r="AN11561" t="s">
        <v>10503</v>
      </c>
      <c r="AO11561" t="s">
        <v>35743</v>
      </c>
    </row>
    <row r="11562" spans="39:41" ht="12" customHeight="1" x14ac:dyDescent="0.2">
      <c r="AM11562" t="str">
        <f t="shared" si="180"/>
        <v>Pernant [FRPWA]</v>
      </c>
      <c r="AN11562" t="s">
        <v>11786</v>
      </c>
      <c r="AO11562" t="s">
        <v>11787</v>
      </c>
    </row>
    <row r="11563" spans="39:41" ht="12" customHeight="1" x14ac:dyDescent="0.2">
      <c r="AM11563" t="str">
        <f t="shared" si="180"/>
        <v>Pernis [NLPER]</v>
      </c>
      <c r="AN11563" t="s">
        <v>23526</v>
      </c>
      <c r="AO11563" t="s">
        <v>23527</v>
      </c>
    </row>
    <row r="11564" spans="39:41" ht="12" customHeight="1" x14ac:dyDescent="0.2">
      <c r="AM11564" t="str">
        <f t="shared" si="180"/>
        <v>Peronnes [BEPES]</v>
      </c>
      <c r="AN11564" t="s">
        <v>2842</v>
      </c>
      <c r="AO11564" t="s">
        <v>35277</v>
      </c>
    </row>
    <row r="11565" spans="39:41" ht="12" customHeight="1" x14ac:dyDescent="0.2">
      <c r="AM11565" t="str">
        <f t="shared" si="180"/>
        <v>Peronnes/Binche [BEPLB]</v>
      </c>
      <c r="AN11565" t="s">
        <v>2843</v>
      </c>
      <c r="AO11565" t="s">
        <v>35278</v>
      </c>
    </row>
    <row r="11566" spans="39:41" ht="12" customHeight="1" x14ac:dyDescent="0.2">
      <c r="AM11566" t="str">
        <f t="shared" si="180"/>
        <v>Perrich [DEPRC]</v>
      </c>
      <c r="AN11566" t="s">
        <v>8106</v>
      </c>
      <c r="AO11566" t="s">
        <v>8107</v>
      </c>
    </row>
    <row r="11567" spans="39:41" ht="12" customHeight="1" x14ac:dyDescent="0.2">
      <c r="AM11567" t="str">
        <f t="shared" ref="AM11567:AM11630" si="181">AO11567 &amp; " [" &amp; AN11567 &amp; "]"</f>
        <v>Perros [FRPS9]</v>
      </c>
      <c r="AN11567" t="s">
        <v>11788</v>
      </c>
      <c r="AO11567" t="s">
        <v>11789</v>
      </c>
    </row>
    <row r="11568" spans="39:41" ht="12" customHeight="1" x14ac:dyDescent="0.2">
      <c r="AM11568" t="str">
        <f t="shared" si="181"/>
        <v>Perryman [USPYB]</v>
      </c>
      <c r="AN11568" t="s">
        <v>31016</v>
      </c>
      <c r="AO11568" t="s">
        <v>31017</v>
      </c>
    </row>
    <row r="11569" spans="39:41" ht="12" customHeight="1" x14ac:dyDescent="0.2">
      <c r="AM11569" t="str">
        <f t="shared" si="181"/>
        <v>Persenbeug [ATPBU]</v>
      </c>
      <c r="AN11569" t="s">
        <v>1299</v>
      </c>
      <c r="AO11569" t="s">
        <v>1300</v>
      </c>
    </row>
    <row r="11570" spans="39:41" ht="12" customHeight="1" x14ac:dyDescent="0.2">
      <c r="AM11570" t="str">
        <f t="shared" si="181"/>
        <v>Perth [AUPER]</v>
      </c>
      <c r="AN11570" t="s">
        <v>1900</v>
      </c>
      <c r="AO11570" t="s">
        <v>1901</v>
      </c>
    </row>
    <row r="11571" spans="39:41" ht="12" customHeight="1" x14ac:dyDescent="0.2">
      <c r="AM11571" t="str">
        <f t="shared" si="181"/>
        <v>Perth [GBPER]</v>
      </c>
      <c r="AN11571" t="s">
        <v>14061</v>
      </c>
      <c r="AO11571" t="s">
        <v>1901</v>
      </c>
    </row>
    <row r="11572" spans="39:41" ht="12" customHeight="1" x14ac:dyDescent="0.2">
      <c r="AM11572" t="str">
        <f t="shared" si="181"/>
        <v>Perth Amboy [USPAY]</v>
      </c>
      <c r="AN11572" t="s">
        <v>31018</v>
      </c>
      <c r="AO11572" t="s">
        <v>31019</v>
      </c>
    </row>
    <row r="11573" spans="39:41" ht="12" customHeight="1" x14ac:dyDescent="0.2">
      <c r="AM11573" t="str">
        <f t="shared" si="181"/>
        <v>Pertigalete [VEPRG]</v>
      </c>
      <c r="AN11573" t="s">
        <v>32220</v>
      </c>
      <c r="AO11573" t="s">
        <v>32221</v>
      </c>
    </row>
    <row r="11574" spans="39:41" ht="12" customHeight="1" x14ac:dyDescent="0.2">
      <c r="AM11574" t="str">
        <f t="shared" si="181"/>
        <v>Perttula [FIZBQ]</v>
      </c>
      <c r="AN11574" t="s">
        <v>10504</v>
      </c>
      <c r="AO11574" t="s">
        <v>10505</v>
      </c>
    </row>
    <row r="11575" spans="39:41" ht="12" customHeight="1" x14ac:dyDescent="0.2">
      <c r="AM11575" t="str">
        <f t="shared" si="181"/>
        <v>Perundurai [INPER]</v>
      </c>
      <c r="AN11575" t="s">
        <v>17379</v>
      </c>
      <c r="AO11575" t="s">
        <v>17380</v>
      </c>
    </row>
    <row r="11576" spans="39:41" ht="12" customHeight="1" x14ac:dyDescent="0.2">
      <c r="AM11576" t="str">
        <f t="shared" si="181"/>
        <v>Peruwelz [BEPWZ]</v>
      </c>
      <c r="AN11576" t="s">
        <v>36795</v>
      </c>
      <c r="AO11576" t="s">
        <v>36796</v>
      </c>
    </row>
    <row r="11577" spans="39:41" ht="12" customHeight="1" x14ac:dyDescent="0.2">
      <c r="AM11577" t="str">
        <f t="shared" si="181"/>
        <v>Pesaro [ITPES]</v>
      </c>
      <c r="AN11577" t="s">
        <v>18147</v>
      </c>
      <c r="AO11577" t="s">
        <v>18148</v>
      </c>
    </row>
    <row r="11578" spans="39:41" ht="12" customHeight="1" x14ac:dyDescent="0.2">
      <c r="AM11578" t="str">
        <f t="shared" si="181"/>
        <v>Pescara [ITPSR]</v>
      </c>
      <c r="AN11578" t="s">
        <v>18149</v>
      </c>
      <c r="AO11578" t="s">
        <v>18150</v>
      </c>
    </row>
    <row r="11579" spans="39:41" ht="12" customHeight="1" x14ac:dyDescent="0.2">
      <c r="AM11579" t="str">
        <f t="shared" si="181"/>
        <v>Peschici [ITPCH]</v>
      </c>
      <c r="AN11579" t="s">
        <v>18151</v>
      </c>
      <c r="AO11579" t="s">
        <v>18152</v>
      </c>
    </row>
    <row r="11580" spans="39:41" ht="12" customHeight="1" x14ac:dyDescent="0.2">
      <c r="AM11580" t="str">
        <f t="shared" si="181"/>
        <v>Pese [PAPES]</v>
      </c>
      <c r="AN11580" t="s">
        <v>25216</v>
      </c>
      <c r="AO11580" t="s">
        <v>36358</v>
      </c>
    </row>
    <row r="11581" spans="39:41" ht="12" customHeight="1" x14ac:dyDescent="0.2">
      <c r="AM11581" t="str">
        <f t="shared" si="181"/>
        <v>Pessada Kefallinnias [GRPSK]</v>
      </c>
      <c r="AN11581" t="s">
        <v>15431</v>
      </c>
      <c r="AO11581" t="s">
        <v>15432</v>
      </c>
    </row>
    <row r="11582" spans="39:41" ht="12" customHeight="1" x14ac:dyDescent="0.2">
      <c r="AM11582" t="str">
        <f t="shared" si="181"/>
        <v>Petani Beach [GRPEB]</v>
      </c>
      <c r="AN11582" t="s">
        <v>15433</v>
      </c>
      <c r="AO11582" t="s">
        <v>15434</v>
      </c>
    </row>
    <row r="11583" spans="39:41" ht="12" customHeight="1" x14ac:dyDescent="0.2">
      <c r="AM11583" t="str">
        <f t="shared" si="181"/>
        <v>Petelea [ROPTA]</v>
      </c>
      <c r="AN11583" t="s">
        <v>26803</v>
      </c>
      <c r="AO11583" t="s">
        <v>26804</v>
      </c>
    </row>
    <row r="11584" spans="39:41" ht="12" customHeight="1" x14ac:dyDescent="0.2">
      <c r="AM11584" t="str">
        <f t="shared" si="181"/>
        <v>Peterborough [USYPB]</v>
      </c>
      <c r="AN11584" t="s">
        <v>31020</v>
      </c>
      <c r="AO11584" t="s">
        <v>31021</v>
      </c>
    </row>
    <row r="11585" spans="39:41" ht="12" customHeight="1" x14ac:dyDescent="0.2">
      <c r="AM11585" t="str">
        <f t="shared" si="181"/>
        <v>Peterhead [GBPHD]</v>
      </c>
      <c r="AN11585" t="s">
        <v>14062</v>
      </c>
      <c r="AO11585" t="s">
        <v>14063</v>
      </c>
    </row>
    <row r="11586" spans="39:41" ht="12" customHeight="1" x14ac:dyDescent="0.2">
      <c r="AM11586" t="str">
        <f t="shared" si="181"/>
        <v>Petersdorf [DEPTD]</v>
      </c>
      <c r="AN11586" t="s">
        <v>8108</v>
      </c>
      <c r="AO11586" t="s">
        <v>8109</v>
      </c>
    </row>
    <row r="11587" spans="39:41" ht="12" customHeight="1" x14ac:dyDescent="0.2">
      <c r="AM11587" t="str">
        <f t="shared" si="181"/>
        <v>Petershagen/Weser [DEPSW]</v>
      </c>
      <c r="AN11587" t="s">
        <v>8110</v>
      </c>
      <c r="AO11587" t="s">
        <v>8111</v>
      </c>
    </row>
    <row r="11588" spans="39:41" ht="12" customHeight="1" x14ac:dyDescent="0.2">
      <c r="AM11588" t="str">
        <f t="shared" si="181"/>
        <v>Petit Goave [HTPEG]</v>
      </c>
      <c r="AN11588" t="s">
        <v>16043</v>
      </c>
      <c r="AO11588" t="s">
        <v>36005</v>
      </c>
    </row>
    <row r="11589" spans="39:41" ht="12" customHeight="1" x14ac:dyDescent="0.2">
      <c r="AM11589" t="str">
        <f t="shared" si="181"/>
        <v>Petit-Couronne [FRPET]</v>
      </c>
      <c r="AN11589" t="s">
        <v>11790</v>
      </c>
      <c r="AO11589" t="s">
        <v>11791</v>
      </c>
    </row>
    <row r="11590" spans="39:41" ht="12" customHeight="1" x14ac:dyDescent="0.2">
      <c r="AM11590" t="str">
        <f t="shared" si="181"/>
        <v>Petit-Lanaye [BEPLY]</v>
      </c>
      <c r="AN11590" t="s">
        <v>2844</v>
      </c>
      <c r="AO11590" t="s">
        <v>2845</v>
      </c>
    </row>
    <row r="11591" spans="39:41" ht="12" customHeight="1" x14ac:dyDescent="0.2">
      <c r="AM11591" t="str">
        <f t="shared" si="181"/>
        <v>Petra [ESPET]</v>
      </c>
      <c r="AN11591" t="s">
        <v>10023</v>
      </c>
      <c r="AO11591" t="s">
        <v>10024</v>
      </c>
    </row>
    <row r="11592" spans="39:41" ht="12" customHeight="1" x14ac:dyDescent="0.2">
      <c r="AM11592" t="str">
        <f t="shared" si="181"/>
        <v>Petra [GRPLV]</v>
      </c>
      <c r="AN11592" t="s">
        <v>15435</v>
      </c>
      <c r="AO11592" t="s">
        <v>10024</v>
      </c>
    </row>
    <row r="11593" spans="39:41" ht="12" customHeight="1" x14ac:dyDescent="0.2">
      <c r="AM11593" t="str">
        <f t="shared" si="181"/>
        <v>Petries Evvoias [GRPRE]</v>
      </c>
      <c r="AN11593" t="s">
        <v>15436</v>
      </c>
      <c r="AO11593" t="s">
        <v>15437</v>
      </c>
    </row>
    <row r="11594" spans="39:41" ht="12" customHeight="1" x14ac:dyDescent="0.2">
      <c r="AM11594" t="str">
        <f t="shared" si="181"/>
        <v>Petrokrepost [RUPEK]</v>
      </c>
      <c r="AN11594" t="s">
        <v>27166</v>
      </c>
      <c r="AO11594" t="s">
        <v>27167</v>
      </c>
    </row>
    <row r="11595" spans="39:41" ht="12" customHeight="1" x14ac:dyDescent="0.2">
      <c r="AM11595" t="str">
        <f t="shared" si="181"/>
        <v>Petropavlovsk-Kamchatskiy [RUPKC]</v>
      </c>
      <c r="AN11595" t="s">
        <v>27168</v>
      </c>
      <c r="AO11595" t="s">
        <v>27169</v>
      </c>
    </row>
    <row r="11596" spans="39:41" ht="12" customHeight="1" x14ac:dyDescent="0.2">
      <c r="AM11596" t="str">
        <f t="shared" si="181"/>
        <v>Petrovac [MEPVC]</v>
      </c>
      <c r="AN11596" t="s">
        <v>22088</v>
      </c>
      <c r="AO11596" t="s">
        <v>22089</v>
      </c>
    </row>
    <row r="11597" spans="39:41" ht="12" customHeight="1" x14ac:dyDescent="0.2">
      <c r="AM11597" t="str">
        <f t="shared" si="181"/>
        <v>Petrozavodsk [RUPES]</v>
      </c>
      <c r="AN11597" t="s">
        <v>27170</v>
      </c>
      <c r="AO11597" t="s">
        <v>27171</v>
      </c>
    </row>
    <row r="11598" spans="39:41" ht="12" customHeight="1" x14ac:dyDescent="0.2">
      <c r="AM11598" t="str">
        <f t="shared" si="181"/>
        <v>Petrozuata [VEPTZ]</v>
      </c>
      <c r="AN11598" t="s">
        <v>32222</v>
      </c>
      <c r="AO11598" t="s">
        <v>32223</v>
      </c>
    </row>
    <row r="11599" spans="39:41" ht="12" customHeight="1" x14ac:dyDescent="0.2">
      <c r="AM11599" t="str">
        <f t="shared" si="181"/>
        <v>Pettycur [GBPTC]</v>
      </c>
      <c r="AN11599" t="s">
        <v>14064</v>
      </c>
      <c r="AO11599" t="s">
        <v>14065</v>
      </c>
    </row>
    <row r="11600" spans="39:41" ht="12" customHeight="1" x14ac:dyDescent="0.2">
      <c r="AM11600" t="str">
        <f t="shared" si="181"/>
        <v>Petzenkirchen [ATPET]</v>
      </c>
      <c r="AN11600" t="s">
        <v>1301</v>
      </c>
      <c r="AO11600" t="s">
        <v>1302</v>
      </c>
    </row>
    <row r="11601" spans="39:41" ht="12" customHeight="1" x14ac:dyDescent="0.2">
      <c r="AM11601" t="str">
        <f t="shared" si="181"/>
        <v>Pevek [RUPWE]</v>
      </c>
      <c r="AN11601" t="s">
        <v>27172</v>
      </c>
      <c r="AO11601" t="s">
        <v>27173</v>
      </c>
    </row>
    <row r="11602" spans="39:41" ht="12" customHeight="1" x14ac:dyDescent="0.2">
      <c r="AM11602" t="str">
        <f t="shared" si="181"/>
        <v>Peyki Evvoias [GRPYV]</v>
      </c>
      <c r="AN11602" t="s">
        <v>15438</v>
      </c>
      <c r="AO11602" t="s">
        <v>15439</v>
      </c>
    </row>
    <row r="11603" spans="39:41" ht="12" customHeight="1" x14ac:dyDescent="0.2">
      <c r="AM11603" t="str">
        <f t="shared" si="181"/>
        <v>Pforring [DEAQ2]</v>
      </c>
      <c r="AN11603" t="s">
        <v>8112</v>
      </c>
      <c r="AO11603" t="s">
        <v>35486</v>
      </c>
    </row>
    <row r="11604" spans="39:41" ht="12" customHeight="1" x14ac:dyDescent="0.2">
      <c r="AM11604" t="str">
        <f t="shared" si="181"/>
        <v>Pfronten [DEPFR]</v>
      </c>
      <c r="AN11604" t="s">
        <v>8113</v>
      </c>
      <c r="AO11604" t="s">
        <v>8114</v>
      </c>
    </row>
    <row r="11605" spans="39:41" ht="12" customHeight="1" x14ac:dyDescent="0.2">
      <c r="AM11605" t="str">
        <f t="shared" si="181"/>
        <v>Phahon Yothin Customs House [THPYT]</v>
      </c>
      <c r="AN11605" t="s">
        <v>34220</v>
      </c>
      <c r="AO11605" t="s">
        <v>34290</v>
      </c>
    </row>
    <row r="11606" spans="39:41" ht="12" customHeight="1" x14ac:dyDescent="0.2">
      <c r="AM11606" t="str">
        <f t="shared" si="181"/>
        <v>Phan Rang [VNPHA]</v>
      </c>
      <c r="AN11606" t="s">
        <v>32436</v>
      </c>
      <c r="AO11606" t="s">
        <v>32437</v>
      </c>
    </row>
    <row r="11607" spans="39:41" ht="12" customHeight="1" x14ac:dyDescent="0.2">
      <c r="AM11607" t="str">
        <f t="shared" si="181"/>
        <v>Phan Thiet [VNPHH]</v>
      </c>
      <c r="AN11607" t="s">
        <v>32438</v>
      </c>
      <c r="AO11607" t="s">
        <v>32439</v>
      </c>
    </row>
    <row r="11608" spans="39:41" ht="12" customHeight="1" x14ac:dyDescent="0.2">
      <c r="AM11608" t="str">
        <f t="shared" si="181"/>
        <v>Phangnga [THPHA]</v>
      </c>
      <c r="AN11608" t="s">
        <v>28265</v>
      </c>
      <c r="AO11608" t="s">
        <v>28266</v>
      </c>
    </row>
    <row r="11609" spans="39:41" ht="12" customHeight="1" x14ac:dyDescent="0.2">
      <c r="AM11609" t="str">
        <f t="shared" si="181"/>
        <v>Philadelphia [USPHL]</v>
      </c>
      <c r="AN11609" t="s">
        <v>31022</v>
      </c>
      <c r="AO11609" t="s">
        <v>31023</v>
      </c>
    </row>
    <row r="11610" spans="39:41" ht="12" customHeight="1" x14ac:dyDescent="0.2">
      <c r="AM11610" t="str">
        <f t="shared" si="181"/>
        <v>Philippines [PHPIS]</v>
      </c>
      <c r="AN11610" t="s">
        <v>26051</v>
      </c>
      <c r="AO11610" t="s">
        <v>26052</v>
      </c>
    </row>
    <row r="11611" spans="39:41" ht="12" customHeight="1" x14ac:dyDescent="0.2">
      <c r="AM11611" t="str">
        <f t="shared" si="181"/>
        <v>Philipsburg [CAPHL]</v>
      </c>
      <c r="AN11611" t="s">
        <v>4208</v>
      </c>
      <c r="AO11611" t="s">
        <v>4209</v>
      </c>
    </row>
    <row r="11612" spans="39:41" ht="12" customHeight="1" x14ac:dyDescent="0.2">
      <c r="AM11612" t="str">
        <f t="shared" si="181"/>
        <v>Philipsburg [SXPHI]</v>
      </c>
      <c r="AN11612" t="s">
        <v>28159</v>
      </c>
      <c r="AO11612" t="s">
        <v>4209</v>
      </c>
    </row>
    <row r="11613" spans="39:41" ht="12" customHeight="1" x14ac:dyDescent="0.2">
      <c r="AM11613" t="str">
        <f t="shared" si="181"/>
        <v>Phillip Island [AUPIS]</v>
      </c>
      <c r="AN11613" t="s">
        <v>1902</v>
      </c>
      <c r="AO11613" t="s">
        <v>1903</v>
      </c>
    </row>
    <row r="11614" spans="39:41" ht="12" customHeight="1" x14ac:dyDescent="0.2">
      <c r="AM11614" t="str">
        <f t="shared" si="181"/>
        <v>Philomath [USYPH]</v>
      </c>
      <c r="AN11614" t="s">
        <v>31024</v>
      </c>
      <c r="AO11614" t="s">
        <v>31025</v>
      </c>
    </row>
    <row r="11615" spans="39:41" ht="12" customHeight="1" x14ac:dyDescent="0.2">
      <c r="AM11615" t="str">
        <f t="shared" si="181"/>
        <v>Phnom Penh [KHPNH]</v>
      </c>
      <c r="AN11615" t="s">
        <v>21543</v>
      </c>
      <c r="AO11615" t="s">
        <v>21544</v>
      </c>
    </row>
    <row r="11616" spans="39:41" ht="12" customHeight="1" x14ac:dyDescent="0.2">
      <c r="AM11616" t="str">
        <f t="shared" si="181"/>
        <v>Phoenix [ZAPHX]</v>
      </c>
      <c r="AN11616" t="s">
        <v>32721</v>
      </c>
      <c r="AO11616" t="s">
        <v>32722</v>
      </c>
    </row>
    <row r="11617" spans="39:41" ht="12" customHeight="1" x14ac:dyDescent="0.2">
      <c r="AM11617" t="str">
        <f t="shared" si="181"/>
        <v>Phoenix Islands [KIPHO]</v>
      </c>
      <c r="AN11617" t="s">
        <v>21557</v>
      </c>
      <c r="AO11617" t="s">
        <v>21558</v>
      </c>
    </row>
    <row r="11618" spans="39:41" ht="12" customHeight="1" x14ac:dyDescent="0.2">
      <c r="AM11618" t="str">
        <f t="shared" si="181"/>
        <v>Photharam [THPTR]</v>
      </c>
      <c r="AN11618" t="s">
        <v>28267</v>
      </c>
      <c r="AO11618" t="s">
        <v>28268</v>
      </c>
    </row>
    <row r="11619" spans="39:41" ht="12" customHeight="1" x14ac:dyDescent="0.2">
      <c r="AM11619" t="str">
        <f t="shared" si="181"/>
        <v>Phra Khanong [THKRU]</v>
      </c>
      <c r="AN11619" t="s">
        <v>28269</v>
      </c>
      <c r="AO11619" t="s">
        <v>28270</v>
      </c>
    </row>
    <row r="11620" spans="39:41" ht="12" customHeight="1" x14ac:dyDescent="0.2">
      <c r="AM11620" t="str">
        <f t="shared" si="181"/>
        <v>Phra Pradeng [THPPA]</v>
      </c>
      <c r="AN11620" t="s">
        <v>28271</v>
      </c>
      <c r="AO11620" t="s">
        <v>28272</v>
      </c>
    </row>
    <row r="11621" spans="39:41" ht="12" customHeight="1" x14ac:dyDescent="0.2">
      <c r="AM11621" t="str">
        <f t="shared" si="181"/>
        <v>Phserimos Dodekanisou [GRPSE]</v>
      </c>
      <c r="AN11621" t="s">
        <v>15440</v>
      </c>
      <c r="AO11621" t="s">
        <v>15441</v>
      </c>
    </row>
    <row r="11622" spans="39:41" ht="12" customHeight="1" x14ac:dyDescent="0.2">
      <c r="AM11622" t="str">
        <f t="shared" si="181"/>
        <v>Phu Bai [VNPHB]</v>
      </c>
      <c r="AN11622" t="s">
        <v>32440</v>
      </c>
      <c r="AO11622" t="s">
        <v>36597</v>
      </c>
    </row>
    <row r="11623" spans="39:41" ht="12" customHeight="1" x14ac:dyDescent="0.2">
      <c r="AM11623" t="str">
        <f t="shared" si="181"/>
        <v>Phu My [VNPHU]</v>
      </c>
      <c r="AN11623" t="s">
        <v>32441</v>
      </c>
      <c r="AO11623" t="s">
        <v>32442</v>
      </c>
    </row>
    <row r="11624" spans="39:41" ht="12" customHeight="1" x14ac:dyDescent="0.2">
      <c r="AM11624" t="str">
        <f t="shared" si="181"/>
        <v>Phuoc Long [VNPHG]</v>
      </c>
      <c r="AN11624" t="s">
        <v>32443</v>
      </c>
      <c r="AO11624" t="s">
        <v>36598</v>
      </c>
    </row>
    <row r="11625" spans="39:41" ht="12" customHeight="1" x14ac:dyDescent="0.2">
      <c r="AM11625" t="str">
        <f t="shared" si="181"/>
        <v>Phuoc Long ICD [VNIPH]</v>
      </c>
      <c r="AN11625" t="s">
        <v>32444</v>
      </c>
      <c r="AO11625" t="s">
        <v>32445</v>
      </c>
    </row>
    <row r="11626" spans="39:41" ht="12" customHeight="1" x14ac:dyDescent="0.2">
      <c r="AM11626" t="str">
        <f t="shared" si="181"/>
        <v>Phuoe Le [VNPHL]</v>
      </c>
      <c r="AN11626" t="s">
        <v>32446</v>
      </c>
      <c r="AO11626" t="s">
        <v>32447</v>
      </c>
    </row>
    <row r="11627" spans="39:41" ht="12" customHeight="1" x14ac:dyDescent="0.2">
      <c r="AM11627" t="str">
        <f t="shared" si="181"/>
        <v>Piano di Sorrento [ITPRR]</v>
      </c>
      <c r="AN11627" t="s">
        <v>18153</v>
      </c>
      <c r="AO11627" t="s">
        <v>18154</v>
      </c>
    </row>
    <row r="11628" spans="39:41" ht="12" customHeight="1" x14ac:dyDescent="0.2">
      <c r="AM11628" t="str">
        <f t="shared" si="181"/>
        <v>Pianosa [ITPIA]</v>
      </c>
      <c r="AN11628" t="s">
        <v>18155</v>
      </c>
      <c r="AO11628" t="s">
        <v>18156</v>
      </c>
    </row>
    <row r="11629" spans="39:41" ht="12" customHeight="1" x14ac:dyDescent="0.2">
      <c r="AM11629" t="str">
        <f t="shared" si="181"/>
        <v>Piatnica [PLPTN]</v>
      </c>
      <c r="AN11629" t="s">
        <v>26359</v>
      </c>
      <c r="AO11629" t="s">
        <v>26360</v>
      </c>
    </row>
    <row r="11630" spans="39:41" ht="12" customHeight="1" x14ac:dyDescent="0.2">
      <c r="AM11630" t="str">
        <f t="shared" si="181"/>
        <v>Picassent [ESPCN]</v>
      </c>
      <c r="AN11630" t="s">
        <v>10025</v>
      </c>
      <c r="AO11630" t="s">
        <v>10026</v>
      </c>
    </row>
    <row r="11631" spans="39:41" ht="12" customHeight="1" x14ac:dyDescent="0.2">
      <c r="AM11631" t="str">
        <f t="shared" ref="AM11631:AM11694" si="182">AO11631 &amp; " [" &amp; AN11631 &amp; "]"</f>
        <v>Pichilingue [MXPIC]</v>
      </c>
      <c r="AN11631" t="s">
        <v>22408</v>
      </c>
      <c r="AO11631" t="s">
        <v>22409</v>
      </c>
    </row>
    <row r="11632" spans="39:41" ht="12" customHeight="1" x14ac:dyDescent="0.2">
      <c r="AM11632" t="str">
        <f t="shared" si="182"/>
        <v>Pickering [GBPKR]</v>
      </c>
      <c r="AN11632" t="s">
        <v>14066</v>
      </c>
      <c r="AO11632" t="s">
        <v>14067</v>
      </c>
    </row>
    <row r="11633" spans="39:41" ht="12" customHeight="1" x14ac:dyDescent="0.2">
      <c r="AM11633" t="str">
        <f t="shared" si="182"/>
        <v>Picton [AUPIC]</v>
      </c>
      <c r="AN11633" t="s">
        <v>1904</v>
      </c>
      <c r="AO11633" t="s">
        <v>1905</v>
      </c>
    </row>
    <row r="11634" spans="39:41" ht="12" customHeight="1" x14ac:dyDescent="0.2">
      <c r="AM11634" t="str">
        <f t="shared" si="182"/>
        <v>Picton [CAPIC]</v>
      </c>
      <c r="AN11634" t="s">
        <v>4210</v>
      </c>
      <c r="AO11634" t="s">
        <v>1905</v>
      </c>
    </row>
    <row r="11635" spans="39:41" ht="12" customHeight="1" x14ac:dyDescent="0.2">
      <c r="AM11635" t="str">
        <f t="shared" si="182"/>
        <v>Picton [NZPCN]</v>
      </c>
      <c r="AN11635" t="s">
        <v>25096</v>
      </c>
      <c r="AO11635" t="s">
        <v>1905</v>
      </c>
    </row>
    <row r="11636" spans="39:41" ht="12" customHeight="1" x14ac:dyDescent="0.2">
      <c r="AM11636" t="str">
        <f t="shared" si="182"/>
        <v>Pictou [CAPTO]</v>
      </c>
      <c r="AN11636" t="s">
        <v>4211</v>
      </c>
      <c r="AO11636" t="s">
        <v>4212</v>
      </c>
    </row>
    <row r="11637" spans="39:41" ht="12" customHeight="1" x14ac:dyDescent="0.2">
      <c r="AM11637" t="str">
        <f t="shared" si="182"/>
        <v>Pielesti [ROPES]</v>
      </c>
      <c r="AN11637" t="s">
        <v>26805</v>
      </c>
      <c r="AO11637" t="s">
        <v>26806</v>
      </c>
    </row>
    <row r="11638" spans="39:41" ht="12" customHeight="1" x14ac:dyDescent="0.2">
      <c r="AM11638" t="str">
        <f t="shared" si="182"/>
        <v>Pier Isab [ITISB]</v>
      </c>
      <c r="AN11638" t="s">
        <v>18157</v>
      </c>
      <c r="AO11638" t="s">
        <v>18158</v>
      </c>
    </row>
    <row r="11639" spans="39:41" ht="12" customHeight="1" x14ac:dyDescent="0.2">
      <c r="AM11639" t="str">
        <f t="shared" si="182"/>
        <v>Pierowall, Westray [GBPIE]</v>
      </c>
      <c r="AN11639" t="s">
        <v>14068</v>
      </c>
      <c r="AO11639" t="s">
        <v>14069</v>
      </c>
    </row>
    <row r="11640" spans="39:41" ht="12" customHeight="1" x14ac:dyDescent="0.2">
      <c r="AM11640" t="str">
        <f t="shared" si="182"/>
        <v>Pierry [FRRYY]</v>
      </c>
      <c r="AN11640" t="s">
        <v>11792</v>
      </c>
      <c r="AO11640" t="s">
        <v>11793</v>
      </c>
    </row>
    <row r="11641" spans="39:41" ht="12" customHeight="1" x14ac:dyDescent="0.2">
      <c r="AM11641" t="str">
        <f t="shared" si="182"/>
        <v>Piesberger [DEPSB]</v>
      </c>
      <c r="AN11641" t="s">
        <v>8115</v>
      </c>
      <c r="AO11641" t="s">
        <v>8116</v>
      </c>
    </row>
    <row r="11642" spans="39:41" ht="12" customHeight="1" x14ac:dyDescent="0.2">
      <c r="AM11642" t="str">
        <f t="shared" si="182"/>
        <v>Piesport [DEPPT]</v>
      </c>
      <c r="AN11642" t="s">
        <v>8117</v>
      </c>
      <c r="AO11642" t="s">
        <v>8118</v>
      </c>
    </row>
    <row r="11643" spans="39:41" ht="12" customHeight="1" x14ac:dyDescent="0.2">
      <c r="AM11643" t="str">
        <f t="shared" si="182"/>
        <v>Piesteritz [DEPSR]</v>
      </c>
      <c r="AN11643" t="s">
        <v>8119</v>
      </c>
      <c r="AO11643" t="s">
        <v>8120</v>
      </c>
    </row>
    <row r="11644" spans="39:41" ht="12" customHeight="1" x14ac:dyDescent="0.2">
      <c r="AM11644" t="str">
        <f t="shared" si="182"/>
        <v>Pieterzijl [NLPZI]</v>
      </c>
      <c r="AN11644" t="s">
        <v>23528</v>
      </c>
      <c r="AO11644" t="s">
        <v>23529</v>
      </c>
    </row>
    <row r="11645" spans="39:41" ht="12" customHeight="1" x14ac:dyDescent="0.2">
      <c r="AM11645" t="str">
        <f t="shared" si="182"/>
        <v>Pietroasele [ROPSE]</v>
      </c>
      <c r="AN11645" t="s">
        <v>26807</v>
      </c>
      <c r="AO11645" t="s">
        <v>26808</v>
      </c>
    </row>
    <row r="11646" spans="39:41" ht="12" customHeight="1" x14ac:dyDescent="0.2">
      <c r="AM11646" t="str">
        <f t="shared" si="182"/>
        <v>Pigeon Forge [USYPF]</v>
      </c>
      <c r="AN11646" t="s">
        <v>31026</v>
      </c>
      <c r="AO11646" t="s">
        <v>31027</v>
      </c>
    </row>
    <row r="11647" spans="39:41" ht="12" customHeight="1" x14ac:dyDescent="0.2">
      <c r="AM11647" t="str">
        <f t="shared" si="182"/>
        <v>Pihelgalaiu [EEPHL]</v>
      </c>
      <c r="AN11647" t="s">
        <v>34323</v>
      </c>
      <c r="AO11647" t="s">
        <v>34313</v>
      </c>
    </row>
    <row r="11648" spans="39:41" ht="12" customHeight="1" x14ac:dyDescent="0.2">
      <c r="AM11648" t="str">
        <f t="shared" si="182"/>
        <v>Pihtipudas [FIPT2]</v>
      </c>
      <c r="AN11648" t="s">
        <v>10506</v>
      </c>
      <c r="AO11648" t="s">
        <v>10507</v>
      </c>
    </row>
    <row r="11649" spans="39:41" ht="12" customHeight="1" x14ac:dyDescent="0.2">
      <c r="AM11649" t="str">
        <f t="shared" si="182"/>
        <v>Piikkio [FIPK9]</v>
      </c>
      <c r="AN11649" t="s">
        <v>10508</v>
      </c>
      <c r="AO11649" t="s">
        <v>35744</v>
      </c>
    </row>
    <row r="11650" spans="39:41" ht="12" customHeight="1" x14ac:dyDescent="0.2">
      <c r="AM11650" t="str">
        <f t="shared" si="182"/>
        <v>Piirissaare Sadam [EEPRE]</v>
      </c>
      <c r="AN11650" t="s">
        <v>9303</v>
      </c>
      <c r="AO11650" t="s">
        <v>9304</v>
      </c>
    </row>
    <row r="11651" spans="39:41" ht="12" customHeight="1" x14ac:dyDescent="0.2">
      <c r="AM11651" t="str">
        <f t="shared" si="182"/>
        <v>Piirivalvesadam [EEPVS]</v>
      </c>
      <c r="AN11651" t="s">
        <v>9305</v>
      </c>
      <c r="AO11651" t="s">
        <v>9306</v>
      </c>
    </row>
    <row r="11652" spans="39:41" ht="12" customHeight="1" x14ac:dyDescent="0.2">
      <c r="AM11652" t="str">
        <f t="shared" si="182"/>
        <v>Pijp Tabak [BEPTP]</v>
      </c>
      <c r="AN11652" t="s">
        <v>2846</v>
      </c>
      <c r="AO11652" t="s">
        <v>2847</v>
      </c>
    </row>
    <row r="11653" spans="39:41" ht="12" customHeight="1" x14ac:dyDescent="0.2">
      <c r="AM11653" t="str">
        <f t="shared" si="182"/>
        <v>Pikou [CNPKO]</v>
      </c>
      <c r="AN11653" t="s">
        <v>5825</v>
      </c>
      <c r="AO11653" t="s">
        <v>5826</v>
      </c>
    </row>
    <row r="11654" spans="39:41" ht="12" customHeight="1" x14ac:dyDescent="0.2">
      <c r="AM11654" t="str">
        <f t="shared" si="182"/>
        <v>Pilar de la Horadada [ESPAZ]</v>
      </c>
      <c r="AN11654" t="s">
        <v>10027</v>
      </c>
      <c r="AO11654" t="s">
        <v>10028</v>
      </c>
    </row>
    <row r="11655" spans="39:41" ht="12" customHeight="1" x14ac:dyDescent="0.2">
      <c r="AM11655" t="str">
        <f t="shared" si="182"/>
        <v>Pilcomayo [ARPCY]</v>
      </c>
      <c r="AN11655" t="s">
        <v>1054</v>
      </c>
      <c r="AO11655" t="s">
        <v>1055</v>
      </c>
    </row>
    <row r="11656" spans="39:41" ht="12" customHeight="1" x14ac:dyDescent="0.2">
      <c r="AM11656" t="str">
        <f t="shared" si="182"/>
        <v>Pilies juru uosto PVP/Klaipeda [LTPLM]</v>
      </c>
      <c r="AN11656" t="s">
        <v>21898</v>
      </c>
      <c r="AO11656" t="s">
        <v>21899</v>
      </c>
    </row>
    <row r="11657" spans="39:41" ht="12" customHeight="1" x14ac:dyDescent="0.2">
      <c r="AM11657" t="str">
        <f t="shared" si="182"/>
        <v>Pillager [USPGX]</v>
      </c>
      <c r="AN11657" t="s">
        <v>31028</v>
      </c>
      <c r="AO11657" t="s">
        <v>31029</v>
      </c>
    </row>
    <row r="11658" spans="39:41" ht="12" customHeight="1" x14ac:dyDescent="0.2">
      <c r="AM11658" t="str">
        <f t="shared" si="182"/>
        <v>Pilot Mountain [USPM8]</v>
      </c>
      <c r="AN11658" t="s">
        <v>31030</v>
      </c>
      <c r="AO11658" t="s">
        <v>31031</v>
      </c>
    </row>
    <row r="11659" spans="39:41" ht="12" customHeight="1" x14ac:dyDescent="0.2">
      <c r="AM11659" t="str">
        <f t="shared" si="182"/>
        <v>Pilottown [USPIW]</v>
      </c>
      <c r="AN11659" t="s">
        <v>31032</v>
      </c>
      <c r="AO11659" t="s">
        <v>31033</v>
      </c>
    </row>
    <row r="11660" spans="39:41" ht="12" customHeight="1" x14ac:dyDescent="0.2">
      <c r="AM11660" t="str">
        <f t="shared" si="182"/>
        <v>Pimentel [PEPMT]</v>
      </c>
      <c r="AN11660" t="s">
        <v>25281</v>
      </c>
      <c r="AO11660" t="s">
        <v>25282</v>
      </c>
    </row>
    <row r="11661" spans="39:41" ht="12" customHeight="1" x14ac:dyDescent="0.2">
      <c r="AM11661" t="str">
        <f t="shared" si="182"/>
        <v>Pinamalayan/Batangas [PHPIN]</v>
      </c>
      <c r="AN11661" t="s">
        <v>26053</v>
      </c>
      <c r="AO11661" t="s">
        <v>26054</v>
      </c>
    </row>
    <row r="11662" spans="39:41" ht="12" customHeight="1" x14ac:dyDescent="0.2">
      <c r="AM11662" t="str">
        <f t="shared" si="182"/>
        <v>Pindelo [PTAVP]</v>
      </c>
      <c r="AN11662" t="s">
        <v>26565</v>
      </c>
      <c r="AO11662" t="s">
        <v>26566</v>
      </c>
    </row>
    <row r="11663" spans="39:41" ht="12" customHeight="1" x14ac:dyDescent="0.2">
      <c r="AM11663" t="str">
        <f t="shared" si="182"/>
        <v>Pindhara [INPIN]</v>
      </c>
      <c r="AN11663" t="s">
        <v>17381</v>
      </c>
      <c r="AO11663" t="s">
        <v>17382</v>
      </c>
    </row>
    <row r="11664" spans="39:41" ht="12" customHeight="1" x14ac:dyDescent="0.2">
      <c r="AM11664" t="str">
        <f t="shared" si="182"/>
        <v>Pine Apple [USPAA]</v>
      </c>
      <c r="AN11664" t="s">
        <v>31034</v>
      </c>
      <c r="AO11664" t="s">
        <v>31035</v>
      </c>
    </row>
    <row r="11665" spans="39:41" ht="12" customHeight="1" x14ac:dyDescent="0.2">
      <c r="AM11665" t="str">
        <f t="shared" si="182"/>
        <v>Pine Bluffs [USQPS]</v>
      </c>
      <c r="AN11665" t="s">
        <v>31036</v>
      </c>
      <c r="AO11665" t="s">
        <v>31037</v>
      </c>
    </row>
    <row r="11666" spans="39:41" ht="12" customHeight="1" x14ac:dyDescent="0.2">
      <c r="AM11666" t="str">
        <f t="shared" si="182"/>
        <v>Pine Bush [USYPN]</v>
      </c>
      <c r="AN11666" t="s">
        <v>31038</v>
      </c>
      <c r="AO11666" t="s">
        <v>31039</v>
      </c>
    </row>
    <row r="11667" spans="39:41" ht="12" customHeight="1" x14ac:dyDescent="0.2">
      <c r="AM11667" t="str">
        <f t="shared" si="182"/>
        <v>Pine Plains [USQPY]</v>
      </c>
      <c r="AN11667" t="s">
        <v>31040</v>
      </c>
      <c r="AO11667" t="s">
        <v>31041</v>
      </c>
    </row>
    <row r="11668" spans="39:41" ht="12" customHeight="1" x14ac:dyDescent="0.2">
      <c r="AM11668" t="str">
        <f t="shared" si="182"/>
        <v>Pingle [CNPIL]</v>
      </c>
      <c r="AN11668" t="s">
        <v>5827</v>
      </c>
      <c r="AO11668" t="s">
        <v>5828</v>
      </c>
    </row>
    <row r="11669" spans="39:41" ht="12" customHeight="1" x14ac:dyDescent="0.2">
      <c r="AM11669" t="str">
        <f t="shared" si="182"/>
        <v>Pingnan [CNPGN]</v>
      </c>
      <c r="AN11669" t="s">
        <v>5829</v>
      </c>
      <c r="AO11669" t="s">
        <v>5830</v>
      </c>
    </row>
    <row r="11670" spans="39:41" ht="12" customHeight="1" x14ac:dyDescent="0.2">
      <c r="AM11670" t="str">
        <f t="shared" si="182"/>
        <v>Pingsha [CNPSH]</v>
      </c>
      <c r="AN11670" t="s">
        <v>5831</v>
      </c>
      <c r="AO11670" t="s">
        <v>5832</v>
      </c>
    </row>
    <row r="11671" spans="39:41" ht="12" customHeight="1" x14ac:dyDescent="0.2">
      <c r="AM11671" t="str">
        <f t="shared" si="182"/>
        <v>Pingshaxinmatou [CNPXM]</v>
      </c>
      <c r="AN11671" t="s">
        <v>5833</v>
      </c>
      <c r="AO11671" t="s">
        <v>5834</v>
      </c>
    </row>
    <row r="11672" spans="39:41" ht="12" customHeight="1" x14ac:dyDescent="0.2">
      <c r="AM11672" t="str">
        <f t="shared" si="182"/>
        <v>Pingzhou [CNPGZ]</v>
      </c>
      <c r="AN11672" t="s">
        <v>5835</v>
      </c>
      <c r="AO11672" t="s">
        <v>5836</v>
      </c>
    </row>
    <row r="11673" spans="39:41" ht="12" customHeight="1" x14ac:dyDescent="0.2">
      <c r="AM11673" t="str">
        <f t="shared" si="182"/>
        <v>Pinneberg [DEPIN]</v>
      </c>
      <c r="AN11673" t="s">
        <v>8121</v>
      </c>
      <c r="AO11673" t="s">
        <v>8122</v>
      </c>
    </row>
    <row r="11674" spans="39:41" ht="12" customHeight="1" x14ac:dyDescent="0.2">
      <c r="AM11674" t="str">
        <f t="shared" si="182"/>
        <v>Pinsk [BYPIK]</v>
      </c>
      <c r="AN11674" t="s">
        <v>3494</v>
      </c>
      <c r="AO11674" t="s">
        <v>3495</v>
      </c>
    </row>
    <row r="11675" spans="39:41" ht="12" customHeight="1" x14ac:dyDescent="0.2">
      <c r="AM11675" t="str">
        <f t="shared" si="182"/>
        <v>Piombino [ITPIO]</v>
      </c>
      <c r="AN11675" t="s">
        <v>18159</v>
      </c>
      <c r="AO11675" t="s">
        <v>18160</v>
      </c>
    </row>
    <row r="11676" spans="39:41" ht="12" customHeight="1" x14ac:dyDescent="0.2">
      <c r="AM11676" t="str">
        <f t="shared" si="182"/>
        <v>Pionerskiy [RUPNY]</v>
      </c>
      <c r="AN11676" t="s">
        <v>27174</v>
      </c>
      <c r="AO11676" t="s">
        <v>27175</v>
      </c>
    </row>
    <row r="11677" spans="39:41" ht="12" customHeight="1" x14ac:dyDescent="0.2">
      <c r="AM11677" t="str">
        <f t="shared" si="182"/>
        <v>Piorunow [PLIT5]</v>
      </c>
      <c r="AN11677" t="s">
        <v>26361</v>
      </c>
      <c r="AO11677" t="s">
        <v>36371</v>
      </c>
    </row>
    <row r="11678" spans="39:41" ht="12" customHeight="1" x14ac:dyDescent="0.2">
      <c r="AM11678" t="str">
        <f t="shared" si="182"/>
        <v>Pipavav (Victor) Port [INPAV]</v>
      </c>
      <c r="AN11678" t="s">
        <v>17383</v>
      </c>
      <c r="AO11678" t="s">
        <v>17384</v>
      </c>
    </row>
    <row r="11679" spans="39:41" ht="12" customHeight="1" x14ac:dyDescent="0.2">
      <c r="AM11679" t="str">
        <f t="shared" si="182"/>
        <v>Pipe Gate [GBPPG]</v>
      </c>
      <c r="AN11679" t="s">
        <v>14070</v>
      </c>
      <c r="AO11679" t="s">
        <v>14071</v>
      </c>
    </row>
    <row r="11680" spans="39:41" ht="12" customHeight="1" x14ac:dyDescent="0.2">
      <c r="AM11680" t="str">
        <f t="shared" si="182"/>
        <v>Piraeus [GRPIR]</v>
      </c>
      <c r="AN11680" t="s">
        <v>15442</v>
      </c>
      <c r="AO11680" t="s">
        <v>15443</v>
      </c>
    </row>
    <row r="11681" spans="39:41" ht="12" customHeight="1" x14ac:dyDescent="0.2">
      <c r="AM11681" t="str">
        <f t="shared" si="182"/>
        <v>Piran [SIPIR]</v>
      </c>
      <c r="AN11681" t="s">
        <v>28012</v>
      </c>
      <c r="AO11681" t="s">
        <v>28013</v>
      </c>
    </row>
    <row r="11682" spans="39:41" ht="12" customHeight="1" x14ac:dyDescent="0.2">
      <c r="AM11682" t="str">
        <f t="shared" si="182"/>
        <v>Piriapolis [UYPIR]</v>
      </c>
      <c r="AN11682" t="s">
        <v>32125</v>
      </c>
      <c r="AO11682" t="s">
        <v>36584</v>
      </c>
    </row>
    <row r="11683" spans="39:41" ht="12" customHeight="1" x14ac:dyDescent="0.2">
      <c r="AM11683" t="str">
        <f t="shared" si="182"/>
        <v>Pirita [EEPIR]</v>
      </c>
      <c r="AN11683" t="s">
        <v>9307</v>
      </c>
      <c r="AO11683" t="s">
        <v>9308</v>
      </c>
    </row>
    <row r="11684" spans="39:41" ht="12" customHeight="1" x14ac:dyDescent="0.2">
      <c r="AM11684" t="str">
        <f t="shared" si="182"/>
        <v>Pirna [DEPRA]</v>
      </c>
      <c r="AN11684" t="s">
        <v>8123</v>
      </c>
      <c r="AO11684" t="s">
        <v>8124</v>
      </c>
    </row>
    <row r="11685" spans="39:41" ht="12" customHeight="1" x14ac:dyDescent="0.2">
      <c r="AM11685" t="str">
        <f t="shared" si="182"/>
        <v>Piru [IDPIR]</v>
      </c>
      <c r="AN11685" t="s">
        <v>16511</v>
      </c>
      <c r="AO11685" t="s">
        <v>16512</v>
      </c>
    </row>
    <row r="11686" spans="39:41" ht="12" customHeight="1" x14ac:dyDescent="0.2">
      <c r="AM11686" t="str">
        <f t="shared" si="182"/>
        <v>Pisagua [CLPIS]</v>
      </c>
      <c r="AN11686" t="s">
        <v>4923</v>
      </c>
      <c r="AO11686" t="s">
        <v>4924</v>
      </c>
    </row>
    <row r="11687" spans="39:41" ht="12" customHeight="1" x14ac:dyDescent="0.2">
      <c r="AM11687" t="str">
        <f t="shared" si="182"/>
        <v>Pisco [PEPIO]</v>
      </c>
      <c r="AN11687" t="s">
        <v>25283</v>
      </c>
      <c r="AO11687" t="s">
        <v>25284</v>
      </c>
    </row>
    <row r="11688" spans="39:41" ht="12" customHeight="1" x14ac:dyDescent="0.2">
      <c r="AM11688" t="str">
        <f t="shared" si="182"/>
        <v>Pissaetos Ithakis [GRPIS]</v>
      </c>
      <c r="AN11688" t="s">
        <v>15444</v>
      </c>
      <c r="AO11688" t="s">
        <v>15445</v>
      </c>
    </row>
    <row r="11689" spans="39:41" ht="12" customHeight="1" x14ac:dyDescent="0.2">
      <c r="AM11689" t="str">
        <f t="shared" si="182"/>
        <v>Pital [CRPIT]</v>
      </c>
      <c r="AN11689" t="s">
        <v>6614</v>
      </c>
      <c r="AO11689" t="s">
        <v>6615</v>
      </c>
    </row>
    <row r="11690" spans="39:41" ht="12" customHeight="1" x14ac:dyDescent="0.2">
      <c r="AM11690" t="str">
        <f t="shared" si="182"/>
        <v>Pitcairn Is [PNPCN]</v>
      </c>
      <c r="AN11690" t="s">
        <v>26413</v>
      </c>
      <c r="AO11690" t="s">
        <v>26414</v>
      </c>
    </row>
    <row r="11691" spans="39:41" ht="12" customHeight="1" x14ac:dyDescent="0.2">
      <c r="AM11691" t="str">
        <f t="shared" si="182"/>
        <v>Pitea [SEPIT]</v>
      </c>
      <c r="AN11691" t="s">
        <v>27804</v>
      </c>
      <c r="AO11691" t="s">
        <v>36504</v>
      </c>
    </row>
    <row r="11692" spans="39:41" ht="12" customHeight="1" x14ac:dyDescent="0.2">
      <c r="AM11692" t="str">
        <f t="shared" si="182"/>
        <v>Pitillas [ESPIT]</v>
      </c>
      <c r="AN11692" t="s">
        <v>10029</v>
      </c>
      <c r="AO11692" t="s">
        <v>10030</v>
      </c>
    </row>
    <row r="11693" spans="39:41" ht="12" customHeight="1" x14ac:dyDescent="0.2">
      <c r="AM11693" t="str">
        <f t="shared" si="182"/>
        <v>Pitney [GBPI7]</v>
      </c>
      <c r="AN11693" t="s">
        <v>14072</v>
      </c>
      <c r="AO11693" t="s">
        <v>14073</v>
      </c>
    </row>
    <row r="11694" spans="39:41" ht="12" customHeight="1" x14ac:dyDescent="0.2">
      <c r="AM11694" t="str">
        <f t="shared" si="182"/>
        <v>Pitra [GRPIT]</v>
      </c>
      <c r="AN11694" t="s">
        <v>15446</v>
      </c>
      <c r="AO11694" t="s">
        <v>15447</v>
      </c>
    </row>
    <row r="11695" spans="39:41" ht="12" customHeight="1" x14ac:dyDescent="0.2">
      <c r="AM11695" t="str">
        <f t="shared" ref="AM11695:AM11757" si="183">AO11695 &amp; " [" &amp; AN11695 &amp; "]"</f>
        <v>Pittenweem [GBPWM]</v>
      </c>
      <c r="AN11695" t="s">
        <v>14074</v>
      </c>
      <c r="AO11695" t="s">
        <v>14075</v>
      </c>
    </row>
    <row r="11696" spans="39:41" ht="12" customHeight="1" x14ac:dyDescent="0.2">
      <c r="AM11696" t="str">
        <f t="shared" si="183"/>
        <v>Pittsburgh [USPIT]</v>
      </c>
      <c r="AN11696" t="s">
        <v>31042</v>
      </c>
      <c r="AO11696" t="s">
        <v>31043</v>
      </c>
    </row>
    <row r="11697" spans="39:41" ht="12" customHeight="1" x14ac:dyDescent="0.2">
      <c r="AM11697" t="str">
        <f t="shared" si="183"/>
        <v>Pittsville [USITV]</v>
      </c>
      <c r="AN11697" t="s">
        <v>31044</v>
      </c>
      <c r="AO11697" t="s">
        <v>31045</v>
      </c>
    </row>
    <row r="11698" spans="39:41" ht="12" customHeight="1" x14ac:dyDescent="0.2">
      <c r="AM11698" t="str">
        <f t="shared" si="183"/>
        <v>Pituffik [GLTHU]</v>
      </c>
      <c r="AN11698" t="s">
        <v>15013</v>
      </c>
      <c r="AO11698" t="s">
        <v>15014</v>
      </c>
    </row>
    <row r="11699" spans="39:41" ht="12" customHeight="1" x14ac:dyDescent="0.2">
      <c r="AM11699" t="str">
        <f t="shared" si="183"/>
        <v>Pizhou [CNPJS]</v>
      </c>
      <c r="AN11699" t="s">
        <v>5837</v>
      </c>
      <c r="AO11699" t="s">
        <v>5838</v>
      </c>
    </row>
    <row r="11700" spans="39:41" ht="12" customHeight="1" x14ac:dyDescent="0.2">
      <c r="AM11700" t="str">
        <f t="shared" si="183"/>
        <v>Pizzo [ITPIZ]</v>
      </c>
      <c r="AN11700" t="s">
        <v>18161</v>
      </c>
      <c r="AO11700" t="s">
        <v>18162</v>
      </c>
    </row>
    <row r="11701" spans="39:41" ht="12" customHeight="1" x14ac:dyDescent="0.2">
      <c r="AM11701" t="str">
        <f t="shared" si="183"/>
        <v>Placida [USEUU]</v>
      </c>
      <c r="AN11701" t="s">
        <v>31046</v>
      </c>
      <c r="AO11701" t="s">
        <v>31047</v>
      </c>
    </row>
    <row r="11702" spans="39:41" ht="12" customHeight="1" x14ac:dyDescent="0.2">
      <c r="AM11702" t="str">
        <f t="shared" si="183"/>
        <v>Plagny [FRPJY]</v>
      </c>
      <c r="AN11702" t="s">
        <v>11794</v>
      </c>
      <c r="AO11702" t="s">
        <v>11795</v>
      </c>
    </row>
    <row r="11703" spans="39:41" ht="12" customHeight="1" x14ac:dyDescent="0.2">
      <c r="AM11703" t="str">
        <f t="shared" si="183"/>
        <v>Plaju, Sumatra [IDPLA]</v>
      </c>
      <c r="AN11703" t="s">
        <v>16513</v>
      </c>
      <c r="AO11703" t="s">
        <v>16514</v>
      </c>
    </row>
    <row r="11704" spans="39:41" ht="12" customHeight="1" x14ac:dyDescent="0.2">
      <c r="AM11704" t="str">
        <f t="shared" si="183"/>
        <v>Plana u Marianskych Lazni [CZPAU]</v>
      </c>
      <c r="AN11704" t="s">
        <v>6914</v>
      </c>
      <c r="AO11704" t="s">
        <v>6915</v>
      </c>
    </row>
    <row r="11705" spans="39:41" ht="12" customHeight="1" x14ac:dyDescent="0.2">
      <c r="AM11705" t="str">
        <f t="shared" si="183"/>
        <v>Plaridel/Ozamis [PHPLA]</v>
      </c>
      <c r="AN11705" t="s">
        <v>26055</v>
      </c>
      <c r="AO11705" t="s">
        <v>26056</v>
      </c>
    </row>
    <row r="11706" spans="39:41" ht="12" customHeight="1" x14ac:dyDescent="0.2">
      <c r="AM11706" t="str">
        <f t="shared" si="183"/>
        <v>Plassac [FR33G]</v>
      </c>
      <c r="AN11706" t="s">
        <v>11797</v>
      </c>
      <c r="AO11706" t="s">
        <v>11796</v>
      </c>
    </row>
    <row r="11707" spans="39:41" ht="12" customHeight="1" x14ac:dyDescent="0.2">
      <c r="AM11707" t="str">
        <f t="shared" si="183"/>
        <v>Plastun [RUPTN]</v>
      </c>
      <c r="AN11707" t="s">
        <v>27176</v>
      </c>
      <c r="AO11707" t="s">
        <v>27177</v>
      </c>
    </row>
    <row r="11708" spans="39:41" ht="12" customHeight="1" x14ac:dyDescent="0.2">
      <c r="AM11708" t="str">
        <f t="shared" si="183"/>
        <v>Platania [GRPIA]</v>
      </c>
      <c r="AN11708" t="s">
        <v>15448</v>
      </c>
      <c r="AO11708" t="s">
        <v>15449</v>
      </c>
    </row>
    <row r="11709" spans="39:41" ht="12" customHeight="1" x14ac:dyDescent="0.2">
      <c r="AM11709" t="str">
        <f t="shared" si="183"/>
        <v>Plataria [GRPTI]</v>
      </c>
      <c r="AN11709" t="s">
        <v>15450</v>
      </c>
      <c r="AO11709" t="s">
        <v>15451</v>
      </c>
    </row>
    <row r="11710" spans="39:41" ht="12" customHeight="1" x14ac:dyDescent="0.2">
      <c r="AM11710" t="str">
        <f t="shared" si="183"/>
        <v>Platong [THPLA]</v>
      </c>
      <c r="AN11710" t="s">
        <v>28273</v>
      </c>
      <c r="AO11710" t="s">
        <v>28274</v>
      </c>
    </row>
    <row r="11711" spans="39:41" ht="12" customHeight="1" x14ac:dyDescent="0.2">
      <c r="AM11711" t="str">
        <f t="shared" si="183"/>
        <v>Platte [USTJJ]</v>
      </c>
      <c r="AN11711" t="s">
        <v>31048</v>
      </c>
      <c r="AO11711" t="s">
        <v>31049</v>
      </c>
    </row>
    <row r="11712" spans="39:41" ht="12" customHeight="1" x14ac:dyDescent="0.2">
      <c r="AM11712" t="str">
        <f t="shared" si="183"/>
        <v>Platten [DETTP]</v>
      </c>
      <c r="AN11712" t="s">
        <v>8125</v>
      </c>
      <c r="AO11712" t="s">
        <v>8126</v>
      </c>
    </row>
    <row r="11713" spans="39:41" ht="12" customHeight="1" x14ac:dyDescent="0.2">
      <c r="AM11713" t="str">
        <f t="shared" si="183"/>
        <v>Platy [GRP5T]</v>
      </c>
      <c r="AN11713" t="s">
        <v>15452</v>
      </c>
      <c r="AO11713" t="s">
        <v>15453</v>
      </c>
    </row>
    <row r="11714" spans="39:41" ht="12" customHeight="1" x14ac:dyDescent="0.2">
      <c r="AM11714" t="str">
        <f t="shared" si="183"/>
        <v>Platygiali Etoloakarnanias [GRPLG]</v>
      </c>
      <c r="AN11714" t="s">
        <v>15454</v>
      </c>
      <c r="AO11714" t="s">
        <v>15455</v>
      </c>
    </row>
    <row r="11715" spans="39:41" ht="12" customHeight="1" x14ac:dyDescent="0.2">
      <c r="AM11715" t="str">
        <f t="shared" si="183"/>
        <v>Playa Blanca [ESQLY]</v>
      </c>
      <c r="AN11715" t="s">
        <v>10031</v>
      </c>
      <c r="AO11715" t="s">
        <v>10032</v>
      </c>
    </row>
    <row r="11716" spans="39:41" ht="12" customHeight="1" x14ac:dyDescent="0.2">
      <c r="AM11716" t="str">
        <f t="shared" si="183"/>
        <v>Playa del Carmen [MXPCM]</v>
      </c>
      <c r="AN11716" t="s">
        <v>22410</v>
      </c>
      <c r="AO11716" t="s">
        <v>22411</v>
      </c>
    </row>
    <row r="11717" spans="39:41" ht="12" customHeight="1" x14ac:dyDescent="0.2">
      <c r="AM11717" t="str">
        <f t="shared" si="183"/>
        <v>Playa Den Bossa [ESDBO]</v>
      </c>
      <c r="AN11717" t="s">
        <v>33844</v>
      </c>
      <c r="AO11717" t="s">
        <v>33967</v>
      </c>
    </row>
    <row r="11718" spans="39:41" ht="12" customHeight="1" x14ac:dyDescent="0.2">
      <c r="AM11718" t="str">
        <f t="shared" si="183"/>
        <v>Playa Ingles [ESPLI]</v>
      </c>
      <c r="AN11718" t="s">
        <v>10033</v>
      </c>
      <c r="AO11718" t="s">
        <v>10034</v>
      </c>
    </row>
    <row r="11719" spans="39:41" ht="12" customHeight="1" x14ac:dyDescent="0.2">
      <c r="AM11719" t="str">
        <f t="shared" si="183"/>
        <v>Plblz [PLBLZ]</v>
      </c>
      <c r="AN11719" t="s">
        <v>26362</v>
      </c>
      <c r="AO11719" t="s">
        <v>26363</v>
      </c>
    </row>
    <row r="11720" spans="39:41" ht="12" customHeight="1" x14ac:dyDescent="0.2">
      <c r="AM11720" t="str">
        <f t="shared" si="183"/>
        <v>Pleasant Island [USPI7]</v>
      </c>
      <c r="AN11720" t="s">
        <v>31050</v>
      </c>
      <c r="AO11720" t="s">
        <v>31051</v>
      </c>
    </row>
    <row r="11721" spans="39:41" ht="12" customHeight="1" x14ac:dyDescent="0.2">
      <c r="AM11721" t="str">
        <f t="shared" si="183"/>
        <v>Pleasant Lake [USP2L]</v>
      </c>
      <c r="AN11721" t="s">
        <v>31052</v>
      </c>
      <c r="AO11721" t="s">
        <v>31053</v>
      </c>
    </row>
    <row r="11722" spans="39:41" ht="12" customHeight="1" x14ac:dyDescent="0.2">
      <c r="AM11722" t="str">
        <f t="shared" si="183"/>
        <v>Pleasant Prairie [USPLP]</v>
      </c>
      <c r="AN11722" t="s">
        <v>31054</v>
      </c>
      <c r="AO11722" t="s">
        <v>31055</v>
      </c>
    </row>
    <row r="11723" spans="39:41" ht="12" customHeight="1" x14ac:dyDescent="0.2">
      <c r="AM11723" t="str">
        <f t="shared" si="183"/>
        <v>Pleasantville [CAPSV]</v>
      </c>
      <c r="AN11723" t="s">
        <v>4213</v>
      </c>
      <c r="AO11723" t="s">
        <v>4214</v>
      </c>
    </row>
    <row r="11724" spans="39:41" ht="12" customHeight="1" x14ac:dyDescent="0.2">
      <c r="AM11724" t="str">
        <f t="shared" si="183"/>
        <v>Plessa [DEPSA]</v>
      </c>
      <c r="AN11724" t="s">
        <v>8127</v>
      </c>
      <c r="AO11724" t="s">
        <v>8128</v>
      </c>
    </row>
    <row r="11725" spans="39:41" ht="12" customHeight="1" x14ac:dyDescent="0.2">
      <c r="AM11725" t="str">
        <f t="shared" si="183"/>
        <v>Plesse [FR4PS]</v>
      </c>
      <c r="AN11725" t="s">
        <v>11798</v>
      </c>
      <c r="AO11725" t="s">
        <v>11799</v>
      </c>
    </row>
    <row r="11726" spans="39:41" ht="12" customHeight="1" x14ac:dyDescent="0.2">
      <c r="AM11726" t="str">
        <f t="shared" si="183"/>
        <v>Pleudihen-sur-Rance [FRPHN]</v>
      </c>
      <c r="AN11726" t="s">
        <v>11800</v>
      </c>
      <c r="AO11726" t="s">
        <v>11801</v>
      </c>
    </row>
    <row r="11727" spans="39:41" ht="12" customHeight="1" x14ac:dyDescent="0.2">
      <c r="AM11727" t="str">
        <f t="shared" si="183"/>
        <v>Plichancourt [FRPHT]</v>
      </c>
      <c r="AN11727" t="s">
        <v>11802</v>
      </c>
      <c r="AO11727" t="s">
        <v>11803</v>
      </c>
    </row>
    <row r="11728" spans="39:41" ht="12" customHeight="1" x14ac:dyDescent="0.2">
      <c r="AM11728" t="str">
        <f t="shared" si="183"/>
        <v>Pliezhausen [DEPLS]</v>
      </c>
      <c r="AN11728" t="s">
        <v>8129</v>
      </c>
      <c r="AO11728" t="s">
        <v>8130</v>
      </c>
    </row>
    <row r="11729" spans="39:41" ht="12" customHeight="1" x14ac:dyDescent="0.2">
      <c r="AM11729" t="str">
        <f t="shared" si="183"/>
        <v>Plobsheim [FRPXZ]</v>
      </c>
      <c r="AN11729" t="s">
        <v>11804</v>
      </c>
      <c r="AO11729" t="s">
        <v>11805</v>
      </c>
    </row>
    <row r="11730" spans="39:41" ht="12" customHeight="1" x14ac:dyDescent="0.2">
      <c r="AM11730" t="str">
        <f t="shared" si="183"/>
        <v>Ploce [HRPLE]</v>
      </c>
      <c r="AN11730" t="s">
        <v>15858</v>
      </c>
      <c r="AO11730" t="s">
        <v>15859</v>
      </c>
    </row>
    <row r="11731" spans="39:41" ht="12" customHeight="1" x14ac:dyDescent="0.2">
      <c r="AM11731" t="str">
        <f t="shared" si="183"/>
        <v>Plockton [GBPLO]</v>
      </c>
      <c r="AN11731" t="s">
        <v>14076</v>
      </c>
      <c r="AO11731" t="s">
        <v>14077</v>
      </c>
    </row>
    <row r="11732" spans="39:41" ht="12" customHeight="1" x14ac:dyDescent="0.2">
      <c r="AM11732" t="str">
        <f t="shared" si="183"/>
        <v>Plogoff [FROFF]</v>
      </c>
      <c r="AN11732" t="s">
        <v>11806</v>
      </c>
      <c r="AO11732" t="s">
        <v>11807</v>
      </c>
    </row>
    <row r="11733" spans="39:41" ht="12" customHeight="1" x14ac:dyDescent="0.2">
      <c r="AM11733" t="str">
        <f t="shared" si="183"/>
        <v>Plomarion [GRPLM]</v>
      </c>
      <c r="AN11733" t="s">
        <v>15456</v>
      </c>
      <c r="AO11733" t="s">
        <v>35961</v>
      </c>
    </row>
    <row r="11734" spans="39:41" ht="12" customHeight="1" x14ac:dyDescent="0.2">
      <c r="AM11734" t="str">
        <f t="shared" si="183"/>
        <v>Plombieres-les-Dijon [FRPD2]</v>
      </c>
      <c r="AN11734" t="s">
        <v>11808</v>
      </c>
      <c r="AO11734" t="s">
        <v>11809</v>
      </c>
    </row>
    <row r="11735" spans="39:41" ht="12" customHeight="1" x14ac:dyDescent="0.2">
      <c r="AM11735" t="str">
        <f t="shared" si="183"/>
        <v>Plomin [HRPLM]</v>
      </c>
      <c r="AN11735" t="s">
        <v>15860</v>
      </c>
      <c r="AO11735" t="s">
        <v>15861</v>
      </c>
    </row>
    <row r="11736" spans="39:41" ht="12" customHeight="1" x14ac:dyDescent="0.2">
      <c r="AM11736" t="str">
        <f t="shared" si="183"/>
        <v>Plouer-sur-Rance [FRRUR]</v>
      </c>
      <c r="AN11736" t="s">
        <v>11810</v>
      </c>
      <c r="AO11736" t="s">
        <v>35830</v>
      </c>
    </row>
    <row r="11737" spans="39:41" ht="12" customHeight="1" x14ac:dyDescent="0.2">
      <c r="AM11737" t="str">
        <f t="shared" si="183"/>
        <v>Plozevet [FRZEV]</v>
      </c>
      <c r="AN11737" t="s">
        <v>11811</v>
      </c>
      <c r="AO11737" t="s">
        <v>11812</v>
      </c>
    </row>
    <row r="11738" spans="39:41" ht="12" customHeight="1" x14ac:dyDescent="0.2">
      <c r="AM11738" t="str">
        <f t="shared" si="183"/>
        <v>Plymouth [GBPLY]</v>
      </c>
      <c r="AN11738" t="s">
        <v>14078</v>
      </c>
      <c r="AO11738" t="s">
        <v>14079</v>
      </c>
    </row>
    <row r="11739" spans="39:41" ht="12" customHeight="1" x14ac:dyDescent="0.2">
      <c r="AM11739" t="str">
        <f t="shared" si="183"/>
        <v>Plymouth [MSPLY]</v>
      </c>
      <c r="AN11739" t="s">
        <v>22241</v>
      </c>
      <c r="AO11739" t="s">
        <v>14079</v>
      </c>
    </row>
    <row r="11740" spans="39:41" ht="12" customHeight="1" x14ac:dyDescent="0.2">
      <c r="AM11740" t="str">
        <f t="shared" si="183"/>
        <v>Plymouth [TTPLY]</v>
      </c>
      <c r="AN11740" t="s">
        <v>28643</v>
      </c>
      <c r="AO11740" t="s">
        <v>14079</v>
      </c>
    </row>
    <row r="11741" spans="39:41" ht="12" customHeight="1" x14ac:dyDescent="0.2">
      <c r="AM11741" t="str">
        <f t="shared" si="183"/>
        <v>Poarta Alba [ROPAL]</v>
      </c>
      <c r="AN11741" t="s">
        <v>26809</v>
      </c>
      <c r="AO11741" t="s">
        <v>26810</v>
      </c>
    </row>
    <row r="11742" spans="39:41" ht="12" customHeight="1" x14ac:dyDescent="0.2">
      <c r="AM11742" t="str">
        <f t="shared" si="183"/>
        <v>Poas [CRPOA]</v>
      </c>
      <c r="AN11742" t="s">
        <v>6616</v>
      </c>
      <c r="AO11742" t="s">
        <v>6617</v>
      </c>
    </row>
    <row r="11743" spans="39:41" ht="12" customHeight="1" x14ac:dyDescent="0.2">
      <c r="AM11743" t="str">
        <f t="shared" si="183"/>
        <v>Pocahontas [USQPH]</v>
      </c>
      <c r="AN11743" t="s">
        <v>31056</v>
      </c>
      <c r="AO11743" t="s">
        <v>31057</v>
      </c>
    </row>
    <row r="11744" spans="39:41" ht="12" customHeight="1" x14ac:dyDescent="0.2">
      <c r="AM11744" t="str">
        <f t="shared" si="183"/>
        <v>Pocklington [GBPKL]</v>
      </c>
      <c r="AN11744" t="s">
        <v>14080</v>
      </c>
      <c r="AO11744" t="s">
        <v>14081</v>
      </c>
    </row>
    <row r="11745" spans="39:41" ht="12" customHeight="1" x14ac:dyDescent="0.2">
      <c r="AM11745" t="str">
        <f t="shared" si="183"/>
        <v>Podayva [BGPOD]</v>
      </c>
      <c r="AN11745" t="s">
        <v>3156</v>
      </c>
      <c r="AO11745" t="s">
        <v>3157</v>
      </c>
    </row>
    <row r="11746" spans="39:41" ht="12" customHeight="1" x14ac:dyDescent="0.2">
      <c r="AM11746" t="str">
        <f t="shared" si="183"/>
        <v>Podersdorf am See [ATPAS]</v>
      </c>
      <c r="AN11746" t="s">
        <v>1303</v>
      </c>
      <c r="AO11746" t="s">
        <v>1304</v>
      </c>
    </row>
    <row r="11747" spans="39:41" ht="12" customHeight="1" x14ac:dyDescent="0.2">
      <c r="AM11747" t="str">
        <f t="shared" si="183"/>
        <v>Pogny [FRPGQ]</v>
      </c>
      <c r="AN11747" t="s">
        <v>11813</v>
      </c>
      <c r="AO11747" t="s">
        <v>11814</v>
      </c>
    </row>
    <row r="11748" spans="39:41" ht="12" customHeight="1" x14ac:dyDescent="0.2">
      <c r="AM11748" t="str">
        <f t="shared" si="183"/>
        <v>Pohang [KRKPO]</v>
      </c>
      <c r="AN11748" t="s">
        <v>21704</v>
      </c>
      <c r="AO11748" t="s">
        <v>21705</v>
      </c>
    </row>
    <row r="11749" spans="39:41" ht="12" customHeight="1" x14ac:dyDescent="0.2">
      <c r="AM11749" t="str">
        <f t="shared" si="183"/>
        <v>Pohenegamook [CAPHM]</v>
      </c>
      <c r="AN11749" t="s">
        <v>4215</v>
      </c>
      <c r="AO11749" t="s">
        <v>35332</v>
      </c>
    </row>
    <row r="11750" spans="39:41" ht="12" customHeight="1" x14ac:dyDescent="0.2">
      <c r="AM11750" t="str">
        <f t="shared" si="183"/>
        <v>Pohjankuru (Skuru) [FIPOH]</v>
      </c>
      <c r="AN11750" t="s">
        <v>10509</v>
      </c>
      <c r="AO11750" t="s">
        <v>10510</v>
      </c>
    </row>
    <row r="11751" spans="39:41" ht="12" customHeight="1" x14ac:dyDescent="0.2">
      <c r="AM11751" t="str">
        <f t="shared" si="183"/>
        <v>Pohnpei (ex Ponape) [FMPNI]</v>
      </c>
      <c r="AN11751" t="s">
        <v>10657</v>
      </c>
      <c r="AO11751" t="s">
        <v>10658</v>
      </c>
    </row>
    <row r="11752" spans="39:41" ht="12" customHeight="1" x14ac:dyDescent="0.2">
      <c r="AM11752" t="str">
        <f t="shared" si="183"/>
        <v>Point [ZAPIT]</v>
      </c>
      <c r="AN11752" t="s">
        <v>32723</v>
      </c>
      <c r="AO11752" t="s">
        <v>32724</v>
      </c>
    </row>
    <row r="11753" spans="39:41" ht="12" customHeight="1" x14ac:dyDescent="0.2">
      <c r="AM11753" t="str">
        <f t="shared" si="183"/>
        <v>Point Arena [USPA2]</v>
      </c>
      <c r="AN11753" t="s">
        <v>31058</v>
      </c>
      <c r="AO11753" t="s">
        <v>31059</v>
      </c>
    </row>
    <row r="11754" spans="39:41" ht="12" customHeight="1" x14ac:dyDescent="0.2">
      <c r="AM11754" t="str">
        <f t="shared" si="183"/>
        <v>Point Barrow [USTBW]</v>
      </c>
      <c r="AN11754" t="s">
        <v>31060</v>
      </c>
      <c r="AO11754" t="s">
        <v>31061</v>
      </c>
    </row>
    <row r="11755" spans="39:41" ht="12" customHeight="1" x14ac:dyDescent="0.2">
      <c r="AM11755" t="str">
        <f t="shared" si="183"/>
        <v>Point Breeze [USPB9]</v>
      </c>
      <c r="AN11755" t="s">
        <v>31062</v>
      </c>
      <c r="AO11755" t="s">
        <v>31063</v>
      </c>
    </row>
    <row r="11756" spans="39:41" ht="12" customHeight="1" x14ac:dyDescent="0.2">
      <c r="AM11756" t="str">
        <f t="shared" si="183"/>
        <v>Point Central [MRPCE]</v>
      </c>
      <c r="AN11756" t="s">
        <v>22235</v>
      </c>
      <c r="AO11756" t="s">
        <v>22236</v>
      </c>
    </row>
    <row r="11757" spans="39:41" ht="12" customHeight="1" x14ac:dyDescent="0.2">
      <c r="AM11757" t="str">
        <f t="shared" si="183"/>
        <v>Point Conception [USPP5]</v>
      </c>
      <c r="AN11757" t="s">
        <v>31064</v>
      </c>
      <c r="AO11757" t="s">
        <v>31065</v>
      </c>
    </row>
    <row r="11758" spans="39:41" ht="12" customHeight="1" x14ac:dyDescent="0.2">
      <c r="AM11758" t="str">
        <f t="shared" ref="AM11758:AM11821" si="184">AO11758 &amp; " [" &amp; AN11758 &amp; "]"</f>
        <v>Point Edward [CAPEW]</v>
      </c>
      <c r="AN11758" t="s">
        <v>4216</v>
      </c>
      <c r="AO11758" t="s">
        <v>4217</v>
      </c>
    </row>
    <row r="11759" spans="39:41" ht="12" customHeight="1" x14ac:dyDescent="0.2">
      <c r="AM11759" t="str">
        <f t="shared" si="184"/>
        <v>Point Fortin [TTPTF]</v>
      </c>
      <c r="AN11759" t="s">
        <v>28644</v>
      </c>
      <c r="AO11759" t="s">
        <v>28645</v>
      </c>
    </row>
    <row r="11760" spans="39:41" ht="12" customHeight="1" x14ac:dyDescent="0.2">
      <c r="AM11760" t="str">
        <f t="shared" si="184"/>
        <v>Point Galeota [TTPTG]</v>
      </c>
      <c r="AN11760" t="s">
        <v>28646</v>
      </c>
      <c r="AO11760" t="s">
        <v>28647</v>
      </c>
    </row>
    <row r="11761" spans="39:41" ht="12" customHeight="1" x14ac:dyDescent="0.2">
      <c r="AM11761" t="str">
        <f t="shared" si="184"/>
        <v>Point Henry Pier/Melbourne [AUPHP]</v>
      </c>
      <c r="AN11761" t="s">
        <v>1906</v>
      </c>
      <c r="AO11761" t="s">
        <v>1907</v>
      </c>
    </row>
    <row r="11762" spans="39:41" ht="12" customHeight="1" x14ac:dyDescent="0.2">
      <c r="AM11762" t="str">
        <f t="shared" si="184"/>
        <v>Point Lisas [TTPTS]</v>
      </c>
      <c r="AN11762" t="s">
        <v>28648</v>
      </c>
      <c r="AO11762" t="s">
        <v>28649</v>
      </c>
    </row>
    <row r="11763" spans="39:41" ht="12" customHeight="1" x14ac:dyDescent="0.2">
      <c r="AM11763" t="str">
        <f t="shared" si="184"/>
        <v>Point Pedro [LKPPE]</v>
      </c>
      <c r="AN11763" t="s">
        <v>21849</v>
      </c>
      <c r="AO11763" t="s">
        <v>21850</v>
      </c>
    </row>
    <row r="11764" spans="39:41" ht="12" customHeight="1" x14ac:dyDescent="0.2">
      <c r="AM11764" t="str">
        <f t="shared" si="184"/>
        <v>Point Pleasant Beach [USPP3]</v>
      </c>
      <c r="AN11764" t="s">
        <v>31066</v>
      </c>
      <c r="AO11764" t="s">
        <v>31067</v>
      </c>
    </row>
    <row r="11765" spans="39:41" ht="12" customHeight="1" x14ac:dyDescent="0.2">
      <c r="AM11765" t="str">
        <f t="shared" si="184"/>
        <v>Point Reyes Station [US9IU]</v>
      </c>
      <c r="AN11765" t="s">
        <v>31068</v>
      </c>
      <c r="AO11765" t="s">
        <v>31069</v>
      </c>
    </row>
    <row r="11766" spans="39:41" ht="12" customHeight="1" x14ac:dyDescent="0.2">
      <c r="AM11766" t="str">
        <f t="shared" si="184"/>
        <v>Point Roberts [USPRS]</v>
      </c>
      <c r="AN11766" t="s">
        <v>31070</v>
      </c>
      <c r="AO11766" t="s">
        <v>31071</v>
      </c>
    </row>
    <row r="11767" spans="39:41" ht="12" customHeight="1" x14ac:dyDescent="0.2">
      <c r="AM11767" t="str">
        <f t="shared" si="184"/>
        <v>Point Samson [AUPSM]</v>
      </c>
      <c r="AN11767" t="s">
        <v>1908</v>
      </c>
      <c r="AO11767" t="s">
        <v>1909</v>
      </c>
    </row>
    <row r="11768" spans="39:41" ht="12" customHeight="1" x14ac:dyDescent="0.2">
      <c r="AM11768" t="str">
        <f t="shared" si="184"/>
        <v>Point Tupper [CAPTU]</v>
      </c>
      <c r="AN11768" t="s">
        <v>4218</v>
      </c>
      <c r="AO11768" t="s">
        <v>4219</v>
      </c>
    </row>
    <row r="11769" spans="39:41" ht="12" customHeight="1" x14ac:dyDescent="0.2">
      <c r="AM11769" t="str">
        <f t="shared" si="184"/>
        <v>Point Wells [USOW4]</v>
      </c>
      <c r="AN11769" t="s">
        <v>31072</v>
      </c>
      <c r="AO11769" t="s">
        <v>31073</v>
      </c>
    </row>
    <row r="11770" spans="39:41" ht="12" customHeight="1" x14ac:dyDescent="0.2">
      <c r="AM11770" t="str">
        <f t="shared" si="184"/>
        <v>Point Wilson [AUPWI]</v>
      </c>
      <c r="AN11770" t="s">
        <v>1910</v>
      </c>
      <c r="AO11770" t="s">
        <v>1911</v>
      </c>
    </row>
    <row r="11771" spans="39:41" ht="12" customHeight="1" x14ac:dyDescent="0.2">
      <c r="AM11771" t="str">
        <f t="shared" si="184"/>
        <v>Point, Island of Lismore [GBPOI]</v>
      </c>
      <c r="AN11771" t="s">
        <v>14082</v>
      </c>
      <c r="AO11771" t="s">
        <v>14083</v>
      </c>
    </row>
    <row r="11772" spans="39:41" ht="12" customHeight="1" x14ac:dyDescent="0.2">
      <c r="AM11772" t="str">
        <f t="shared" si="184"/>
        <v>Pointe a Pierre [TTPTP]</v>
      </c>
      <c r="AN11772" t="s">
        <v>28650</v>
      </c>
      <c r="AO11772" t="s">
        <v>28651</v>
      </c>
    </row>
    <row r="11773" spans="39:41" ht="12" customHeight="1" x14ac:dyDescent="0.2">
      <c r="AM11773" t="str">
        <f t="shared" si="184"/>
        <v>Pointe au Pic [CAPPC]</v>
      </c>
      <c r="AN11773" t="s">
        <v>4220</v>
      </c>
      <c r="AO11773" t="s">
        <v>4221</v>
      </c>
    </row>
    <row r="11774" spans="39:41" ht="12" customHeight="1" x14ac:dyDescent="0.2">
      <c r="AM11774" t="str">
        <f t="shared" si="184"/>
        <v>Pointe Des Carrieres [MQQPC]</v>
      </c>
      <c r="AN11774" t="s">
        <v>37037</v>
      </c>
      <c r="AO11774" t="s">
        <v>37038</v>
      </c>
    </row>
    <row r="11775" spans="39:41" ht="12" customHeight="1" x14ac:dyDescent="0.2">
      <c r="AM11775" t="str">
        <f t="shared" si="184"/>
        <v>Pointe Noire [CAPNO]</v>
      </c>
      <c r="AN11775" t="s">
        <v>4222</v>
      </c>
      <c r="AO11775" t="s">
        <v>4223</v>
      </c>
    </row>
    <row r="11776" spans="39:41" ht="12" customHeight="1" x14ac:dyDescent="0.2">
      <c r="AM11776" t="str">
        <f t="shared" si="184"/>
        <v>Pointe Noire [CGPNR]</v>
      </c>
      <c r="AN11776" t="s">
        <v>4643</v>
      </c>
      <c r="AO11776" t="s">
        <v>4223</v>
      </c>
    </row>
    <row r="11777" spans="39:41" ht="12" customHeight="1" x14ac:dyDescent="0.2">
      <c r="AM11777" t="str">
        <f t="shared" si="184"/>
        <v>Pointe-a-Pitre [GPPTP]</v>
      </c>
      <c r="AN11777" t="s">
        <v>15059</v>
      </c>
      <c r="AO11777" t="s">
        <v>35869</v>
      </c>
    </row>
    <row r="11778" spans="39:41" ht="12" customHeight="1" x14ac:dyDescent="0.2">
      <c r="AM11778" t="str">
        <f t="shared" si="184"/>
        <v>Pointe-au-Pic [CAPOP]</v>
      </c>
      <c r="AN11778" t="s">
        <v>4224</v>
      </c>
      <c r="AO11778" t="s">
        <v>4225</v>
      </c>
    </row>
    <row r="11779" spans="39:41" ht="12" customHeight="1" x14ac:dyDescent="0.2">
      <c r="AM11779" t="str">
        <f t="shared" si="184"/>
        <v>Pointe-aux-Basques [CAPAQ]</v>
      </c>
      <c r="AN11779" t="s">
        <v>4226</v>
      </c>
      <c r="AO11779" t="s">
        <v>4227</v>
      </c>
    </row>
    <row r="11780" spans="39:41" ht="12" customHeight="1" x14ac:dyDescent="0.2">
      <c r="AM11780" t="str">
        <f t="shared" si="184"/>
        <v>Pointe-aux-Trembles [CAPXT]</v>
      </c>
      <c r="AN11780" t="s">
        <v>4228</v>
      </c>
      <c r="AO11780" t="s">
        <v>4229</v>
      </c>
    </row>
    <row r="11781" spans="39:41" ht="12" customHeight="1" x14ac:dyDescent="0.2">
      <c r="AM11781" t="str">
        <f t="shared" si="184"/>
        <v>Pointe-Claire [CAPOI]</v>
      </c>
      <c r="AN11781" t="s">
        <v>4230</v>
      </c>
      <c r="AO11781" t="s">
        <v>4231</v>
      </c>
    </row>
    <row r="11782" spans="39:41" ht="12" customHeight="1" x14ac:dyDescent="0.2">
      <c r="AM11782" t="str">
        <f t="shared" si="184"/>
        <v>Pointe-Fortune [CAPFT]</v>
      </c>
      <c r="AN11782" t="s">
        <v>4232</v>
      </c>
      <c r="AO11782" t="s">
        <v>4233</v>
      </c>
    </row>
    <row r="11783" spans="39:41" ht="12" customHeight="1" x14ac:dyDescent="0.2">
      <c r="AM11783" t="str">
        <f t="shared" si="184"/>
        <v>Point-Escuminac [CAESX]</v>
      </c>
      <c r="AN11783" t="s">
        <v>4234</v>
      </c>
      <c r="AO11783" t="s">
        <v>4235</v>
      </c>
    </row>
    <row r="11784" spans="39:41" ht="12" customHeight="1" x14ac:dyDescent="0.2">
      <c r="AM11784" t="str">
        <f t="shared" si="184"/>
        <v>Poitsila [FIPSI]</v>
      </c>
      <c r="AN11784" t="s">
        <v>10511</v>
      </c>
      <c r="AO11784" t="s">
        <v>10512</v>
      </c>
    </row>
    <row r="11785" spans="39:41" ht="12" customHeight="1" x14ac:dyDescent="0.2">
      <c r="AM11785" t="str">
        <f t="shared" si="184"/>
        <v>Pojiao [CNPJO]</v>
      </c>
      <c r="AN11785" t="s">
        <v>5839</v>
      </c>
      <c r="AO11785" t="s">
        <v>5840</v>
      </c>
    </row>
    <row r="11786" spans="39:41" ht="12" customHeight="1" x14ac:dyDescent="0.2">
      <c r="AM11786" t="str">
        <f t="shared" si="184"/>
        <v>Pokrovsk [RUPOK]</v>
      </c>
      <c r="AN11786" t="s">
        <v>27178</v>
      </c>
      <c r="AO11786" t="s">
        <v>27179</v>
      </c>
    </row>
    <row r="11787" spans="39:41" ht="12" customHeight="1" x14ac:dyDescent="0.2">
      <c r="AM11787" t="str">
        <f t="shared" si="184"/>
        <v>Pola de Siero [ESPSO]</v>
      </c>
      <c r="AN11787" t="s">
        <v>10035</v>
      </c>
      <c r="AO11787" t="s">
        <v>10036</v>
      </c>
    </row>
    <row r="11788" spans="39:41" ht="12" customHeight="1" x14ac:dyDescent="0.2">
      <c r="AM11788" t="str">
        <f t="shared" si="184"/>
        <v>Polace [HRPLA]</v>
      </c>
      <c r="AN11788" t="s">
        <v>15862</v>
      </c>
      <c r="AO11788" t="s">
        <v>15863</v>
      </c>
    </row>
    <row r="11789" spans="39:41" ht="12" customHeight="1" x14ac:dyDescent="0.2">
      <c r="AM11789" t="str">
        <f t="shared" si="184"/>
        <v>Polanco [ESPLC]</v>
      </c>
      <c r="AN11789" t="s">
        <v>10037</v>
      </c>
      <c r="AO11789" t="s">
        <v>10038</v>
      </c>
    </row>
    <row r="11790" spans="39:41" ht="12" customHeight="1" x14ac:dyDescent="0.2">
      <c r="AM11790" t="str">
        <f t="shared" si="184"/>
        <v>Polanco, Mindanao [PHPDC]</v>
      </c>
      <c r="AN11790" t="s">
        <v>26057</v>
      </c>
      <c r="AO11790" t="s">
        <v>26058</v>
      </c>
    </row>
    <row r="11791" spans="39:41" ht="12" customHeight="1" x14ac:dyDescent="0.2">
      <c r="AM11791" t="str">
        <f t="shared" si="184"/>
        <v>Poland [USQPD]</v>
      </c>
      <c r="AN11791" t="s">
        <v>31074</v>
      </c>
      <c r="AO11791" t="s">
        <v>31075</v>
      </c>
    </row>
    <row r="11792" spans="39:41" ht="12" customHeight="1" x14ac:dyDescent="0.2">
      <c r="AM11792" t="str">
        <f t="shared" si="184"/>
        <v>Polanow [PLPNW]</v>
      </c>
      <c r="AN11792" t="s">
        <v>26364</v>
      </c>
      <c r="AO11792" t="s">
        <v>36372</v>
      </c>
    </row>
    <row r="11793" spans="39:41" ht="12" customHeight="1" x14ac:dyDescent="0.2">
      <c r="AM11793" t="str">
        <f t="shared" si="184"/>
        <v>Poleng [IDPOL]</v>
      </c>
      <c r="AN11793" t="s">
        <v>16515</v>
      </c>
      <c r="AO11793" t="s">
        <v>16516</v>
      </c>
    </row>
    <row r="11794" spans="39:41" ht="12" customHeight="1" x14ac:dyDescent="0.2">
      <c r="AM11794" t="str">
        <f t="shared" si="184"/>
        <v>Police [PLPLC]</v>
      </c>
      <c r="AN11794" t="s">
        <v>26365</v>
      </c>
      <c r="AO11794" t="s">
        <v>26366</v>
      </c>
    </row>
    <row r="11795" spans="39:41" ht="12" customHeight="1" x14ac:dyDescent="0.2">
      <c r="AM11795" t="str">
        <f t="shared" si="184"/>
        <v>Police nad Metuji [CZPNJ]</v>
      </c>
      <c r="AN11795" t="s">
        <v>6916</v>
      </c>
      <c r="AO11795" t="s">
        <v>35405</v>
      </c>
    </row>
    <row r="11796" spans="39:41" ht="12" customHeight="1" x14ac:dyDescent="0.2">
      <c r="AM11796" t="str">
        <f t="shared" si="184"/>
        <v>Polignano a Mare [ITZQQ]</v>
      </c>
      <c r="AN11796" t="s">
        <v>18163</v>
      </c>
      <c r="AO11796" t="s">
        <v>18164</v>
      </c>
    </row>
    <row r="11797" spans="39:41" ht="12" customHeight="1" x14ac:dyDescent="0.2">
      <c r="AM11797" t="str">
        <f t="shared" si="184"/>
        <v>Polillo, Polillo Isl [PHPLL]</v>
      </c>
      <c r="AN11797" t="s">
        <v>26059</v>
      </c>
      <c r="AO11797" t="s">
        <v>26060</v>
      </c>
    </row>
    <row r="11798" spans="39:41" ht="12" customHeight="1" x14ac:dyDescent="0.2">
      <c r="AM11798" t="str">
        <f t="shared" si="184"/>
        <v>Polina Jucar [ESPJC]</v>
      </c>
      <c r="AN11798" t="s">
        <v>10039</v>
      </c>
      <c r="AO11798" t="s">
        <v>35689</v>
      </c>
    </row>
    <row r="11799" spans="39:41" ht="12" customHeight="1" x14ac:dyDescent="0.2">
      <c r="AM11799" t="str">
        <f t="shared" si="184"/>
        <v>Poliport [TRPLP]</v>
      </c>
      <c r="AN11799" t="s">
        <v>28570</v>
      </c>
      <c r="AO11799" t="s">
        <v>28571</v>
      </c>
    </row>
    <row r="11800" spans="39:41" ht="12" customHeight="1" x14ac:dyDescent="0.2">
      <c r="AM11800" t="str">
        <f t="shared" si="184"/>
        <v>Politika [GRPTK]</v>
      </c>
      <c r="AN11800" t="s">
        <v>15457</v>
      </c>
      <c r="AO11800" t="s">
        <v>35962</v>
      </c>
    </row>
    <row r="11801" spans="39:41" ht="12" customHeight="1" x14ac:dyDescent="0.2">
      <c r="AM11801" t="str">
        <f t="shared" si="184"/>
        <v>Pollhagen [DEPLL]</v>
      </c>
      <c r="AN11801" t="s">
        <v>8131</v>
      </c>
      <c r="AO11801" t="s">
        <v>8132</v>
      </c>
    </row>
    <row r="11802" spans="39:41" ht="12" customHeight="1" x14ac:dyDescent="0.2">
      <c r="AM11802" t="str">
        <f t="shared" si="184"/>
        <v>Pollinkhove [BEPKH]</v>
      </c>
      <c r="AN11802" t="s">
        <v>2848</v>
      </c>
      <c r="AO11802" t="s">
        <v>2849</v>
      </c>
    </row>
    <row r="11803" spans="39:41" ht="12" customHeight="1" x14ac:dyDescent="0.2">
      <c r="AM11803" t="str">
        <f t="shared" si="184"/>
        <v>Polloc [PHPLC]</v>
      </c>
      <c r="AN11803" t="s">
        <v>26061</v>
      </c>
      <c r="AO11803" t="s">
        <v>26062</v>
      </c>
    </row>
    <row r="11804" spans="39:41" ht="12" customHeight="1" x14ac:dyDescent="0.2">
      <c r="AM11804" t="str">
        <f t="shared" si="184"/>
        <v>Polna [CZPNA]</v>
      </c>
      <c r="AN11804" t="s">
        <v>6917</v>
      </c>
      <c r="AO11804" t="s">
        <v>6918</v>
      </c>
    </row>
    <row r="11805" spans="39:41" ht="12" customHeight="1" x14ac:dyDescent="0.2">
      <c r="AM11805" t="str">
        <f t="shared" si="184"/>
        <v>Polnovat [RUPNV]</v>
      </c>
      <c r="AN11805" t="s">
        <v>27180</v>
      </c>
      <c r="AO11805" t="s">
        <v>27181</v>
      </c>
    </row>
    <row r="11806" spans="39:41" ht="12" customHeight="1" x14ac:dyDescent="0.2">
      <c r="AM11806" t="str">
        <f t="shared" si="184"/>
        <v>Polperro [GBPLP]</v>
      </c>
      <c r="AN11806" t="s">
        <v>14084</v>
      </c>
      <c r="AO11806" t="s">
        <v>14085</v>
      </c>
    </row>
    <row r="11807" spans="39:41" ht="12" customHeight="1" x14ac:dyDescent="0.2">
      <c r="AM11807" t="str">
        <f t="shared" si="184"/>
        <v>Polruan [GBPLR]</v>
      </c>
      <c r="AN11807" t="s">
        <v>14086</v>
      </c>
      <c r="AO11807" t="s">
        <v>14087</v>
      </c>
    </row>
    <row r="11808" spans="39:41" ht="12" customHeight="1" x14ac:dyDescent="0.2">
      <c r="AM11808" t="str">
        <f t="shared" si="184"/>
        <v>Polychnitos Lesvou [GRPLC]</v>
      </c>
      <c r="AN11808" t="s">
        <v>15458</v>
      </c>
      <c r="AO11808" t="s">
        <v>15459</v>
      </c>
    </row>
    <row r="11809" spans="39:41" ht="12" customHeight="1" x14ac:dyDescent="0.2">
      <c r="AM11809" t="str">
        <f t="shared" si="184"/>
        <v>Pomako [IDPMK]</v>
      </c>
      <c r="AN11809" t="s">
        <v>16517</v>
      </c>
      <c r="AO11809" t="s">
        <v>16518</v>
      </c>
    </row>
    <row r="11810" spans="39:41" ht="12" customHeight="1" x14ac:dyDescent="0.2">
      <c r="AM11810" t="str">
        <f t="shared" si="184"/>
        <v>Pomalaa, Sulawesi [IDPUM]</v>
      </c>
      <c r="AN11810" t="s">
        <v>16519</v>
      </c>
      <c r="AO11810" t="s">
        <v>16520</v>
      </c>
    </row>
    <row r="11811" spans="39:41" ht="12" customHeight="1" x14ac:dyDescent="0.2">
      <c r="AM11811" t="str">
        <f t="shared" si="184"/>
        <v>Pomarao [PTPOM]</v>
      </c>
      <c r="AN11811" t="s">
        <v>26567</v>
      </c>
      <c r="AO11811" t="s">
        <v>36390</v>
      </c>
    </row>
    <row r="11812" spans="39:41" ht="12" customHeight="1" x14ac:dyDescent="0.2">
      <c r="AM11812" t="str">
        <f t="shared" si="184"/>
        <v>Pomena [HRPMN]</v>
      </c>
      <c r="AN11812" t="s">
        <v>15864</v>
      </c>
      <c r="AO11812" t="s">
        <v>15865</v>
      </c>
    </row>
    <row r="11813" spans="39:41" ht="12" customHeight="1" x14ac:dyDescent="0.2">
      <c r="AM11813" t="str">
        <f t="shared" si="184"/>
        <v>Pomerode [BRPOM]</v>
      </c>
      <c r="AN11813" t="s">
        <v>3366</v>
      </c>
      <c r="AO11813" t="s">
        <v>3367</v>
      </c>
    </row>
    <row r="11814" spans="39:41" ht="12" customHeight="1" x14ac:dyDescent="0.2">
      <c r="AM11814" t="str">
        <f t="shared" si="184"/>
        <v>Pomezia [ITPOM]</v>
      </c>
      <c r="AN11814" t="s">
        <v>18165</v>
      </c>
      <c r="AO11814" t="s">
        <v>18166</v>
      </c>
    </row>
    <row r="11815" spans="39:41" ht="12" customHeight="1" x14ac:dyDescent="0.2">
      <c r="AM11815" t="str">
        <f t="shared" si="184"/>
        <v>Pommeroeul [BEPME]</v>
      </c>
      <c r="AN11815" t="s">
        <v>2850</v>
      </c>
      <c r="AO11815" t="s">
        <v>2851</v>
      </c>
    </row>
    <row r="11816" spans="39:41" ht="12" customHeight="1" x14ac:dyDescent="0.2">
      <c r="AM11816" t="str">
        <f t="shared" si="184"/>
        <v>Pomorie [BGPOR]</v>
      </c>
      <c r="AN11816" t="s">
        <v>36820</v>
      </c>
      <c r="AO11816" t="s">
        <v>36821</v>
      </c>
    </row>
    <row r="11817" spans="39:41" ht="12" customHeight="1" x14ac:dyDescent="0.2">
      <c r="AM11817" t="str">
        <f t="shared" si="184"/>
        <v>Pompton [USPO8]</v>
      </c>
      <c r="AN11817" t="s">
        <v>31076</v>
      </c>
      <c r="AO11817" t="s">
        <v>31077</v>
      </c>
    </row>
    <row r="11818" spans="39:41" ht="12" customHeight="1" x14ac:dyDescent="0.2">
      <c r="AM11818" t="str">
        <f t="shared" si="184"/>
        <v>Ponce [PRPSE]</v>
      </c>
      <c r="AN11818" t="s">
        <v>26428</v>
      </c>
      <c r="AO11818" t="s">
        <v>26429</v>
      </c>
    </row>
    <row r="11819" spans="39:41" ht="12" customHeight="1" x14ac:dyDescent="0.2">
      <c r="AM11819" t="str">
        <f t="shared" si="184"/>
        <v>Ponce de Leon [US4NM]</v>
      </c>
      <c r="AN11819" t="s">
        <v>31078</v>
      </c>
      <c r="AO11819" t="s">
        <v>31079</v>
      </c>
    </row>
    <row r="11820" spans="39:41" ht="12" customHeight="1" x14ac:dyDescent="0.2">
      <c r="AM11820" t="str">
        <f t="shared" si="184"/>
        <v>Pond Inlet [CAPDI]</v>
      </c>
      <c r="AN11820" t="s">
        <v>4236</v>
      </c>
      <c r="AO11820" t="s">
        <v>4237</v>
      </c>
    </row>
    <row r="11821" spans="39:41" ht="12" customHeight="1" x14ac:dyDescent="0.2">
      <c r="AM11821" t="str">
        <f t="shared" si="184"/>
        <v>Pondicherry [INPNY]</v>
      </c>
      <c r="AN11821" t="s">
        <v>17385</v>
      </c>
      <c r="AO11821" t="s">
        <v>17386</v>
      </c>
    </row>
    <row r="11822" spans="39:41" ht="12" customHeight="1" x14ac:dyDescent="0.2">
      <c r="AM11822" t="str">
        <f t="shared" ref="AM11822:AM11885" si="185">AO11822 &amp; " [" &amp; AN11822 &amp; "]"</f>
        <v>Pondo Harbour [PGPDO]</v>
      </c>
      <c r="AN11822" t="s">
        <v>25448</v>
      </c>
      <c r="AO11822" t="s">
        <v>25449</v>
      </c>
    </row>
    <row r="11823" spans="39:41" ht="12" customHeight="1" x14ac:dyDescent="0.2">
      <c r="AM11823" t="str">
        <f t="shared" si="185"/>
        <v>Ponnani [INPNN]</v>
      </c>
      <c r="AN11823" t="s">
        <v>17387</v>
      </c>
      <c r="AO11823" t="s">
        <v>17388</v>
      </c>
    </row>
    <row r="11824" spans="39:41" ht="12" customHeight="1" x14ac:dyDescent="0.2">
      <c r="AM11824" t="str">
        <f t="shared" si="185"/>
        <v>Ponsford [USPO7]</v>
      </c>
      <c r="AN11824" t="s">
        <v>31080</v>
      </c>
      <c r="AO11824" t="s">
        <v>31081</v>
      </c>
    </row>
    <row r="11825" spans="39:41" ht="12" customHeight="1" x14ac:dyDescent="0.2">
      <c r="AM11825" t="str">
        <f t="shared" si="185"/>
        <v>Ponta da Madeira [BRPMA]</v>
      </c>
      <c r="AN11825" t="s">
        <v>3368</v>
      </c>
      <c r="AO11825" t="s">
        <v>3369</v>
      </c>
    </row>
    <row r="11826" spans="39:41" ht="12" customHeight="1" x14ac:dyDescent="0.2">
      <c r="AM11826" t="str">
        <f t="shared" si="185"/>
        <v>Ponta Delgada [PTPDL]</v>
      </c>
      <c r="AN11826" t="s">
        <v>26568</v>
      </c>
      <c r="AO11826" t="s">
        <v>26569</v>
      </c>
    </row>
    <row r="11827" spans="39:41" ht="12" customHeight="1" x14ac:dyDescent="0.2">
      <c r="AM11827" t="str">
        <f t="shared" si="185"/>
        <v>Ponta Ubu [BRPOU]</v>
      </c>
      <c r="AN11827" t="s">
        <v>3370</v>
      </c>
      <c r="AO11827" t="s">
        <v>3371</v>
      </c>
    </row>
    <row r="11828" spans="39:41" ht="12" customHeight="1" x14ac:dyDescent="0.2">
      <c r="AM11828" t="str">
        <f t="shared" si="185"/>
        <v>Pont-a-Celles [BEPCL]</v>
      </c>
      <c r="AN11828" t="s">
        <v>2852</v>
      </c>
      <c r="AO11828" t="s">
        <v>35279</v>
      </c>
    </row>
    <row r="11829" spans="39:41" ht="12" customHeight="1" x14ac:dyDescent="0.2">
      <c r="AM11829" t="str">
        <f t="shared" si="185"/>
        <v>Pontailler [FRPQR]</v>
      </c>
      <c r="AN11829" t="s">
        <v>11815</v>
      </c>
      <c r="AO11829" t="s">
        <v>11816</v>
      </c>
    </row>
    <row r="11830" spans="39:41" ht="12" customHeight="1" x14ac:dyDescent="0.2">
      <c r="AM11830" t="str">
        <f t="shared" si="185"/>
        <v>Pont-Arcy [FRPAJ]</v>
      </c>
      <c r="AN11830" t="s">
        <v>11817</v>
      </c>
      <c r="AO11830" t="s">
        <v>11818</v>
      </c>
    </row>
    <row r="11831" spans="39:41" ht="12" customHeight="1" x14ac:dyDescent="0.2">
      <c r="AM11831" t="str">
        <f t="shared" si="185"/>
        <v>Pontardulais [GBPDL]</v>
      </c>
      <c r="AN11831" t="s">
        <v>14088</v>
      </c>
      <c r="AO11831" t="s">
        <v>14089</v>
      </c>
    </row>
    <row r="11832" spans="39:41" ht="12" customHeight="1" x14ac:dyDescent="0.2">
      <c r="AM11832" t="str">
        <f t="shared" si="185"/>
        <v>Pont-Aven [FRF29]</v>
      </c>
      <c r="AN11832" t="s">
        <v>11819</v>
      </c>
      <c r="AO11832" t="s">
        <v>11820</v>
      </c>
    </row>
    <row r="11833" spans="39:41" ht="12" customHeight="1" x14ac:dyDescent="0.2">
      <c r="AM11833" t="str">
        <f t="shared" si="185"/>
        <v>Pont-A-Vendin [FRP62]</v>
      </c>
      <c r="AN11833" t="s">
        <v>11821</v>
      </c>
      <c r="AO11833" t="s">
        <v>11822</v>
      </c>
    </row>
    <row r="11834" spans="39:41" ht="12" customHeight="1" x14ac:dyDescent="0.2">
      <c r="AM11834" t="str">
        <f t="shared" si="185"/>
        <v>Pontavert [FRPTV]</v>
      </c>
      <c r="AN11834" t="s">
        <v>11823</v>
      </c>
      <c r="AO11834" t="s">
        <v>11824</v>
      </c>
    </row>
    <row r="11835" spans="39:41" ht="12" customHeight="1" x14ac:dyDescent="0.2">
      <c r="AM11835" t="str">
        <f t="shared" si="185"/>
        <v>Pont-de-l'Isere [FRPTI]</v>
      </c>
      <c r="AN11835" t="s">
        <v>11825</v>
      </c>
      <c r="AO11835" t="s">
        <v>35831</v>
      </c>
    </row>
    <row r="11836" spans="39:41" ht="12" customHeight="1" x14ac:dyDescent="0.2">
      <c r="AM11836" t="str">
        <f t="shared" si="185"/>
        <v>Pont-de-Loup [BEPLO]</v>
      </c>
      <c r="AN11836" t="s">
        <v>2853</v>
      </c>
      <c r="AO11836" t="s">
        <v>2854</v>
      </c>
    </row>
    <row r="11837" spans="39:41" ht="12" customHeight="1" x14ac:dyDescent="0.2">
      <c r="AM11837" t="str">
        <f t="shared" si="185"/>
        <v>Pont-de-Vaux [FRPVX]</v>
      </c>
      <c r="AN11837" t="s">
        <v>11826</v>
      </c>
      <c r="AO11837" t="s">
        <v>11827</v>
      </c>
    </row>
    <row r="11838" spans="39:41" ht="12" customHeight="1" x14ac:dyDescent="0.2">
      <c r="AM11838" t="str">
        <f t="shared" si="185"/>
        <v>Pont-d'Ouche [FRPNH]</v>
      </c>
      <c r="AN11838" t="s">
        <v>11828</v>
      </c>
      <c r="AO11838" t="s">
        <v>11829</v>
      </c>
    </row>
    <row r="11839" spans="39:41" ht="12" customHeight="1" x14ac:dyDescent="0.2">
      <c r="AM11839" t="str">
        <f t="shared" si="185"/>
        <v>Ponte de Sor [PTPDS]</v>
      </c>
      <c r="AN11839" t="s">
        <v>26570</v>
      </c>
      <c r="AO11839" t="s">
        <v>26571</v>
      </c>
    </row>
    <row r="11840" spans="39:41" ht="12" customHeight="1" x14ac:dyDescent="0.2">
      <c r="AM11840" t="str">
        <f t="shared" si="185"/>
        <v>Ponteilla [FRYJK]</v>
      </c>
      <c r="AN11840" t="s">
        <v>11830</v>
      </c>
      <c r="AO11840" t="s">
        <v>11831</v>
      </c>
    </row>
    <row r="11841" spans="39:41" ht="12" customHeight="1" x14ac:dyDescent="0.2">
      <c r="AM11841" t="str">
        <f t="shared" si="185"/>
        <v>Ponte-Leccia [FRKLO]</v>
      </c>
      <c r="AN11841" t="s">
        <v>11832</v>
      </c>
      <c r="AO11841" t="s">
        <v>11833</v>
      </c>
    </row>
    <row r="11842" spans="39:41" ht="12" customHeight="1" x14ac:dyDescent="0.2">
      <c r="AM11842" t="str">
        <f t="shared" si="185"/>
        <v>Pontevedra [ESPEV]</v>
      </c>
      <c r="AN11842" t="s">
        <v>10040</v>
      </c>
      <c r="AO11842" t="s">
        <v>10041</v>
      </c>
    </row>
    <row r="11843" spans="39:41" ht="12" customHeight="1" x14ac:dyDescent="0.2">
      <c r="AM11843" t="str">
        <f t="shared" si="185"/>
        <v>Ponteves [FRPDF]</v>
      </c>
      <c r="AN11843" t="s">
        <v>11834</v>
      </c>
      <c r="AO11843" t="s">
        <v>11835</v>
      </c>
    </row>
    <row r="11844" spans="39:41" ht="12" customHeight="1" x14ac:dyDescent="0.2">
      <c r="AM11844" t="str">
        <f t="shared" si="185"/>
        <v>Pontian [MYPOW]</v>
      </c>
      <c r="AN11844" t="s">
        <v>22697</v>
      </c>
      <c r="AO11844" t="s">
        <v>22698</v>
      </c>
    </row>
    <row r="11845" spans="39:41" ht="12" customHeight="1" x14ac:dyDescent="0.2">
      <c r="AM11845" t="str">
        <f t="shared" si="185"/>
        <v>Pontianak, Kalimantan [IDPNK]</v>
      </c>
      <c r="AN11845" t="s">
        <v>16521</v>
      </c>
      <c r="AO11845" t="s">
        <v>16522</v>
      </c>
    </row>
    <row r="11846" spans="39:41" ht="12" customHeight="1" x14ac:dyDescent="0.2">
      <c r="AM11846" t="str">
        <f t="shared" si="185"/>
        <v>Pont-l'Abbe [FRPAB]</v>
      </c>
      <c r="AN11846" t="s">
        <v>11836</v>
      </c>
      <c r="AO11846" t="s">
        <v>35832</v>
      </c>
    </row>
    <row r="11847" spans="39:41" ht="12" customHeight="1" x14ac:dyDescent="0.2">
      <c r="AM11847" t="str">
        <f t="shared" si="185"/>
        <v>Pontlevoy [FRZXH]</v>
      </c>
      <c r="AN11847" t="s">
        <v>11837</v>
      </c>
      <c r="AO11847" t="s">
        <v>11838</v>
      </c>
    </row>
    <row r="11848" spans="39:41" ht="12" customHeight="1" x14ac:dyDescent="0.2">
      <c r="AM11848" t="str">
        <f t="shared" si="185"/>
        <v>Pont-Rean [FRPQC]</v>
      </c>
      <c r="AN11848" t="s">
        <v>11839</v>
      </c>
      <c r="AO11848" t="s">
        <v>35833</v>
      </c>
    </row>
    <row r="11849" spans="39:41" ht="12" customHeight="1" x14ac:dyDescent="0.2">
      <c r="AM11849" t="str">
        <f t="shared" si="185"/>
        <v>Pontrieux [FRPOX]</v>
      </c>
      <c r="AN11849" t="s">
        <v>11840</v>
      </c>
      <c r="AO11849" t="s">
        <v>11841</v>
      </c>
    </row>
    <row r="11850" spans="39:41" ht="12" customHeight="1" x14ac:dyDescent="0.2">
      <c r="AM11850" t="str">
        <f t="shared" si="185"/>
        <v>Pont-Sainte-Maxence [FRPSX]</v>
      </c>
      <c r="AN11850" t="s">
        <v>11842</v>
      </c>
      <c r="AO11850" t="s">
        <v>11843</v>
      </c>
    </row>
    <row r="11851" spans="39:41" ht="12" customHeight="1" x14ac:dyDescent="0.2">
      <c r="AM11851" t="str">
        <f t="shared" si="185"/>
        <v>Ponza [ITPNZ]</v>
      </c>
      <c r="AN11851" t="s">
        <v>18167</v>
      </c>
      <c r="AO11851" t="s">
        <v>18168</v>
      </c>
    </row>
    <row r="11852" spans="39:41" ht="12" customHeight="1" x14ac:dyDescent="0.2">
      <c r="AM11852" t="str">
        <f t="shared" si="185"/>
        <v>Poole [GBPOO]</v>
      </c>
      <c r="AN11852" t="s">
        <v>14090</v>
      </c>
      <c r="AO11852" t="s">
        <v>14091</v>
      </c>
    </row>
    <row r="11853" spans="39:41" ht="12" customHeight="1" x14ac:dyDescent="0.2">
      <c r="AM11853" t="str">
        <f t="shared" si="185"/>
        <v>Poolewe [GBPWE]</v>
      </c>
      <c r="AN11853" t="s">
        <v>14092</v>
      </c>
      <c r="AO11853" t="s">
        <v>14093</v>
      </c>
    </row>
    <row r="11854" spans="39:41" ht="12" customHeight="1" x14ac:dyDescent="0.2">
      <c r="AM11854" t="str">
        <f t="shared" si="185"/>
        <v>Poortugaal [NLPTG]</v>
      </c>
      <c r="AN11854" t="s">
        <v>23530</v>
      </c>
      <c r="AO11854" t="s">
        <v>23531</v>
      </c>
    </row>
    <row r="11855" spans="39:41" ht="12" customHeight="1" x14ac:dyDescent="0.2">
      <c r="AM11855" t="str">
        <f t="shared" si="185"/>
        <v>Poprad [SKPOP]</v>
      </c>
      <c r="AN11855" t="s">
        <v>28055</v>
      </c>
      <c r="AO11855" t="s">
        <v>28056</v>
      </c>
    </row>
    <row r="11856" spans="39:41" ht="12" customHeight="1" x14ac:dyDescent="0.2">
      <c r="AM11856" t="str">
        <f t="shared" si="185"/>
        <v>Popuvky [CZPOP]</v>
      </c>
      <c r="AN11856" t="s">
        <v>6919</v>
      </c>
      <c r="AO11856" t="s">
        <v>6920</v>
      </c>
    </row>
    <row r="11857" spans="39:41" ht="12" customHeight="1" x14ac:dyDescent="0.2">
      <c r="AM11857" t="str">
        <f t="shared" si="185"/>
        <v>Porbandar [INPBD]</v>
      </c>
      <c r="AN11857" t="s">
        <v>17389</v>
      </c>
      <c r="AO11857" t="s">
        <v>17390</v>
      </c>
    </row>
    <row r="11858" spans="39:41" ht="12" customHeight="1" x14ac:dyDescent="0.2">
      <c r="AM11858" t="str">
        <f t="shared" si="185"/>
        <v>Porec [HRPOR]</v>
      </c>
      <c r="AN11858" t="s">
        <v>15866</v>
      </c>
      <c r="AO11858" t="s">
        <v>15867</v>
      </c>
    </row>
    <row r="11859" spans="39:41" ht="12" customHeight="1" x14ac:dyDescent="0.2">
      <c r="AM11859" t="str">
        <f t="shared" si="185"/>
        <v>Porlock [GBPRZ]</v>
      </c>
      <c r="AN11859" t="s">
        <v>14094</v>
      </c>
      <c r="AO11859" t="s">
        <v>14095</v>
      </c>
    </row>
    <row r="11860" spans="39:41" ht="12" customHeight="1" x14ac:dyDescent="0.2">
      <c r="AM11860" t="str">
        <f t="shared" si="185"/>
        <v>Pornic [FRPRC]</v>
      </c>
      <c r="AN11860" t="s">
        <v>11844</v>
      </c>
      <c r="AO11860" t="s">
        <v>11845</v>
      </c>
    </row>
    <row r="11861" spans="39:41" ht="12" customHeight="1" x14ac:dyDescent="0.2">
      <c r="AM11861" t="str">
        <f t="shared" si="185"/>
        <v>Poro [NCPOR]</v>
      </c>
      <c r="AN11861" t="s">
        <v>22888</v>
      </c>
      <c r="AO11861" t="s">
        <v>22889</v>
      </c>
    </row>
    <row r="11862" spans="39:41" ht="12" customHeight="1" x14ac:dyDescent="0.2">
      <c r="AM11862" t="str">
        <f t="shared" si="185"/>
        <v>Poro/San Fernando [PHPRO]</v>
      </c>
      <c r="AN11862" t="s">
        <v>26063</v>
      </c>
      <c r="AO11862" t="s">
        <v>26064</v>
      </c>
    </row>
    <row r="11863" spans="39:41" ht="12" customHeight="1" x14ac:dyDescent="0.2">
      <c r="AM11863" t="str">
        <f t="shared" si="185"/>
        <v>Poronaisk [RUPRN]</v>
      </c>
      <c r="AN11863" t="s">
        <v>27182</v>
      </c>
      <c r="AO11863" t="s">
        <v>27183</v>
      </c>
    </row>
    <row r="11864" spans="39:41" ht="12" customHeight="1" x14ac:dyDescent="0.2">
      <c r="AM11864" t="str">
        <f t="shared" si="185"/>
        <v>Poros Kefallinias [GRPKE]</v>
      </c>
      <c r="AN11864" t="s">
        <v>15460</v>
      </c>
      <c r="AO11864" t="s">
        <v>15461</v>
      </c>
    </row>
    <row r="11865" spans="39:41" ht="12" customHeight="1" x14ac:dyDescent="0.2">
      <c r="AM11865" t="str">
        <f t="shared" si="185"/>
        <v>Poros Trizinias [GRPTR]</v>
      </c>
      <c r="AN11865" t="s">
        <v>15462</v>
      </c>
      <c r="AO11865" t="s">
        <v>15463</v>
      </c>
    </row>
    <row r="11866" spans="39:41" ht="12" customHeight="1" x14ac:dyDescent="0.2">
      <c r="AM11866" t="str">
        <f t="shared" si="185"/>
        <v>Porozina [HRPRZ]</v>
      </c>
      <c r="AN11866" t="s">
        <v>15868</v>
      </c>
      <c r="AO11866" t="s">
        <v>15869</v>
      </c>
    </row>
    <row r="11867" spans="39:41" ht="12" customHeight="1" x14ac:dyDescent="0.2">
      <c r="AM11867" t="str">
        <f t="shared" si="185"/>
        <v>Porquerolles [FREMR]</v>
      </c>
      <c r="AN11867" t="s">
        <v>11846</v>
      </c>
      <c r="AO11867" t="s">
        <v>11847</v>
      </c>
    </row>
    <row r="11868" spans="39:41" ht="12" customHeight="1" x14ac:dyDescent="0.2">
      <c r="AM11868" t="str">
        <f t="shared" si="185"/>
        <v>Porreras [ESBPM]</v>
      </c>
      <c r="AN11868" t="s">
        <v>10042</v>
      </c>
      <c r="AO11868" t="s">
        <v>10043</v>
      </c>
    </row>
    <row r="11869" spans="39:41" ht="12" customHeight="1" x14ac:dyDescent="0.2">
      <c r="AM11869" t="str">
        <f t="shared" si="185"/>
        <v>Porsanger [NOPAR]</v>
      </c>
      <c r="AN11869" t="s">
        <v>24616</v>
      </c>
      <c r="AO11869" t="s">
        <v>24617</v>
      </c>
    </row>
    <row r="11870" spans="39:41" ht="12" customHeight="1" x14ac:dyDescent="0.2">
      <c r="AM11870" t="str">
        <f t="shared" si="185"/>
        <v>Porsgrunn [NOPOR]</v>
      </c>
      <c r="AN11870" t="s">
        <v>24618</v>
      </c>
      <c r="AO11870" t="s">
        <v>24619</v>
      </c>
    </row>
    <row r="11871" spans="39:41" ht="12" customHeight="1" x14ac:dyDescent="0.2">
      <c r="AM11871" t="str">
        <f t="shared" si="185"/>
        <v>Port Adelaide [AUPAE]</v>
      </c>
      <c r="AN11871" t="s">
        <v>1912</v>
      </c>
      <c r="AO11871" t="s">
        <v>1913</v>
      </c>
    </row>
    <row r="11872" spans="39:41" ht="12" customHeight="1" x14ac:dyDescent="0.2">
      <c r="AM11872" t="str">
        <f t="shared" si="185"/>
        <v>Port Alberni [CAPAB]</v>
      </c>
      <c r="AN11872" t="s">
        <v>4238</v>
      </c>
      <c r="AO11872" t="s">
        <v>4239</v>
      </c>
    </row>
    <row r="11873" spans="39:41" ht="12" customHeight="1" x14ac:dyDescent="0.2">
      <c r="AM11873" t="str">
        <f t="shared" si="185"/>
        <v>Port Alice [CAPAC]</v>
      </c>
      <c r="AN11873" t="s">
        <v>4240</v>
      </c>
      <c r="AO11873" t="s">
        <v>4241</v>
      </c>
    </row>
    <row r="11874" spans="39:41" ht="12" customHeight="1" x14ac:dyDescent="0.2">
      <c r="AM11874" t="str">
        <f t="shared" si="185"/>
        <v>Port Allen [USPAL]</v>
      </c>
      <c r="AN11874" t="s">
        <v>31082</v>
      </c>
      <c r="AO11874" t="s">
        <v>31083</v>
      </c>
    </row>
    <row r="11875" spans="39:41" ht="12" customHeight="1" x14ac:dyDescent="0.2">
      <c r="AM11875" t="str">
        <f t="shared" si="185"/>
        <v>Port Allen [USPLL]</v>
      </c>
      <c r="AN11875" t="s">
        <v>31084</v>
      </c>
      <c r="AO11875" t="s">
        <v>31083</v>
      </c>
    </row>
    <row r="11876" spans="39:41" ht="12" customHeight="1" x14ac:dyDescent="0.2">
      <c r="AM11876" t="str">
        <f t="shared" si="185"/>
        <v>Port Alma [AUPTL]</v>
      </c>
      <c r="AN11876" t="s">
        <v>1914</v>
      </c>
      <c r="AO11876" t="s">
        <v>1915</v>
      </c>
    </row>
    <row r="11877" spans="39:41" ht="12" customHeight="1" x14ac:dyDescent="0.2">
      <c r="AM11877" t="str">
        <f t="shared" si="185"/>
        <v>Port Alucroix [VIPAX]</v>
      </c>
      <c r="AN11877" t="s">
        <v>32292</v>
      </c>
      <c r="AO11877" t="s">
        <v>32293</v>
      </c>
    </row>
    <row r="11878" spans="39:41" ht="12" customHeight="1" x14ac:dyDescent="0.2">
      <c r="AM11878" t="str">
        <f t="shared" si="185"/>
        <v>Port Angeles [USCLM]</v>
      </c>
      <c r="AN11878" t="s">
        <v>31085</v>
      </c>
      <c r="AO11878" t="s">
        <v>31086</v>
      </c>
    </row>
    <row r="11879" spans="39:41" ht="12" customHeight="1" x14ac:dyDescent="0.2">
      <c r="AM11879" t="str">
        <f t="shared" si="185"/>
        <v>Port Antonio [JMPOT]</v>
      </c>
      <c r="AN11879" t="s">
        <v>18436</v>
      </c>
      <c r="AO11879" t="s">
        <v>18437</v>
      </c>
    </row>
    <row r="11880" spans="39:41" ht="12" customHeight="1" x14ac:dyDescent="0.2">
      <c r="AM11880" t="str">
        <f t="shared" si="185"/>
        <v>Port Appin [GBPAP]</v>
      </c>
      <c r="AN11880" t="s">
        <v>14096</v>
      </c>
      <c r="AO11880" t="s">
        <v>14097</v>
      </c>
    </row>
    <row r="11881" spans="39:41" ht="12" customHeight="1" x14ac:dyDescent="0.2">
      <c r="AM11881" t="str">
        <f t="shared" si="185"/>
        <v>Port Arthur [AUPAU]</v>
      </c>
      <c r="AN11881" t="s">
        <v>1916</v>
      </c>
      <c r="AO11881" t="s">
        <v>1917</v>
      </c>
    </row>
    <row r="11882" spans="39:41" ht="12" customHeight="1" x14ac:dyDescent="0.2">
      <c r="AM11882" t="str">
        <f t="shared" si="185"/>
        <v>Port Arthur [CAPOA]</v>
      </c>
      <c r="AN11882" t="s">
        <v>4242</v>
      </c>
      <c r="AO11882" t="s">
        <v>1917</v>
      </c>
    </row>
    <row r="11883" spans="39:41" ht="12" customHeight="1" x14ac:dyDescent="0.2">
      <c r="AM11883" t="str">
        <f t="shared" si="185"/>
        <v>Port Arthur [USPOA]</v>
      </c>
      <c r="AN11883" t="s">
        <v>31087</v>
      </c>
      <c r="AO11883" t="s">
        <v>1917</v>
      </c>
    </row>
    <row r="11884" spans="39:41" ht="12" customHeight="1" x14ac:dyDescent="0.2">
      <c r="AM11884" t="str">
        <f t="shared" si="185"/>
        <v>Port Askaig [GBPAK]</v>
      </c>
      <c r="AN11884" t="s">
        <v>14098</v>
      </c>
      <c r="AO11884" t="s">
        <v>14099</v>
      </c>
    </row>
    <row r="11885" spans="39:41" ht="12" customHeight="1" x14ac:dyDescent="0.2">
      <c r="AM11885" t="str">
        <f t="shared" si="185"/>
        <v>Port au Port [CAPAP]</v>
      </c>
      <c r="AN11885" t="s">
        <v>4243</v>
      </c>
      <c r="AO11885" t="s">
        <v>4244</v>
      </c>
    </row>
    <row r="11886" spans="39:41" ht="12" customHeight="1" x14ac:dyDescent="0.2">
      <c r="AM11886" t="str">
        <f t="shared" ref="AM11886:AM11949" si="186">AO11886 &amp; " [" &amp; AN11886 &amp; "]"</f>
        <v>Port Augusta [AUPUG]</v>
      </c>
      <c r="AN11886" t="s">
        <v>1918</v>
      </c>
      <c r="AO11886" t="s">
        <v>1919</v>
      </c>
    </row>
    <row r="11887" spans="39:41" ht="12" customHeight="1" x14ac:dyDescent="0.2">
      <c r="AM11887" t="str">
        <f t="shared" si="186"/>
        <v>Port Barton/Palawan [PHPBA]</v>
      </c>
      <c r="AN11887" t="s">
        <v>26065</v>
      </c>
      <c r="AO11887" t="s">
        <v>26066</v>
      </c>
    </row>
    <row r="11888" spans="39:41" ht="12" customHeight="1" x14ac:dyDescent="0.2">
      <c r="AM11888" t="str">
        <f t="shared" si="186"/>
        <v>Port Blair [INIXZ]</v>
      </c>
      <c r="AN11888" t="s">
        <v>17391</v>
      </c>
      <c r="AO11888" t="s">
        <v>17392</v>
      </c>
    </row>
    <row r="11889" spans="39:41" ht="12" customHeight="1" x14ac:dyDescent="0.2">
      <c r="AM11889" t="str">
        <f t="shared" si="186"/>
        <v>Port Blakely [USPRY]</v>
      </c>
      <c r="AN11889" t="s">
        <v>31088</v>
      </c>
      <c r="AO11889" t="s">
        <v>31089</v>
      </c>
    </row>
    <row r="11890" spans="39:41" ht="12" customHeight="1" x14ac:dyDescent="0.2">
      <c r="AM11890" t="str">
        <f t="shared" si="186"/>
        <v>Port Bolivar [USPOB]</v>
      </c>
      <c r="AN11890" t="s">
        <v>31090</v>
      </c>
      <c r="AO11890" t="s">
        <v>31091</v>
      </c>
    </row>
    <row r="11891" spans="39:41" ht="12" customHeight="1" x14ac:dyDescent="0.2">
      <c r="AM11891" t="str">
        <f t="shared" si="186"/>
        <v>Port Bonython [AUPBY]</v>
      </c>
      <c r="AN11891" t="s">
        <v>1920</v>
      </c>
      <c r="AO11891" t="s">
        <v>1921</v>
      </c>
    </row>
    <row r="11892" spans="39:41" ht="12" customHeight="1" x14ac:dyDescent="0.2">
      <c r="AM11892" t="str">
        <f t="shared" si="186"/>
        <v>Port Botany [AUPBT]</v>
      </c>
      <c r="AN11892" t="s">
        <v>1922</v>
      </c>
      <c r="AO11892" t="s">
        <v>1923</v>
      </c>
    </row>
    <row r="11893" spans="39:41" ht="12" customHeight="1" x14ac:dyDescent="0.2">
      <c r="AM11893" t="str">
        <f t="shared" si="186"/>
        <v>Port Canaveral [USPCV]</v>
      </c>
      <c r="AN11893" t="s">
        <v>31092</v>
      </c>
      <c r="AO11893" t="s">
        <v>31093</v>
      </c>
    </row>
    <row r="11894" spans="39:41" ht="12" customHeight="1" x14ac:dyDescent="0.2">
      <c r="AM11894" t="str">
        <f t="shared" si="186"/>
        <v>Port Chalmers [NZPOE]</v>
      </c>
      <c r="AN11894" t="s">
        <v>25097</v>
      </c>
      <c r="AO11894" t="s">
        <v>25098</v>
      </c>
    </row>
    <row r="11895" spans="39:41" ht="12" customHeight="1" x14ac:dyDescent="0.2">
      <c r="AM11895" t="str">
        <f t="shared" si="186"/>
        <v>Port Chester [USUXZ]</v>
      </c>
      <c r="AN11895" t="s">
        <v>31094</v>
      </c>
      <c r="AO11895" t="s">
        <v>31095</v>
      </c>
    </row>
    <row r="11896" spans="39:41" ht="12" customHeight="1" x14ac:dyDescent="0.2">
      <c r="AM11896" t="str">
        <f t="shared" si="186"/>
        <v>Port Chicago [USPZH]</v>
      </c>
      <c r="AN11896" t="s">
        <v>31096</v>
      </c>
      <c r="AO11896" t="s">
        <v>31097</v>
      </c>
    </row>
    <row r="11897" spans="39:41" ht="12" customHeight="1" x14ac:dyDescent="0.2">
      <c r="AM11897" t="str">
        <f t="shared" si="186"/>
        <v>Port Clarence [GBPOC]</v>
      </c>
      <c r="AN11897" t="s">
        <v>14100</v>
      </c>
      <c r="AO11897" t="s">
        <v>14101</v>
      </c>
    </row>
    <row r="11898" spans="39:41" ht="12" customHeight="1" x14ac:dyDescent="0.2">
      <c r="AM11898" t="str">
        <f t="shared" si="186"/>
        <v>Port Colborne [CAPCO]</v>
      </c>
      <c r="AN11898" t="s">
        <v>4245</v>
      </c>
      <c r="AO11898" t="s">
        <v>4246</v>
      </c>
    </row>
    <row r="11899" spans="39:41" ht="12" customHeight="1" x14ac:dyDescent="0.2">
      <c r="AM11899" t="str">
        <f t="shared" si="186"/>
        <v>Port Credit [CAPCR]</v>
      </c>
      <c r="AN11899" t="s">
        <v>4247</v>
      </c>
      <c r="AO11899" t="s">
        <v>4248</v>
      </c>
    </row>
    <row r="11900" spans="39:41" ht="12" customHeight="1" x14ac:dyDescent="0.2">
      <c r="AM11900" t="str">
        <f t="shared" si="186"/>
        <v>Port Curtis [AUPCT]</v>
      </c>
      <c r="AN11900" t="s">
        <v>1924</v>
      </c>
      <c r="AO11900" t="s">
        <v>1925</v>
      </c>
    </row>
    <row r="11901" spans="39:41" ht="12" customHeight="1" x14ac:dyDescent="0.2">
      <c r="AM11901" t="str">
        <f t="shared" si="186"/>
        <v>Port Dalrymple [AUPTD]</v>
      </c>
      <c r="AN11901" t="s">
        <v>1926</v>
      </c>
      <c r="AO11901" t="s">
        <v>1927</v>
      </c>
    </row>
    <row r="11902" spans="39:41" ht="12" customHeight="1" x14ac:dyDescent="0.2">
      <c r="AM11902" t="str">
        <f t="shared" si="186"/>
        <v>Port de Goulee [FRPG5]</v>
      </c>
      <c r="AN11902" t="s">
        <v>11848</v>
      </c>
      <c r="AO11902" t="s">
        <v>11849</v>
      </c>
    </row>
    <row r="11903" spans="39:41" ht="12" customHeight="1" x14ac:dyDescent="0.2">
      <c r="AM11903" t="str">
        <f t="shared" si="186"/>
        <v>Port Denison [AUPDI]</v>
      </c>
      <c r="AN11903" t="s">
        <v>1928</v>
      </c>
      <c r="AO11903" t="s">
        <v>1929</v>
      </c>
    </row>
    <row r="11904" spans="39:41" ht="12" customHeight="1" x14ac:dyDescent="0.2">
      <c r="AM11904" t="str">
        <f t="shared" si="186"/>
        <v>Port Dickson [MYPDI]</v>
      </c>
      <c r="AN11904" t="s">
        <v>22699</v>
      </c>
      <c r="AO11904" t="s">
        <v>22700</v>
      </c>
    </row>
    <row r="11905" spans="39:41" ht="12" customHeight="1" x14ac:dyDescent="0.2">
      <c r="AM11905" t="str">
        <f t="shared" si="186"/>
        <v>Port Dinorwic [GBPDI]</v>
      </c>
      <c r="AN11905" t="s">
        <v>14102</v>
      </c>
      <c r="AO11905" t="s">
        <v>14103</v>
      </c>
    </row>
    <row r="11906" spans="39:41" ht="12" customHeight="1" x14ac:dyDescent="0.2">
      <c r="AM11906" t="str">
        <f t="shared" si="186"/>
        <v>Port Douglas [AUPTI]</v>
      </c>
      <c r="AN11906" t="s">
        <v>1930</v>
      </c>
      <c r="AO11906" t="s">
        <v>1931</v>
      </c>
    </row>
    <row r="11907" spans="39:41" ht="12" customHeight="1" x14ac:dyDescent="0.2">
      <c r="AM11907" t="str">
        <f t="shared" si="186"/>
        <v>Port Dover [CAPDV]</v>
      </c>
      <c r="AN11907" t="s">
        <v>4249</v>
      </c>
      <c r="AO11907" t="s">
        <v>4250</v>
      </c>
    </row>
    <row r="11908" spans="39:41" ht="12" customHeight="1" x14ac:dyDescent="0.2">
      <c r="AM11908" t="str">
        <f t="shared" si="186"/>
        <v>Port Eads [USQPR]</v>
      </c>
      <c r="AN11908" t="s">
        <v>31098</v>
      </c>
      <c r="AO11908" t="s">
        <v>31099</v>
      </c>
    </row>
    <row r="11909" spans="39:41" ht="12" customHeight="1" x14ac:dyDescent="0.2">
      <c r="AM11909" t="str">
        <f t="shared" si="186"/>
        <v>Port Edgar [GBPEG]</v>
      </c>
      <c r="AN11909" t="s">
        <v>14104</v>
      </c>
      <c r="AO11909" t="s">
        <v>14105</v>
      </c>
    </row>
    <row r="11910" spans="39:41" ht="12" customHeight="1" x14ac:dyDescent="0.2">
      <c r="AM11910" t="str">
        <f t="shared" si="186"/>
        <v>Port Edward [CAPTE]</v>
      </c>
      <c r="AN11910" t="s">
        <v>4251</v>
      </c>
      <c r="AO11910" t="s">
        <v>4252</v>
      </c>
    </row>
    <row r="11911" spans="39:41" ht="12" customHeight="1" x14ac:dyDescent="0.2">
      <c r="AM11911" t="str">
        <f t="shared" si="186"/>
        <v>Port Edward [ZAPED]</v>
      </c>
      <c r="AN11911" t="s">
        <v>32725</v>
      </c>
      <c r="AO11911" t="s">
        <v>4252</v>
      </c>
    </row>
    <row r="11912" spans="39:41" ht="12" customHeight="1" x14ac:dyDescent="0.2">
      <c r="AM11912" t="str">
        <f t="shared" si="186"/>
        <v>Port Elgin [CAPEL]</v>
      </c>
      <c r="AN11912" t="s">
        <v>4253</v>
      </c>
      <c r="AO11912" t="s">
        <v>4254</v>
      </c>
    </row>
    <row r="11913" spans="39:41" ht="12" customHeight="1" x14ac:dyDescent="0.2">
      <c r="AM11913" t="str">
        <f t="shared" si="186"/>
        <v>Port Elizabeth [USPEB]</v>
      </c>
      <c r="AN11913" t="s">
        <v>31100</v>
      </c>
      <c r="AO11913" t="s">
        <v>31101</v>
      </c>
    </row>
    <row r="11914" spans="39:41" ht="12" customHeight="1" x14ac:dyDescent="0.2">
      <c r="AM11914" t="str">
        <f t="shared" si="186"/>
        <v>Port Elizabeth [ZAPLZ]</v>
      </c>
      <c r="AN11914" t="s">
        <v>32726</v>
      </c>
      <c r="AO11914" t="s">
        <v>31101</v>
      </c>
    </row>
    <row r="11915" spans="39:41" ht="12" customHeight="1" x14ac:dyDescent="0.2">
      <c r="AM11915" t="str">
        <f t="shared" si="186"/>
        <v>Port Elizabeth, Bequia [VCBQU]</v>
      </c>
      <c r="AN11915" t="s">
        <v>32142</v>
      </c>
      <c r="AO11915" t="s">
        <v>32143</v>
      </c>
    </row>
    <row r="11916" spans="39:41" ht="12" customHeight="1" x14ac:dyDescent="0.2">
      <c r="AM11916" t="str">
        <f t="shared" si="186"/>
        <v>Port Ellen [GBPLN]</v>
      </c>
      <c r="AN11916" t="s">
        <v>14106</v>
      </c>
      <c r="AO11916" t="s">
        <v>14107</v>
      </c>
    </row>
    <row r="11917" spans="39:41" ht="12" customHeight="1" x14ac:dyDescent="0.2">
      <c r="AM11917" t="str">
        <f t="shared" si="186"/>
        <v>Port Erroll [GBRTL]</v>
      </c>
      <c r="AN11917" t="s">
        <v>14108</v>
      </c>
      <c r="AO11917" t="s">
        <v>14109</v>
      </c>
    </row>
    <row r="11918" spans="39:41" ht="12" customHeight="1" x14ac:dyDescent="0.2">
      <c r="AM11918" t="str">
        <f t="shared" si="186"/>
        <v>Port Esquivel [JMPEV]</v>
      </c>
      <c r="AN11918" t="s">
        <v>18438</v>
      </c>
      <c r="AO11918" t="s">
        <v>18439</v>
      </c>
    </row>
    <row r="11919" spans="39:41" ht="12" customHeight="1" x14ac:dyDescent="0.2">
      <c r="AM11919" t="str">
        <f t="shared" si="186"/>
        <v>Port Everglades [USPEF]</v>
      </c>
      <c r="AN11919" t="s">
        <v>31102</v>
      </c>
      <c r="AO11919" t="s">
        <v>31103</v>
      </c>
    </row>
    <row r="11920" spans="39:41" ht="12" customHeight="1" x14ac:dyDescent="0.2">
      <c r="AM11920" t="str">
        <f t="shared" si="186"/>
        <v>Port Ewen [USPE2]</v>
      </c>
      <c r="AN11920" t="s">
        <v>31104</v>
      </c>
      <c r="AO11920" t="s">
        <v>31105</v>
      </c>
    </row>
    <row r="11921" spans="39:41" ht="12" customHeight="1" x14ac:dyDescent="0.2">
      <c r="AM11921" t="str">
        <f t="shared" si="186"/>
        <v>Port Foster [AQPFS]</v>
      </c>
      <c r="AN11921" t="s">
        <v>958</v>
      </c>
      <c r="AO11921" t="s">
        <v>959</v>
      </c>
    </row>
    <row r="11922" spans="39:41" ht="12" customHeight="1" x14ac:dyDescent="0.2">
      <c r="AM11922" t="str">
        <f t="shared" si="186"/>
        <v>Port Fourchon [USFOC]</v>
      </c>
      <c r="AN11922" t="s">
        <v>31106</v>
      </c>
      <c r="AO11922" t="s">
        <v>31107</v>
      </c>
    </row>
    <row r="11923" spans="39:41" ht="12" customHeight="1" x14ac:dyDescent="0.2">
      <c r="AM11923" t="str">
        <f t="shared" si="186"/>
        <v>Port Gamble [USPGH]</v>
      </c>
      <c r="AN11923" t="s">
        <v>31108</v>
      </c>
      <c r="AO11923" t="s">
        <v>31109</v>
      </c>
    </row>
    <row r="11924" spans="39:41" ht="12" customHeight="1" x14ac:dyDescent="0.2">
      <c r="AM11924" t="str">
        <f t="shared" si="186"/>
        <v>Port Gaverne [GBPGV]</v>
      </c>
      <c r="AN11924" t="s">
        <v>14110</v>
      </c>
      <c r="AO11924" t="s">
        <v>14111</v>
      </c>
    </row>
    <row r="11925" spans="39:41" ht="12" customHeight="1" x14ac:dyDescent="0.2">
      <c r="AM11925" t="str">
        <f t="shared" si="186"/>
        <v>Port Gentil [GAPOG]</v>
      </c>
      <c r="AN11925" t="s">
        <v>12243</v>
      </c>
      <c r="AO11925" t="s">
        <v>12244</v>
      </c>
    </row>
    <row r="11926" spans="39:41" ht="12" customHeight="1" x14ac:dyDescent="0.2">
      <c r="AM11926" t="str">
        <f t="shared" si="186"/>
        <v>Port Giles [AUPGI]</v>
      </c>
      <c r="AN11926" t="s">
        <v>1932</v>
      </c>
      <c r="AO11926" t="s">
        <v>1933</v>
      </c>
    </row>
    <row r="11927" spans="39:41" ht="12" customHeight="1" x14ac:dyDescent="0.2">
      <c r="AM11927" t="str">
        <f t="shared" si="186"/>
        <v>Port Glasgow [GBPGG]</v>
      </c>
      <c r="AN11927" t="s">
        <v>14112</v>
      </c>
      <c r="AO11927" t="s">
        <v>14113</v>
      </c>
    </row>
    <row r="11928" spans="39:41" ht="12" customHeight="1" x14ac:dyDescent="0.2">
      <c r="AM11928" t="str">
        <f t="shared" si="186"/>
        <v>Port Gordon [GBPGD]</v>
      </c>
      <c r="AN11928" t="s">
        <v>14114</v>
      </c>
      <c r="AO11928" t="s">
        <v>14115</v>
      </c>
    </row>
    <row r="11929" spans="39:41" ht="12" customHeight="1" x14ac:dyDescent="0.2">
      <c r="AM11929" t="str">
        <f t="shared" si="186"/>
        <v>Port Hacking [AUT3P]</v>
      </c>
      <c r="AN11929" t="s">
        <v>34168</v>
      </c>
      <c r="AO11929" t="s">
        <v>34243</v>
      </c>
    </row>
    <row r="11930" spans="39:41" ht="12" customHeight="1" x14ac:dyDescent="0.2">
      <c r="AM11930" t="str">
        <f t="shared" si="186"/>
        <v>Port Hadlock [USABC]</v>
      </c>
      <c r="AN11930" t="s">
        <v>31110</v>
      </c>
      <c r="AO11930" t="s">
        <v>31111</v>
      </c>
    </row>
    <row r="11931" spans="39:41" ht="12" customHeight="1" x14ac:dyDescent="0.2">
      <c r="AM11931" t="str">
        <f t="shared" si="186"/>
        <v>Port Harcourt [NGPHC]</v>
      </c>
      <c r="AN11931" t="s">
        <v>22972</v>
      </c>
      <c r="AO11931" t="s">
        <v>22973</v>
      </c>
    </row>
    <row r="11932" spans="39:41" ht="12" customHeight="1" x14ac:dyDescent="0.2">
      <c r="AM11932" t="str">
        <f t="shared" si="186"/>
        <v>Port Hardy [CAPHY]</v>
      </c>
      <c r="AN11932" t="s">
        <v>4255</v>
      </c>
      <c r="AO11932" t="s">
        <v>4256</v>
      </c>
    </row>
    <row r="11933" spans="39:41" ht="12" customHeight="1" x14ac:dyDescent="0.2">
      <c r="AM11933" t="str">
        <f t="shared" si="186"/>
        <v>Port Hawkesbury [CAPHW]</v>
      </c>
      <c r="AN11933" t="s">
        <v>4257</v>
      </c>
      <c r="AO11933" t="s">
        <v>4258</v>
      </c>
    </row>
    <row r="11934" spans="39:41" ht="12" customHeight="1" x14ac:dyDescent="0.2">
      <c r="AM11934" t="str">
        <f t="shared" si="186"/>
        <v>Port Hedland [AUPHE]</v>
      </c>
      <c r="AN11934" t="s">
        <v>1934</v>
      </c>
      <c r="AO11934" t="s">
        <v>1935</v>
      </c>
    </row>
    <row r="11935" spans="39:41" ht="12" customHeight="1" x14ac:dyDescent="0.2">
      <c r="AM11935" t="str">
        <f t="shared" si="186"/>
        <v>Port Henderson [JMPHE]</v>
      </c>
      <c r="AN11935" t="s">
        <v>18440</v>
      </c>
      <c r="AO11935" t="s">
        <v>18441</v>
      </c>
    </row>
    <row r="11936" spans="39:41" ht="12" customHeight="1" x14ac:dyDescent="0.2">
      <c r="AM11936" t="str">
        <f t="shared" si="186"/>
        <v>Port Holland [PHPHD]</v>
      </c>
      <c r="AN11936" t="s">
        <v>26067</v>
      </c>
      <c r="AO11936" t="s">
        <v>26068</v>
      </c>
    </row>
    <row r="11937" spans="39:41" ht="12" customHeight="1" x14ac:dyDescent="0.2">
      <c r="AM11937" t="str">
        <f t="shared" si="186"/>
        <v>Port Hope [CAOPE]</v>
      </c>
      <c r="AN11937" t="s">
        <v>4259</v>
      </c>
      <c r="AO11937" t="s">
        <v>4260</v>
      </c>
    </row>
    <row r="11938" spans="39:41" ht="12" customHeight="1" x14ac:dyDescent="0.2">
      <c r="AM11938" t="str">
        <f t="shared" si="186"/>
        <v>Port Hueneme [USNTD]</v>
      </c>
      <c r="AN11938" t="s">
        <v>31112</v>
      </c>
      <c r="AO11938" t="s">
        <v>31113</v>
      </c>
    </row>
    <row r="11939" spans="39:41" ht="12" customHeight="1" x14ac:dyDescent="0.2">
      <c r="AM11939" t="str">
        <f t="shared" si="186"/>
        <v>Port Huon [AUPHU]</v>
      </c>
      <c r="AN11939" t="s">
        <v>1936</v>
      </c>
      <c r="AO11939" t="s">
        <v>1937</v>
      </c>
    </row>
    <row r="11940" spans="39:41" ht="12" customHeight="1" x14ac:dyDescent="0.2">
      <c r="AM11940" t="str">
        <f t="shared" si="186"/>
        <v>Port Huron [USPHN]</v>
      </c>
      <c r="AN11940" t="s">
        <v>31114</v>
      </c>
      <c r="AO11940" t="s">
        <v>31115</v>
      </c>
    </row>
    <row r="11941" spans="39:41" ht="12" customHeight="1" x14ac:dyDescent="0.2">
      <c r="AM11941" t="str">
        <f t="shared" si="186"/>
        <v>Port Ibrahim [EGPIB]</v>
      </c>
      <c r="AN11941" t="s">
        <v>9506</v>
      </c>
      <c r="AO11941" t="s">
        <v>9507</v>
      </c>
    </row>
    <row r="11942" spans="39:41" ht="12" customHeight="1" x14ac:dyDescent="0.2">
      <c r="AM11942" t="str">
        <f t="shared" si="186"/>
        <v>Port Indai [INPID]</v>
      </c>
      <c r="AN11942" t="s">
        <v>17393</v>
      </c>
      <c r="AO11942" t="s">
        <v>17394</v>
      </c>
    </row>
    <row r="11943" spans="39:41" ht="12" customHeight="1" x14ac:dyDescent="0.2">
      <c r="AM11943" t="str">
        <f t="shared" si="186"/>
        <v>Port Irene [PHIRN]</v>
      </c>
      <c r="AN11943" t="s">
        <v>26069</v>
      </c>
      <c r="AO11943" t="s">
        <v>26070</v>
      </c>
    </row>
    <row r="11944" spans="39:41" ht="12" customHeight="1" x14ac:dyDescent="0.2">
      <c r="AM11944" t="str">
        <f t="shared" si="186"/>
        <v>Port Isaac [GBISA]</v>
      </c>
      <c r="AN11944" t="s">
        <v>14116</v>
      </c>
      <c r="AO11944" t="s">
        <v>14117</v>
      </c>
    </row>
    <row r="11945" spans="39:41" ht="12" customHeight="1" x14ac:dyDescent="0.2">
      <c r="AM11945" t="str">
        <f t="shared" si="186"/>
        <v>Port Isabel [MXPIB]</v>
      </c>
      <c r="AN11945" t="s">
        <v>22412</v>
      </c>
      <c r="AO11945" t="s">
        <v>22413</v>
      </c>
    </row>
    <row r="11946" spans="39:41" ht="12" customHeight="1" x14ac:dyDescent="0.2">
      <c r="AM11946" t="str">
        <f t="shared" si="186"/>
        <v>Port Isabel [USPIS]</v>
      </c>
      <c r="AN11946" t="s">
        <v>31116</v>
      </c>
      <c r="AO11946" t="s">
        <v>22413</v>
      </c>
    </row>
    <row r="11947" spans="39:41" ht="12" customHeight="1" x14ac:dyDescent="0.2">
      <c r="AM11947" t="str">
        <f t="shared" si="186"/>
        <v>Port Jackson [AUPJK]</v>
      </c>
      <c r="AN11947" t="s">
        <v>1938</v>
      </c>
      <c r="AO11947" t="s">
        <v>1939</v>
      </c>
    </row>
    <row r="11948" spans="39:41" ht="12" customHeight="1" x14ac:dyDescent="0.2">
      <c r="AM11948" t="str">
        <f t="shared" si="186"/>
        <v>Port Jefferson [USPTJ]</v>
      </c>
      <c r="AN11948" t="s">
        <v>31117</v>
      </c>
      <c r="AO11948" t="s">
        <v>31118</v>
      </c>
    </row>
    <row r="11949" spans="39:41" ht="12" customHeight="1" x14ac:dyDescent="0.2">
      <c r="AM11949" t="str">
        <f t="shared" si="186"/>
        <v>Port Kaiser [JMPKS]</v>
      </c>
      <c r="AN11949" t="s">
        <v>18442</v>
      </c>
      <c r="AO11949" t="s">
        <v>18443</v>
      </c>
    </row>
    <row r="11950" spans="39:41" ht="12" customHeight="1" x14ac:dyDescent="0.2">
      <c r="AM11950" t="str">
        <f t="shared" ref="AM11950:AM12013" si="187">AO11950 &amp; " [" &amp; AN11950 &amp; "]"</f>
        <v>Port Kembla [AUPKL]</v>
      </c>
      <c r="AN11950" t="s">
        <v>1940</v>
      </c>
      <c r="AO11950" t="s">
        <v>1941</v>
      </c>
    </row>
    <row r="11951" spans="39:41" ht="12" customHeight="1" x14ac:dyDescent="0.2">
      <c r="AM11951" t="str">
        <f t="shared" si="187"/>
        <v>Port Kenny [AUPKY]</v>
      </c>
      <c r="AN11951" t="s">
        <v>1942</v>
      </c>
      <c r="AO11951" t="s">
        <v>1943</v>
      </c>
    </row>
    <row r="11952" spans="39:41" ht="12" customHeight="1" x14ac:dyDescent="0.2">
      <c r="AM11952" t="str">
        <f t="shared" si="187"/>
        <v>Port Klang (Ferry Port) [MYXPQ]</v>
      </c>
      <c r="AN11952" t="s">
        <v>22701</v>
      </c>
      <c r="AO11952" t="s">
        <v>22702</v>
      </c>
    </row>
    <row r="11953" spans="39:41" ht="12" customHeight="1" x14ac:dyDescent="0.2">
      <c r="AM11953" t="str">
        <f t="shared" si="187"/>
        <v>Port Klang (Pelabuhan Klang) [MYPKG]</v>
      </c>
      <c r="AN11953" t="s">
        <v>22703</v>
      </c>
      <c r="AO11953" t="s">
        <v>22704</v>
      </c>
    </row>
    <row r="11954" spans="39:41" ht="12" customHeight="1" x14ac:dyDescent="0.2">
      <c r="AM11954" t="str">
        <f t="shared" si="187"/>
        <v>Port Latta [AUPLA]</v>
      </c>
      <c r="AN11954" t="s">
        <v>1944</v>
      </c>
      <c r="AO11954" t="s">
        <v>1945</v>
      </c>
    </row>
    <row r="11955" spans="39:41" ht="12" customHeight="1" x14ac:dyDescent="0.2">
      <c r="AM11955" t="str">
        <f t="shared" si="187"/>
        <v>Port Laudania [USJDT]</v>
      </c>
      <c r="AN11955" t="s">
        <v>31119</v>
      </c>
      <c r="AO11955" t="s">
        <v>31120</v>
      </c>
    </row>
    <row r="11956" spans="39:41" ht="12" customHeight="1" x14ac:dyDescent="0.2">
      <c r="AM11956" t="str">
        <f t="shared" si="187"/>
        <v>Port Lavaca [USPLV]</v>
      </c>
      <c r="AN11956" t="s">
        <v>31121</v>
      </c>
      <c r="AO11956" t="s">
        <v>31122</v>
      </c>
    </row>
    <row r="11957" spans="39:41" ht="12" customHeight="1" x14ac:dyDescent="0.2">
      <c r="AM11957" t="str">
        <f t="shared" si="187"/>
        <v>Port Lincoln [AUPLO]</v>
      </c>
      <c r="AN11957" t="s">
        <v>1946</v>
      </c>
      <c r="AO11957" t="s">
        <v>1947</v>
      </c>
    </row>
    <row r="11958" spans="39:41" ht="12" customHeight="1" x14ac:dyDescent="0.2">
      <c r="AM11958" t="str">
        <f t="shared" si="187"/>
        <v>Port Logan [GBPOG]</v>
      </c>
      <c r="AN11958" t="s">
        <v>14118</v>
      </c>
      <c r="AO11958" t="s">
        <v>14119</v>
      </c>
    </row>
    <row r="11959" spans="39:41" ht="12" customHeight="1" x14ac:dyDescent="0.2">
      <c r="AM11959" t="str">
        <f t="shared" si="187"/>
        <v>Port Louis [MUPLU]</v>
      </c>
      <c r="AN11959" t="s">
        <v>22284</v>
      </c>
      <c r="AO11959" t="s">
        <v>22285</v>
      </c>
    </row>
    <row r="11960" spans="39:41" ht="12" customHeight="1" x14ac:dyDescent="0.2">
      <c r="AM11960" t="str">
        <f t="shared" si="187"/>
        <v>Port Ludlow [USPLU]</v>
      </c>
      <c r="AN11960" t="s">
        <v>31123</v>
      </c>
      <c r="AO11960" t="s">
        <v>31124</v>
      </c>
    </row>
    <row r="11961" spans="39:41" ht="12" customHeight="1" x14ac:dyDescent="0.2">
      <c r="AM11961" t="str">
        <f t="shared" si="187"/>
        <v>Port MacKenzie [USPMV]</v>
      </c>
      <c r="AN11961" t="s">
        <v>31125</v>
      </c>
      <c r="AO11961" t="s">
        <v>31126</v>
      </c>
    </row>
    <row r="11962" spans="39:41" ht="12" customHeight="1" x14ac:dyDescent="0.2">
      <c r="AM11962" t="str">
        <f t="shared" si="187"/>
        <v>Port Macquarie [AUPQQ]</v>
      </c>
      <c r="AN11962" t="s">
        <v>1948</v>
      </c>
      <c r="AO11962" t="s">
        <v>1949</v>
      </c>
    </row>
    <row r="11963" spans="39:41" ht="12" customHeight="1" x14ac:dyDescent="0.2">
      <c r="AM11963" t="str">
        <f t="shared" si="187"/>
        <v>Port Madison [USPDI]</v>
      </c>
      <c r="AN11963" t="s">
        <v>31127</v>
      </c>
      <c r="AO11963" t="s">
        <v>31128</v>
      </c>
    </row>
    <row r="11964" spans="39:41" ht="12" customHeight="1" x14ac:dyDescent="0.2">
      <c r="AM11964" t="str">
        <f t="shared" si="187"/>
        <v>Port Manatee [USPME]</v>
      </c>
      <c r="AN11964" t="s">
        <v>31129</v>
      </c>
      <c r="AO11964" t="s">
        <v>31130</v>
      </c>
    </row>
    <row r="11965" spans="39:41" ht="12" customHeight="1" x14ac:dyDescent="0.2">
      <c r="AM11965" t="str">
        <f t="shared" si="187"/>
        <v>Port Manec'h [FRPM6]</v>
      </c>
      <c r="AN11965" t="s">
        <v>11850</v>
      </c>
      <c r="AO11965" t="s">
        <v>11851</v>
      </c>
    </row>
    <row r="11966" spans="39:41" ht="12" customHeight="1" x14ac:dyDescent="0.2">
      <c r="AM11966" t="str">
        <f t="shared" si="187"/>
        <v>Port Mathurin [MUPMA]</v>
      </c>
      <c r="AN11966" t="s">
        <v>22286</v>
      </c>
      <c r="AO11966" t="s">
        <v>22287</v>
      </c>
    </row>
    <row r="11967" spans="39:41" ht="12" customHeight="1" x14ac:dyDescent="0.2">
      <c r="AM11967" t="str">
        <f t="shared" si="187"/>
        <v>Port McNeill [CAPMA]</v>
      </c>
      <c r="AN11967" t="s">
        <v>4261</v>
      </c>
      <c r="AO11967" t="s">
        <v>4262</v>
      </c>
    </row>
    <row r="11968" spans="39:41" ht="12" customHeight="1" x14ac:dyDescent="0.2">
      <c r="AM11968" t="str">
        <f t="shared" si="187"/>
        <v>Port Melbourne [AUPOR]</v>
      </c>
      <c r="AN11968" t="s">
        <v>1950</v>
      </c>
      <c r="AO11968" t="s">
        <v>1951</v>
      </c>
    </row>
    <row r="11969" spans="39:41" ht="12" customHeight="1" x14ac:dyDescent="0.2">
      <c r="AM11969" t="str">
        <f t="shared" si="187"/>
        <v>Port Mellon [CAPML]</v>
      </c>
      <c r="AN11969" t="s">
        <v>4263</v>
      </c>
      <c r="AO11969" t="s">
        <v>4264</v>
      </c>
    </row>
    <row r="11970" spans="39:41" ht="12" customHeight="1" x14ac:dyDescent="0.2">
      <c r="AM11970" t="str">
        <f t="shared" si="187"/>
        <v>Port Meneng [IDPMG]</v>
      </c>
      <c r="AN11970" t="s">
        <v>16523</v>
      </c>
      <c r="AO11970" t="s">
        <v>16524</v>
      </c>
    </row>
    <row r="11971" spans="39:41" ht="12" customHeight="1" x14ac:dyDescent="0.2">
      <c r="AM11971" t="str">
        <f t="shared" si="187"/>
        <v>Port Monmouth [USPM3]</v>
      </c>
      <c r="AN11971" t="s">
        <v>31131</v>
      </c>
      <c r="AO11971" t="s">
        <v>31132</v>
      </c>
    </row>
    <row r="11972" spans="39:41" ht="12" customHeight="1" x14ac:dyDescent="0.2">
      <c r="AM11972" t="str">
        <f t="shared" si="187"/>
        <v>Port Moody/Vancouver [CAPMO]</v>
      </c>
      <c r="AN11972" t="s">
        <v>4265</v>
      </c>
      <c r="AO11972" t="s">
        <v>4266</v>
      </c>
    </row>
    <row r="11973" spans="39:41" ht="12" customHeight="1" x14ac:dyDescent="0.2">
      <c r="AM11973" t="str">
        <f t="shared" si="187"/>
        <v>Port Mor, Muck [GBPMR]</v>
      </c>
      <c r="AN11973" t="s">
        <v>14120</v>
      </c>
      <c r="AO11973" t="s">
        <v>14121</v>
      </c>
    </row>
    <row r="11974" spans="39:41" ht="12" customHeight="1" x14ac:dyDescent="0.2">
      <c r="AM11974" t="str">
        <f t="shared" si="187"/>
        <v>Port Morant [JMPMO]</v>
      </c>
      <c r="AN11974" t="s">
        <v>18444</v>
      </c>
      <c r="AO11974" t="s">
        <v>18445</v>
      </c>
    </row>
    <row r="11975" spans="39:41" ht="12" customHeight="1" x14ac:dyDescent="0.2">
      <c r="AM11975" t="str">
        <f t="shared" si="187"/>
        <v>Port Moresby [PGPOM]</v>
      </c>
      <c r="AN11975" t="s">
        <v>25450</v>
      </c>
      <c r="AO11975" t="s">
        <v>25451</v>
      </c>
    </row>
    <row r="11976" spans="39:41" ht="12" customHeight="1" x14ac:dyDescent="0.2">
      <c r="AM11976" t="str">
        <f t="shared" si="187"/>
        <v>Port Morris, Bronx [USPM4]</v>
      </c>
      <c r="AN11976" t="s">
        <v>31133</v>
      </c>
      <c r="AO11976" t="s">
        <v>31134</v>
      </c>
    </row>
    <row r="11977" spans="39:41" ht="12" customHeight="1" x14ac:dyDescent="0.2">
      <c r="AM11977" t="str">
        <f t="shared" si="187"/>
        <v>Port Murray [USURR]</v>
      </c>
      <c r="AN11977" t="s">
        <v>31135</v>
      </c>
      <c r="AO11977" t="s">
        <v>31136</v>
      </c>
    </row>
    <row r="11978" spans="39:41" ht="12" customHeight="1" x14ac:dyDescent="0.2">
      <c r="AM11978" t="str">
        <f t="shared" si="187"/>
        <v>Port Nelson [CAPNE]</v>
      </c>
      <c r="AN11978" t="s">
        <v>4267</v>
      </c>
      <c r="AO11978" t="s">
        <v>4268</v>
      </c>
    </row>
    <row r="11979" spans="39:41" ht="12" customHeight="1" x14ac:dyDescent="0.2">
      <c r="AM11979" t="str">
        <f t="shared" si="187"/>
        <v>Port Nelson [NZPON]</v>
      </c>
      <c r="AN11979" t="s">
        <v>25099</v>
      </c>
      <c r="AO11979" t="s">
        <v>4268</v>
      </c>
    </row>
    <row r="11980" spans="39:41" ht="12" customHeight="1" x14ac:dyDescent="0.2">
      <c r="AM11980" t="str">
        <f t="shared" si="187"/>
        <v>Port Newark [USPNJ]</v>
      </c>
      <c r="AN11980" t="s">
        <v>31137</v>
      </c>
      <c r="AO11980" t="s">
        <v>31138</v>
      </c>
    </row>
    <row r="11981" spans="39:41" ht="12" customHeight="1" x14ac:dyDescent="0.2">
      <c r="AM11981" t="str">
        <f t="shared" si="187"/>
        <v>Port Nolloth [ZANOL]</v>
      </c>
      <c r="AN11981" t="s">
        <v>32727</v>
      </c>
      <c r="AO11981" t="s">
        <v>32728</v>
      </c>
    </row>
    <row r="11982" spans="39:41" ht="12" customHeight="1" x14ac:dyDescent="0.2">
      <c r="AM11982" t="str">
        <f t="shared" si="187"/>
        <v>Port of Brisbane [AUPBN]</v>
      </c>
      <c r="AN11982" t="s">
        <v>1952</v>
      </c>
      <c r="AO11982" t="s">
        <v>1953</v>
      </c>
    </row>
    <row r="11983" spans="39:41" ht="12" customHeight="1" x14ac:dyDescent="0.2">
      <c r="AM11983" t="str">
        <f t="shared" si="187"/>
        <v>Port of Karasu [TRKSP]</v>
      </c>
      <c r="AN11983" t="s">
        <v>33946</v>
      </c>
      <c r="AO11983" t="s">
        <v>34068</v>
      </c>
    </row>
    <row r="11984" spans="39:41" ht="12" customHeight="1" x14ac:dyDescent="0.2">
      <c r="AM11984" t="str">
        <f t="shared" si="187"/>
        <v>Port of Ngqura [ZANGQ]</v>
      </c>
      <c r="AN11984" t="s">
        <v>35013</v>
      </c>
      <c r="AO11984" t="s">
        <v>35014</v>
      </c>
    </row>
    <row r="11985" spans="39:41" ht="12" customHeight="1" x14ac:dyDescent="0.2">
      <c r="AM11985" t="str">
        <f t="shared" si="187"/>
        <v>Port Of South Louisiana [USLU8]</v>
      </c>
      <c r="AN11985" t="s">
        <v>34225</v>
      </c>
      <c r="AO11985" t="s">
        <v>34293</v>
      </c>
    </row>
    <row r="11986" spans="39:41" ht="12" customHeight="1" x14ac:dyDescent="0.2">
      <c r="AM11986" t="str">
        <f t="shared" si="187"/>
        <v>Port Orchard [USQOC]</v>
      </c>
      <c r="AN11986" t="s">
        <v>31139</v>
      </c>
      <c r="AO11986" t="s">
        <v>31140</v>
      </c>
    </row>
    <row r="11987" spans="39:41" ht="12" customHeight="1" x14ac:dyDescent="0.2">
      <c r="AM11987" t="str">
        <f t="shared" si="187"/>
        <v>Port Orford [USPO2]</v>
      </c>
      <c r="AN11987" t="s">
        <v>31141</v>
      </c>
      <c r="AO11987" t="s">
        <v>31142</v>
      </c>
    </row>
    <row r="11988" spans="39:41" ht="12" customHeight="1" x14ac:dyDescent="0.2">
      <c r="AM11988" t="str">
        <f t="shared" si="187"/>
        <v>Port Penrhyn [GBPPE]</v>
      </c>
      <c r="AN11988" t="s">
        <v>14122</v>
      </c>
      <c r="AO11988" t="s">
        <v>14123</v>
      </c>
    </row>
    <row r="11989" spans="39:41" ht="12" customHeight="1" x14ac:dyDescent="0.2">
      <c r="AM11989" t="str">
        <f t="shared" si="187"/>
        <v>Port Perry [CAPRP]</v>
      </c>
      <c r="AN11989" t="s">
        <v>4269</v>
      </c>
      <c r="AO11989" t="s">
        <v>4270</v>
      </c>
    </row>
    <row r="11990" spans="39:41" ht="12" customHeight="1" x14ac:dyDescent="0.2">
      <c r="AM11990" t="str">
        <f t="shared" si="187"/>
        <v>Port Pipavav [INPPV]</v>
      </c>
      <c r="AN11990" t="s">
        <v>17395</v>
      </c>
      <c r="AO11990" t="s">
        <v>17396</v>
      </c>
    </row>
    <row r="11991" spans="39:41" ht="12" customHeight="1" x14ac:dyDescent="0.2">
      <c r="AM11991" t="str">
        <f t="shared" si="187"/>
        <v>Port Pirie [AUPPI]</v>
      </c>
      <c r="AN11991" t="s">
        <v>1954</v>
      </c>
      <c r="AO11991" t="s">
        <v>1955</v>
      </c>
    </row>
    <row r="11992" spans="39:41" ht="12" customHeight="1" x14ac:dyDescent="0.2">
      <c r="AM11992" t="str">
        <f t="shared" si="187"/>
        <v>Port Purcell [VGPUR]</v>
      </c>
      <c r="AN11992" t="s">
        <v>32270</v>
      </c>
      <c r="AO11992" t="s">
        <v>32271</v>
      </c>
    </row>
    <row r="11993" spans="39:41" ht="12" customHeight="1" x14ac:dyDescent="0.2">
      <c r="AM11993" t="str">
        <f t="shared" si="187"/>
        <v>Port Qaboos [OMOPQ]</v>
      </c>
      <c r="AN11993" t="s">
        <v>25155</v>
      </c>
      <c r="AO11993" t="s">
        <v>25156</v>
      </c>
    </row>
    <row r="11994" spans="39:41" ht="12" customHeight="1" x14ac:dyDescent="0.2">
      <c r="AM11994" t="str">
        <f t="shared" si="187"/>
        <v>Port Rashid [AEPRA]</v>
      </c>
      <c r="AN11994" t="s">
        <v>764</v>
      </c>
      <c r="AO11994" t="s">
        <v>765</v>
      </c>
    </row>
    <row r="11995" spans="39:41" ht="12" customHeight="1" x14ac:dyDescent="0.2">
      <c r="AM11995" t="str">
        <f t="shared" si="187"/>
        <v>Port Republic [USYPR]</v>
      </c>
      <c r="AN11995" t="s">
        <v>31143</v>
      </c>
      <c r="AO11995" t="s">
        <v>31144</v>
      </c>
    </row>
    <row r="11996" spans="39:41" ht="12" customHeight="1" x14ac:dyDescent="0.2">
      <c r="AM11996" t="str">
        <f t="shared" si="187"/>
        <v>Port Rhoades [JMPRH]</v>
      </c>
      <c r="AN11996" t="s">
        <v>18446</v>
      </c>
      <c r="AO11996" t="s">
        <v>18447</v>
      </c>
    </row>
    <row r="11997" spans="39:41" ht="12" customHeight="1" x14ac:dyDescent="0.2">
      <c r="AM11997" t="str">
        <f t="shared" si="187"/>
        <v>Port Richmond [USRI4]</v>
      </c>
      <c r="AN11997" t="s">
        <v>31145</v>
      </c>
      <c r="AO11997" t="s">
        <v>31146</v>
      </c>
    </row>
    <row r="11998" spans="39:41" ht="12" customHeight="1" x14ac:dyDescent="0.2">
      <c r="AM11998" t="str">
        <f t="shared" si="187"/>
        <v>Port Royal [JMPRO]</v>
      </c>
      <c r="AN11998" t="s">
        <v>18448</v>
      </c>
      <c r="AO11998" t="s">
        <v>18449</v>
      </c>
    </row>
    <row r="11999" spans="39:41" ht="12" customHeight="1" x14ac:dyDescent="0.2">
      <c r="AM11999" t="str">
        <f t="shared" si="187"/>
        <v>Port Said [EGPSD]</v>
      </c>
      <c r="AN11999" t="s">
        <v>9508</v>
      </c>
      <c r="AO11999" t="s">
        <v>9509</v>
      </c>
    </row>
    <row r="12000" spans="39:41" ht="12" customHeight="1" x14ac:dyDescent="0.2">
      <c r="AM12000" t="str">
        <f t="shared" si="187"/>
        <v>Port Said East [EGPSE]</v>
      </c>
      <c r="AN12000" t="s">
        <v>9510</v>
      </c>
      <c r="AO12000" t="s">
        <v>9511</v>
      </c>
    </row>
    <row r="12001" spans="39:41" ht="12" customHeight="1" x14ac:dyDescent="0.2">
      <c r="AM12001" t="str">
        <f t="shared" si="187"/>
        <v>Port Saint Joe [USPSJ]</v>
      </c>
      <c r="AN12001" t="s">
        <v>31147</v>
      </c>
      <c r="AO12001" t="s">
        <v>31148</v>
      </c>
    </row>
    <row r="12002" spans="39:41" ht="12" customHeight="1" x14ac:dyDescent="0.2">
      <c r="AM12002" t="str">
        <f t="shared" si="187"/>
        <v>Port Saint John's [ZAJOH]</v>
      </c>
      <c r="AN12002" t="s">
        <v>32729</v>
      </c>
      <c r="AO12002" t="s">
        <v>32730</v>
      </c>
    </row>
    <row r="12003" spans="39:41" ht="12" customHeight="1" x14ac:dyDescent="0.2">
      <c r="AM12003" t="str">
        <f t="shared" si="187"/>
        <v>Port Saint Louis [MGPSL]</v>
      </c>
      <c r="AN12003" t="s">
        <v>22148</v>
      </c>
      <c r="AO12003" t="s">
        <v>22149</v>
      </c>
    </row>
    <row r="12004" spans="39:41" ht="12" customHeight="1" x14ac:dyDescent="0.2">
      <c r="AM12004" t="str">
        <f t="shared" si="187"/>
        <v>Port Saint Mary [GBPSM]</v>
      </c>
      <c r="AN12004" t="s">
        <v>14124</v>
      </c>
      <c r="AO12004" t="s">
        <v>14125</v>
      </c>
    </row>
    <row r="12005" spans="39:41" ht="12" customHeight="1" x14ac:dyDescent="0.2">
      <c r="AM12005" t="str">
        <f t="shared" si="187"/>
        <v>Port Saint Mary [IMPSM]</v>
      </c>
      <c r="AN12005" t="s">
        <v>35015</v>
      </c>
      <c r="AO12005" t="s">
        <v>14125</v>
      </c>
    </row>
    <row r="12006" spans="39:41" ht="12" customHeight="1" x14ac:dyDescent="0.2">
      <c r="AM12006" t="str">
        <f t="shared" si="187"/>
        <v>Port San Luis [USPSL]</v>
      </c>
      <c r="AN12006" t="s">
        <v>31149</v>
      </c>
      <c r="AO12006" t="s">
        <v>31150</v>
      </c>
    </row>
    <row r="12007" spans="39:41" ht="12" customHeight="1" x14ac:dyDescent="0.2">
      <c r="AM12007" t="str">
        <f t="shared" si="187"/>
        <v>Port Sandwich [VUPSA]</v>
      </c>
      <c r="AN12007" t="s">
        <v>32530</v>
      </c>
      <c r="AO12007" t="s">
        <v>32531</v>
      </c>
    </row>
    <row r="12008" spans="39:41" ht="12" customHeight="1" x14ac:dyDescent="0.2">
      <c r="AM12008" t="str">
        <f t="shared" si="187"/>
        <v>Port Segoro Fajar Satryo/Jakarta [IDSGO]</v>
      </c>
      <c r="AN12008" t="s">
        <v>16525</v>
      </c>
      <c r="AO12008" t="s">
        <v>16526</v>
      </c>
    </row>
    <row r="12009" spans="39:41" ht="12" customHeight="1" x14ac:dyDescent="0.2">
      <c r="AM12009" t="str">
        <f t="shared" si="187"/>
        <v>Port Seton [GBPSE]</v>
      </c>
      <c r="AN12009" t="s">
        <v>14126</v>
      </c>
      <c r="AO12009" t="s">
        <v>14127</v>
      </c>
    </row>
    <row r="12010" spans="39:41" ht="12" customHeight="1" x14ac:dyDescent="0.2">
      <c r="AM12010" t="str">
        <f t="shared" si="187"/>
        <v>Port Simpson [CAPSI]</v>
      </c>
      <c r="AN12010" t="s">
        <v>4271</v>
      </c>
      <c r="AO12010" t="s">
        <v>4272</v>
      </c>
    </row>
    <row r="12011" spans="39:41" ht="12" customHeight="1" x14ac:dyDescent="0.2">
      <c r="AM12011" t="str">
        <f t="shared" si="187"/>
        <v>Port Stanley [AUPSY]</v>
      </c>
      <c r="AN12011" t="s">
        <v>1956</v>
      </c>
      <c r="AO12011" t="s">
        <v>1957</v>
      </c>
    </row>
    <row r="12012" spans="39:41" ht="12" customHeight="1" x14ac:dyDescent="0.2">
      <c r="AM12012" t="str">
        <f t="shared" si="187"/>
        <v>Port Stanley [CAPST]</v>
      </c>
      <c r="AN12012" t="s">
        <v>4273</v>
      </c>
      <c r="AO12012" t="s">
        <v>1957</v>
      </c>
    </row>
    <row r="12013" spans="39:41" ht="12" customHeight="1" x14ac:dyDescent="0.2">
      <c r="AM12013" t="str">
        <f t="shared" si="187"/>
        <v>Port Stanley [FKPSY]</v>
      </c>
      <c r="AN12013" t="s">
        <v>10640</v>
      </c>
      <c r="AO12013" t="s">
        <v>1957</v>
      </c>
    </row>
    <row r="12014" spans="39:41" ht="12" customHeight="1" x14ac:dyDescent="0.2">
      <c r="AM12014" t="str">
        <f t="shared" ref="AM12014:AM12076" si="188">AO12014 &amp; " [" &amp; AN12014 &amp; "]"</f>
        <v>Port Stanvac [AUPST]</v>
      </c>
      <c r="AN12014" t="s">
        <v>1958</v>
      </c>
      <c r="AO12014" t="s">
        <v>1959</v>
      </c>
    </row>
    <row r="12015" spans="39:41" ht="12" customHeight="1" x14ac:dyDescent="0.2">
      <c r="AM12015" t="str">
        <f t="shared" si="188"/>
        <v>Port Sudan [SDPZU]</v>
      </c>
      <c r="AN12015" t="s">
        <v>27473</v>
      </c>
      <c r="AO12015" t="s">
        <v>27474</v>
      </c>
    </row>
    <row r="12016" spans="39:41" ht="12" customHeight="1" x14ac:dyDescent="0.2">
      <c r="AM12016" t="str">
        <f t="shared" si="188"/>
        <v>Port Sulphur [USSUL]</v>
      </c>
      <c r="AN12016" t="s">
        <v>31151</v>
      </c>
      <c r="AO12016" t="s">
        <v>31152</v>
      </c>
    </row>
    <row r="12017" spans="39:41" ht="12" customHeight="1" x14ac:dyDescent="0.2">
      <c r="AM12017" t="str">
        <f t="shared" si="188"/>
        <v>Port Sultan [OMSUL]</v>
      </c>
      <c r="AN12017" t="s">
        <v>25157</v>
      </c>
      <c r="AO12017" t="s">
        <v>25158</v>
      </c>
    </row>
    <row r="12018" spans="39:41" ht="12" customHeight="1" x14ac:dyDescent="0.2">
      <c r="AM12018" t="str">
        <f t="shared" si="188"/>
        <v>Port Sunlight [GBPSU]</v>
      </c>
      <c r="AN12018" t="s">
        <v>14128</v>
      </c>
      <c r="AO12018" t="s">
        <v>14129</v>
      </c>
    </row>
    <row r="12019" spans="39:41" ht="12" customHeight="1" x14ac:dyDescent="0.2">
      <c r="AM12019" t="str">
        <f t="shared" si="188"/>
        <v>Port Talbot [GBPTB]</v>
      </c>
      <c r="AN12019" t="s">
        <v>14130</v>
      </c>
      <c r="AO12019" t="s">
        <v>14131</v>
      </c>
    </row>
    <row r="12020" spans="39:41" ht="12" customHeight="1" x14ac:dyDescent="0.2">
      <c r="AM12020" t="str">
        <f t="shared" si="188"/>
        <v>Port Tewfik [EGPTK]</v>
      </c>
      <c r="AN12020" t="s">
        <v>9512</v>
      </c>
      <c r="AO12020" t="s">
        <v>9513</v>
      </c>
    </row>
    <row r="12021" spans="39:41" ht="12" customHeight="1" x14ac:dyDescent="0.2">
      <c r="AM12021" t="str">
        <f t="shared" si="188"/>
        <v>Port Townsend [USTWD]</v>
      </c>
      <c r="AN12021" t="s">
        <v>31153</v>
      </c>
      <c r="AO12021" t="s">
        <v>31154</v>
      </c>
    </row>
    <row r="12022" spans="39:41" ht="12" customHeight="1" x14ac:dyDescent="0.2">
      <c r="AM12022" t="str">
        <f t="shared" si="188"/>
        <v>Port Vathy (Vathy) [GRVTH]</v>
      </c>
      <c r="AN12022" t="s">
        <v>15464</v>
      </c>
      <c r="AO12022" t="s">
        <v>35963</v>
      </c>
    </row>
    <row r="12023" spans="39:41" ht="12" customHeight="1" x14ac:dyDescent="0.2">
      <c r="AM12023" t="str">
        <f t="shared" si="188"/>
        <v>Port Victoria [SCPOV]</v>
      </c>
      <c r="AN12023" t="s">
        <v>27468</v>
      </c>
      <c r="AO12023" t="s">
        <v>27469</v>
      </c>
    </row>
    <row r="12024" spans="39:41" ht="12" customHeight="1" x14ac:dyDescent="0.2">
      <c r="AM12024" t="str">
        <f t="shared" si="188"/>
        <v>Port Vila [VUVLI]</v>
      </c>
      <c r="AN12024" t="s">
        <v>32532</v>
      </c>
      <c r="AO12024" t="s">
        <v>32533</v>
      </c>
    </row>
    <row r="12025" spans="39:41" ht="12" customHeight="1" x14ac:dyDescent="0.2">
      <c r="AM12025" t="str">
        <f t="shared" si="188"/>
        <v>Port Walcott [AUPWL]</v>
      </c>
      <c r="AN12025" t="s">
        <v>1960</v>
      </c>
      <c r="AO12025" t="s">
        <v>1961</v>
      </c>
    </row>
    <row r="12026" spans="39:41" ht="12" customHeight="1" x14ac:dyDescent="0.2">
      <c r="AM12026" t="str">
        <f t="shared" si="188"/>
        <v>Port Warrender [AUPWR]</v>
      </c>
      <c r="AN12026" t="s">
        <v>1962</v>
      </c>
      <c r="AO12026" t="s">
        <v>1963</v>
      </c>
    </row>
    <row r="12027" spans="39:41" ht="12" customHeight="1" x14ac:dyDescent="0.2">
      <c r="AM12027" t="str">
        <f t="shared" si="188"/>
        <v>Port Washington [USPOW]</v>
      </c>
      <c r="AN12027" t="s">
        <v>31155</v>
      </c>
      <c r="AO12027" t="s">
        <v>31156</v>
      </c>
    </row>
    <row r="12028" spans="39:41" ht="12" customHeight="1" x14ac:dyDescent="0.2">
      <c r="AM12028" t="str">
        <f t="shared" si="188"/>
        <v>Port Weller [CAPWE]</v>
      </c>
      <c r="AN12028" t="s">
        <v>4274</v>
      </c>
      <c r="AO12028" t="s">
        <v>4275</v>
      </c>
    </row>
    <row r="12029" spans="39:41" ht="12" customHeight="1" x14ac:dyDescent="0.2">
      <c r="AM12029" t="str">
        <f t="shared" si="188"/>
        <v>Port William [GBPWI]</v>
      </c>
      <c r="AN12029" t="s">
        <v>14132</v>
      </c>
      <c r="AO12029" t="s">
        <v>14133</v>
      </c>
    </row>
    <row r="12030" spans="39:41" ht="12" customHeight="1" x14ac:dyDescent="0.2">
      <c r="AM12030" t="str">
        <f t="shared" si="188"/>
        <v>Port Willunga [AUPTW]</v>
      </c>
      <c r="AN12030" t="s">
        <v>1964</v>
      </c>
      <c r="AO12030" t="s">
        <v>1965</v>
      </c>
    </row>
    <row r="12031" spans="39:41" ht="12" customHeight="1" x14ac:dyDescent="0.2">
      <c r="AM12031" t="str">
        <f t="shared" si="188"/>
        <v>Portaferry [GBPFY]</v>
      </c>
      <c r="AN12031" t="s">
        <v>14134</v>
      </c>
      <c r="AO12031" t="s">
        <v>14135</v>
      </c>
    </row>
    <row r="12032" spans="39:41" ht="12" customHeight="1" x14ac:dyDescent="0.2">
      <c r="AM12032" t="str">
        <f t="shared" si="188"/>
        <v>Portage [USPOJ]</v>
      </c>
      <c r="AN12032" t="s">
        <v>31157</v>
      </c>
      <c r="AO12032" t="s">
        <v>31158</v>
      </c>
    </row>
    <row r="12033" spans="39:41" ht="12" customHeight="1" x14ac:dyDescent="0.2">
      <c r="AM12033" t="str">
        <f t="shared" si="188"/>
        <v>Portageville [USZPT]</v>
      </c>
      <c r="AN12033" t="s">
        <v>31159</v>
      </c>
      <c r="AO12033" t="s">
        <v>31160</v>
      </c>
    </row>
    <row r="12034" spans="39:41" ht="12" customHeight="1" x14ac:dyDescent="0.2">
      <c r="AM12034" t="str">
        <f t="shared" si="188"/>
        <v>Port-Alfred [CAPAF]</v>
      </c>
      <c r="AN12034" t="s">
        <v>4276</v>
      </c>
      <c r="AO12034" t="s">
        <v>4277</v>
      </c>
    </row>
    <row r="12035" spans="39:41" ht="12" customHeight="1" x14ac:dyDescent="0.2">
      <c r="AM12035" t="str">
        <f t="shared" si="188"/>
        <v>Port-au-Prince [HTPAP]</v>
      </c>
      <c r="AN12035" t="s">
        <v>16044</v>
      </c>
      <c r="AO12035" t="s">
        <v>16045</v>
      </c>
    </row>
    <row r="12036" spans="39:41" ht="12" customHeight="1" x14ac:dyDescent="0.2">
      <c r="AM12036" t="str">
        <f t="shared" si="188"/>
        <v>Port-aux-Francais [TFPFR]</v>
      </c>
      <c r="AN12036" t="s">
        <v>28194</v>
      </c>
      <c r="AO12036" t="s">
        <v>36556</v>
      </c>
    </row>
    <row r="12037" spans="39:41" ht="12" customHeight="1" x14ac:dyDescent="0.2">
      <c r="AM12037" t="str">
        <f t="shared" si="188"/>
        <v>Portavadie [GBPVD]</v>
      </c>
      <c r="AN12037" t="s">
        <v>14136</v>
      </c>
      <c r="AO12037" t="s">
        <v>14137</v>
      </c>
    </row>
    <row r="12038" spans="39:41" ht="12" customHeight="1" x14ac:dyDescent="0.2">
      <c r="AM12038" t="str">
        <f t="shared" si="188"/>
        <v>Portavogie [GBPVG]</v>
      </c>
      <c r="AN12038" t="s">
        <v>14138</v>
      </c>
      <c r="AO12038" t="s">
        <v>14139</v>
      </c>
    </row>
    <row r="12039" spans="39:41" ht="12" customHeight="1" x14ac:dyDescent="0.2">
      <c r="AM12039" t="str">
        <f t="shared" si="188"/>
        <v>Portballintrae [GBPBA]</v>
      </c>
      <c r="AN12039" t="s">
        <v>14140</v>
      </c>
      <c r="AO12039" t="s">
        <v>14141</v>
      </c>
    </row>
    <row r="12040" spans="39:41" ht="12" customHeight="1" x14ac:dyDescent="0.2">
      <c r="AM12040" t="str">
        <f t="shared" si="188"/>
        <v>Port-Bouet [CIPBT]</v>
      </c>
      <c r="AN12040" t="s">
        <v>4793</v>
      </c>
      <c r="AO12040" t="s">
        <v>35346</v>
      </c>
    </row>
    <row r="12041" spans="39:41" ht="12" customHeight="1" x14ac:dyDescent="0.2">
      <c r="AM12041" t="str">
        <f t="shared" si="188"/>
        <v>Portbury [GBPRU]</v>
      </c>
      <c r="AN12041" t="s">
        <v>14142</v>
      </c>
      <c r="AO12041" t="s">
        <v>14143</v>
      </c>
    </row>
    <row r="12042" spans="39:41" ht="12" customHeight="1" x14ac:dyDescent="0.2">
      <c r="AM12042" t="str">
        <f t="shared" si="188"/>
        <v>Port-Cartier [CAPCA]</v>
      </c>
      <c r="AN12042" t="s">
        <v>4278</v>
      </c>
      <c r="AO12042" t="s">
        <v>4279</v>
      </c>
    </row>
    <row r="12043" spans="39:41" ht="12" customHeight="1" x14ac:dyDescent="0.2">
      <c r="AM12043" t="str">
        <f t="shared" si="188"/>
        <v>Port-Daniel [CAPDL]</v>
      </c>
      <c r="AN12043" t="s">
        <v>4280</v>
      </c>
      <c r="AO12043" t="s">
        <v>4281</v>
      </c>
    </row>
    <row r="12044" spans="39:41" ht="12" customHeight="1" x14ac:dyDescent="0.2">
      <c r="AM12044" t="str">
        <f t="shared" si="188"/>
        <v>Port-Daniel - Gascons [CAGPD]</v>
      </c>
      <c r="AN12044" t="s">
        <v>36675</v>
      </c>
      <c r="AO12044" t="s">
        <v>36676</v>
      </c>
    </row>
    <row r="12045" spans="39:41" ht="12" customHeight="1" x14ac:dyDescent="0.2">
      <c r="AM12045" t="str">
        <f t="shared" si="188"/>
        <v>Port-de-Bouc [FRPDB]</v>
      </c>
      <c r="AN12045" t="s">
        <v>11852</v>
      </c>
      <c r="AO12045" t="s">
        <v>11853</v>
      </c>
    </row>
    <row r="12046" spans="39:41" ht="12" customHeight="1" x14ac:dyDescent="0.2">
      <c r="AM12046" t="str">
        <f t="shared" si="188"/>
        <v>Port-en-Bessin-Huppain [FRRTB]</v>
      </c>
      <c r="AN12046" t="s">
        <v>11854</v>
      </c>
      <c r="AO12046" t="s">
        <v>11855</v>
      </c>
    </row>
    <row r="12047" spans="39:41" ht="12" customHeight="1" x14ac:dyDescent="0.2">
      <c r="AM12047" t="str">
        <f t="shared" si="188"/>
        <v>Porterdale [USPOD]</v>
      </c>
      <c r="AN12047" t="s">
        <v>31161</v>
      </c>
      <c r="AO12047" t="s">
        <v>31162</v>
      </c>
    </row>
    <row r="12048" spans="39:41" ht="12" customHeight="1" x14ac:dyDescent="0.2">
      <c r="AM12048" t="str">
        <f t="shared" si="188"/>
        <v>Porth [GBPOR]</v>
      </c>
      <c r="AN12048" t="s">
        <v>14144</v>
      </c>
      <c r="AO12048" t="s">
        <v>14145</v>
      </c>
    </row>
    <row r="12049" spans="39:41" ht="12" customHeight="1" x14ac:dyDescent="0.2">
      <c r="AM12049" t="str">
        <f t="shared" si="188"/>
        <v>Porth Colmon [GBPCO]</v>
      </c>
      <c r="AN12049" t="s">
        <v>14146</v>
      </c>
      <c r="AO12049" t="s">
        <v>14147</v>
      </c>
    </row>
    <row r="12050" spans="39:41" ht="12" customHeight="1" x14ac:dyDescent="0.2">
      <c r="AM12050" t="str">
        <f t="shared" si="188"/>
        <v>Porthcawl [GBPCW]</v>
      </c>
      <c r="AN12050" t="s">
        <v>14148</v>
      </c>
      <c r="AO12050" t="s">
        <v>14149</v>
      </c>
    </row>
    <row r="12051" spans="39:41" ht="12" customHeight="1" x14ac:dyDescent="0.2">
      <c r="AM12051" t="str">
        <f t="shared" si="188"/>
        <v>Porthgain [GBPGI]</v>
      </c>
      <c r="AN12051" t="s">
        <v>14150</v>
      </c>
      <c r="AO12051" t="s">
        <v>14151</v>
      </c>
    </row>
    <row r="12052" spans="39:41" ht="12" customHeight="1" x14ac:dyDescent="0.2">
      <c r="AM12052" t="str">
        <f t="shared" si="188"/>
        <v>Porthgwarra [GBPTG]</v>
      </c>
      <c r="AN12052" t="s">
        <v>14152</v>
      </c>
      <c r="AO12052" t="s">
        <v>14153</v>
      </c>
    </row>
    <row r="12053" spans="39:41" ht="12" customHeight="1" x14ac:dyDescent="0.2">
      <c r="AM12053" t="str">
        <f t="shared" si="188"/>
        <v>Porthleven [GBPLV]</v>
      </c>
      <c r="AN12053" t="s">
        <v>14154</v>
      </c>
      <c r="AO12053" t="s">
        <v>14155</v>
      </c>
    </row>
    <row r="12054" spans="39:41" ht="12" customHeight="1" x14ac:dyDescent="0.2">
      <c r="AM12054" t="str">
        <f t="shared" si="188"/>
        <v>Porthmadog [GBPTD]</v>
      </c>
      <c r="AN12054" t="s">
        <v>14156</v>
      </c>
      <c r="AO12054" t="s">
        <v>14157</v>
      </c>
    </row>
    <row r="12055" spans="39:41" ht="12" customHeight="1" x14ac:dyDescent="0.2">
      <c r="AM12055" t="str">
        <f t="shared" si="188"/>
        <v>Porthoustock [GBPOH]</v>
      </c>
      <c r="AN12055" t="s">
        <v>14158</v>
      </c>
      <c r="AO12055" t="s">
        <v>14159</v>
      </c>
    </row>
    <row r="12056" spans="39:41" ht="12" customHeight="1" x14ac:dyDescent="0.2">
      <c r="AM12056" t="str">
        <f t="shared" si="188"/>
        <v>Porticello [ITORL]</v>
      </c>
      <c r="AN12056" t="s">
        <v>18169</v>
      </c>
      <c r="AO12056" t="s">
        <v>18170</v>
      </c>
    </row>
    <row r="12057" spans="39:41" ht="12" customHeight="1" x14ac:dyDescent="0.2">
      <c r="AM12057" t="str">
        <f t="shared" si="188"/>
        <v>Portici [ITPTC]</v>
      </c>
      <c r="AN12057" t="s">
        <v>18171</v>
      </c>
      <c r="AO12057" t="s">
        <v>18172</v>
      </c>
    </row>
    <row r="12058" spans="39:41" ht="12" customHeight="1" x14ac:dyDescent="0.2">
      <c r="AM12058" t="str">
        <f t="shared" si="188"/>
        <v>Portigliola [ITPGL]</v>
      </c>
      <c r="AN12058" t="s">
        <v>18173</v>
      </c>
      <c r="AO12058" t="s">
        <v>18174</v>
      </c>
    </row>
    <row r="12059" spans="39:41" ht="12" customHeight="1" x14ac:dyDescent="0.2">
      <c r="AM12059" t="str">
        <f t="shared" si="188"/>
        <v>Portilla [ESPLL]</v>
      </c>
      <c r="AN12059" t="s">
        <v>36918</v>
      </c>
      <c r="AO12059" t="s">
        <v>36919</v>
      </c>
    </row>
    <row r="12060" spans="39:41" ht="12" customHeight="1" x14ac:dyDescent="0.2">
      <c r="AM12060" t="str">
        <f t="shared" si="188"/>
        <v>Portimao [PTPRM]</v>
      </c>
      <c r="AN12060" t="s">
        <v>26572</v>
      </c>
      <c r="AO12060" t="s">
        <v>26573</v>
      </c>
    </row>
    <row r="12061" spans="39:41" ht="12" customHeight="1" x14ac:dyDescent="0.2">
      <c r="AM12061" t="str">
        <f t="shared" si="188"/>
        <v>Portincaple [GBPRP]</v>
      </c>
      <c r="AN12061" t="s">
        <v>14160</v>
      </c>
      <c r="AO12061" t="s">
        <v>14161</v>
      </c>
    </row>
    <row r="12062" spans="39:41" ht="12" customHeight="1" x14ac:dyDescent="0.2">
      <c r="AM12062" t="str">
        <f t="shared" si="188"/>
        <v>Portiragnes [FRPH4]</v>
      </c>
      <c r="AN12062" t="s">
        <v>11856</v>
      </c>
      <c r="AO12062" t="s">
        <v>11857</v>
      </c>
    </row>
    <row r="12063" spans="39:41" ht="12" customHeight="1" x14ac:dyDescent="0.2">
      <c r="AM12063" t="str">
        <f t="shared" si="188"/>
        <v>Portishead [GBPTH]</v>
      </c>
      <c r="AN12063" t="s">
        <v>14162</v>
      </c>
      <c r="AO12063" t="s">
        <v>14163</v>
      </c>
    </row>
    <row r="12064" spans="39:41" ht="12" customHeight="1" x14ac:dyDescent="0.2">
      <c r="AM12064" t="str">
        <f t="shared" si="188"/>
        <v>Port-Jerome [FRPJE]</v>
      </c>
      <c r="AN12064" t="s">
        <v>11858</v>
      </c>
      <c r="AO12064" t="s">
        <v>35834</v>
      </c>
    </row>
    <row r="12065" spans="39:41" ht="12" customHeight="1" x14ac:dyDescent="0.2">
      <c r="AM12065" t="str">
        <f t="shared" si="188"/>
        <v>Port-Joinville [FRPRJ]</v>
      </c>
      <c r="AN12065" t="s">
        <v>11859</v>
      </c>
      <c r="AO12065" t="s">
        <v>11860</v>
      </c>
    </row>
    <row r="12066" spans="39:41" ht="12" customHeight="1" x14ac:dyDescent="0.2">
      <c r="AM12066" t="str">
        <f t="shared" si="188"/>
        <v>Port-Kamsar [GNKMR]</v>
      </c>
      <c r="AN12066" t="s">
        <v>15043</v>
      </c>
      <c r="AO12066" t="s">
        <v>15044</v>
      </c>
    </row>
    <row r="12067" spans="39:41" ht="12" customHeight="1" x14ac:dyDescent="0.2">
      <c r="AM12067" t="str">
        <f t="shared" si="188"/>
        <v>Portknockie [GBPKN]</v>
      </c>
      <c r="AN12067" t="s">
        <v>14164</v>
      </c>
      <c r="AO12067" t="s">
        <v>14165</v>
      </c>
    </row>
    <row r="12068" spans="39:41" ht="12" customHeight="1" x14ac:dyDescent="0.2">
      <c r="AM12068" t="str">
        <f t="shared" si="188"/>
        <v>Portland [AUPTJ]</v>
      </c>
      <c r="AN12068" t="s">
        <v>1966</v>
      </c>
      <c r="AO12068" t="s">
        <v>1967</v>
      </c>
    </row>
    <row r="12069" spans="39:41" ht="12" customHeight="1" x14ac:dyDescent="0.2">
      <c r="AM12069" t="str">
        <f t="shared" si="188"/>
        <v>Portland [GBPTL]</v>
      </c>
      <c r="AN12069" t="s">
        <v>14166</v>
      </c>
      <c r="AO12069" t="s">
        <v>1967</v>
      </c>
    </row>
    <row r="12070" spans="39:41" ht="12" customHeight="1" x14ac:dyDescent="0.2">
      <c r="AM12070" t="str">
        <f t="shared" si="188"/>
        <v>Portland [USPWM]</v>
      </c>
      <c r="AN12070" t="s">
        <v>31163</v>
      </c>
      <c r="AO12070" t="s">
        <v>1967</v>
      </c>
    </row>
    <row r="12071" spans="39:41" ht="12" customHeight="1" x14ac:dyDescent="0.2">
      <c r="AM12071" t="str">
        <f t="shared" si="188"/>
        <v>Portland [USPWQ]</v>
      </c>
      <c r="AN12071" t="s">
        <v>31164</v>
      </c>
      <c r="AO12071" t="s">
        <v>1967</v>
      </c>
    </row>
    <row r="12072" spans="39:41" ht="12" customHeight="1" x14ac:dyDescent="0.2">
      <c r="AM12072" t="str">
        <f t="shared" si="188"/>
        <v>Portland [USPDX]</v>
      </c>
      <c r="AN12072" t="s">
        <v>31165</v>
      </c>
      <c r="AO12072" t="s">
        <v>1967</v>
      </c>
    </row>
    <row r="12073" spans="39:41" ht="12" customHeight="1" x14ac:dyDescent="0.2">
      <c r="AM12073" t="str">
        <f t="shared" si="188"/>
        <v>Portland [USDTP]</v>
      </c>
      <c r="AN12073" t="s">
        <v>31166</v>
      </c>
      <c r="AO12073" t="s">
        <v>1967</v>
      </c>
    </row>
    <row r="12074" spans="39:41" ht="12" customHeight="1" x14ac:dyDescent="0.2">
      <c r="AM12074" t="str">
        <f t="shared" si="188"/>
        <v>Port-la-Nouvelle [FRNOU]</v>
      </c>
      <c r="AN12074" t="s">
        <v>11861</v>
      </c>
      <c r="AO12074" t="s">
        <v>11862</v>
      </c>
    </row>
    <row r="12075" spans="39:41" ht="12" customHeight="1" x14ac:dyDescent="0.2">
      <c r="AM12075" t="str">
        <f t="shared" si="188"/>
        <v>Portloe [GBPRL]</v>
      </c>
      <c r="AN12075" t="s">
        <v>14167</v>
      </c>
      <c r="AO12075" t="s">
        <v>14168</v>
      </c>
    </row>
    <row r="12076" spans="39:41" ht="12" customHeight="1" x14ac:dyDescent="0.2">
      <c r="AM12076" t="str">
        <f t="shared" si="188"/>
        <v>Port-Louis [GPPTL]</v>
      </c>
      <c r="AN12076" t="s">
        <v>15060</v>
      </c>
      <c r="AO12076" t="s">
        <v>15061</v>
      </c>
    </row>
    <row r="12077" spans="39:41" ht="12" customHeight="1" x14ac:dyDescent="0.2">
      <c r="AM12077" t="str">
        <f t="shared" ref="AM12077:AM12140" si="189">AO12077 &amp; " [" &amp; AN12077 &amp; "]"</f>
        <v>Portmadoc [GBPMD]</v>
      </c>
      <c r="AN12077" t="s">
        <v>14169</v>
      </c>
      <c r="AO12077" t="s">
        <v>14170</v>
      </c>
    </row>
    <row r="12078" spans="39:41" ht="12" customHeight="1" x14ac:dyDescent="0.2">
      <c r="AM12078" t="str">
        <f t="shared" si="189"/>
        <v>Portmahomack [GBPMK]</v>
      </c>
      <c r="AN12078" t="s">
        <v>14171</v>
      </c>
      <c r="AO12078" t="s">
        <v>14172</v>
      </c>
    </row>
    <row r="12079" spans="39:41" ht="12" customHeight="1" x14ac:dyDescent="0.2">
      <c r="AM12079" t="str">
        <f t="shared" si="189"/>
        <v>Port-Marly [FRPLW]</v>
      </c>
      <c r="AN12079" t="s">
        <v>11863</v>
      </c>
      <c r="AO12079" t="s">
        <v>11864</v>
      </c>
    </row>
    <row r="12080" spans="39:41" ht="12" customHeight="1" x14ac:dyDescent="0.2">
      <c r="AM12080" t="str">
        <f t="shared" si="189"/>
        <v>Port-Menier [CAPME]</v>
      </c>
      <c r="AN12080" t="s">
        <v>4282</v>
      </c>
      <c r="AO12080" t="s">
        <v>4283</v>
      </c>
    </row>
    <row r="12081" spans="39:41" ht="12" customHeight="1" x14ac:dyDescent="0.2">
      <c r="AM12081" t="str">
        <f t="shared" si="189"/>
        <v>Portnaguran and Ness [GBPRN]</v>
      </c>
      <c r="AN12081" t="s">
        <v>14173</v>
      </c>
      <c r="AO12081" t="s">
        <v>14174</v>
      </c>
    </row>
    <row r="12082" spans="39:41" ht="12" customHeight="1" x14ac:dyDescent="0.2">
      <c r="AM12082" t="str">
        <f t="shared" si="189"/>
        <v>Portnahaven [GBPNV]</v>
      </c>
      <c r="AN12082" t="s">
        <v>14175</v>
      </c>
      <c r="AO12082" t="s">
        <v>14176</v>
      </c>
    </row>
    <row r="12083" spans="39:41" ht="12" customHeight="1" x14ac:dyDescent="0.2">
      <c r="AM12083" t="str">
        <f t="shared" si="189"/>
        <v>Portnalong [GBPNG]</v>
      </c>
      <c r="AN12083" t="s">
        <v>14177</v>
      </c>
      <c r="AO12083" t="s">
        <v>14178</v>
      </c>
    </row>
    <row r="12084" spans="39:41" ht="12" customHeight="1" x14ac:dyDescent="0.2">
      <c r="AM12084" t="str">
        <f t="shared" si="189"/>
        <v>Port-Navalo [FRPNF]</v>
      </c>
      <c r="AN12084" t="s">
        <v>11865</v>
      </c>
      <c r="AO12084" t="s">
        <v>11866</v>
      </c>
    </row>
    <row r="12085" spans="39:41" ht="12" customHeight="1" x14ac:dyDescent="0.2">
      <c r="AM12085" t="str">
        <f t="shared" si="189"/>
        <v>Portneuf [CAPTN]</v>
      </c>
      <c r="AN12085" t="s">
        <v>4284</v>
      </c>
      <c r="AO12085" t="s">
        <v>4285</v>
      </c>
    </row>
    <row r="12086" spans="39:41" ht="12" customHeight="1" x14ac:dyDescent="0.2">
      <c r="AM12086" t="str">
        <f t="shared" si="189"/>
        <v>Porto [PTOPO]</v>
      </c>
      <c r="AN12086" t="s">
        <v>26574</v>
      </c>
      <c r="AO12086" t="s">
        <v>26575</v>
      </c>
    </row>
    <row r="12087" spans="39:41" ht="12" customHeight="1" x14ac:dyDescent="0.2">
      <c r="AM12087" t="str">
        <f t="shared" si="189"/>
        <v>Porto Alegre [BRPOA]</v>
      </c>
      <c r="AN12087" t="s">
        <v>3372</v>
      </c>
      <c r="AO12087" t="s">
        <v>35303</v>
      </c>
    </row>
    <row r="12088" spans="39:41" ht="12" customHeight="1" x14ac:dyDescent="0.2">
      <c r="AM12088" t="str">
        <f t="shared" si="189"/>
        <v>Porto Alexandre (Tombua) [AOPLE]</v>
      </c>
      <c r="AN12088" t="s">
        <v>884</v>
      </c>
      <c r="AO12088" t="s">
        <v>885</v>
      </c>
    </row>
    <row r="12089" spans="39:41" ht="12" customHeight="1" x14ac:dyDescent="0.2">
      <c r="AM12089" t="str">
        <f t="shared" si="189"/>
        <v>Porto Amboim [AOPBN]</v>
      </c>
      <c r="AN12089" t="s">
        <v>886</v>
      </c>
      <c r="AO12089" t="s">
        <v>887</v>
      </c>
    </row>
    <row r="12090" spans="39:41" ht="12" customHeight="1" x14ac:dyDescent="0.2">
      <c r="AM12090" t="str">
        <f t="shared" si="189"/>
        <v>Porto Azzurro [ITPAZ]</v>
      </c>
      <c r="AN12090" t="s">
        <v>18175</v>
      </c>
      <c r="AO12090" t="s">
        <v>18176</v>
      </c>
    </row>
    <row r="12091" spans="39:41" ht="12" customHeight="1" x14ac:dyDescent="0.2">
      <c r="AM12091" t="str">
        <f t="shared" si="189"/>
        <v>Porto Belo [MZPBE]</v>
      </c>
      <c r="AN12091" t="s">
        <v>22868</v>
      </c>
      <c r="AO12091" t="s">
        <v>22869</v>
      </c>
    </row>
    <row r="12092" spans="39:41" ht="12" customHeight="1" x14ac:dyDescent="0.2">
      <c r="AM12092" t="str">
        <f t="shared" si="189"/>
        <v>Porto Cervo [ITPCE]</v>
      </c>
      <c r="AN12092" t="s">
        <v>18177</v>
      </c>
      <c r="AO12092" t="s">
        <v>18178</v>
      </c>
    </row>
    <row r="12093" spans="39:41" ht="12" customHeight="1" x14ac:dyDescent="0.2">
      <c r="AM12093" t="str">
        <f t="shared" si="189"/>
        <v>Porto Conte Torre Nuova [ITPCN]</v>
      </c>
      <c r="AN12093" t="s">
        <v>18179</v>
      </c>
      <c r="AO12093" t="s">
        <v>18180</v>
      </c>
    </row>
    <row r="12094" spans="39:41" ht="12" customHeight="1" x14ac:dyDescent="0.2">
      <c r="AM12094" t="str">
        <f t="shared" si="189"/>
        <v>Porto da Cruz [PTPCZ]</v>
      </c>
      <c r="AN12094" t="s">
        <v>26576</v>
      </c>
      <c r="AO12094" t="s">
        <v>26577</v>
      </c>
    </row>
    <row r="12095" spans="39:41" ht="12" customHeight="1" x14ac:dyDescent="0.2">
      <c r="AM12095" t="str">
        <f t="shared" si="189"/>
        <v>Porto de Itaguai [BRSPB]</v>
      </c>
      <c r="AN12095" t="s">
        <v>3373</v>
      </c>
      <c r="AO12095" t="s">
        <v>35304</v>
      </c>
    </row>
    <row r="12096" spans="39:41" ht="12" customHeight="1" x14ac:dyDescent="0.2">
      <c r="AM12096" s="35" t="str">
        <f t="shared" si="189"/>
        <v>Porto d'Ischia [ITPDI]</v>
      </c>
      <c r="AN12096" t="s">
        <v>18181</v>
      </c>
      <c r="AO12096" t="s">
        <v>18182</v>
      </c>
    </row>
    <row r="12097" spans="39:41" ht="12" customHeight="1" x14ac:dyDescent="0.2">
      <c r="AM12097" s="35" t="str">
        <f t="shared" si="189"/>
        <v>Porto Empedocle [ITPEM]</v>
      </c>
      <c r="AN12097" t="s">
        <v>18183</v>
      </c>
      <c r="AO12097" t="s">
        <v>18184</v>
      </c>
    </row>
    <row r="12098" spans="39:41" ht="12" customHeight="1" x14ac:dyDescent="0.2">
      <c r="AM12098" t="str">
        <f t="shared" si="189"/>
        <v>Porto Ercole [ITPTH]</v>
      </c>
      <c r="AN12098" t="s">
        <v>18185</v>
      </c>
      <c r="AO12098" t="s">
        <v>18186</v>
      </c>
    </row>
    <row r="12099" spans="39:41" ht="12" customHeight="1" x14ac:dyDescent="0.2">
      <c r="AM12099" t="str">
        <f t="shared" si="189"/>
        <v>Porto Foxi (Sarroch) [ITPFX]</v>
      </c>
      <c r="AN12099" t="s">
        <v>18187</v>
      </c>
      <c r="AO12099" t="s">
        <v>18188</v>
      </c>
    </row>
    <row r="12100" spans="39:41" ht="12" customHeight="1" x14ac:dyDescent="0.2">
      <c r="AM12100" t="str">
        <f t="shared" si="189"/>
        <v>Porto Garibaldi [ITPGA]</v>
      </c>
      <c r="AN12100" t="s">
        <v>18189</v>
      </c>
      <c r="AO12100" t="s">
        <v>18190</v>
      </c>
    </row>
    <row r="12101" spans="39:41" ht="12" customHeight="1" x14ac:dyDescent="0.2">
      <c r="AM12101" t="str">
        <f t="shared" si="189"/>
        <v>Porto Grande [CVGRA]</v>
      </c>
      <c r="AN12101" t="s">
        <v>6735</v>
      </c>
      <c r="AO12101" t="s">
        <v>6736</v>
      </c>
    </row>
    <row r="12102" spans="39:41" ht="12" customHeight="1" x14ac:dyDescent="0.2">
      <c r="AM12102" t="str">
        <f t="shared" si="189"/>
        <v>Porto Heli [GRPHE]</v>
      </c>
      <c r="AN12102" t="s">
        <v>15465</v>
      </c>
      <c r="AO12102" t="s">
        <v>15466</v>
      </c>
    </row>
    <row r="12103" spans="39:41" ht="12" customHeight="1" x14ac:dyDescent="0.2">
      <c r="AM12103" t="str">
        <f t="shared" si="189"/>
        <v>Porto Levante [ITPVT]</v>
      </c>
      <c r="AN12103" t="s">
        <v>18191</v>
      </c>
      <c r="AO12103" t="s">
        <v>18192</v>
      </c>
    </row>
    <row r="12104" spans="39:41" ht="12" customHeight="1" x14ac:dyDescent="0.2">
      <c r="AM12104" t="str">
        <f t="shared" si="189"/>
        <v>Porto Lignano [ITPLI]</v>
      </c>
      <c r="AN12104" t="s">
        <v>18193</v>
      </c>
      <c r="AO12104" t="s">
        <v>18194</v>
      </c>
    </row>
    <row r="12105" spans="39:41" ht="12" customHeight="1" x14ac:dyDescent="0.2">
      <c r="AM12105" t="str">
        <f t="shared" si="189"/>
        <v>Porto Maurizio [ITPMZ]</v>
      </c>
      <c r="AN12105" t="s">
        <v>18195</v>
      </c>
      <c r="AO12105" t="s">
        <v>18196</v>
      </c>
    </row>
    <row r="12106" spans="39:41" ht="12" customHeight="1" x14ac:dyDescent="0.2">
      <c r="AM12106" t="str">
        <f t="shared" si="189"/>
        <v>Porto Moniz [PTPMZ]</v>
      </c>
      <c r="AN12106" t="s">
        <v>26578</v>
      </c>
      <c r="AO12106" t="s">
        <v>26579</v>
      </c>
    </row>
    <row r="12107" spans="39:41" ht="12" customHeight="1" x14ac:dyDescent="0.2">
      <c r="AM12107" t="str">
        <f t="shared" si="189"/>
        <v>Porto Nogaro [ITPNG]</v>
      </c>
      <c r="AN12107" t="s">
        <v>18197</v>
      </c>
      <c r="AO12107" t="s">
        <v>18198</v>
      </c>
    </row>
    <row r="12108" spans="39:41" ht="12" customHeight="1" x14ac:dyDescent="0.2">
      <c r="AM12108" t="str">
        <f t="shared" si="189"/>
        <v>Porto Palo [ITPPF]</v>
      </c>
      <c r="AN12108" t="s">
        <v>18199</v>
      </c>
      <c r="AO12108" t="s">
        <v>18200</v>
      </c>
    </row>
    <row r="12109" spans="39:41" ht="12" customHeight="1" x14ac:dyDescent="0.2">
      <c r="AM12109" t="str">
        <f t="shared" si="189"/>
        <v>Porto Recanati [ITPRF]</v>
      </c>
      <c r="AN12109" t="s">
        <v>18201</v>
      </c>
      <c r="AO12109" t="s">
        <v>18202</v>
      </c>
    </row>
    <row r="12110" spans="39:41" ht="12" customHeight="1" x14ac:dyDescent="0.2">
      <c r="AM12110" t="str">
        <f t="shared" si="189"/>
        <v>Porto Ronco [CHPOR]</v>
      </c>
      <c r="AN12110" t="s">
        <v>4731</v>
      </c>
      <c r="AO12110" t="s">
        <v>4732</v>
      </c>
    </row>
    <row r="12111" spans="39:41" ht="12" customHeight="1" x14ac:dyDescent="0.2">
      <c r="AM12111" t="str">
        <f t="shared" si="189"/>
        <v>Porto Saco (Portosalazar) [AOPSA]</v>
      </c>
      <c r="AN12111" t="s">
        <v>888</v>
      </c>
      <c r="AO12111" t="s">
        <v>889</v>
      </c>
    </row>
    <row r="12112" spans="39:41" ht="12" customHeight="1" x14ac:dyDescent="0.2">
      <c r="AM12112" t="str">
        <f t="shared" si="189"/>
        <v>Porto San Giorgio [ITSIG]</v>
      </c>
      <c r="AN12112" t="s">
        <v>18203</v>
      </c>
      <c r="AO12112" t="s">
        <v>18204</v>
      </c>
    </row>
    <row r="12113" spans="39:41" ht="12" customHeight="1" x14ac:dyDescent="0.2">
      <c r="AM12113" t="str">
        <f t="shared" si="189"/>
        <v>Porto Santo Island [PTPXO]</v>
      </c>
      <c r="AN12113" t="s">
        <v>26580</v>
      </c>
      <c r="AO12113" t="s">
        <v>26581</v>
      </c>
    </row>
    <row r="12114" spans="39:41" ht="12" customHeight="1" x14ac:dyDescent="0.2">
      <c r="AM12114" t="str">
        <f t="shared" si="189"/>
        <v>Porto Santo Stefano [ITPSS]</v>
      </c>
      <c r="AN12114" t="s">
        <v>18205</v>
      </c>
      <c r="AO12114" t="s">
        <v>18206</v>
      </c>
    </row>
    <row r="12115" spans="39:41" ht="12" customHeight="1" x14ac:dyDescent="0.2">
      <c r="AM12115" t="str">
        <f t="shared" si="189"/>
        <v>Porto Seguro [BRBPS]</v>
      </c>
      <c r="AN12115" t="s">
        <v>3374</v>
      </c>
      <c r="AO12115" t="s">
        <v>3375</v>
      </c>
    </row>
    <row r="12116" spans="39:41" ht="12" customHeight="1" x14ac:dyDescent="0.2">
      <c r="AM12116" t="str">
        <f t="shared" si="189"/>
        <v>Porto Tolle [ITPPT]</v>
      </c>
      <c r="AN12116" t="s">
        <v>18207</v>
      </c>
      <c r="AO12116" t="s">
        <v>18208</v>
      </c>
    </row>
    <row r="12117" spans="39:41" ht="12" customHeight="1" x14ac:dyDescent="0.2">
      <c r="AM12117" t="str">
        <f t="shared" si="189"/>
        <v>Porto Torres [ITPTO]</v>
      </c>
      <c r="AN12117" t="s">
        <v>18209</v>
      </c>
      <c r="AO12117" t="s">
        <v>18210</v>
      </c>
    </row>
    <row r="12118" spans="39:41" ht="12" customHeight="1" x14ac:dyDescent="0.2">
      <c r="AM12118" t="str">
        <f t="shared" si="189"/>
        <v>Porto Velho [BRPVH]</v>
      </c>
      <c r="AN12118" t="s">
        <v>3376</v>
      </c>
      <c r="AO12118" t="s">
        <v>35305</v>
      </c>
    </row>
    <row r="12119" spans="39:41" ht="12" customHeight="1" x14ac:dyDescent="0.2">
      <c r="AM12119" t="str">
        <f t="shared" si="189"/>
        <v>Porto Viro [ITPOQ]</v>
      </c>
      <c r="AN12119" t="s">
        <v>18211</v>
      </c>
      <c r="AO12119" t="s">
        <v>18212</v>
      </c>
    </row>
    <row r="12120" spans="39:41" ht="12" customHeight="1" x14ac:dyDescent="0.2">
      <c r="AM12120" t="str">
        <f t="shared" si="189"/>
        <v>Portobelo [PAPBE]</v>
      </c>
      <c r="AN12120" t="s">
        <v>25217</v>
      </c>
      <c r="AO12120" t="s">
        <v>25218</v>
      </c>
    </row>
    <row r="12121" spans="39:41" ht="12" customHeight="1" x14ac:dyDescent="0.2">
      <c r="AM12121" t="str">
        <f t="shared" si="189"/>
        <v>Portoferraio [ITPFE]</v>
      </c>
      <c r="AN12121" t="s">
        <v>18213</v>
      </c>
      <c r="AO12121" t="s">
        <v>18214</v>
      </c>
    </row>
    <row r="12122" spans="39:41" ht="12" customHeight="1" x14ac:dyDescent="0.2">
      <c r="AM12122" t="str">
        <f t="shared" si="189"/>
        <v>Portofino [ITPTF]</v>
      </c>
      <c r="AN12122" t="s">
        <v>18215</v>
      </c>
      <c r="AO12122" t="s">
        <v>18216</v>
      </c>
    </row>
    <row r="12123" spans="39:41" ht="12" customHeight="1" x14ac:dyDescent="0.2">
      <c r="AM12123" t="str">
        <f t="shared" si="189"/>
        <v>Port-of-Spain [TTPOS]</v>
      </c>
      <c r="AN12123" t="s">
        <v>28652</v>
      </c>
      <c r="AO12123" t="s">
        <v>28653</v>
      </c>
    </row>
    <row r="12124" spans="39:41" ht="12" customHeight="1" x14ac:dyDescent="0.2">
      <c r="AM12124" t="str">
        <f t="shared" si="189"/>
        <v>Portola Valley [USXPT]</v>
      </c>
      <c r="AN12124" t="s">
        <v>31167</v>
      </c>
      <c r="AO12124" t="s">
        <v>31168</v>
      </c>
    </row>
    <row r="12125" spans="39:41" ht="12" customHeight="1" x14ac:dyDescent="0.2">
      <c r="AM12125" t="str">
        <f t="shared" si="189"/>
        <v>Portonovo [INPRN]</v>
      </c>
      <c r="AN12125" t="s">
        <v>17397</v>
      </c>
      <c r="AO12125" t="s">
        <v>17398</v>
      </c>
    </row>
    <row r="12126" spans="39:41" ht="12" customHeight="1" x14ac:dyDescent="0.2">
      <c r="AM12126" t="str">
        <f t="shared" si="189"/>
        <v>Porto-Novo [BJPTN]</v>
      </c>
      <c r="AN12126" t="s">
        <v>3191</v>
      </c>
      <c r="AO12126" t="s">
        <v>3192</v>
      </c>
    </row>
    <row r="12127" spans="39:41" ht="12" customHeight="1" x14ac:dyDescent="0.2">
      <c r="AM12127" t="str">
        <f t="shared" si="189"/>
        <v>Portopalo [ITPPL]</v>
      </c>
      <c r="AN12127" t="s">
        <v>18217</v>
      </c>
      <c r="AO12127" t="s">
        <v>18218</v>
      </c>
    </row>
    <row r="12128" spans="39:41" ht="12" customHeight="1" x14ac:dyDescent="0.2">
      <c r="AM12128" t="str">
        <f t="shared" si="189"/>
        <v>Portoroz [SIPOW]</v>
      </c>
      <c r="AN12128" t="s">
        <v>28014</v>
      </c>
      <c r="AO12128" t="s">
        <v>28015</v>
      </c>
    </row>
    <row r="12129" spans="39:41" ht="12" customHeight="1" x14ac:dyDescent="0.2">
      <c r="AM12129" t="str">
        <f t="shared" si="189"/>
        <v>Portoscuso (Porto Vesme) [ITPVE]</v>
      </c>
      <c r="AN12129" t="s">
        <v>18219</v>
      </c>
      <c r="AO12129" t="s">
        <v>18220</v>
      </c>
    </row>
    <row r="12130" spans="39:41" ht="12" customHeight="1" x14ac:dyDescent="0.2">
      <c r="AM12130" t="str">
        <f t="shared" si="189"/>
        <v>Portosin [ESPRT]</v>
      </c>
      <c r="AN12130" t="s">
        <v>10044</v>
      </c>
      <c r="AO12130" t="s">
        <v>10045</v>
      </c>
    </row>
    <row r="12131" spans="39:41" ht="12" customHeight="1" x14ac:dyDescent="0.2">
      <c r="AM12131" t="str">
        <f t="shared" si="189"/>
        <v>Porto-Vecchio [FRPVO]</v>
      </c>
      <c r="AN12131" t="s">
        <v>11867</v>
      </c>
      <c r="AO12131" t="s">
        <v>11868</v>
      </c>
    </row>
    <row r="12132" spans="39:41" ht="12" customHeight="1" x14ac:dyDescent="0.2">
      <c r="AM12132" t="str">
        <f t="shared" si="189"/>
        <v>Portovenere [ITPRW]</v>
      </c>
      <c r="AN12132" t="s">
        <v>18221</v>
      </c>
      <c r="AO12132" t="s">
        <v>18222</v>
      </c>
    </row>
    <row r="12133" spans="39:41" ht="12" customHeight="1" x14ac:dyDescent="0.2">
      <c r="AM12133" t="str">
        <f t="shared" si="189"/>
        <v>Portpatrick [GBPPK]</v>
      </c>
      <c r="AN12133" t="s">
        <v>14179</v>
      </c>
      <c r="AO12133" t="s">
        <v>14180</v>
      </c>
    </row>
    <row r="12134" spans="39:41" ht="12" customHeight="1" x14ac:dyDescent="0.2">
      <c r="AM12134" t="str">
        <f t="shared" si="189"/>
        <v>Portreath [GBPRJ]</v>
      </c>
      <c r="AN12134" t="s">
        <v>14181</v>
      </c>
      <c r="AO12134" t="s">
        <v>14182</v>
      </c>
    </row>
    <row r="12135" spans="39:41" ht="12" customHeight="1" x14ac:dyDescent="0.2">
      <c r="AM12135" t="str">
        <f t="shared" si="189"/>
        <v>Portree [GBPRT]</v>
      </c>
      <c r="AN12135" t="s">
        <v>14183</v>
      </c>
      <c r="AO12135" t="s">
        <v>14184</v>
      </c>
    </row>
    <row r="12136" spans="39:41" ht="12" customHeight="1" x14ac:dyDescent="0.2">
      <c r="AM12136" t="str">
        <f t="shared" si="189"/>
        <v>Portrush [GBPTR]</v>
      </c>
      <c r="AN12136" t="s">
        <v>14185</v>
      </c>
      <c r="AO12136" t="s">
        <v>14186</v>
      </c>
    </row>
    <row r="12137" spans="39:41" ht="12" customHeight="1" x14ac:dyDescent="0.2">
      <c r="AM12137" t="str">
        <f t="shared" si="189"/>
        <v>Port-Sainte-Marie [FRXER]</v>
      </c>
      <c r="AN12137" t="s">
        <v>11869</v>
      </c>
      <c r="AO12137" t="s">
        <v>11870</v>
      </c>
    </row>
    <row r="12138" spans="39:41" ht="12" customHeight="1" x14ac:dyDescent="0.2">
      <c r="AM12138" t="str">
        <f t="shared" si="189"/>
        <v>Port-Saint-Louis-du-Rhone [FRPSL]</v>
      </c>
      <c r="AN12138" t="s">
        <v>11871</v>
      </c>
      <c r="AO12138" t="s">
        <v>35835</v>
      </c>
    </row>
    <row r="12139" spans="39:41" ht="12" customHeight="1" x14ac:dyDescent="0.2">
      <c r="AM12139" t="str">
        <f t="shared" si="189"/>
        <v>Portscatho [GBPSC]</v>
      </c>
      <c r="AN12139" t="s">
        <v>14187</v>
      </c>
      <c r="AO12139" t="s">
        <v>14188</v>
      </c>
    </row>
    <row r="12140" spans="39:41" ht="12" customHeight="1" x14ac:dyDescent="0.2">
      <c r="AM12140" t="str">
        <f t="shared" si="189"/>
        <v>Portskerra [GBPKA]</v>
      </c>
      <c r="AN12140" t="s">
        <v>14189</v>
      </c>
      <c r="AO12140" t="s">
        <v>14190</v>
      </c>
    </row>
    <row r="12141" spans="39:41" ht="12" customHeight="1" x14ac:dyDescent="0.2">
      <c r="AM12141" t="str">
        <f t="shared" ref="AM12141:AM12204" si="190">AO12141 &amp; " [" &amp; AN12141 &amp; "]"</f>
        <v>Portslade [GBPTS]</v>
      </c>
      <c r="AN12141" t="s">
        <v>14191</v>
      </c>
      <c r="AO12141" t="s">
        <v>14192</v>
      </c>
    </row>
    <row r="12142" spans="39:41" ht="12" customHeight="1" x14ac:dyDescent="0.2">
      <c r="AM12142" t="str">
        <f t="shared" si="190"/>
        <v>Portsmouth [DMPOR]</v>
      </c>
      <c r="AN12142" t="s">
        <v>8977</v>
      </c>
      <c r="AO12142" t="s">
        <v>8978</v>
      </c>
    </row>
    <row r="12143" spans="39:41" ht="12" customHeight="1" x14ac:dyDescent="0.2">
      <c r="AM12143" t="str">
        <f t="shared" si="190"/>
        <v>Portsmouth [GBPME]</v>
      </c>
      <c r="AN12143" t="s">
        <v>14193</v>
      </c>
      <c r="AO12143" t="s">
        <v>8978</v>
      </c>
    </row>
    <row r="12144" spans="39:41" ht="12" customHeight="1" x14ac:dyDescent="0.2">
      <c r="AM12144" t="str">
        <f t="shared" si="190"/>
        <v>Portsmouth [USPSM]</v>
      </c>
      <c r="AN12144" t="s">
        <v>31169</v>
      </c>
      <c r="AO12144" t="s">
        <v>8978</v>
      </c>
    </row>
    <row r="12145" spans="39:41" ht="12" customHeight="1" x14ac:dyDescent="0.2">
      <c r="AM12145" t="str">
        <f t="shared" si="190"/>
        <v>Portsmouth [USPTM]</v>
      </c>
      <c r="AN12145" t="s">
        <v>31170</v>
      </c>
      <c r="AO12145" t="s">
        <v>8978</v>
      </c>
    </row>
    <row r="12146" spans="39:41" ht="12" customHeight="1" x14ac:dyDescent="0.2">
      <c r="AM12146" t="str">
        <f t="shared" si="190"/>
        <v>Portsoy [GBPSY]</v>
      </c>
      <c r="AN12146" t="s">
        <v>14194</v>
      </c>
      <c r="AO12146" t="s">
        <v>14195</v>
      </c>
    </row>
    <row r="12147" spans="39:41" ht="12" customHeight="1" x14ac:dyDescent="0.2">
      <c r="AM12147" t="str">
        <f t="shared" si="190"/>
        <v>Portstewart [GBPSW]</v>
      </c>
      <c r="AN12147" t="s">
        <v>14196</v>
      </c>
      <c r="AO12147" t="s">
        <v>14197</v>
      </c>
    </row>
    <row r="12148" spans="39:41" ht="12" customHeight="1" x14ac:dyDescent="0.2">
      <c r="AM12148" t="str">
        <f t="shared" si="190"/>
        <v>Portugalete [ESPOR]</v>
      </c>
      <c r="AN12148" t="s">
        <v>10046</v>
      </c>
      <c r="AO12148" t="s">
        <v>10047</v>
      </c>
    </row>
    <row r="12149" spans="39:41" ht="12" customHeight="1" x14ac:dyDescent="0.2">
      <c r="AM12149" t="str">
        <f t="shared" si="190"/>
        <v>Port-Vendres [FRPOV]</v>
      </c>
      <c r="AN12149" t="s">
        <v>11872</v>
      </c>
      <c r="AO12149" t="s">
        <v>11873</v>
      </c>
    </row>
    <row r="12150" spans="39:41" ht="12" customHeight="1" x14ac:dyDescent="0.2">
      <c r="AM12150" t="str">
        <f t="shared" si="190"/>
        <v>Portville [USVTP]</v>
      </c>
      <c r="AN12150" t="s">
        <v>31171</v>
      </c>
      <c r="AO12150" t="s">
        <v>31172</v>
      </c>
    </row>
    <row r="12151" spans="39:41" ht="12" customHeight="1" x14ac:dyDescent="0.2">
      <c r="AM12151" t="str">
        <f t="shared" si="190"/>
        <v>Posada de Llanera [ESPSL]</v>
      </c>
      <c r="AN12151" t="s">
        <v>10048</v>
      </c>
      <c r="AO12151" t="s">
        <v>10049</v>
      </c>
    </row>
    <row r="12152" spans="39:41" ht="12" customHeight="1" x14ac:dyDescent="0.2">
      <c r="AM12152" t="str">
        <f t="shared" si="190"/>
        <v>Posadas [ARPSS]</v>
      </c>
      <c r="AN12152" t="s">
        <v>1056</v>
      </c>
      <c r="AO12152" t="s">
        <v>1057</v>
      </c>
    </row>
    <row r="12153" spans="39:41" ht="12" customHeight="1" x14ac:dyDescent="0.2">
      <c r="AM12153" t="str">
        <f t="shared" si="190"/>
        <v>Poses [FRPQE]</v>
      </c>
      <c r="AN12153" t="s">
        <v>11874</v>
      </c>
      <c r="AO12153" t="s">
        <v>11875</v>
      </c>
    </row>
    <row r="12154" spans="39:41" ht="12" customHeight="1" x14ac:dyDescent="0.2">
      <c r="AM12154" t="str">
        <f t="shared" si="190"/>
        <v>Posesion [CLPOS]</v>
      </c>
      <c r="AN12154" t="s">
        <v>4925</v>
      </c>
      <c r="AO12154" t="s">
        <v>35360</v>
      </c>
    </row>
    <row r="12155" spans="39:41" ht="12" customHeight="1" x14ac:dyDescent="0.2">
      <c r="AM12155" t="str">
        <f t="shared" si="190"/>
        <v>Positano [ITPOS]</v>
      </c>
      <c r="AN12155" t="s">
        <v>18223</v>
      </c>
      <c r="AO12155" t="s">
        <v>18224</v>
      </c>
    </row>
    <row r="12156" spans="39:41" ht="12" customHeight="1" x14ac:dyDescent="0.2">
      <c r="AM12156" t="str">
        <f t="shared" si="190"/>
        <v>Positra [INPST]</v>
      </c>
      <c r="AN12156" t="s">
        <v>17399</v>
      </c>
      <c r="AO12156" t="s">
        <v>17400</v>
      </c>
    </row>
    <row r="12157" spans="39:41" ht="12" customHeight="1" x14ac:dyDescent="0.2">
      <c r="AM12157" t="str">
        <f t="shared" si="190"/>
        <v>Poso, Sulawesi [IDPSJ]</v>
      </c>
      <c r="AN12157" t="s">
        <v>16527</v>
      </c>
      <c r="AO12157" t="s">
        <v>16528</v>
      </c>
    </row>
    <row r="12158" spans="39:41" ht="12" customHeight="1" x14ac:dyDescent="0.2">
      <c r="AM12158" t="str">
        <f t="shared" si="190"/>
        <v>Posorja [ECPSJ]</v>
      </c>
      <c r="AN12158" t="s">
        <v>36880</v>
      </c>
      <c r="AO12158" t="s">
        <v>36881</v>
      </c>
    </row>
    <row r="12159" spans="39:41" ht="12" customHeight="1" x14ac:dyDescent="0.2">
      <c r="AM12159" t="str">
        <f t="shared" si="190"/>
        <v>Possession [REPOS]</v>
      </c>
      <c r="AN12159" t="s">
        <v>26711</v>
      </c>
      <c r="AO12159" t="s">
        <v>26712</v>
      </c>
    </row>
    <row r="12160" spans="39:41" ht="12" customHeight="1" x14ac:dyDescent="0.2">
      <c r="AM12160" t="str">
        <f t="shared" si="190"/>
        <v>Posyet [RUPSE]</v>
      </c>
      <c r="AN12160" t="s">
        <v>27184</v>
      </c>
      <c r="AO12160" t="s">
        <v>27185</v>
      </c>
    </row>
    <row r="12161" spans="39:41" ht="12" customHeight="1" x14ac:dyDescent="0.2">
      <c r="AM12161" t="str">
        <f t="shared" si="190"/>
        <v>Potamos Antikithera [GRPOA]</v>
      </c>
      <c r="AN12161" t="s">
        <v>15467</v>
      </c>
      <c r="AO12161" t="s">
        <v>15468</v>
      </c>
    </row>
    <row r="12162" spans="39:41" ht="12" customHeight="1" x14ac:dyDescent="0.2">
      <c r="AM12162" t="str">
        <f t="shared" si="190"/>
        <v>Potapova [RUPTP]</v>
      </c>
      <c r="AN12162" t="s">
        <v>27186</v>
      </c>
      <c r="AO12162" t="s">
        <v>27187</v>
      </c>
    </row>
    <row r="12163" spans="39:41" ht="12" customHeight="1" x14ac:dyDescent="0.2">
      <c r="AM12163" t="str">
        <f t="shared" si="190"/>
        <v>Poti [GEPTI]</v>
      </c>
      <c r="AN12163" t="s">
        <v>14934</v>
      </c>
      <c r="AO12163" t="s">
        <v>14935</v>
      </c>
    </row>
    <row r="12164" spans="39:41" ht="12" customHeight="1" x14ac:dyDescent="0.2">
      <c r="AM12164" t="str">
        <f t="shared" si="190"/>
        <v>Potim [BRPOI]</v>
      </c>
      <c r="AN12164" t="s">
        <v>3377</v>
      </c>
      <c r="AO12164" t="s">
        <v>3378</v>
      </c>
    </row>
    <row r="12165" spans="39:41" ht="12" customHeight="1" x14ac:dyDescent="0.2">
      <c r="AM12165" t="str">
        <f t="shared" si="190"/>
        <v>Poto Tano [IDPOT]</v>
      </c>
      <c r="AN12165" t="s">
        <v>16529</v>
      </c>
      <c r="AO12165" t="s">
        <v>16530</v>
      </c>
    </row>
    <row r="12166" spans="39:41" ht="12" customHeight="1" x14ac:dyDescent="0.2">
      <c r="AM12166" t="str">
        <f t="shared" si="190"/>
        <v>Potosi [NIPTI]</v>
      </c>
      <c r="AN12166" t="s">
        <v>34187</v>
      </c>
      <c r="AO12166" t="s">
        <v>34261</v>
      </c>
    </row>
    <row r="12167" spans="39:41" ht="12" customHeight="1" x14ac:dyDescent="0.2">
      <c r="AM12167" t="str">
        <f t="shared" si="190"/>
        <v>Potsdam [DEPOT]</v>
      </c>
      <c r="AN12167" t="s">
        <v>8133</v>
      </c>
      <c r="AO12167" t="s">
        <v>8134</v>
      </c>
    </row>
    <row r="12168" spans="39:41" ht="12" customHeight="1" x14ac:dyDescent="0.2">
      <c r="AM12168" t="str">
        <f t="shared" si="190"/>
        <v>Pottes [BEPTS]</v>
      </c>
      <c r="AN12168" t="s">
        <v>2855</v>
      </c>
      <c r="AO12168" t="s">
        <v>2856</v>
      </c>
    </row>
    <row r="12169" spans="39:41" ht="12" customHeight="1" x14ac:dyDescent="0.2">
      <c r="AM12169" t="str">
        <f t="shared" si="190"/>
        <v>Pouce Coupe [CAPOU]</v>
      </c>
      <c r="AN12169" t="s">
        <v>4286</v>
      </c>
      <c r="AO12169" t="s">
        <v>4287</v>
      </c>
    </row>
    <row r="12170" spans="39:41" ht="12" customHeight="1" x14ac:dyDescent="0.2">
      <c r="AM12170" t="str">
        <f t="shared" si="190"/>
        <v>Pougny [FRZXD]</v>
      </c>
      <c r="AN12170" t="s">
        <v>11876</v>
      </c>
      <c r="AO12170" t="s">
        <v>11877</v>
      </c>
    </row>
    <row r="12171" spans="39:41" ht="12" customHeight="1" x14ac:dyDescent="0.2">
      <c r="AM12171" t="str">
        <f t="shared" si="190"/>
        <v>Pouille [FRPKL]</v>
      </c>
      <c r="AN12171" t="s">
        <v>11878</v>
      </c>
      <c r="AO12171" t="s">
        <v>11879</v>
      </c>
    </row>
    <row r="12172" spans="39:41" ht="12" customHeight="1" x14ac:dyDescent="0.2">
      <c r="AM12172" t="str">
        <f t="shared" si="190"/>
        <v>Pouillenay [FRYUJ]</v>
      </c>
      <c r="AN12172" t="s">
        <v>11880</v>
      </c>
      <c r="AO12172" t="s">
        <v>11881</v>
      </c>
    </row>
    <row r="12173" spans="39:41" ht="12" customHeight="1" x14ac:dyDescent="0.2">
      <c r="AM12173" t="str">
        <f t="shared" si="190"/>
        <v>Pouilly [FRUJY]</v>
      </c>
      <c r="AN12173" t="s">
        <v>11882</v>
      </c>
      <c r="AO12173" t="s">
        <v>11883</v>
      </c>
    </row>
    <row r="12174" spans="39:41" ht="12" customHeight="1" x14ac:dyDescent="0.2">
      <c r="AM12174" t="str">
        <f t="shared" si="190"/>
        <v>Pouilly-sur-Loire [FRPKS]</v>
      </c>
      <c r="AN12174" t="s">
        <v>11884</v>
      </c>
      <c r="AO12174" t="s">
        <v>11885</v>
      </c>
    </row>
    <row r="12175" spans="39:41" ht="12" customHeight="1" x14ac:dyDescent="0.2">
      <c r="AM12175" t="str">
        <f t="shared" si="190"/>
        <v>Pouldreuzic [FRZIC]</v>
      </c>
      <c r="AN12175" t="s">
        <v>11886</v>
      </c>
      <c r="AO12175" t="s">
        <v>11887</v>
      </c>
    </row>
    <row r="12176" spans="39:41" ht="12" customHeight="1" x14ac:dyDescent="0.2">
      <c r="AM12176" t="str">
        <f t="shared" si="190"/>
        <v>Poulton [GBGL9]</v>
      </c>
      <c r="AN12176" t="s">
        <v>14198</v>
      </c>
      <c r="AO12176" t="s">
        <v>14199</v>
      </c>
    </row>
    <row r="12177" spans="39:41" ht="12" customHeight="1" x14ac:dyDescent="0.2">
      <c r="AM12177" t="str">
        <f t="shared" si="190"/>
        <v>Pound Ridge [USPG8]</v>
      </c>
      <c r="AN12177" t="s">
        <v>31173</v>
      </c>
      <c r="AO12177" t="s">
        <v>31174</v>
      </c>
    </row>
    <row r="12178" spans="39:41" ht="12" customHeight="1" x14ac:dyDescent="0.2">
      <c r="AM12178" t="str">
        <f t="shared" si="190"/>
        <v>Povoacao [PTPVC]</v>
      </c>
      <c r="AN12178" t="s">
        <v>26582</v>
      </c>
      <c r="AO12178" t="s">
        <v>36391</v>
      </c>
    </row>
    <row r="12179" spans="39:41" ht="12" customHeight="1" x14ac:dyDescent="0.2">
      <c r="AM12179" t="str">
        <f t="shared" si="190"/>
        <v>Powderly [USTXX]</v>
      </c>
      <c r="AN12179" t="s">
        <v>31175</v>
      </c>
      <c r="AO12179" t="s">
        <v>31176</v>
      </c>
    </row>
    <row r="12180" spans="39:41" ht="12" customHeight="1" x14ac:dyDescent="0.2">
      <c r="AM12180" t="str">
        <f t="shared" si="190"/>
        <v>Powell River [CAPOW]</v>
      </c>
      <c r="AN12180" t="s">
        <v>4288</v>
      </c>
      <c r="AO12180" t="s">
        <v>4289</v>
      </c>
    </row>
    <row r="12181" spans="39:41" ht="12" customHeight="1" x14ac:dyDescent="0.2">
      <c r="AM12181" t="str">
        <f t="shared" si="190"/>
        <v>Powells Point [USPP4]</v>
      </c>
      <c r="AN12181" t="s">
        <v>31177</v>
      </c>
      <c r="AO12181" t="s">
        <v>31178</v>
      </c>
    </row>
    <row r="12182" spans="39:41" ht="12" customHeight="1" x14ac:dyDescent="0.2">
      <c r="AM12182" t="str">
        <f t="shared" si="190"/>
        <v>Powhatan [USZPW]</v>
      </c>
      <c r="AN12182" t="s">
        <v>31179</v>
      </c>
      <c r="AO12182" t="s">
        <v>31180</v>
      </c>
    </row>
    <row r="12183" spans="39:41" ht="12" customHeight="1" x14ac:dyDescent="0.2">
      <c r="AM12183" t="str">
        <f t="shared" si="190"/>
        <v>Poyarkovo [RUPYO]</v>
      </c>
      <c r="AN12183" t="s">
        <v>27188</v>
      </c>
      <c r="AO12183" t="s">
        <v>27189</v>
      </c>
    </row>
    <row r="12184" spans="39:41" ht="12" customHeight="1" x14ac:dyDescent="0.2">
      <c r="AM12184" t="str">
        <f t="shared" si="190"/>
        <v>Poyle [GBOYL]</v>
      </c>
      <c r="AN12184" t="s">
        <v>14200</v>
      </c>
      <c r="AO12184" t="s">
        <v>14201</v>
      </c>
    </row>
    <row r="12185" spans="39:41" ht="12" customHeight="1" x14ac:dyDescent="0.2">
      <c r="AM12185" t="str">
        <f t="shared" si="190"/>
        <v>Pozos Colorados [COPOC]</v>
      </c>
      <c r="AN12185" t="s">
        <v>6526</v>
      </c>
      <c r="AO12185" t="s">
        <v>6527</v>
      </c>
    </row>
    <row r="12186" spans="39:41" ht="12" customHeight="1" x14ac:dyDescent="0.2">
      <c r="AM12186" t="str">
        <f t="shared" si="190"/>
        <v>Pozzallo [ITPZL]</v>
      </c>
      <c r="AN12186" t="s">
        <v>18225</v>
      </c>
      <c r="AO12186" t="s">
        <v>18226</v>
      </c>
    </row>
    <row r="12187" spans="39:41" ht="12" customHeight="1" x14ac:dyDescent="0.2">
      <c r="AM12187" t="str">
        <f t="shared" si="190"/>
        <v>Pozzillo [ITOZI]</v>
      </c>
      <c r="AN12187" t="s">
        <v>18227</v>
      </c>
      <c r="AO12187" t="s">
        <v>18228</v>
      </c>
    </row>
    <row r="12188" spans="39:41" ht="12" customHeight="1" x14ac:dyDescent="0.2">
      <c r="AM12188" t="str">
        <f t="shared" si="190"/>
        <v>Pozzuoli [ITPOZ]</v>
      </c>
      <c r="AN12188" t="s">
        <v>18229</v>
      </c>
      <c r="AO12188" t="s">
        <v>18230</v>
      </c>
    </row>
    <row r="12189" spans="39:41" ht="12" customHeight="1" x14ac:dyDescent="0.2">
      <c r="AM12189" t="str">
        <f t="shared" si="190"/>
        <v>Prachuap Port [THPPC]</v>
      </c>
      <c r="AN12189" t="s">
        <v>33943</v>
      </c>
      <c r="AO12189" t="s">
        <v>34065</v>
      </c>
    </row>
    <row r="12190" spans="39:41" ht="12" customHeight="1" x14ac:dyDescent="0.2">
      <c r="AM12190" t="str">
        <f t="shared" si="190"/>
        <v>Prague-Vinohrady [CZXUY]</v>
      </c>
      <c r="AN12190" t="s">
        <v>6921</v>
      </c>
      <c r="AO12190" t="s">
        <v>6922</v>
      </c>
    </row>
    <row r="12191" spans="39:41" ht="12" customHeight="1" x14ac:dyDescent="0.2">
      <c r="AM12191" t="str">
        <f t="shared" si="190"/>
        <v>Praha [SKPLB]</v>
      </c>
      <c r="AN12191" t="s">
        <v>28057</v>
      </c>
      <c r="AO12191" t="s">
        <v>28058</v>
      </c>
    </row>
    <row r="12192" spans="39:41" ht="12" customHeight="1" x14ac:dyDescent="0.2">
      <c r="AM12192" t="str">
        <f t="shared" si="190"/>
        <v>Praha [CZPRG]</v>
      </c>
      <c r="AN12192" t="s">
        <v>36851</v>
      </c>
      <c r="AO12192" t="s">
        <v>28058</v>
      </c>
    </row>
    <row r="12193" spans="39:41" ht="12" customHeight="1" x14ac:dyDescent="0.2">
      <c r="AM12193" t="str">
        <f t="shared" si="190"/>
        <v>Prahovo [RSPHO]</v>
      </c>
      <c r="AN12193" t="s">
        <v>26848</v>
      </c>
      <c r="AO12193" t="s">
        <v>26849</v>
      </c>
    </row>
    <row r="12194" spans="39:41" ht="12" customHeight="1" x14ac:dyDescent="0.2">
      <c r="AM12194" t="str">
        <f t="shared" si="190"/>
        <v>Prahran [AUPHR]</v>
      </c>
      <c r="AN12194" t="s">
        <v>1968</v>
      </c>
      <c r="AO12194" t="s">
        <v>1969</v>
      </c>
    </row>
    <row r="12195" spans="39:41" ht="12" customHeight="1" x14ac:dyDescent="0.2">
      <c r="AM12195" t="str">
        <f t="shared" si="190"/>
        <v>Prai [MYPRA]</v>
      </c>
      <c r="AN12195" t="s">
        <v>22705</v>
      </c>
      <c r="AO12195" t="s">
        <v>22706</v>
      </c>
    </row>
    <row r="12196" spans="39:41" ht="12" customHeight="1" x14ac:dyDescent="0.2">
      <c r="AM12196" t="str">
        <f t="shared" si="190"/>
        <v>Praia [CVRAI]</v>
      </c>
      <c r="AN12196" t="s">
        <v>6737</v>
      </c>
      <c r="AO12196" t="s">
        <v>6738</v>
      </c>
    </row>
    <row r="12197" spans="39:41" ht="12" customHeight="1" x14ac:dyDescent="0.2">
      <c r="AM12197" t="str">
        <f t="shared" si="190"/>
        <v>Praia a Mare [ITPIM]</v>
      </c>
      <c r="AN12197" t="s">
        <v>18231</v>
      </c>
      <c r="AO12197" t="s">
        <v>18232</v>
      </c>
    </row>
    <row r="12198" spans="39:41" ht="12" customHeight="1" x14ac:dyDescent="0.2">
      <c r="AM12198" t="str">
        <f t="shared" si="190"/>
        <v>Praia da Graciosa [PTPRG]</v>
      </c>
      <c r="AN12198" t="s">
        <v>26583</v>
      </c>
      <c r="AO12198" t="s">
        <v>26584</v>
      </c>
    </row>
    <row r="12199" spans="39:41" ht="12" customHeight="1" x14ac:dyDescent="0.2">
      <c r="AM12199" t="str">
        <f t="shared" si="190"/>
        <v>Praia da Vitoria [PTPRV]</v>
      </c>
      <c r="AN12199" t="s">
        <v>26585</v>
      </c>
      <c r="AO12199" t="s">
        <v>36392</v>
      </c>
    </row>
    <row r="12200" spans="39:41" ht="12" customHeight="1" x14ac:dyDescent="0.2">
      <c r="AM12200" t="str">
        <f t="shared" si="190"/>
        <v>Prairie du Sac [USPS3]</v>
      </c>
      <c r="AN12200" t="s">
        <v>31181</v>
      </c>
      <c r="AO12200" t="s">
        <v>31182</v>
      </c>
    </row>
    <row r="12201" spans="39:41" ht="12" customHeight="1" x14ac:dyDescent="0.2">
      <c r="AM12201" t="str">
        <f t="shared" si="190"/>
        <v>Prangli Lounasadam [EEPRL]</v>
      </c>
      <c r="AN12201" t="s">
        <v>34325</v>
      </c>
      <c r="AO12201" t="s">
        <v>34315</v>
      </c>
    </row>
    <row r="12202" spans="39:41" ht="12" customHeight="1" x14ac:dyDescent="0.2">
      <c r="AM12202" t="str">
        <f t="shared" si="190"/>
        <v>Prapratno [HRPRP]</v>
      </c>
      <c r="AN12202" t="s">
        <v>15870</v>
      </c>
      <c r="AO12202" t="s">
        <v>15871</v>
      </c>
    </row>
    <row r="12203" spans="39:41" ht="12" customHeight="1" x14ac:dyDescent="0.2">
      <c r="AM12203" t="str">
        <f t="shared" si="190"/>
        <v>Prasto [DKPRS]</v>
      </c>
      <c r="AN12203" t="s">
        <v>36872</v>
      </c>
      <c r="AO12203" t="s">
        <v>36873</v>
      </c>
    </row>
    <row r="12204" spans="39:41" ht="12" customHeight="1" x14ac:dyDescent="0.2">
      <c r="AM12204" t="str">
        <f t="shared" si="190"/>
        <v>Pratapganj [INBPQ]</v>
      </c>
      <c r="AN12204" t="s">
        <v>17401</v>
      </c>
      <c r="AO12204" t="s">
        <v>17402</v>
      </c>
    </row>
    <row r="12205" spans="39:41" ht="12" customHeight="1" x14ac:dyDescent="0.2">
      <c r="AM12205" t="str">
        <f t="shared" ref="AM12205:AM12268" si="191">AO12205 &amp; " [" &amp; AN12205 &amp; "]"</f>
        <v>Precy-sur-Marne [FRPUM]</v>
      </c>
      <c r="AN12205" t="s">
        <v>11888</v>
      </c>
      <c r="AO12205" t="s">
        <v>35836</v>
      </c>
    </row>
    <row r="12206" spans="39:41" ht="12" customHeight="1" x14ac:dyDescent="0.2">
      <c r="AM12206" t="str">
        <f t="shared" si="191"/>
        <v>Prefailles [FRPI9]</v>
      </c>
      <c r="AN12206" t="s">
        <v>11889</v>
      </c>
      <c r="AO12206" t="s">
        <v>11890</v>
      </c>
    </row>
    <row r="12207" spans="39:41" ht="12" customHeight="1" x14ac:dyDescent="0.2">
      <c r="AM12207" t="str">
        <f t="shared" si="191"/>
        <v>Preissac [CACQ5]</v>
      </c>
      <c r="AN12207" t="s">
        <v>4290</v>
      </c>
      <c r="AO12207" t="s">
        <v>4291</v>
      </c>
    </row>
    <row r="12208" spans="39:41" ht="12" customHeight="1" x14ac:dyDescent="0.2">
      <c r="AM12208" t="str">
        <f t="shared" si="191"/>
        <v>Preko [HRPRE]</v>
      </c>
      <c r="AN12208" t="s">
        <v>15872</v>
      </c>
      <c r="AO12208" t="s">
        <v>15873</v>
      </c>
    </row>
    <row r="12209" spans="39:41" ht="12" customHeight="1" x14ac:dyDescent="0.2">
      <c r="AM12209" t="str">
        <f t="shared" si="191"/>
        <v>Prelipca [ROPPC]</v>
      </c>
      <c r="AN12209" t="s">
        <v>26811</v>
      </c>
      <c r="AO12209" t="s">
        <v>26812</v>
      </c>
    </row>
    <row r="12210" spans="39:41" ht="12" customHeight="1" x14ac:dyDescent="0.2">
      <c r="AM12210" t="str">
        <f t="shared" si="191"/>
        <v>Prelude [AUPRL]</v>
      </c>
      <c r="AN12210" t="s">
        <v>35016</v>
      </c>
      <c r="AO12210" t="s">
        <v>35017</v>
      </c>
    </row>
    <row r="12211" spans="39:41" ht="12" customHeight="1" x14ac:dyDescent="0.2">
      <c r="AM12211" t="str">
        <f t="shared" si="191"/>
        <v>Premont [USZWZ]</v>
      </c>
      <c r="AN12211" t="s">
        <v>31183</v>
      </c>
      <c r="AO12211" t="s">
        <v>31184</v>
      </c>
    </row>
    <row r="12212" spans="39:41" ht="12" customHeight="1" x14ac:dyDescent="0.2">
      <c r="AM12212" t="str">
        <f t="shared" si="191"/>
        <v>Prenton/Birkenhead [GBPBM]</v>
      </c>
      <c r="AN12212" t="s">
        <v>14202</v>
      </c>
      <c r="AO12212" t="s">
        <v>14203</v>
      </c>
    </row>
    <row r="12213" spans="39:41" ht="12" customHeight="1" x14ac:dyDescent="0.2">
      <c r="AM12213" t="str">
        <f t="shared" si="191"/>
        <v>Preobrazheniye [RUPRY]</v>
      </c>
      <c r="AN12213" t="s">
        <v>27190</v>
      </c>
      <c r="AO12213" t="s">
        <v>27191</v>
      </c>
    </row>
    <row r="12214" spans="39:41" ht="12" customHeight="1" x14ac:dyDescent="0.2">
      <c r="AM12214" t="str">
        <f t="shared" si="191"/>
        <v>Prerow [DEPRW]</v>
      </c>
      <c r="AN12214" t="s">
        <v>8135</v>
      </c>
      <c r="AO12214" t="s">
        <v>8136</v>
      </c>
    </row>
    <row r="12215" spans="39:41" ht="12" customHeight="1" x14ac:dyDescent="0.2">
      <c r="AM12215" t="str">
        <f t="shared" si="191"/>
        <v>Prescott [CAPRE]</v>
      </c>
      <c r="AN12215" t="s">
        <v>4292</v>
      </c>
      <c r="AO12215" t="s">
        <v>4293</v>
      </c>
    </row>
    <row r="12216" spans="39:41" ht="12" customHeight="1" x14ac:dyDescent="0.2">
      <c r="AM12216" t="str">
        <f t="shared" si="191"/>
        <v>Preston [GBPRE]</v>
      </c>
      <c r="AN12216" t="s">
        <v>14204</v>
      </c>
      <c r="AO12216" t="s">
        <v>14205</v>
      </c>
    </row>
    <row r="12217" spans="39:41" ht="12" customHeight="1" x14ac:dyDescent="0.2">
      <c r="AM12217" t="str">
        <f t="shared" si="191"/>
        <v>Preston [USPS9]</v>
      </c>
      <c r="AN12217" t="s">
        <v>31185</v>
      </c>
      <c r="AO12217" t="s">
        <v>14205</v>
      </c>
    </row>
    <row r="12218" spans="39:41" ht="12" customHeight="1" x14ac:dyDescent="0.2">
      <c r="AM12218" t="str">
        <f t="shared" si="191"/>
        <v>Prettin [DEPRN]</v>
      </c>
      <c r="AN12218" t="s">
        <v>8137</v>
      </c>
      <c r="AO12218" t="s">
        <v>8138</v>
      </c>
    </row>
    <row r="12219" spans="39:41" ht="12" customHeight="1" x14ac:dyDescent="0.2">
      <c r="AM12219" t="str">
        <f t="shared" si="191"/>
        <v>Preveza/Lefkas [GRPVK]</v>
      </c>
      <c r="AN12219" t="s">
        <v>15469</v>
      </c>
      <c r="AO12219" t="s">
        <v>15470</v>
      </c>
    </row>
    <row r="12220" spans="39:41" ht="12" customHeight="1" x14ac:dyDescent="0.2">
      <c r="AM12220" t="str">
        <f t="shared" si="191"/>
        <v>Prevost [CAVOS]</v>
      </c>
      <c r="AN12220" t="s">
        <v>4294</v>
      </c>
      <c r="AO12220" t="s">
        <v>35333</v>
      </c>
    </row>
    <row r="12221" spans="39:41" ht="12" customHeight="1" x14ac:dyDescent="0.2">
      <c r="AM12221" t="str">
        <f t="shared" si="191"/>
        <v>Price [AUPRC]</v>
      </c>
      <c r="AN12221" t="s">
        <v>1970</v>
      </c>
      <c r="AO12221" t="s">
        <v>1971</v>
      </c>
    </row>
    <row r="12222" spans="39:41" ht="12" customHeight="1" x14ac:dyDescent="0.2">
      <c r="AM12222" t="str">
        <f t="shared" si="191"/>
        <v>Priceville [USP43]</v>
      </c>
      <c r="AN12222" t="s">
        <v>31186</v>
      </c>
      <c r="AO12222" t="s">
        <v>31187</v>
      </c>
    </row>
    <row r="12223" spans="39:41" ht="12" customHeight="1" x14ac:dyDescent="0.2">
      <c r="AM12223" t="str">
        <f t="shared" si="191"/>
        <v>Prichard [USPT7]</v>
      </c>
      <c r="AN12223" t="s">
        <v>31188</v>
      </c>
      <c r="AO12223" t="s">
        <v>31189</v>
      </c>
    </row>
    <row r="12224" spans="39:41" ht="12" customHeight="1" x14ac:dyDescent="0.2">
      <c r="AM12224" t="str">
        <f t="shared" si="191"/>
        <v>Prignac-et-Marcamps [FRXET]</v>
      </c>
      <c r="AN12224" t="s">
        <v>36976</v>
      </c>
      <c r="AO12224" t="s">
        <v>36977</v>
      </c>
    </row>
    <row r="12225" spans="39:41" ht="12" customHeight="1" x14ac:dyDescent="0.2">
      <c r="AM12225" t="str">
        <f t="shared" si="191"/>
        <v>Prigorodnoye [RUPGN]</v>
      </c>
      <c r="AN12225" t="s">
        <v>27192</v>
      </c>
      <c r="AO12225" t="s">
        <v>27193</v>
      </c>
    </row>
    <row r="12226" spans="39:41" ht="12" customHeight="1" x14ac:dyDescent="0.2">
      <c r="AM12226" t="str">
        <f t="shared" si="191"/>
        <v>Primorsk (Koivisto) [RUPRI]</v>
      </c>
      <c r="AN12226" t="s">
        <v>27194</v>
      </c>
      <c r="AO12226" t="s">
        <v>27195</v>
      </c>
    </row>
    <row r="12227" spans="39:41" ht="12" customHeight="1" x14ac:dyDescent="0.2">
      <c r="AM12227" t="str">
        <f t="shared" si="191"/>
        <v>Primosten [HRPRI]</v>
      </c>
      <c r="AN12227" t="s">
        <v>15874</v>
      </c>
      <c r="AO12227" t="s">
        <v>15875</v>
      </c>
    </row>
    <row r="12228" spans="39:41" ht="12" customHeight="1" x14ac:dyDescent="0.2">
      <c r="AM12228" t="str">
        <f t="shared" si="191"/>
        <v>Prince George [CAPRG]</v>
      </c>
      <c r="AN12228" t="s">
        <v>4295</v>
      </c>
      <c r="AO12228" t="s">
        <v>4296</v>
      </c>
    </row>
    <row r="12229" spans="39:41" ht="12" customHeight="1" x14ac:dyDescent="0.2">
      <c r="AM12229" t="str">
        <f t="shared" si="191"/>
        <v>Prince Rupert [CAPRR]</v>
      </c>
      <c r="AN12229" t="s">
        <v>4297</v>
      </c>
      <c r="AO12229" t="s">
        <v>4298</v>
      </c>
    </row>
    <row r="12230" spans="39:41" ht="12" customHeight="1" x14ac:dyDescent="0.2">
      <c r="AM12230" t="str">
        <f t="shared" si="191"/>
        <v>Principe [STPCP]</v>
      </c>
      <c r="AN12230" t="s">
        <v>28129</v>
      </c>
      <c r="AO12230" t="s">
        <v>28130</v>
      </c>
    </row>
    <row r="12231" spans="39:41" ht="12" customHeight="1" x14ac:dyDescent="0.2">
      <c r="AM12231" t="str">
        <f t="shared" si="191"/>
        <v>Prinos Thassou [GRPPI]</v>
      </c>
      <c r="AN12231" t="s">
        <v>15471</v>
      </c>
      <c r="AO12231" t="s">
        <v>15472</v>
      </c>
    </row>
    <row r="12232" spans="39:41" ht="12" customHeight="1" x14ac:dyDescent="0.2">
      <c r="AM12232" t="str">
        <f t="shared" si="191"/>
        <v>Prinquiau [FRHYJ]</v>
      </c>
      <c r="AN12232" t="s">
        <v>11891</v>
      </c>
      <c r="AO12232" t="s">
        <v>11892</v>
      </c>
    </row>
    <row r="12233" spans="39:41" ht="12" customHeight="1" x14ac:dyDescent="0.2">
      <c r="AM12233" t="str">
        <f t="shared" si="191"/>
        <v>Prinzapolca [NIPRI]</v>
      </c>
      <c r="AN12233" t="s">
        <v>23000</v>
      </c>
      <c r="AO12233" t="s">
        <v>23001</v>
      </c>
    </row>
    <row r="12234" spans="39:41" ht="12" customHeight="1" x14ac:dyDescent="0.2">
      <c r="AM12234" t="str">
        <f t="shared" si="191"/>
        <v>Prinzersdorf [AT7PZ]</v>
      </c>
      <c r="AN12234" t="s">
        <v>1305</v>
      </c>
      <c r="AO12234" t="s">
        <v>1306</v>
      </c>
    </row>
    <row r="12235" spans="39:41" ht="12" customHeight="1" x14ac:dyDescent="0.2">
      <c r="AM12235" t="str">
        <f t="shared" si="191"/>
        <v>Priolo Gargallo [ITPRL]</v>
      </c>
      <c r="AN12235" t="s">
        <v>18233</v>
      </c>
      <c r="AO12235" t="s">
        <v>18234</v>
      </c>
    </row>
    <row r="12236" spans="39:41" ht="12" customHeight="1" x14ac:dyDescent="0.2">
      <c r="AM12236" t="str">
        <f t="shared" si="191"/>
        <v>Prizna [HRPRN]</v>
      </c>
      <c r="AN12236" t="s">
        <v>15876</v>
      </c>
      <c r="AO12236" t="s">
        <v>15877</v>
      </c>
    </row>
    <row r="12237" spans="39:41" ht="12" customHeight="1" x14ac:dyDescent="0.2">
      <c r="AM12237" t="str">
        <f t="shared" si="191"/>
        <v>Probolinggo, Java [IDPRO]</v>
      </c>
      <c r="AN12237" t="s">
        <v>16531</v>
      </c>
      <c r="AO12237" t="s">
        <v>16532</v>
      </c>
    </row>
    <row r="12238" spans="39:41" ht="12" customHeight="1" x14ac:dyDescent="0.2">
      <c r="AM12238" t="str">
        <f t="shared" si="191"/>
        <v>Procida [ITPRO]</v>
      </c>
      <c r="AN12238" t="s">
        <v>18235</v>
      </c>
      <c r="AO12238" t="s">
        <v>18236</v>
      </c>
    </row>
    <row r="12239" spans="39:41" ht="12" customHeight="1" x14ac:dyDescent="0.2">
      <c r="AM12239" t="str">
        <f t="shared" si="191"/>
        <v>Profondeville [BEPFE]</v>
      </c>
      <c r="AN12239" t="s">
        <v>2857</v>
      </c>
      <c r="AO12239" t="s">
        <v>2858</v>
      </c>
    </row>
    <row r="12240" spans="39:41" ht="12" customHeight="1" x14ac:dyDescent="0.2">
      <c r="AM12240" t="str">
        <f t="shared" si="191"/>
        <v>Progreso [MXPGO]</v>
      </c>
      <c r="AN12240" t="s">
        <v>22414</v>
      </c>
      <c r="AO12240" t="s">
        <v>22415</v>
      </c>
    </row>
    <row r="12241" spans="39:41" ht="12" customHeight="1" x14ac:dyDescent="0.2">
      <c r="AM12241" t="str">
        <f t="shared" si="191"/>
        <v>Progress [AQPRO]</v>
      </c>
      <c r="AN12241" t="s">
        <v>960</v>
      </c>
      <c r="AO12241" t="s">
        <v>961</v>
      </c>
    </row>
    <row r="12242" spans="39:41" ht="12" customHeight="1" x14ac:dyDescent="0.2">
      <c r="AM12242" t="str">
        <f t="shared" si="191"/>
        <v>Prointal, Jv [IDPNT]</v>
      </c>
      <c r="AN12242" t="s">
        <v>16533</v>
      </c>
      <c r="AO12242" t="s">
        <v>16534</v>
      </c>
    </row>
    <row r="12243" spans="39:41" ht="12" customHeight="1" x14ac:dyDescent="0.2">
      <c r="AM12243" t="str">
        <f t="shared" si="191"/>
        <v>Prokhorovskiy [RUPHS]</v>
      </c>
      <c r="AN12243" t="s">
        <v>27196</v>
      </c>
      <c r="AO12243" t="s">
        <v>27197</v>
      </c>
    </row>
    <row r="12244" spans="39:41" ht="12" customHeight="1" x14ac:dyDescent="0.2">
      <c r="AM12244" t="str">
        <f t="shared" si="191"/>
        <v>Prony [NCPNY]</v>
      </c>
      <c r="AN12244" t="s">
        <v>22890</v>
      </c>
      <c r="AO12244" t="s">
        <v>22891</v>
      </c>
    </row>
    <row r="12245" spans="39:41" ht="12" customHeight="1" x14ac:dyDescent="0.2">
      <c r="AM12245" t="str">
        <f t="shared" si="191"/>
        <v>Proper Bay [AUPRB]</v>
      </c>
      <c r="AN12245" t="s">
        <v>1972</v>
      </c>
      <c r="AO12245" t="s">
        <v>1973</v>
      </c>
    </row>
    <row r="12246" spans="39:41" ht="12" customHeight="1" x14ac:dyDescent="0.2">
      <c r="AM12246" t="str">
        <f t="shared" si="191"/>
        <v>Propriano [FRPRP]</v>
      </c>
      <c r="AN12246" t="s">
        <v>11893</v>
      </c>
      <c r="AO12246" t="s">
        <v>11894</v>
      </c>
    </row>
    <row r="12247" spans="39:41" ht="12" customHeight="1" x14ac:dyDescent="0.2">
      <c r="AM12247" t="str">
        <f t="shared" si="191"/>
        <v>Prosotsani [GRDSD]</v>
      </c>
      <c r="AN12247" t="s">
        <v>15473</v>
      </c>
      <c r="AO12247" t="s">
        <v>35964</v>
      </c>
    </row>
    <row r="12248" spans="39:41" ht="12" customHeight="1" x14ac:dyDescent="0.2">
      <c r="AM12248" t="str">
        <f t="shared" si="191"/>
        <v>Prospect [CAPPT]</v>
      </c>
      <c r="AN12248" t="s">
        <v>4299</v>
      </c>
      <c r="AO12248" t="s">
        <v>4300</v>
      </c>
    </row>
    <row r="12249" spans="39:41" ht="12" customHeight="1" x14ac:dyDescent="0.2">
      <c r="AM12249" t="str">
        <f t="shared" si="191"/>
        <v>Prospect [USPP9]</v>
      </c>
      <c r="AN12249" t="s">
        <v>31190</v>
      </c>
      <c r="AO12249" t="s">
        <v>4300</v>
      </c>
    </row>
    <row r="12250" spans="39:41" ht="12" customHeight="1" x14ac:dyDescent="0.2">
      <c r="AM12250" t="str">
        <f t="shared" si="191"/>
        <v>Prosper [USQPX]</v>
      </c>
      <c r="AN12250" t="s">
        <v>31191</v>
      </c>
      <c r="AO12250" t="s">
        <v>31192</v>
      </c>
    </row>
    <row r="12251" spans="39:41" ht="12" customHeight="1" x14ac:dyDescent="0.2">
      <c r="AM12251" t="str">
        <f t="shared" si="191"/>
        <v>Proti [GRPRO]</v>
      </c>
      <c r="AN12251" t="s">
        <v>15474</v>
      </c>
      <c r="AO12251" t="s">
        <v>35965</v>
      </c>
    </row>
    <row r="12252" spans="39:41" ht="12" customHeight="1" x14ac:dyDescent="0.2">
      <c r="AM12252" t="str">
        <f t="shared" si="191"/>
        <v>Providence [USPVD]</v>
      </c>
      <c r="AN12252" t="s">
        <v>31193</v>
      </c>
      <c r="AO12252" t="s">
        <v>31194</v>
      </c>
    </row>
    <row r="12253" spans="39:41" ht="12" customHeight="1" x14ac:dyDescent="0.2">
      <c r="AM12253" t="str">
        <f t="shared" si="191"/>
        <v>Providenciales [TCPLS]</v>
      </c>
      <c r="AN12253" t="s">
        <v>28188</v>
      </c>
      <c r="AO12253" t="s">
        <v>28189</v>
      </c>
    </row>
    <row r="12254" spans="39:41" ht="12" customHeight="1" x14ac:dyDescent="0.2">
      <c r="AM12254" t="str">
        <f t="shared" si="191"/>
        <v>Provideniya, Bukhta [RUPVS]</v>
      </c>
      <c r="AN12254" t="s">
        <v>27198</v>
      </c>
      <c r="AO12254" t="s">
        <v>27199</v>
      </c>
    </row>
    <row r="12255" spans="39:41" ht="12" customHeight="1" x14ac:dyDescent="0.2">
      <c r="AM12255" t="str">
        <f t="shared" si="191"/>
        <v>Provincetown [USPVC]</v>
      </c>
      <c r="AN12255" t="s">
        <v>31195</v>
      </c>
      <c r="AO12255" t="s">
        <v>31196</v>
      </c>
    </row>
    <row r="12256" spans="39:41" ht="12" customHeight="1" x14ac:dyDescent="0.2">
      <c r="AM12256" t="str">
        <f t="shared" si="191"/>
        <v>Pruchten [DEPCE]</v>
      </c>
      <c r="AN12256" t="s">
        <v>8139</v>
      </c>
      <c r="AO12256" t="s">
        <v>8140</v>
      </c>
    </row>
    <row r="12257" spans="39:41" ht="12" customHeight="1" x14ac:dyDescent="0.2">
      <c r="AM12257" t="str">
        <f t="shared" si="191"/>
        <v>Prvic [HRPRV]</v>
      </c>
      <c r="AN12257" t="s">
        <v>15878</v>
      </c>
      <c r="AO12257" t="s">
        <v>15879</v>
      </c>
    </row>
    <row r="12258" spans="39:41" ht="12" customHeight="1" x14ac:dyDescent="0.2">
      <c r="AM12258" t="str">
        <f t="shared" si="191"/>
        <v>Prvic Sepurine [HRPRS]</v>
      </c>
      <c r="AN12258" t="s">
        <v>15880</v>
      </c>
      <c r="AO12258" t="s">
        <v>15881</v>
      </c>
    </row>
    <row r="12259" spans="39:41" ht="12" customHeight="1" x14ac:dyDescent="0.2">
      <c r="AM12259" t="str">
        <f t="shared" si="191"/>
        <v>Psakhna [GRPSA]</v>
      </c>
      <c r="AN12259" t="s">
        <v>15475</v>
      </c>
      <c r="AO12259" t="s">
        <v>35966</v>
      </c>
    </row>
    <row r="12260" spans="39:41" ht="12" customHeight="1" x14ac:dyDescent="0.2">
      <c r="AM12260" t="str">
        <f t="shared" si="191"/>
        <v>Psara [GRPAA]</v>
      </c>
      <c r="AN12260" t="s">
        <v>15476</v>
      </c>
      <c r="AO12260" t="s">
        <v>35967</v>
      </c>
    </row>
    <row r="12261" spans="39:41" ht="12" customHeight="1" x14ac:dyDescent="0.2">
      <c r="AM12261" t="str">
        <f t="shared" si="191"/>
        <v>Pszenno [PLPZN]</v>
      </c>
      <c r="AN12261" t="s">
        <v>26367</v>
      </c>
      <c r="AO12261" t="s">
        <v>26368</v>
      </c>
    </row>
    <row r="12262" spans="39:41" ht="12" customHeight="1" x14ac:dyDescent="0.2">
      <c r="AM12262" t="str">
        <f t="shared" si="191"/>
        <v>Pteleos [GRPTE]</v>
      </c>
      <c r="AN12262" t="s">
        <v>15477</v>
      </c>
      <c r="AO12262" t="s">
        <v>15478</v>
      </c>
    </row>
    <row r="12263" spans="39:41" ht="12" customHeight="1" x14ac:dyDescent="0.2">
      <c r="AM12263" t="str">
        <f t="shared" si="191"/>
        <v>Pucallpa [PEPCL]</v>
      </c>
      <c r="AN12263" t="s">
        <v>25285</v>
      </c>
      <c r="AO12263" t="s">
        <v>25286</v>
      </c>
    </row>
    <row r="12264" spans="39:41" ht="12" customHeight="1" x14ac:dyDescent="0.2">
      <c r="AM12264" t="str">
        <f t="shared" si="191"/>
        <v>Pucisca [HRPCA]</v>
      </c>
      <c r="AN12264" t="s">
        <v>15882</v>
      </c>
      <c r="AO12264" t="s">
        <v>15883</v>
      </c>
    </row>
    <row r="12265" spans="39:41" ht="12" customHeight="1" x14ac:dyDescent="0.2">
      <c r="AM12265" t="str">
        <f t="shared" si="191"/>
        <v>Pudong/Shanghai [CNPDG]</v>
      </c>
      <c r="AN12265" t="s">
        <v>5841</v>
      </c>
      <c r="AO12265" t="s">
        <v>5842</v>
      </c>
    </row>
    <row r="12266" spans="39:41" ht="12" customHeight="1" x14ac:dyDescent="0.2">
      <c r="AM12266" t="str">
        <f t="shared" si="191"/>
        <v>Pudongxinqu Pt [CNPDX]</v>
      </c>
      <c r="AN12266" t="s">
        <v>5843</v>
      </c>
      <c r="AO12266" t="s">
        <v>5844</v>
      </c>
    </row>
    <row r="12267" spans="39:41" ht="12" customHeight="1" x14ac:dyDescent="0.2">
      <c r="AM12267" t="str">
        <f t="shared" si="191"/>
        <v>Pudozh [RUPUD]</v>
      </c>
      <c r="AN12267" t="s">
        <v>27200</v>
      </c>
      <c r="AO12267" t="s">
        <v>27201</v>
      </c>
    </row>
    <row r="12268" spans="39:41" ht="12" customHeight="1" x14ac:dyDescent="0.2">
      <c r="AM12268" t="str">
        <f t="shared" si="191"/>
        <v>Puebla de Sancho Perez [ESCHZ]</v>
      </c>
      <c r="AN12268" t="s">
        <v>10050</v>
      </c>
      <c r="AO12268" t="s">
        <v>35690</v>
      </c>
    </row>
    <row r="12269" spans="39:41" ht="12" customHeight="1" x14ac:dyDescent="0.2">
      <c r="AM12269" t="str">
        <f t="shared" ref="AM12269:AM12332" si="192">AO12269 &amp; " [" &amp; AN12269 &amp; "]"</f>
        <v>Puebla del Caraminal [ESLPC]</v>
      </c>
      <c r="AN12269" t="s">
        <v>10051</v>
      </c>
      <c r="AO12269" t="s">
        <v>35691</v>
      </c>
    </row>
    <row r="12270" spans="39:41" ht="12" customHeight="1" x14ac:dyDescent="0.2">
      <c r="AM12270" t="str">
        <f t="shared" si="192"/>
        <v>Puerta [MXPTA]</v>
      </c>
      <c r="AN12270" t="s">
        <v>22416</v>
      </c>
      <c r="AO12270" t="s">
        <v>22417</v>
      </c>
    </row>
    <row r="12271" spans="39:41" ht="12" customHeight="1" x14ac:dyDescent="0.2">
      <c r="AM12271" t="str">
        <f t="shared" si="192"/>
        <v>Puerto Aisen [CLWPA]</v>
      </c>
      <c r="AN12271" t="s">
        <v>4926</v>
      </c>
      <c r="AO12271" t="s">
        <v>35361</v>
      </c>
    </row>
    <row r="12272" spans="39:41" ht="12" customHeight="1" x14ac:dyDescent="0.2">
      <c r="AM12272" t="str">
        <f t="shared" si="192"/>
        <v>Puerto Alumbrera [ARPAL]</v>
      </c>
      <c r="AN12272" t="s">
        <v>1058</v>
      </c>
      <c r="AO12272" t="s">
        <v>1059</v>
      </c>
    </row>
    <row r="12273" spans="39:41" ht="12" customHeight="1" x14ac:dyDescent="0.2">
      <c r="AM12273" t="str">
        <f t="shared" si="192"/>
        <v>Puerto Angamos [CLPAG]</v>
      </c>
      <c r="AN12273" t="s">
        <v>4927</v>
      </c>
      <c r="AO12273" t="s">
        <v>4928</v>
      </c>
    </row>
    <row r="12274" spans="39:41" ht="12" customHeight="1" x14ac:dyDescent="0.2">
      <c r="AM12274" t="str">
        <f t="shared" si="192"/>
        <v>Puerto Angel [MXPNG]</v>
      </c>
      <c r="AN12274" t="s">
        <v>22418</v>
      </c>
      <c r="AO12274" t="s">
        <v>36098</v>
      </c>
    </row>
    <row r="12275" spans="39:41" ht="12" customHeight="1" x14ac:dyDescent="0.2">
      <c r="AM12275" t="str">
        <f t="shared" si="192"/>
        <v>Puerto Antequera [PYPAN]</v>
      </c>
      <c r="AN12275" t="s">
        <v>26674</v>
      </c>
      <c r="AO12275" t="s">
        <v>26675</v>
      </c>
    </row>
    <row r="12276" spans="39:41" ht="12" customHeight="1" x14ac:dyDescent="0.2">
      <c r="AM12276" t="str">
        <f t="shared" si="192"/>
        <v>Puerto Armuelles [PAAML]</v>
      </c>
      <c r="AN12276" t="s">
        <v>25219</v>
      </c>
      <c r="AO12276" t="s">
        <v>25220</v>
      </c>
    </row>
    <row r="12277" spans="39:41" ht="12" customHeight="1" x14ac:dyDescent="0.2">
      <c r="AM12277" t="str">
        <f t="shared" si="192"/>
        <v>Puerto Asis [COPUU]</v>
      </c>
      <c r="AN12277" t="s">
        <v>6528</v>
      </c>
      <c r="AO12277" t="s">
        <v>35373</v>
      </c>
    </row>
    <row r="12278" spans="39:41" ht="12" customHeight="1" x14ac:dyDescent="0.2">
      <c r="AM12278" t="str">
        <f t="shared" si="192"/>
        <v>Puerto Ayacucho [VEPYH]</v>
      </c>
      <c r="AN12278" t="s">
        <v>32224</v>
      </c>
      <c r="AO12278" t="s">
        <v>32225</v>
      </c>
    </row>
    <row r="12279" spans="39:41" ht="12" customHeight="1" x14ac:dyDescent="0.2">
      <c r="AM12279" t="str">
        <f t="shared" si="192"/>
        <v>Puerto Ayora, Isla Santa Cruz [ECAYO]</v>
      </c>
      <c r="AN12279" t="s">
        <v>9105</v>
      </c>
      <c r="AO12279" t="s">
        <v>9106</v>
      </c>
    </row>
    <row r="12280" spans="39:41" ht="12" customHeight="1" x14ac:dyDescent="0.2">
      <c r="AM12280" t="str">
        <f t="shared" si="192"/>
        <v>Puerto Balao Grande [ECPBG]</v>
      </c>
      <c r="AN12280" t="s">
        <v>9107</v>
      </c>
      <c r="AO12280" t="s">
        <v>9108</v>
      </c>
    </row>
    <row r="12281" spans="39:41" ht="12" customHeight="1" x14ac:dyDescent="0.2">
      <c r="AM12281" t="str">
        <f t="shared" si="192"/>
        <v>Puerto Baquerizo Moreno [ECBAQ]</v>
      </c>
      <c r="AN12281" t="s">
        <v>9109</v>
      </c>
      <c r="AO12281" t="s">
        <v>9110</v>
      </c>
    </row>
    <row r="12282" spans="39:41" ht="12" customHeight="1" x14ac:dyDescent="0.2">
      <c r="AM12282" t="str">
        <f t="shared" si="192"/>
        <v>Puerto Barrios [GTPBR]</v>
      </c>
      <c r="AN12282" t="s">
        <v>15599</v>
      </c>
      <c r="AO12282" t="s">
        <v>15600</v>
      </c>
    </row>
    <row r="12283" spans="39:41" ht="12" customHeight="1" x14ac:dyDescent="0.2">
      <c r="AM12283" t="str">
        <f t="shared" si="192"/>
        <v>Puerto Belgrano/Bahia Blanca [ARPBG]</v>
      </c>
      <c r="AN12283" t="s">
        <v>1060</v>
      </c>
      <c r="AO12283" t="s">
        <v>1061</v>
      </c>
    </row>
    <row r="12284" spans="39:41" ht="12" customHeight="1" x14ac:dyDescent="0.2">
      <c r="AM12284" t="str">
        <f t="shared" si="192"/>
        <v>Puerto Berrio [COPBE]</v>
      </c>
      <c r="AN12284" t="s">
        <v>6529</v>
      </c>
      <c r="AO12284" t="s">
        <v>6530</v>
      </c>
    </row>
    <row r="12285" spans="39:41" ht="12" customHeight="1" x14ac:dyDescent="0.2">
      <c r="AM12285" t="str">
        <f t="shared" si="192"/>
        <v>Puerto Bolivar [COPBO]</v>
      </c>
      <c r="AN12285" t="s">
        <v>6531</v>
      </c>
      <c r="AO12285" t="s">
        <v>35374</v>
      </c>
    </row>
    <row r="12286" spans="39:41" ht="12" customHeight="1" x14ac:dyDescent="0.2">
      <c r="AM12286" t="str">
        <f t="shared" si="192"/>
        <v>Puerto Bolivar [ECPBO]</v>
      </c>
      <c r="AN12286" t="s">
        <v>9111</v>
      </c>
      <c r="AO12286" t="s">
        <v>35374</v>
      </c>
    </row>
    <row r="12287" spans="39:41" ht="12" customHeight="1" x14ac:dyDescent="0.2">
      <c r="AM12287" t="str">
        <f t="shared" si="192"/>
        <v>Puerto Borghi [ARPUB]</v>
      </c>
      <c r="AN12287" t="s">
        <v>1062</v>
      </c>
      <c r="AO12287" t="s">
        <v>1063</v>
      </c>
    </row>
    <row r="12288" spans="39:41" ht="12" customHeight="1" x14ac:dyDescent="0.2">
      <c r="AM12288" t="str">
        <f t="shared" si="192"/>
        <v>Puerto Boyaca [COPYA]</v>
      </c>
      <c r="AN12288" t="s">
        <v>6532</v>
      </c>
      <c r="AO12288" t="s">
        <v>6533</v>
      </c>
    </row>
    <row r="12289" spans="39:41" ht="12" customHeight="1" x14ac:dyDescent="0.2">
      <c r="AM12289" t="str">
        <f t="shared" si="192"/>
        <v>Puerto Busch [BOPBU]</v>
      </c>
      <c r="AN12289" t="s">
        <v>3224</v>
      </c>
      <c r="AO12289" t="s">
        <v>3225</v>
      </c>
    </row>
    <row r="12290" spans="39:41" ht="12" customHeight="1" x14ac:dyDescent="0.2">
      <c r="AM12290" t="str">
        <f t="shared" si="192"/>
        <v>Puerto Cabello [VEPBL]</v>
      </c>
      <c r="AN12290" t="s">
        <v>32226</v>
      </c>
      <c r="AO12290" t="s">
        <v>32227</v>
      </c>
    </row>
    <row r="12291" spans="39:41" ht="12" customHeight="1" x14ac:dyDescent="0.2">
      <c r="AM12291" t="str">
        <f t="shared" si="192"/>
        <v>Puerto Cabezas [NIPUZ]</v>
      </c>
      <c r="AN12291" t="s">
        <v>23002</v>
      </c>
      <c r="AO12291" t="s">
        <v>23003</v>
      </c>
    </row>
    <row r="12292" spans="39:41" ht="12" customHeight="1" x14ac:dyDescent="0.2">
      <c r="AM12292" t="str">
        <f t="shared" si="192"/>
        <v>Puerto Caimito [PAPCA]</v>
      </c>
      <c r="AN12292" t="s">
        <v>25221</v>
      </c>
      <c r="AO12292" t="s">
        <v>25222</v>
      </c>
    </row>
    <row r="12293" spans="39:41" ht="12" customHeight="1" x14ac:dyDescent="0.2">
      <c r="AM12293" t="str">
        <f t="shared" si="192"/>
        <v>Puerto Caldera [CRPTC]</v>
      </c>
      <c r="AN12293" t="s">
        <v>6618</v>
      </c>
      <c r="AO12293" t="s">
        <v>6619</v>
      </c>
    </row>
    <row r="12294" spans="39:41" ht="12" customHeight="1" x14ac:dyDescent="0.2">
      <c r="AM12294" t="str">
        <f t="shared" si="192"/>
        <v>Puerto Calero [ESPRE]</v>
      </c>
      <c r="AN12294" t="s">
        <v>10052</v>
      </c>
      <c r="AO12294" t="s">
        <v>10053</v>
      </c>
    </row>
    <row r="12295" spans="39:41" ht="12" customHeight="1" x14ac:dyDescent="0.2">
      <c r="AM12295" t="str">
        <f t="shared" si="192"/>
        <v>Puerto Carenero [VEPCO]</v>
      </c>
      <c r="AN12295" t="s">
        <v>32228</v>
      </c>
      <c r="AO12295" t="s">
        <v>32229</v>
      </c>
    </row>
    <row r="12296" spans="39:41" ht="12" customHeight="1" x14ac:dyDescent="0.2">
      <c r="AM12296" t="str">
        <f t="shared" si="192"/>
        <v>Puerto Carreno [COPCR]</v>
      </c>
      <c r="AN12296" t="s">
        <v>6534</v>
      </c>
      <c r="AO12296" t="s">
        <v>35375</v>
      </c>
    </row>
    <row r="12297" spans="39:41" ht="12" customHeight="1" x14ac:dyDescent="0.2">
      <c r="AM12297" t="str">
        <f t="shared" si="192"/>
        <v>Puerto Castilla [HNPCA]</v>
      </c>
      <c r="AN12297" t="s">
        <v>15679</v>
      </c>
      <c r="AO12297" t="s">
        <v>15680</v>
      </c>
    </row>
    <row r="12298" spans="39:41" ht="12" customHeight="1" x14ac:dyDescent="0.2">
      <c r="AM12298" t="str">
        <f t="shared" si="192"/>
        <v>Puerto Chacabuco [CLPCH]</v>
      </c>
      <c r="AN12298" t="s">
        <v>4929</v>
      </c>
      <c r="AO12298" t="s">
        <v>4930</v>
      </c>
    </row>
    <row r="12299" spans="39:41" ht="12" customHeight="1" x14ac:dyDescent="0.2">
      <c r="AM12299" t="str">
        <f t="shared" si="192"/>
        <v>Puerto Chicama [PEPCH]</v>
      </c>
      <c r="AN12299" t="s">
        <v>25287</v>
      </c>
      <c r="AO12299" t="s">
        <v>25288</v>
      </c>
    </row>
    <row r="12300" spans="39:41" ht="12" customHeight="1" x14ac:dyDescent="0.2">
      <c r="AM12300" t="str">
        <f t="shared" si="192"/>
        <v>Puerto Cisnes [CLCIS]</v>
      </c>
      <c r="AN12300" t="s">
        <v>4931</v>
      </c>
      <c r="AO12300" t="s">
        <v>4932</v>
      </c>
    </row>
    <row r="12301" spans="39:41" ht="12" customHeight="1" x14ac:dyDescent="0.2">
      <c r="AM12301" t="str">
        <f t="shared" si="192"/>
        <v>Puerto Colom [ESPCO]</v>
      </c>
      <c r="AN12301" t="s">
        <v>10054</v>
      </c>
      <c r="AO12301" t="s">
        <v>10055</v>
      </c>
    </row>
    <row r="12302" spans="39:41" ht="12" customHeight="1" x14ac:dyDescent="0.2">
      <c r="AM12302" t="str">
        <f t="shared" si="192"/>
        <v>Puerto Colombia [COPUC]</v>
      </c>
      <c r="AN12302" t="s">
        <v>6535</v>
      </c>
      <c r="AO12302" t="s">
        <v>6536</v>
      </c>
    </row>
    <row r="12303" spans="39:41" ht="12" customHeight="1" x14ac:dyDescent="0.2">
      <c r="AM12303" t="str">
        <f t="shared" si="192"/>
        <v>Puerto Cortes [HNPCR]</v>
      </c>
      <c r="AN12303" t="s">
        <v>15681</v>
      </c>
      <c r="AO12303" t="s">
        <v>36000</v>
      </c>
    </row>
    <row r="12304" spans="39:41" ht="12" customHeight="1" x14ac:dyDescent="0.2">
      <c r="AM12304" t="str">
        <f t="shared" si="192"/>
        <v>Puerto Cumarebo [VECMR]</v>
      </c>
      <c r="AN12304" t="s">
        <v>32230</v>
      </c>
      <c r="AO12304" t="s">
        <v>32231</v>
      </c>
    </row>
    <row r="12305" spans="39:41" ht="12" customHeight="1" x14ac:dyDescent="0.2">
      <c r="AM12305" t="str">
        <f t="shared" si="192"/>
        <v>Puerto da Vita [CUVIT]</v>
      </c>
      <c r="AN12305" t="s">
        <v>6713</v>
      </c>
      <c r="AO12305" t="s">
        <v>6714</v>
      </c>
    </row>
    <row r="12306" spans="39:41" ht="12" customHeight="1" x14ac:dyDescent="0.2">
      <c r="AM12306" t="str">
        <f t="shared" si="192"/>
        <v>Puerto de Granadilla [ESGND]</v>
      </c>
      <c r="AN12306" t="s">
        <v>10056</v>
      </c>
      <c r="AO12306" t="s">
        <v>10057</v>
      </c>
    </row>
    <row r="12307" spans="39:41" ht="12" customHeight="1" x14ac:dyDescent="0.2">
      <c r="AM12307" t="str">
        <f t="shared" si="192"/>
        <v>Puerto de Guimar [ESPGU]</v>
      </c>
      <c r="AN12307" t="s">
        <v>10058</v>
      </c>
      <c r="AO12307" t="s">
        <v>10059</v>
      </c>
    </row>
    <row r="12308" spans="39:41" ht="12" customHeight="1" x14ac:dyDescent="0.2">
      <c r="AM12308" t="str">
        <f t="shared" si="192"/>
        <v>Puerto de Hierro [VEPHO]</v>
      </c>
      <c r="AN12308" t="s">
        <v>32232</v>
      </c>
      <c r="AO12308" t="s">
        <v>32233</v>
      </c>
    </row>
    <row r="12309" spans="39:41" ht="12" customHeight="1" x14ac:dyDescent="0.2">
      <c r="AM12309" t="str">
        <f t="shared" si="192"/>
        <v>Puerto de Jobos [PRPJO]</v>
      </c>
      <c r="AN12309" t="s">
        <v>26430</v>
      </c>
      <c r="AO12309" t="s">
        <v>26431</v>
      </c>
    </row>
    <row r="12310" spans="39:41" ht="12" customHeight="1" x14ac:dyDescent="0.2">
      <c r="AM12310" t="str">
        <f t="shared" si="192"/>
        <v>Puerto de la Cruz [ESRUZ]</v>
      </c>
      <c r="AN12310" t="s">
        <v>36920</v>
      </c>
      <c r="AO12310" t="s">
        <v>36921</v>
      </c>
    </row>
    <row r="12311" spans="39:41" ht="12" customHeight="1" x14ac:dyDescent="0.2">
      <c r="AM12311" t="str">
        <f t="shared" si="192"/>
        <v>Puerto de la Estaca [ESHIE]</v>
      </c>
      <c r="AN12311" t="s">
        <v>10060</v>
      </c>
      <c r="AO12311" t="s">
        <v>10061</v>
      </c>
    </row>
    <row r="12312" spans="39:41" ht="12" customHeight="1" x14ac:dyDescent="0.2">
      <c r="AM12312" t="str">
        <f t="shared" si="192"/>
        <v>Puerto de la Selva [ESPD3]</v>
      </c>
      <c r="AN12312" t="s">
        <v>10062</v>
      </c>
      <c r="AO12312" t="s">
        <v>10063</v>
      </c>
    </row>
    <row r="12313" spans="39:41" ht="12" customHeight="1" x14ac:dyDescent="0.2">
      <c r="AM12313" t="str">
        <f t="shared" si="192"/>
        <v>Puerto de Pastelillo [CUPAS]</v>
      </c>
      <c r="AN12313" t="s">
        <v>6715</v>
      </c>
      <c r="AO12313" t="s">
        <v>6716</v>
      </c>
    </row>
    <row r="12314" spans="39:41" ht="12" customHeight="1" x14ac:dyDescent="0.2">
      <c r="AM12314" t="str">
        <f t="shared" si="192"/>
        <v>Puerto de Playa de Santiago [ESPPS]</v>
      </c>
      <c r="AN12314" t="s">
        <v>10064</v>
      </c>
      <c r="AO12314" t="s">
        <v>10065</v>
      </c>
    </row>
    <row r="12315" spans="39:41" ht="12" customHeight="1" x14ac:dyDescent="0.2">
      <c r="AM12315" t="str">
        <f t="shared" si="192"/>
        <v>Puerto de Sagunto [ESPDS]</v>
      </c>
      <c r="AN12315" t="s">
        <v>10066</v>
      </c>
      <c r="AO12315" t="s">
        <v>10067</v>
      </c>
    </row>
    <row r="12316" spans="39:41" ht="12" customHeight="1" x14ac:dyDescent="0.2">
      <c r="AM12316" t="str">
        <f t="shared" si="192"/>
        <v>Puerto de Santa Maria [ESPSM]</v>
      </c>
      <c r="AN12316" t="s">
        <v>10068</v>
      </c>
      <c r="AO12316" t="s">
        <v>10069</v>
      </c>
    </row>
    <row r="12317" spans="39:41" ht="12" customHeight="1" x14ac:dyDescent="0.2">
      <c r="AM12317" t="str">
        <f t="shared" si="192"/>
        <v>Puerto de Vega [ESPVG]</v>
      </c>
      <c r="AN12317" t="s">
        <v>10070</v>
      </c>
      <c r="AO12317" t="s">
        <v>10071</v>
      </c>
    </row>
    <row r="12318" spans="39:41" ht="12" customHeight="1" x14ac:dyDescent="0.2">
      <c r="AM12318" t="str">
        <f t="shared" si="192"/>
        <v>Puerto del Carmen [ESPUC]</v>
      </c>
      <c r="AN12318" t="s">
        <v>10072</v>
      </c>
      <c r="AO12318" t="s">
        <v>10073</v>
      </c>
    </row>
    <row r="12319" spans="39:41" ht="12" customHeight="1" x14ac:dyDescent="0.2">
      <c r="AM12319" t="str">
        <f t="shared" si="192"/>
        <v>Puerto del Rosario-Fuerteventura [ESFUE]</v>
      </c>
      <c r="AN12319" t="s">
        <v>10074</v>
      </c>
      <c r="AO12319" t="s">
        <v>10075</v>
      </c>
    </row>
    <row r="12320" spans="39:41" ht="12" customHeight="1" x14ac:dyDescent="0.2">
      <c r="AM12320" t="str">
        <f t="shared" si="192"/>
        <v>Puerto Deseado [ARPUD]</v>
      </c>
      <c r="AN12320" t="s">
        <v>1064</v>
      </c>
      <c r="AO12320" t="s">
        <v>1065</v>
      </c>
    </row>
    <row r="12321" spans="39:41" ht="12" customHeight="1" x14ac:dyDescent="0.2">
      <c r="AM12321" t="str">
        <f t="shared" si="192"/>
        <v>Puerto Eden [CLEDE]</v>
      </c>
      <c r="AN12321" t="s">
        <v>4933</v>
      </c>
      <c r="AO12321" t="s">
        <v>35362</v>
      </c>
    </row>
    <row r="12322" spans="39:41" ht="12" customHeight="1" x14ac:dyDescent="0.2">
      <c r="AM12322" t="str">
        <f t="shared" si="192"/>
        <v>Puerto Egas [ECPEG]</v>
      </c>
      <c r="AN12322" t="s">
        <v>9112</v>
      </c>
      <c r="AO12322" t="s">
        <v>9113</v>
      </c>
    </row>
    <row r="12323" spans="39:41" ht="12" customHeight="1" x14ac:dyDescent="0.2">
      <c r="AM12323" t="str">
        <f t="shared" si="192"/>
        <v>Puerto Eldorado [ARPEL]</v>
      </c>
      <c r="AN12323" t="s">
        <v>1066</v>
      </c>
      <c r="AO12323" t="s">
        <v>1067</v>
      </c>
    </row>
    <row r="12324" spans="39:41" ht="12" customHeight="1" x14ac:dyDescent="0.2">
      <c r="AM12324" t="str">
        <f t="shared" si="192"/>
        <v>Puerto Galera [PHPGA]</v>
      </c>
      <c r="AN12324" t="s">
        <v>26071</v>
      </c>
      <c r="AO12324" t="s">
        <v>26072</v>
      </c>
    </row>
    <row r="12325" spans="39:41" ht="12" customHeight="1" x14ac:dyDescent="0.2">
      <c r="AM12325" t="str">
        <f t="shared" si="192"/>
        <v>Puerto Galvan/Bahia Blanca [ARPGV]</v>
      </c>
      <c r="AN12325" t="s">
        <v>1068</v>
      </c>
      <c r="AO12325" t="s">
        <v>1069</v>
      </c>
    </row>
    <row r="12326" spans="39:41" ht="12" customHeight="1" x14ac:dyDescent="0.2">
      <c r="AM12326" t="str">
        <f t="shared" si="192"/>
        <v>Puerto Guarani [PYPGU]</v>
      </c>
      <c r="AN12326" t="s">
        <v>26676</v>
      </c>
      <c r="AO12326" t="s">
        <v>26677</v>
      </c>
    </row>
    <row r="12327" spans="39:41" ht="12" customHeight="1" x14ac:dyDescent="0.2">
      <c r="AM12327" t="str">
        <f t="shared" si="192"/>
        <v>Puerto Ingeniero M. Rocca [ARROC]</v>
      </c>
      <c r="AN12327" t="s">
        <v>1070</v>
      </c>
      <c r="AO12327" t="s">
        <v>1071</v>
      </c>
    </row>
    <row r="12328" spans="39:41" ht="12" customHeight="1" x14ac:dyDescent="0.2">
      <c r="AM12328" t="str">
        <f t="shared" si="192"/>
        <v>Puerto Isabel [NIPIB]</v>
      </c>
      <c r="AN12328" t="s">
        <v>23004</v>
      </c>
      <c r="AO12328" t="s">
        <v>23005</v>
      </c>
    </row>
    <row r="12329" spans="39:41" ht="12" customHeight="1" x14ac:dyDescent="0.2">
      <c r="AM12329" t="str">
        <f t="shared" si="192"/>
        <v>Puerto La Cruz [VEPCZ]</v>
      </c>
      <c r="AN12329" t="s">
        <v>32234</v>
      </c>
      <c r="AO12329" t="s">
        <v>32235</v>
      </c>
    </row>
    <row r="12330" spans="39:41" ht="12" customHeight="1" x14ac:dyDescent="0.2">
      <c r="AM12330" t="str">
        <f t="shared" si="192"/>
        <v>Puerto la Victoria [PYPCJ]</v>
      </c>
      <c r="AN12330" t="s">
        <v>26678</v>
      </c>
      <c r="AO12330" t="s">
        <v>26679</v>
      </c>
    </row>
    <row r="12331" spans="39:41" ht="12" customHeight="1" x14ac:dyDescent="0.2">
      <c r="AM12331" t="str">
        <f t="shared" si="192"/>
        <v>Puerto Lavalle [ARPLA]</v>
      </c>
      <c r="AN12331" t="s">
        <v>1072</v>
      </c>
      <c r="AO12331" t="s">
        <v>1073</v>
      </c>
    </row>
    <row r="12332" spans="39:41" ht="12" customHeight="1" x14ac:dyDescent="0.2">
      <c r="AM12332" t="str">
        <f t="shared" si="192"/>
        <v>Puerto Libertador [DOPUO]</v>
      </c>
      <c r="AN12332" t="s">
        <v>9012</v>
      </c>
      <c r="AO12332" t="s">
        <v>9013</v>
      </c>
    </row>
    <row r="12333" spans="39:41" ht="12" customHeight="1" x14ac:dyDescent="0.2">
      <c r="AM12333" t="str">
        <f t="shared" ref="AM12333:AM12396" si="193">AO12333 &amp; " [" &amp; AN12333 &amp; "]"</f>
        <v>Puerto Limon [COPNM]</v>
      </c>
      <c r="AN12333" t="s">
        <v>6537</v>
      </c>
      <c r="AO12333" t="s">
        <v>35376</v>
      </c>
    </row>
    <row r="12334" spans="39:41" ht="12" customHeight="1" x14ac:dyDescent="0.2">
      <c r="AM12334" t="str">
        <f t="shared" si="193"/>
        <v>Puerto Limon [COPUL]</v>
      </c>
      <c r="AN12334" t="s">
        <v>6538</v>
      </c>
      <c r="AO12334" t="s">
        <v>35376</v>
      </c>
    </row>
    <row r="12335" spans="39:41" ht="12" customHeight="1" x14ac:dyDescent="0.2">
      <c r="AM12335" t="str">
        <f t="shared" si="193"/>
        <v>Puerto Limon [CRLIO]</v>
      </c>
      <c r="AN12335" t="s">
        <v>6620</v>
      </c>
      <c r="AO12335" t="s">
        <v>35376</v>
      </c>
    </row>
    <row r="12336" spans="39:41" ht="12" customHeight="1" x14ac:dyDescent="0.2">
      <c r="AM12336" t="str">
        <f t="shared" si="193"/>
        <v>Puerto Madero [MXPMD]</v>
      </c>
      <c r="AN12336" t="s">
        <v>22419</v>
      </c>
      <c r="AO12336" t="s">
        <v>22420</v>
      </c>
    </row>
    <row r="12337" spans="39:41" ht="12" customHeight="1" x14ac:dyDescent="0.2">
      <c r="AM12337" t="str">
        <f t="shared" si="193"/>
        <v>Puerto Madryn [ARPMY]</v>
      </c>
      <c r="AN12337" t="s">
        <v>1074</v>
      </c>
      <c r="AO12337" t="s">
        <v>1075</v>
      </c>
    </row>
    <row r="12338" spans="39:41" ht="12" customHeight="1" x14ac:dyDescent="0.2">
      <c r="AM12338" t="str">
        <f t="shared" si="193"/>
        <v>Puerto Maldonado [PEPEM]</v>
      </c>
      <c r="AN12338" t="s">
        <v>25289</v>
      </c>
      <c r="AO12338" t="s">
        <v>25290</v>
      </c>
    </row>
    <row r="12339" spans="39:41" ht="12" customHeight="1" x14ac:dyDescent="0.2">
      <c r="AM12339" t="str">
        <f t="shared" si="193"/>
        <v>Puerto Manati [CUMNT]</v>
      </c>
      <c r="AN12339" t="s">
        <v>6717</v>
      </c>
      <c r="AO12339" t="s">
        <v>35390</v>
      </c>
    </row>
    <row r="12340" spans="39:41" ht="12" customHeight="1" x14ac:dyDescent="0.2">
      <c r="AM12340" t="str">
        <f t="shared" si="193"/>
        <v>Puerto Mexico [MXPMX]</v>
      </c>
      <c r="AN12340" t="s">
        <v>22421</v>
      </c>
      <c r="AO12340" t="s">
        <v>36099</v>
      </c>
    </row>
    <row r="12341" spans="39:41" ht="12" customHeight="1" x14ac:dyDescent="0.2">
      <c r="AM12341" t="str">
        <f t="shared" si="193"/>
        <v>Puerto Miranda/Maracaibo L. [VEMIV]</v>
      </c>
      <c r="AN12341" t="s">
        <v>32236</v>
      </c>
      <c r="AO12341" t="s">
        <v>32237</v>
      </c>
    </row>
    <row r="12342" spans="39:41" ht="12" customHeight="1" x14ac:dyDescent="0.2">
      <c r="AM12342" t="str">
        <f t="shared" si="193"/>
        <v>Puerto Moin [CRPMN]</v>
      </c>
      <c r="AN12342" t="s">
        <v>6621</v>
      </c>
      <c r="AO12342" t="s">
        <v>6622</v>
      </c>
    </row>
    <row r="12343" spans="39:41" ht="12" customHeight="1" x14ac:dyDescent="0.2">
      <c r="AM12343" t="str">
        <f t="shared" si="193"/>
        <v>Puerto Montt [CLPMC]</v>
      </c>
      <c r="AN12343" t="s">
        <v>4934</v>
      </c>
      <c r="AO12343" t="s">
        <v>4935</v>
      </c>
    </row>
    <row r="12344" spans="39:41" ht="12" customHeight="1" x14ac:dyDescent="0.2">
      <c r="AM12344" t="str">
        <f t="shared" si="193"/>
        <v>Puerto Morelos [MXPMS]</v>
      </c>
      <c r="AN12344" t="s">
        <v>22422</v>
      </c>
      <c r="AO12344" t="s">
        <v>22423</v>
      </c>
    </row>
    <row r="12345" spans="39:41" ht="12" customHeight="1" x14ac:dyDescent="0.2">
      <c r="AM12345" t="str">
        <f t="shared" si="193"/>
        <v>Puerto Nacional/Bahia Blanca [ARPNL]</v>
      </c>
      <c r="AN12345" t="s">
        <v>1076</v>
      </c>
      <c r="AO12345" t="s">
        <v>1077</v>
      </c>
    </row>
    <row r="12346" spans="39:41" ht="12" customHeight="1" x14ac:dyDescent="0.2">
      <c r="AM12346" t="str">
        <f t="shared" si="193"/>
        <v>Puerto Natales [CLPNT]</v>
      </c>
      <c r="AN12346" t="s">
        <v>4936</v>
      </c>
      <c r="AO12346" t="s">
        <v>4937</v>
      </c>
    </row>
    <row r="12347" spans="39:41" ht="12" customHeight="1" x14ac:dyDescent="0.2">
      <c r="AM12347" t="str">
        <f t="shared" si="193"/>
        <v>Puerto Nuevo [ECPEV]</v>
      </c>
      <c r="AN12347" t="s">
        <v>9114</v>
      </c>
      <c r="AO12347" t="s">
        <v>9115</v>
      </c>
    </row>
    <row r="12348" spans="39:41" ht="12" customHeight="1" x14ac:dyDescent="0.2">
      <c r="AM12348" t="str">
        <f t="shared" si="193"/>
        <v>Puerto Octay [CLPOC]</v>
      </c>
      <c r="AN12348" t="s">
        <v>4938</v>
      </c>
      <c r="AO12348" t="s">
        <v>4939</v>
      </c>
    </row>
    <row r="12349" spans="39:41" ht="12" customHeight="1" x14ac:dyDescent="0.2">
      <c r="AM12349" t="str">
        <f t="shared" si="193"/>
        <v>Puerto Ordaz [VEPZO]</v>
      </c>
      <c r="AN12349" t="s">
        <v>32238</v>
      </c>
      <c r="AO12349" t="s">
        <v>32239</v>
      </c>
    </row>
    <row r="12350" spans="39:41" ht="12" customHeight="1" x14ac:dyDescent="0.2">
      <c r="AM12350" t="str">
        <f t="shared" si="193"/>
        <v>Puerto Padre [CUPPA]</v>
      </c>
      <c r="AN12350" t="s">
        <v>6718</v>
      </c>
      <c r="AO12350" t="s">
        <v>6719</v>
      </c>
    </row>
    <row r="12351" spans="39:41" ht="12" customHeight="1" x14ac:dyDescent="0.2">
      <c r="AM12351" t="str">
        <f t="shared" si="193"/>
        <v>Puerto Paez [VEPPZ]</v>
      </c>
      <c r="AN12351" t="s">
        <v>32240</v>
      </c>
      <c r="AO12351" t="s">
        <v>36588</v>
      </c>
    </row>
    <row r="12352" spans="39:41" ht="12" customHeight="1" x14ac:dyDescent="0.2">
      <c r="AM12352" t="str">
        <f t="shared" si="193"/>
        <v>Puerto Palenque [DOPAL]</v>
      </c>
      <c r="AN12352" t="s">
        <v>9014</v>
      </c>
      <c r="AO12352" t="s">
        <v>9015</v>
      </c>
    </row>
    <row r="12353" spans="39:41" ht="12" customHeight="1" x14ac:dyDescent="0.2">
      <c r="AM12353" t="str">
        <f t="shared" si="193"/>
        <v>Puerto Patache [CLPAT]</v>
      </c>
      <c r="AN12353" t="s">
        <v>4940</v>
      </c>
      <c r="AO12353" t="s">
        <v>4941</v>
      </c>
    </row>
    <row r="12354" spans="39:41" ht="12" customHeight="1" x14ac:dyDescent="0.2">
      <c r="AM12354" t="str">
        <f t="shared" si="193"/>
        <v>Puerto Penasco [MXPPE]</v>
      </c>
      <c r="AN12354" t="s">
        <v>22424</v>
      </c>
      <c r="AO12354" t="s">
        <v>36100</v>
      </c>
    </row>
    <row r="12355" spans="39:41" ht="12" customHeight="1" x14ac:dyDescent="0.2">
      <c r="AM12355" t="str">
        <f t="shared" si="193"/>
        <v>Puerto Percy [CLPPY]</v>
      </c>
      <c r="AN12355" t="s">
        <v>4942</v>
      </c>
      <c r="AO12355" t="s">
        <v>4943</v>
      </c>
    </row>
    <row r="12356" spans="39:41" ht="12" customHeight="1" x14ac:dyDescent="0.2">
      <c r="AM12356" t="str">
        <f t="shared" si="193"/>
        <v>Puerto Plata [DOPOP]</v>
      </c>
      <c r="AN12356" t="s">
        <v>9016</v>
      </c>
      <c r="AO12356" t="s">
        <v>9017</v>
      </c>
    </row>
    <row r="12357" spans="39:41" ht="12" customHeight="1" x14ac:dyDescent="0.2">
      <c r="AM12357" t="str">
        <f t="shared" si="193"/>
        <v>Puerto Princesa, Palawan [PHPPS]</v>
      </c>
      <c r="AN12357" t="s">
        <v>26073</v>
      </c>
      <c r="AO12357" t="s">
        <v>26074</v>
      </c>
    </row>
    <row r="12358" spans="39:41" ht="12" customHeight="1" x14ac:dyDescent="0.2">
      <c r="AM12358" t="str">
        <f t="shared" si="193"/>
        <v>Puerto Quetzal [GTPRQ]</v>
      </c>
      <c r="AN12358" t="s">
        <v>15601</v>
      </c>
      <c r="AO12358" t="s">
        <v>15602</v>
      </c>
    </row>
    <row r="12359" spans="39:41" ht="12" customHeight="1" x14ac:dyDescent="0.2">
      <c r="AM12359" t="str">
        <f t="shared" si="193"/>
        <v>Puerto Quijarro [BOQJR]</v>
      </c>
      <c r="AN12359" t="s">
        <v>3226</v>
      </c>
      <c r="AO12359" t="s">
        <v>3227</v>
      </c>
    </row>
    <row r="12360" spans="39:41" ht="12" customHeight="1" x14ac:dyDescent="0.2">
      <c r="AM12360" t="str">
        <f t="shared" si="193"/>
        <v>Puerto Real [ESPUS]</v>
      </c>
      <c r="AN12360" t="s">
        <v>36922</v>
      </c>
      <c r="AO12360" t="s">
        <v>36923</v>
      </c>
    </row>
    <row r="12361" spans="39:41" ht="12" customHeight="1" x14ac:dyDescent="0.2">
      <c r="AM12361" t="str">
        <f t="shared" si="193"/>
        <v>Puerto Rico [BOPUR]</v>
      </c>
      <c r="AN12361" t="s">
        <v>3228</v>
      </c>
      <c r="AO12361" t="s">
        <v>3229</v>
      </c>
    </row>
    <row r="12362" spans="39:41" ht="12" customHeight="1" x14ac:dyDescent="0.2">
      <c r="AM12362" t="str">
        <f t="shared" si="193"/>
        <v>Puerto Rosales/Bahia Blanca [ARPRS]</v>
      </c>
      <c r="AN12362" t="s">
        <v>1078</v>
      </c>
      <c r="AO12362" t="s">
        <v>1079</v>
      </c>
    </row>
    <row r="12363" spans="39:41" ht="12" customHeight="1" x14ac:dyDescent="0.2">
      <c r="AM12363" t="str">
        <f t="shared" si="193"/>
        <v>Puerto Rosario [ESPRO]</v>
      </c>
      <c r="AN12363" t="s">
        <v>10076</v>
      </c>
      <c r="AO12363" t="s">
        <v>10077</v>
      </c>
    </row>
    <row r="12364" spans="39:41" ht="12" customHeight="1" x14ac:dyDescent="0.2">
      <c r="AM12364" t="str">
        <f t="shared" si="193"/>
        <v>Puerto Sandino [NIPSN]</v>
      </c>
      <c r="AN12364" t="s">
        <v>23006</v>
      </c>
      <c r="AO12364" t="s">
        <v>23007</v>
      </c>
    </row>
    <row r="12365" spans="39:41" ht="12" customHeight="1" x14ac:dyDescent="0.2">
      <c r="AM12365" t="str">
        <f t="shared" si="193"/>
        <v>Puerto Santo Tomas de Castilla [GTSTC]</v>
      </c>
      <c r="AN12365" t="s">
        <v>15603</v>
      </c>
      <c r="AO12365" t="s">
        <v>35998</v>
      </c>
    </row>
    <row r="12366" spans="39:41" ht="12" customHeight="1" x14ac:dyDescent="0.2">
      <c r="AM12366" t="str">
        <f t="shared" si="193"/>
        <v>Puerto Sara [PYPSA]</v>
      </c>
      <c r="AN12366" t="s">
        <v>26680</v>
      </c>
      <c r="AO12366" t="s">
        <v>26681</v>
      </c>
    </row>
    <row r="12367" spans="39:41" ht="12" customHeight="1" x14ac:dyDescent="0.2">
      <c r="AM12367" t="str">
        <f t="shared" si="193"/>
        <v>Puerto Suarez [BOPSZ]</v>
      </c>
      <c r="AN12367" t="s">
        <v>3230</v>
      </c>
      <c r="AO12367" t="s">
        <v>35285</v>
      </c>
    </row>
    <row r="12368" spans="39:41" ht="12" customHeight="1" x14ac:dyDescent="0.2">
      <c r="AM12368" t="str">
        <f t="shared" si="193"/>
        <v>Puerto Sucre [VEPSU]</v>
      </c>
      <c r="AN12368" t="s">
        <v>32241</v>
      </c>
      <c r="AO12368" t="s">
        <v>32242</v>
      </c>
    </row>
    <row r="12369" spans="39:41" ht="12" customHeight="1" x14ac:dyDescent="0.2">
      <c r="AM12369" t="str">
        <f t="shared" si="193"/>
        <v>Puerto Tarafa [CUPTA]</v>
      </c>
      <c r="AN12369" t="s">
        <v>6720</v>
      </c>
      <c r="AO12369" t="s">
        <v>6721</v>
      </c>
    </row>
    <row r="12370" spans="39:41" ht="12" customHeight="1" x14ac:dyDescent="0.2">
      <c r="AM12370" t="str">
        <f t="shared" si="193"/>
        <v>Puerto Vallarta [MXPVR]</v>
      </c>
      <c r="AN12370" t="s">
        <v>22425</v>
      </c>
      <c r="AO12370" t="s">
        <v>22426</v>
      </c>
    </row>
    <row r="12371" spans="39:41" ht="12" customHeight="1" x14ac:dyDescent="0.2">
      <c r="AM12371" t="str">
        <f t="shared" si="193"/>
        <v>Puerto Varas [CLPVS]</v>
      </c>
      <c r="AN12371" t="s">
        <v>4944</v>
      </c>
      <c r="AO12371" t="s">
        <v>4945</v>
      </c>
    </row>
    <row r="12372" spans="39:41" ht="12" customHeight="1" x14ac:dyDescent="0.2">
      <c r="AM12372" t="str">
        <f t="shared" si="193"/>
        <v>Puerto Viejo [CRVDT]</v>
      </c>
      <c r="AN12372" t="s">
        <v>6623</v>
      </c>
      <c r="AO12372" t="s">
        <v>6624</v>
      </c>
    </row>
    <row r="12373" spans="39:41" ht="12" customHeight="1" x14ac:dyDescent="0.2">
      <c r="AM12373" t="str">
        <f t="shared" si="193"/>
        <v>Puerto Viejo de Azua [DOPVA]</v>
      </c>
      <c r="AN12373" t="s">
        <v>9018</v>
      </c>
      <c r="AO12373" t="s">
        <v>9019</v>
      </c>
    </row>
    <row r="12374" spans="39:41" ht="12" customHeight="1" x14ac:dyDescent="0.2">
      <c r="AM12374" t="str">
        <f t="shared" si="193"/>
        <v>Puerto Villamil, Isla Isabela [ECVIL]</v>
      </c>
      <c r="AN12374" t="s">
        <v>9116</v>
      </c>
      <c r="AO12374" t="s">
        <v>9117</v>
      </c>
    </row>
    <row r="12375" spans="39:41" ht="12" customHeight="1" x14ac:dyDescent="0.2">
      <c r="AM12375" t="str">
        <f t="shared" si="193"/>
        <v>Puerto Wanda [ARPWA]</v>
      </c>
      <c r="AN12375" t="s">
        <v>1080</v>
      </c>
      <c r="AO12375" t="s">
        <v>1081</v>
      </c>
    </row>
    <row r="12376" spans="39:41" ht="12" customHeight="1" x14ac:dyDescent="0.2">
      <c r="AM12376" t="str">
        <f t="shared" si="193"/>
        <v>Puerto Williams [CLWPU]</v>
      </c>
      <c r="AN12376" t="s">
        <v>4946</v>
      </c>
      <c r="AO12376" t="s">
        <v>4947</v>
      </c>
    </row>
    <row r="12377" spans="39:41" ht="12" customHeight="1" x14ac:dyDescent="0.2">
      <c r="AM12377" t="str">
        <f t="shared" si="193"/>
        <v>Puerto Yabucoa [PRPYA]</v>
      </c>
      <c r="AN12377" t="s">
        <v>26432</v>
      </c>
      <c r="AO12377" t="s">
        <v>26433</v>
      </c>
    </row>
    <row r="12378" spans="39:41" ht="12" customHeight="1" x14ac:dyDescent="0.2">
      <c r="AM12378" t="str">
        <f t="shared" si="193"/>
        <v>Puertomarin [ESPTM]</v>
      </c>
      <c r="AN12378" t="s">
        <v>10078</v>
      </c>
      <c r="AO12378" t="s">
        <v>10079</v>
      </c>
    </row>
    <row r="12379" spans="39:41" ht="12" customHeight="1" x14ac:dyDescent="0.2">
      <c r="AM12379" t="str">
        <f t="shared" si="193"/>
        <v>Pugad/Bislig [PHPUG]</v>
      </c>
      <c r="AN12379" t="s">
        <v>26075</v>
      </c>
      <c r="AO12379" t="s">
        <v>26076</v>
      </c>
    </row>
    <row r="12380" spans="39:41" ht="12" customHeight="1" x14ac:dyDescent="0.2">
      <c r="AM12380" t="str">
        <f t="shared" si="193"/>
        <v>Puget Sound [USPGQ]</v>
      </c>
      <c r="AN12380" t="s">
        <v>31197</v>
      </c>
      <c r="AO12380" t="s">
        <v>31198</v>
      </c>
    </row>
    <row r="12381" spans="39:41" ht="12" customHeight="1" x14ac:dyDescent="0.2">
      <c r="AM12381" t="str">
        <f t="shared" si="193"/>
        <v>Pugwash [CAPUG]</v>
      </c>
      <c r="AN12381" t="s">
        <v>4301</v>
      </c>
      <c r="AO12381" t="s">
        <v>4302</v>
      </c>
    </row>
    <row r="12382" spans="39:41" ht="12" customHeight="1" x14ac:dyDescent="0.2">
      <c r="AM12382" t="str">
        <f t="shared" si="193"/>
        <v>Puhos [FIPUH]</v>
      </c>
      <c r="AN12382" t="s">
        <v>10513</v>
      </c>
      <c r="AO12382" t="s">
        <v>10514</v>
      </c>
    </row>
    <row r="12383" spans="39:41" ht="12" customHeight="1" x14ac:dyDescent="0.2">
      <c r="AM12383" t="str">
        <f t="shared" si="193"/>
        <v>Puig-reig [ESPRG]</v>
      </c>
      <c r="AN12383" t="s">
        <v>10080</v>
      </c>
      <c r="AO12383" t="s">
        <v>10081</v>
      </c>
    </row>
    <row r="12384" spans="39:41" ht="12" customHeight="1" x14ac:dyDescent="0.2">
      <c r="AM12384" t="str">
        <f t="shared" si="193"/>
        <v>Pujols-sur-Ciron [FRRZX]</v>
      </c>
      <c r="AN12384" t="s">
        <v>11895</v>
      </c>
      <c r="AO12384" t="s">
        <v>11896</v>
      </c>
    </row>
    <row r="12385" spans="39:41" ht="12" customHeight="1" x14ac:dyDescent="0.2">
      <c r="AM12385" t="str">
        <f t="shared" si="193"/>
        <v>Pula [HRPUY]</v>
      </c>
      <c r="AN12385" t="s">
        <v>15884</v>
      </c>
      <c r="AO12385" t="s">
        <v>15885</v>
      </c>
    </row>
    <row r="12386" spans="39:41" ht="12" customHeight="1" x14ac:dyDescent="0.2">
      <c r="AM12386" t="str">
        <f t="shared" si="193"/>
        <v>Pulangpisau [IDPPS]</v>
      </c>
      <c r="AN12386" t="s">
        <v>16535</v>
      </c>
      <c r="AO12386" t="s">
        <v>16536</v>
      </c>
    </row>
    <row r="12387" spans="39:41" ht="12" customHeight="1" x14ac:dyDescent="0.2">
      <c r="AM12387" t="str">
        <f t="shared" si="193"/>
        <v>Pulap Island [FMPUL]</v>
      </c>
      <c r="AN12387" t="s">
        <v>10659</v>
      </c>
      <c r="AO12387" t="s">
        <v>10660</v>
      </c>
    </row>
    <row r="12388" spans="39:41" ht="12" customHeight="1" x14ac:dyDescent="0.2">
      <c r="AM12388" t="str">
        <f t="shared" si="193"/>
        <v>Pulau Ayer Chawan [SGAYC]</v>
      </c>
      <c r="AN12388" t="s">
        <v>27969</v>
      </c>
      <c r="AO12388" t="s">
        <v>27970</v>
      </c>
    </row>
    <row r="12389" spans="39:41" ht="12" customHeight="1" x14ac:dyDescent="0.2">
      <c r="AM12389" t="str">
        <f t="shared" si="193"/>
        <v>Pulau Batik, Sabah [MYPBA]</v>
      </c>
      <c r="AN12389" t="s">
        <v>22707</v>
      </c>
      <c r="AO12389" t="s">
        <v>22708</v>
      </c>
    </row>
    <row r="12390" spans="39:41" ht="12" customHeight="1" x14ac:dyDescent="0.2">
      <c r="AM12390" t="str">
        <f t="shared" si="193"/>
        <v>Pulau Bruit [MYBRU]</v>
      </c>
      <c r="AN12390" t="s">
        <v>22709</v>
      </c>
      <c r="AO12390" t="s">
        <v>22710</v>
      </c>
    </row>
    <row r="12391" spans="39:41" ht="12" customHeight="1" x14ac:dyDescent="0.2">
      <c r="AM12391" t="str">
        <f t="shared" si="193"/>
        <v>Pulau Bukom [SGPUB]</v>
      </c>
      <c r="AN12391" t="s">
        <v>27971</v>
      </c>
      <c r="AO12391" t="s">
        <v>27972</v>
      </c>
    </row>
    <row r="12392" spans="39:41" ht="12" customHeight="1" x14ac:dyDescent="0.2">
      <c r="AM12392" t="str">
        <f t="shared" si="193"/>
        <v>Pulau Bunyu [IDPBJ]</v>
      </c>
      <c r="AN12392" t="s">
        <v>16537</v>
      </c>
      <c r="AO12392" t="s">
        <v>16538</v>
      </c>
    </row>
    <row r="12393" spans="39:41" ht="12" customHeight="1" x14ac:dyDescent="0.2">
      <c r="AM12393" t="str">
        <f t="shared" si="193"/>
        <v>Pulau Indah [MYLAU]</v>
      </c>
      <c r="AN12393" t="s">
        <v>22711</v>
      </c>
      <c r="AO12393" t="s">
        <v>22712</v>
      </c>
    </row>
    <row r="12394" spans="39:41" ht="12" customHeight="1" x14ac:dyDescent="0.2">
      <c r="AM12394" t="str">
        <f t="shared" si="193"/>
        <v>Pulau Jarak [MYPJK]</v>
      </c>
      <c r="AN12394" t="s">
        <v>22713</v>
      </c>
      <c r="AO12394" t="s">
        <v>22714</v>
      </c>
    </row>
    <row r="12395" spans="39:41" ht="12" customHeight="1" x14ac:dyDescent="0.2">
      <c r="AM12395" t="str">
        <f t="shared" si="193"/>
        <v>Pulau Laut [IDPUT]</v>
      </c>
      <c r="AN12395" t="s">
        <v>16539</v>
      </c>
      <c r="AO12395" t="s">
        <v>16540</v>
      </c>
    </row>
    <row r="12396" spans="39:41" ht="12" customHeight="1" x14ac:dyDescent="0.2">
      <c r="AM12396" t="str">
        <f t="shared" si="193"/>
        <v>Pulau Pisang [MYPPI]</v>
      </c>
      <c r="AN12396" t="s">
        <v>22715</v>
      </c>
      <c r="AO12396" t="s">
        <v>22716</v>
      </c>
    </row>
    <row r="12397" spans="39:41" ht="12" customHeight="1" x14ac:dyDescent="0.2">
      <c r="AM12397" t="str">
        <f t="shared" ref="AM12397:AM12460" si="194">AO12397 &amp; " [" &amp; AN12397 &amp; "]"</f>
        <v>Pulau Sambu, Riau [IDPSS]</v>
      </c>
      <c r="AN12397" t="s">
        <v>16541</v>
      </c>
      <c r="AO12397" t="s">
        <v>16542</v>
      </c>
    </row>
    <row r="12398" spans="39:41" ht="12" customHeight="1" x14ac:dyDescent="0.2">
      <c r="AM12398" t="str">
        <f t="shared" si="194"/>
        <v>Pulau Sebarok [SGSEB]</v>
      </c>
      <c r="AN12398" t="s">
        <v>27973</v>
      </c>
      <c r="AO12398" t="s">
        <v>27974</v>
      </c>
    </row>
    <row r="12399" spans="39:41" ht="12" customHeight="1" x14ac:dyDescent="0.2">
      <c r="AM12399" t="str">
        <f t="shared" si="194"/>
        <v>Pulau Tambisan, Sabah [MYPTB]</v>
      </c>
      <c r="AN12399" t="s">
        <v>22717</v>
      </c>
      <c r="AO12399" t="s">
        <v>22718</v>
      </c>
    </row>
    <row r="12400" spans="39:41" ht="12" customHeight="1" x14ac:dyDescent="0.2">
      <c r="AM12400" t="str">
        <f t="shared" si="194"/>
        <v>Pulicat [INPUL]</v>
      </c>
      <c r="AN12400" t="s">
        <v>17403</v>
      </c>
      <c r="AO12400" t="s">
        <v>17404</v>
      </c>
    </row>
    <row r="12401" spans="39:41" ht="12" customHeight="1" x14ac:dyDescent="0.2">
      <c r="AM12401" t="str">
        <f t="shared" si="194"/>
        <v>Pulupandan [PHPUL]</v>
      </c>
      <c r="AN12401" t="s">
        <v>26077</v>
      </c>
      <c r="AO12401" t="s">
        <v>26078</v>
      </c>
    </row>
    <row r="12402" spans="39:41" ht="12" customHeight="1" x14ac:dyDescent="0.2">
      <c r="AM12402" t="str">
        <f t="shared" si="194"/>
        <v>Puluwat [FMPLW]</v>
      </c>
      <c r="AN12402" t="s">
        <v>10661</v>
      </c>
      <c r="AO12402" t="s">
        <v>10662</v>
      </c>
    </row>
    <row r="12403" spans="39:41" ht="12" customHeight="1" x14ac:dyDescent="0.2">
      <c r="AM12403" t="str">
        <f t="shared" si="194"/>
        <v>Puna [ECPUN]</v>
      </c>
      <c r="AN12403" t="s">
        <v>9118</v>
      </c>
      <c r="AO12403" t="s">
        <v>35612</v>
      </c>
    </row>
    <row r="12404" spans="39:41" ht="12" customHeight="1" x14ac:dyDescent="0.2">
      <c r="AM12404" t="str">
        <f t="shared" si="194"/>
        <v>Punang, Sarawak [MYPUN]</v>
      </c>
      <c r="AN12404" t="s">
        <v>22719</v>
      </c>
      <c r="AO12404" t="s">
        <v>22720</v>
      </c>
    </row>
    <row r="12405" spans="39:41" ht="12" customHeight="1" x14ac:dyDescent="0.2">
      <c r="AM12405" t="str">
        <f t="shared" si="194"/>
        <v>Punat [HRPNT]</v>
      </c>
      <c r="AN12405" t="s">
        <v>15886</v>
      </c>
      <c r="AO12405" t="s">
        <v>15887</v>
      </c>
    </row>
    <row r="12406" spans="39:41" ht="12" customHeight="1" x14ac:dyDescent="0.2">
      <c r="AM12406" t="str">
        <f t="shared" si="194"/>
        <v>Puno [PEPUN]</v>
      </c>
      <c r="AN12406" t="s">
        <v>25291</v>
      </c>
      <c r="AO12406" t="s">
        <v>25292</v>
      </c>
    </row>
    <row r="12407" spans="39:41" ht="12" customHeight="1" x14ac:dyDescent="0.2">
      <c r="AM12407" t="str">
        <f t="shared" si="194"/>
        <v>Punta Arenas [CLPUQ]</v>
      </c>
      <c r="AN12407" t="s">
        <v>4948</v>
      </c>
      <c r="AO12407" t="s">
        <v>4949</v>
      </c>
    </row>
    <row r="12408" spans="39:41" ht="12" customHeight="1" x14ac:dyDescent="0.2">
      <c r="AM12408" t="str">
        <f t="shared" si="194"/>
        <v>Punta Baja [MXPBJ]</v>
      </c>
      <c r="AN12408" t="s">
        <v>22427</v>
      </c>
      <c r="AO12408" t="s">
        <v>22428</v>
      </c>
    </row>
    <row r="12409" spans="39:41" ht="12" customHeight="1" x14ac:dyDescent="0.2">
      <c r="AM12409" t="str">
        <f t="shared" si="194"/>
        <v>Punta Camacho [VEPCA]</v>
      </c>
      <c r="AN12409" t="s">
        <v>32243</v>
      </c>
      <c r="AO12409" t="s">
        <v>32244</v>
      </c>
    </row>
    <row r="12410" spans="39:41" ht="12" customHeight="1" x14ac:dyDescent="0.2">
      <c r="AM12410" t="str">
        <f t="shared" si="194"/>
        <v>Punta Cardon [VEPCN]</v>
      </c>
      <c r="AN12410" t="s">
        <v>32245</v>
      </c>
      <c r="AO12410" t="s">
        <v>36589</v>
      </c>
    </row>
    <row r="12411" spans="39:41" ht="12" customHeight="1" x14ac:dyDescent="0.2">
      <c r="AM12411" t="str">
        <f t="shared" si="194"/>
        <v>Punta Chungo [CLPTC]</v>
      </c>
      <c r="AN12411" t="s">
        <v>4950</v>
      </c>
      <c r="AO12411" t="s">
        <v>4951</v>
      </c>
    </row>
    <row r="12412" spans="39:41" ht="12" customHeight="1" x14ac:dyDescent="0.2">
      <c r="AM12412" t="str">
        <f t="shared" si="194"/>
        <v>Punta Colorada [ARPCO]</v>
      </c>
      <c r="AN12412" t="s">
        <v>1082</v>
      </c>
      <c r="AO12412" t="s">
        <v>1083</v>
      </c>
    </row>
    <row r="12413" spans="39:41" ht="12" customHeight="1" x14ac:dyDescent="0.2">
      <c r="AM12413" t="str">
        <f t="shared" si="194"/>
        <v>Punta Cuchillo [VEPCU]</v>
      </c>
      <c r="AN12413" t="s">
        <v>32246</v>
      </c>
      <c r="AO12413" t="s">
        <v>32247</v>
      </c>
    </row>
    <row r="12414" spans="39:41" ht="12" customHeight="1" x14ac:dyDescent="0.2">
      <c r="AM12414" t="str">
        <f t="shared" si="194"/>
        <v>Punta Cugno [ITPUC]</v>
      </c>
      <c r="AN12414" t="s">
        <v>18237</v>
      </c>
      <c r="AO12414" t="s">
        <v>18238</v>
      </c>
    </row>
    <row r="12415" spans="39:41" ht="12" customHeight="1" x14ac:dyDescent="0.2">
      <c r="AM12415" t="str">
        <f t="shared" si="194"/>
        <v>Punta de Palmas [VEPLV]</v>
      </c>
      <c r="AN12415" t="s">
        <v>32248</v>
      </c>
      <c r="AO12415" t="s">
        <v>32249</v>
      </c>
    </row>
    <row r="12416" spans="39:41" ht="12" customHeight="1" x14ac:dyDescent="0.2">
      <c r="AM12416" t="str">
        <f t="shared" si="194"/>
        <v>Punta de Piedra [VEPPD]</v>
      </c>
      <c r="AN12416" t="s">
        <v>32250</v>
      </c>
      <c r="AO12416" t="s">
        <v>32251</v>
      </c>
    </row>
    <row r="12417" spans="39:41" ht="12" customHeight="1" x14ac:dyDescent="0.2">
      <c r="AM12417" t="str">
        <f t="shared" si="194"/>
        <v>Punta del Este [UYPDP]</v>
      </c>
      <c r="AN12417" t="s">
        <v>32126</v>
      </c>
      <c r="AO12417" t="s">
        <v>32127</v>
      </c>
    </row>
    <row r="12418" spans="39:41" ht="12" customHeight="1" x14ac:dyDescent="0.2">
      <c r="AM12418" t="str">
        <f t="shared" si="194"/>
        <v>Punta Europa Terminal [GQPET]</v>
      </c>
      <c r="AN12418" t="s">
        <v>15073</v>
      </c>
      <c r="AO12418" t="s">
        <v>15074</v>
      </c>
    </row>
    <row r="12419" spans="39:41" ht="12" customHeight="1" x14ac:dyDescent="0.2">
      <c r="AM12419" t="str">
        <f t="shared" si="194"/>
        <v>Punta Lobitos [PEPLO]</v>
      </c>
      <c r="AN12419" t="s">
        <v>25293</v>
      </c>
      <c r="AO12419" t="s">
        <v>25294</v>
      </c>
    </row>
    <row r="12420" spans="39:41" ht="12" customHeight="1" x14ac:dyDescent="0.2">
      <c r="AM12420" t="str">
        <f t="shared" si="194"/>
        <v>Punta Loyola [ARPLO]</v>
      </c>
      <c r="AN12420" t="s">
        <v>1084</v>
      </c>
      <c r="AO12420" t="s">
        <v>1085</v>
      </c>
    </row>
    <row r="12421" spans="39:41" ht="12" customHeight="1" x14ac:dyDescent="0.2">
      <c r="AM12421" t="str">
        <f t="shared" si="194"/>
        <v>Punta Medanos [ARPME]</v>
      </c>
      <c r="AN12421" t="s">
        <v>1086</v>
      </c>
      <c r="AO12421" t="s">
        <v>1087</v>
      </c>
    </row>
    <row r="12422" spans="39:41" ht="12" customHeight="1" x14ac:dyDescent="0.2">
      <c r="AM12422" t="str">
        <f t="shared" si="194"/>
        <v>Punta Morales [CRPUM]</v>
      </c>
      <c r="AN12422" t="s">
        <v>6625</v>
      </c>
      <c r="AO12422" t="s">
        <v>6626</v>
      </c>
    </row>
    <row r="12423" spans="39:41" ht="12" customHeight="1" x14ac:dyDescent="0.2">
      <c r="AM12423" t="str">
        <f t="shared" si="194"/>
        <v>Punta Padrones [CLPPD]</v>
      </c>
      <c r="AN12423" t="s">
        <v>4952</v>
      </c>
      <c r="AO12423" t="s">
        <v>4953</v>
      </c>
    </row>
    <row r="12424" spans="39:41" ht="12" customHeight="1" x14ac:dyDescent="0.2">
      <c r="AM12424" t="str">
        <f t="shared" si="194"/>
        <v>Punta Quilla [ARPQU]</v>
      </c>
      <c r="AN12424" t="s">
        <v>1088</v>
      </c>
      <c r="AO12424" t="s">
        <v>1089</v>
      </c>
    </row>
    <row r="12425" spans="39:41" ht="12" customHeight="1" x14ac:dyDescent="0.2">
      <c r="AM12425" t="str">
        <f t="shared" si="194"/>
        <v>Punta Venado [MXPVN]</v>
      </c>
      <c r="AN12425" t="s">
        <v>22429</v>
      </c>
      <c r="AO12425" t="s">
        <v>22430</v>
      </c>
    </row>
    <row r="12426" spans="39:41" ht="12" customHeight="1" x14ac:dyDescent="0.2">
      <c r="AM12426" t="str">
        <f t="shared" si="194"/>
        <v>Puntalinao/Mati [PHPTL]</v>
      </c>
      <c r="AN12426" t="s">
        <v>26079</v>
      </c>
      <c r="AO12426" t="s">
        <v>26080</v>
      </c>
    </row>
    <row r="12427" spans="39:41" ht="12" customHeight="1" x14ac:dyDescent="0.2">
      <c r="AM12427" t="str">
        <f t="shared" si="194"/>
        <v>Puntarenas [CRPAS]</v>
      </c>
      <c r="AN12427" t="s">
        <v>6627</v>
      </c>
      <c r="AO12427" t="s">
        <v>6628</v>
      </c>
    </row>
    <row r="12428" spans="39:41" ht="12" customHeight="1" x14ac:dyDescent="0.2">
      <c r="AM12428" t="str">
        <f t="shared" si="194"/>
        <v>Punti/Aparri [PHPNT]</v>
      </c>
      <c r="AN12428" t="s">
        <v>26081</v>
      </c>
      <c r="AO12428" t="s">
        <v>26082</v>
      </c>
    </row>
    <row r="12429" spans="39:41" ht="12" customHeight="1" x14ac:dyDescent="0.2">
      <c r="AM12429" t="str">
        <f t="shared" si="194"/>
        <v>Punto Fijo [VEPFI]</v>
      </c>
      <c r="AN12429" t="s">
        <v>32252</v>
      </c>
      <c r="AO12429" t="s">
        <v>32253</v>
      </c>
    </row>
    <row r="12430" spans="39:41" ht="12" customHeight="1" x14ac:dyDescent="0.2">
      <c r="AM12430" t="str">
        <f t="shared" si="194"/>
        <v>Pupillin [FRDXZ]</v>
      </c>
      <c r="AN12430" t="s">
        <v>11897</v>
      </c>
      <c r="AO12430" t="s">
        <v>11898</v>
      </c>
    </row>
    <row r="12431" spans="39:41" ht="12" customHeight="1" x14ac:dyDescent="0.2">
      <c r="AM12431" t="str">
        <f t="shared" si="194"/>
        <v>Puqi [CNPQI]</v>
      </c>
      <c r="AN12431" t="s">
        <v>5845</v>
      </c>
      <c r="AO12431" t="s">
        <v>5846</v>
      </c>
    </row>
    <row r="12432" spans="39:41" ht="12" customHeight="1" x14ac:dyDescent="0.2">
      <c r="AM12432" t="str">
        <f t="shared" si="194"/>
        <v>Puqian [CNPQA]</v>
      </c>
      <c r="AN12432" t="s">
        <v>5847</v>
      </c>
      <c r="AO12432" t="s">
        <v>5848</v>
      </c>
    </row>
    <row r="12433" spans="39:41" ht="12" customHeight="1" x14ac:dyDescent="0.2">
      <c r="AM12433" t="str">
        <f t="shared" si="194"/>
        <v>Puqueldon [CLPQD]</v>
      </c>
      <c r="AN12433" t="s">
        <v>4954</v>
      </c>
      <c r="AO12433" t="s">
        <v>35363</v>
      </c>
    </row>
    <row r="12434" spans="39:41" ht="12" customHeight="1" x14ac:dyDescent="0.2">
      <c r="AM12434" t="str">
        <f t="shared" si="194"/>
        <v>Purangad [INPRG]</v>
      </c>
      <c r="AN12434" t="s">
        <v>17405</v>
      </c>
      <c r="AO12434" t="s">
        <v>17406</v>
      </c>
    </row>
    <row r="12435" spans="39:41" ht="12" customHeight="1" x14ac:dyDescent="0.2">
      <c r="AM12435" t="str">
        <f t="shared" si="194"/>
        <v>Puras [ESPVA]</v>
      </c>
      <c r="AN12435" t="s">
        <v>10082</v>
      </c>
      <c r="AO12435" t="s">
        <v>10083</v>
      </c>
    </row>
    <row r="12436" spans="39:41" ht="12" customHeight="1" x14ac:dyDescent="0.2">
      <c r="AM12436" t="str">
        <f t="shared" si="194"/>
        <v>Purchase [USYP5]</v>
      </c>
      <c r="AN12436" t="s">
        <v>31199</v>
      </c>
      <c r="AO12436" t="s">
        <v>31200</v>
      </c>
    </row>
    <row r="12437" spans="39:41" ht="12" customHeight="1" x14ac:dyDescent="0.2">
      <c r="AM12437" t="str">
        <f t="shared" si="194"/>
        <v>Purfleet [GBPFT]</v>
      </c>
      <c r="AN12437" t="s">
        <v>14206</v>
      </c>
      <c r="AO12437" t="s">
        <v>14207</v>
      </c>
    </row>
    <row r="12438" spans="39:41" ht="12" customHeight="1" x14ac:dyDescent="0.2">
      <c r="AM12438" t="str">
        <f t="shared" si="194"/>
        <v>Puri [INPUR]</v>
      </c>
      <c r="AN12438" t="s">
        <v>17407</v>
      </c>
      <c r="AO12438" t="s">
        <v>17408</v>
      </c>
    </row>
    <row r="12439" spans="39:41" ht="12" customHeight="1" x14ac:dyDescent="0.2">
      <c r="AM12439" t="str">
        <f t="shared" si="194"/>
        <v>Purmerend [NLPUM]</v>
      </c>
      <c r="AN12439" t="s">
        <v>34108</v>
      </c>
      <c r="AO12439" t="s">
        <v>34154</v>
      </c>
    </row>
    <row r="12440" spans="39:41" ht="12" customHeight="1" x14ac:dyDescent="0.2">
      <c r="AM12440" t="str">
        <f t="shared" si="194"/>
        <v>Purtse [EEPUR]</v>
      </c>
      <c r="AN12440" t="s">
        <v>9309</v>
      </c>
      <c r="AO12440" t="s">
        <v>9310</v>
      </c>
    </row>
    <row r="12441" spans="39:41" ht="12" customHeight="1" x14ac:dyDescent="0.2">
      <c r="AM12441" t="str">
        <f t="shared" si="194"/>
        <v>Purtse Jahisadam [EEPRJ]</v>
      </c>
      <c r="AN12441" t="s">
        <v>9311</v>
      </c>
      <c r="AO12441" t="s">
        <v>9312</v>
      </c>
    </row>
    <row r="12442" spans="39:41" ht="12" customHeight="1" x14ac:dyDescent="0.2">
      <c r="AM12442" t="str">
        <f t="shared" si="194"/>
        <v>Purtse Kalasadam [EEPRK]</v>
      </c>
      <c r="AN12442" t="s">
        <v>34324</v>
      </c>
      <c r="AO12442" t="s">
        <v>34314</v>
      </c>
    </row>
    <row r="12443" spans="39:41" ht="12" customHeight="1" x14ac:dyDescent="0.2">
      <c r="AM12443" t="str">
        <f t="shared" si="194"/>
        <v>Pusi [EEPUS]</v>
      </c>
      <c r="AN12443" t="s">
        <v>9313</v>
      </c>
      <c r="AO12443" t="s">
        <v>9314</v>
      </c>
    </row>
    <row r="12444" spans="39:41" ht="12" customHeight="1" x14ac:dyDescent="0.2">
      <c r="AM12444" t="str">
        <f t="shared" si="194"/>
        <v>Putian [CNPUT]</v>
      </c>
      <c r="AN12444" t="s">
        <v>5849</v>
      </c>
      <c r="AO12444" t="s">
        <v>5850</v>
      </c>
    </row>
    <row r="12445" spans="39:41" ht="12" customHeight="1" x14ac:dyDescent="0.2">
      <c r="AM12445" t="str">
        <f t="shared" si="194"/>
        <v>Puttgarden [DEPUT]</v>
      </c>
      <c r="AN12445" t="s">
        <v>8141</v>
      </c>
      <c r="AO12445" t="s">
        <v>8142</v>
      </c>
    </row>
    <row r="12446" spans="39:41" ht="12" customHeight="1" x14ac:dyDescent="0.2">
      <c r="AM12446" t="str">
        <f t="shared" si="194"/>
        <v>Putzkau [DEPKU]</v>
      </c>
      <c r="AN12446" t="s">
        <v>8143</v>
      </c>
      <c r="AO12446" t="s">
        <v>8144</v>
      </c>
    </row>
    <row r="12447" spans="39:41" ht="12" customHeight="1" x14ac:dyDescent="0.2">
      <c r="AM12447" t="str">
        <f t="shared" si="194"/>
        <v>Puumala [FIPUU]</v>
      </c>
      <c r="AN12447" t="s">
        <v>10515</v>
      </c>
      <c r="AO12447" t="s">
        <v>10516</v>
      </c>
    </row>
    <row r="12448" spans="39:41" ht="12" customHeight="1" x14ac:dyDescent="0.2">
      <c r="AM12448" t="str">
        <f t="shared" si="194"/>
        <v>Puurs [BEPUU]</v>
      </c>
      <c r="AN12448" t="s">
        <v>2859</v>
      </c>
      <c r="AO12448" t="s">
        <v>2860</v>
      </c>
    </row>
    <row r="12449" spans="39:41" ht="12" customHeight="1" x14ac:dyDescent="0.2">
      <c r="AM12449" t="str">
        <f t="shared" si="194"/>
        <v>Puxi [CNPXI]</v>
      </c>
      <c r="AN12449" t="s">
        <v>5851</v>
      </c>
      <c r="AO12449" t="s">
        <v>5852</v>
      </c>
    </row>
    <row r="12450" spans="39:41" ht="12" customHeight="1" x14ac:dyDescent="0.2">
      <c r="AM12450" t="str">
        <f t="shared" si="194"/>
        <v>Puyang [CNPYG]</v>
      </c>
      <c r="AN12450" t="s">
        <v>5853</v>
      </c>
      <c r="AO12450" t="s">
        <v>5854</v>
      </c>
    </row>
    <row r="12451" spans="39:41" ht="12" customHeight="1" x14ac:dyDescent="0.2">
      <c r="AM12451" t="str">
        <f t="shared" si="194"/>
        <v>Puyguilhem [FRHEJ]</v>
      </c>
      <c r="AN12451" t="s">
        <v>11899</v>
      </c>
      <c r="AO12451" t="s">
        <v>11900</v>
      </c>
    </row>
    <row r="12452" spans="39:41" ht="12" customHeight="1" x14ac:dyDescent="0.2">
      <c r="AM12452" t="str">
        <f t="shared" si="194"/>
        <v>Puyricard [FRARJ]</v>
      </c>
      <c r="AN12452" t="s">
        <v>11901</v>
      </c>
      <c r="AO12452" t="s">
        <v>11902</v>
      </c>
    </row>
    <row r="12453" spans="39:41" ht="12" customHeight="1" x14ac:dyDescent="0.2">
      <c r="AM12453" t="str">
        <f t="shared" si="194"/>
        <v>Pwllheli [GBPWL]</v>
      </c>
      <c r="AN12453" t="s">
        <v>14208</v>
      </c>
      <c r="AO12453" t="s">
        <v>14209</v>
      </c>
    </row>
    <row r="12454" spans="39:41" ht="12" customHeight="1" x14ac:dyDescent="0.2">
      <c r="AM12454" t="str">
        <f t="shared" si="194"/>
        <v>Pyeongtaek [KRPTK]</v>
      </c>
      <c r="AN12454" t="s">
        <v>21706</v>
      </c>
      <c r="AO12454" t="s">
        <v>21707</v>
      </c>
    </row>
    <row r="12455" spans="39:41" ht="12" customHeight="1" x14ac:dyDescent="0.2">
      <c r="AM12455" t="str">
        <f t="shared" si="194"/>
        <v>Pyli [GRPLI]</v>
      </c>
      <c r="AN12455" t="s">
        <v>15479</v>
      </c>
      <c r="AO12455" t="s">
        <v>15480</v>
      </c>
    </row>
    <row r="12456" spans="39:41" ht="12" customHeight="1" x14ac:dyDescent="0.2">
      <c r="AM12456" t="str">
        <f t="shared" si="194"/>
        <v>Pylos [GRPYL]</v>
      </c>
      <c r="AN12456" t="s">
        <v>15481</v>
      </c>
      <c r="AO12456" t="s">
        <v>35968</v>
      </c>
    </row>
    <row r="12457" spans="39:41" ht="12" customHeight="1" x14ac:dyDescent="0.2">
      <c r="AM12457" t="str">
        <f t="shared" si="194"/>
        <v>Pyrenees [AUPYE]</v>
      </c>
      <c r="AN12457" t="s">
        <v>1974</v>
      </c>
      <c r="AO12457" t="s">
        <v>1975</v>
      </c>
    </row>
    <row r="12458" spans="39:41" ht="12" customHeight="1" x14ac:dyDescent="0.2">
      <c r="AM12458" t="str">
        <f t="shared" si="194"/>
        <v>Pyrgos [GRPYR]</v>
      </c>
      <c r="AN12458" t="s">
        <v>15482</v>
      </c>
      <c r="AO12458" t="s">
        <v>15483</v>
      </c>
    </row>
    <row r="12459" spans="39:41" ht="12" customHeight="1" x14ac:dyDescent="0.2">
      <c r="AM12459" t="str">
        <f t="shared" si="194"/>
        <v>Pyrmont [AUPYR]</v>
      </c>
      <c r="AN12459" t="s">
        <v>1976</v>
      </c>
      <c r="AO12459" t="s">
        <v>1977</v>
      </c>
    </row>
    <row r="12460" spans="39:41" ht="12" customHeight="1" x14ac:dyDescent="0.2">
      <c r="AM12460" t="str">
        <f t="shared" si="194"/>
        <v>Pythagoreion [GRPYT]</v>
      </c>
      <c r="AN12460" t="s">
        <v>15484</v>
      </c>
      <c r="AO12460" t="s">
        <v>35969</v>
      </c>
    </row>
    <row r="12461" spans="39:41" ht="12" customHeight="1" x14ac:dyDescent="0.2">
      <c r="AM12461" t="str">
        <f t="shared" ref="AM12461:AM12524" si="195">AO12461 &amp; " [" &amp; AN12461 &amp; "]"</f>
        <v>Qaanaaq [GLNAQ]</v>
      </c>
      <c r="AN12461" t="s">
        <v>15015</v>
      </c>
      <c r="AO12461" t="s">
        <v>15016</v>
      </c>
    </row>
    <row r="12462" spans="39:41" ht="12" customHeight="1" x14ac:dyDescent="0.2">
      <c r="AM12462" t="str">
        <f t="shared" si="195"/>
        <v>Qalat [AFQLT]</v>
      </c>
      <c r="AN12462" t="s">
        <v>790</v>
      </c>
      <c r="AO12462" t="s">
        <v>791</v>
      </c>
    </row>
    <row r="12463" spans="39:41" ht="12" customHeight="1" x14ac:dyDescent="0.2">
      <c r="AM12463" t="str">
        <f t="shared" si="195"/>
        <v>Qalhat [OMQAL]</v>
      </c>
      <c r="AN12463" t="s">
        <v>25159</v>
      </c>
      <c r="AO12463" t="s">
        <v>25160</v>
      </c>
    </row>
    <row r="12464" spans="39:41" ht="12" customHeight="1" x14ac:dyDescent="0.2">
      <c r="AM12464" t="str">
        <f t="shared" si="195"/>
        <v>Qalsn [SAQAL]</v>
      </c>
      <c r="AN12464" t="s">
        <v>27405</v>
      </c>
      <c r="AO12464" t="s">
        <v>27406</v>
      </c>
    </row>
    <row r="12465" spans="39:41" ht="12" customHeight="1" x14ac:dyDescent="0.2">
      <c r="AM12465" t="str">
        <f t="shared" si="195"/>
        <v>Qalyub [EGQUB]</v>
      </c>
      <c r="AN12465" t="s">
        <v>9514</v>
      </c>
      <c r="AO12465" t="s">
        <v>9515</v>
      </c>
    </row>
    <row r="12466" spans="39:41" ht="12" customHeight="1" x14ac:dyDescent="0.2">
      <c r="AM12466" t="str">
        <f t="shared" si="195"/>
        <v>Qapco [QAQAP]</v>
      </c>
      <c r="AN12466" t="s">
        <v>26701</v>
      </c>
      <c r="AO12466" t="s">
        <v>26702</v>
      </c>
    </row>
    <row r="12467" spans="39:41" ht="12" customHeight="1" x14ac:dyDescent="0.2">
      <c r="AM12467" t="str">
        <f t="shared" si="195"/>
        <v>Qaqortoq (Julianehaab) [GLJJU]</v>
      </c>
      <c r="AN12467" t="s">
        <v>15017</v>
      </c>
      <c r="AO12467" t="s">
        <v>15018</v>
      </c>
    </row>
    <row r="12468" spans="39:41" ht="12" customHeight="1" x14ac:dyDescent="0.2">
      <c r="AM12468" t="str">
        <f t="shared" si="195"/>
        <v>Qaradag [AZQDG]</v>
      </c>
      <c r="AN12468" t="s">
        <v>2158</v>
      </c>
      <c r="AO12468" t="s">
        <v>2159</v>
      </c>
    </row>
    <row r="12469" spans="39:41" ht="12" customHeight="1" x14ac:dyDescent="0.2">
      <c r="AM12469" t="str">
        <f t="shared" si="195"/>
        <v>Qasigiannguit (Christianshaab) [GLJCH]</v>
      </c>
      <c r="AN12469" t="s">
        <v>15019</v>
      </c>
      <c r="AO12469" t="s">
        <v>15020</v>
      </c>
    </row>
    <row r="12470" spans="39:41" ht="12" customHeight="1" x14ac:dyDescent="0.2">
      <c r="AM12470" t="str">
        <f t="shared" si="195"/>
        <v>Qasim International Container Terminal/Karachi [PKQCT]</v>
      </c>
      <c r="AN12470" t="s">
        <v>26266</v>
      </c>
      <c r="AO12470" t="s">
        <v>26267</v>
      </c>
    </row>
    <row r="12471" spans="39:41" ht="12" customHeight="1" x14ac:dyDescent="0.2">
      <c r="AM12471" t="str">
        <f t="shared" si="195"/>
        <v>Qchem [QAQCH]</v>
      </c>
      <c r="AN12471" t="s">
        <v>26703</v>
      </c>
      <c r="AO12471" t="s">
        <v>26704</v>
      </c>
    </row>
    <row r="12472" spans="39:41" ht="12" customHeight="1" x14ac:dyDescent="0.2">
      <c r="AM12472" t="str">
        <f t="shared" si="195"/>
        <v>Qeqertarsuaq (Godhavn) [GLJGO]</v>
      </c>
      <c r="AN12472" t="s">
        <v>15021</v>
      </c>
      <c r="AO12472" t="s">
        <v>15022</v>
      </c>
    </row>
    <row r="12473" spans="39:41" ht="12" customHeight="1" x14ac:dyDescent="0.2">
      <c r="AM12473" t="str">
        <f t="shared" si="195"/>
        <v>Qiangjiao [CNQJO]</v>
      </c>
      <c r="AN12473" t="s">
        <v>5855</v>
      </c>
      <c r="AO12473" t="s">
        <v>5856</v>
      </c>
    </row>
    <row r="12474" spans="39:41" ht="12" customHeight="1" x14ac:dyDescent="0.2">
      <c r="AM12474" t="str">
        <f t="shared" si="195"/>
        <v>Qianshan/Zhuhai [CNQSN]</v>
      </c>
      <c r="AN12474" t="s">
        <v>5857</v>
      </c>
      <c r="AO12474" t="s">
        <v>5858</v>
      </c>
    </row>
    <row r="12475" spans="39:41" ht="12" customHeight="1" x14ac:dyDescent="0.2">
      <c r="AM12475" t="str">
        <f t="shared" si="195"/>
        <v>Qianwan [CNQAW]</v>
      </c>
      <c r="AN12475" t="s">
        <v>5859</v>
      </c>
      <c r="AO12475" t="s">
        <v>5860</v>
      </c>
    </row>
    <row r="12476" spans="39:41" ht="12" customHeight="1" x14ac:dyDescent="0.2">
      <c r="AM12476" t="str">
        <f t="shared" si="195"/>
        <v>Qianyu [CNLJQ]</v>
      </c>
      <c r="AN12476" t="s">
        <v>5861</v>
      </c>
      <c r="AO12476" t="s">
        <v>5862</v>
      </c>
    </row>
    <row r="12477" spans="39:41" ht="12" customHeight="1" x14ac:dyDescent="0.2">
      <c r="AM12477" t="str">
        <f t="shared" si="195"/>
        <v>Qike [CNQKE]</v>
      </c>
      <c r="AN12477" t="s">
        <v>5863</v>
      </c>
      <c r="AO12477" t="s">
        <v>5864</v>
      </c>
    </row>
    <row r="12478" spans="39:41" ht="12" customHeight="1" x14ac:dyDescent="0.2">
      <c r="AM12478" t="str">
        <f t="shared" si="195"/>
        <v>Qimen [CNQMN]</v>
      </c>
      <c r="AN12478" t="s">
        <v>5865</v>
      </c>
      <c r="AO12478" t="s">
        <v>5866</v>
      </c>
    </row>
    <row r="12479" spans="39:41" ht="12" customHeight="1" x14ac:dyDescent="0.2">
      <c r="AM12479" t="str">
        <f t="shared" si="195"/>
        <v>Qindeli [CNQDL]</v>
      </c>
      <c r="AN12479" t="s">
        <v>5867</v>
      </c>
      <c r="AO12479" t="s">
        <v>5868</v>
      </c>
    </row>
    <row r="12480" spans="39:41" ht="12" customHeight="1" x14ac:dyDescent="0.2">
      <c r="AM12480" t="str">
        <f t="shared" si="195"/>
        <v>Qingdao [CNQIN]</v>
      </c>
      <c r="AN12480" t="s">
        <v>5869</v>
      </c>
      <c r="AO12480" t="s">
        <v>5870</v>
      </c>
    </row>
    <row r="12481" spans="39:41" ht="12" customHeight="1" x14ac:dyDescent="0.2">
      <c r="AM12481" t="str">
        <f t="shared" si="195"/>
        <v>Qingdao Pt [CNQDG]</v>
      </c>
      <c r="AN12481" t="s">
        <v>5871</v>
      </c>
      <c r="AO12481" t="s">
        <v>5872</v>
      </c>
    </row>
    <row r="12482" spans="39:41" ht="12" customHeight="1" x14ac:dyDescent="0.2">
      <c r="AM12482" t="str">
        <f t="shared" si="195"/>
        <v>Qingge [CNQGG]</v>
      </c>
      <c r="AN12482" t="s">
        <v>5873</v>
      </c>
      <c r="AO12482" t="s">
        <v>5874</v>
      </c>
    </row>
    <row r="12483" spans="39:41" ht="12" customHeight="1" x14ac:dyDescent="0.2">
      <c r="AM12483" t="str">
        <f t="shared" si="195"/>
        <v>Qingguji / Shangqiu [CNQIG]</v>
      </c>
      <c r="AN12483" t="s">
        <v>5875</v>
      </c>
      <c r="AO12483" t="s">
        <v>5876</v>
      </c>
    </row>
    <row r="12484" spans="39:41" ht="12" customHeight="1" x14ac:dyDescent="0.2">
      <c r="AM12484" t="str">
        <f t="shared" si="195"/>
        <v>Qinghe [CNQHE]</v>
      </c>
      <c r="AN12484" t="s">
        <v>5877</v>
      </c>
      <c r="AO12484" t="s">
        <v>5878</v>
      </c>
    </row>
    <row r="12485" spans="39:41" ht="12" customHeight="1" x14ac:dyDescent="0.2">
      <c r="AM12485" t="str">
        <f t="shared" si="195"/>
        <v>Qingjiang [CNQJI]</v>
      </c>
      <c r="AN12485" t="s">
        <v>5879</v>
      </c>
      <c r="AO12485" t="s">
        <v>5880</v>
      </c>
    </row>
    <row r="12486" spans="39:41" ht="12" customHeight="1" x14ac:dyDescent="0.2">
      <c r="AM12486" t="str">
        <f t="shared" si="195"/>
        <v>Qinglan Pt [CNQLN]</v>
      </c>
      <c r="AN12486" t="s">
        <v>5881</v>
      </c>
      <c r="AO12486" t="s">
        <v>5882</v>
      </c>
    </row>
    <row r="12487" spans="39:41" ht="12" customHeight="1" x14ac:dyDescent="0.2">
      <c r="AM12487" t="str">
        <f t="shared" si="195"/>
        <v>Qingshi [CNQGS]</v>
      </c>
      <c r="AN12487" t="s">
        <v>5883</v>
      </c>
      <c r="AO12487" t="s">
        <v>5884</v>
      </c>
    </row>
    <row r="12488" spans="39:41" ht="12" customHeight="1" x14ac:dyDescent="0.2">
      <c r="AM12488" t="str">
        <f t="shared" si="195"/>
        <v>Qingshuihe/Shenzhen [CNQSE]</v>
      </c>
      <c r="AN12488" t="s">
        <v>5885</v>
      </c>
      <c r="AO12488" t="s">
        <v>5886</v>
      </c>
    </row>
    <row r="12489" spans="39:41" ht="12" customHeight="1" x14ac:dyDescent="0.2">
      <c r="AM12489" t="str">
        <f t="shared" si="195"/>
        <v>Qingyang [CNQYA]</v>
      </c>
      <c r="AN12489" t="s">
        <v>5887</v>
      </c>
      <c r="AO12489" t="s">
        <v>5888</v>
      </c>
    </row>
    <row r="12490" spans="39:41" ht="12" customHeight="1" x14ac:dyDescent="0.2">
      <c r="AM12490" t="str">
        <f t="shared" si="195"/>
        <v>Qingyuan [CNQGY]</v>
      </c>
      <c r="AN12490" t="s">
        <v>5889</v>
      </c>
      <c r="AO12490" t="s">
        <v>5890</v>
      </c>
    </row>
    <row r="12491" spans="39:41" ht="12" customHeight="1" x14ac:dyDescent="0.2">
      <c r="AM12491" t="str">
        <f t="shared" si="195"/>
        <v>Qinhuangdao Pt [CNSHP]</v>
      </c>
      <c r="AN12491" t="s">
        <v>5891</v>
      </c>
      <c r="AO12491" t="s">
        <v>5892</v>
      </c>
    </row>
    <row r="12492" spans="39:41" ht="12" customHeight="1" x14ac:dyDescent="0.2">
      <c r="AM12492" t="str">
        <f t="shared" si="195"/>
        <v>Qinjiang [CNQJG]</v>
      </c>
      <c r="AN12492" t="s">
        <v>5893</v>
      </c>
      <c r="AO12492" t="s">
        <v>5894</v>
      </c>
    </row>
    <row r="12493" spans="39:41" ht="12" customHeight="1" x14ac:dyDescent="0.2">
      <c r="AM12493" t="str">
        <f t="shared" si="195"/>
        <v>Qinzhou Pt [CNQZH]</v>
      </c>
      <c r="AN12493" t="s">
        <v>5895</v>
      </c>
      <c r="AO12493" t="s">
        <v>5896</v>
      </c>
    </row>
    <row r="12494" spans="39:41" ht="12" customHeight="1" x14ac:dyDescent="0.2">
      <c r="AM12494" t="str">
        <f t="shared" si="195"/>
        <v>Qinzhoushajing [CNSAJ]</v>
      </c>
      <c r="AN12494" t="s">
        <v>5897</v>
      </c>
      <c r="AO12494" t="s">
        <v>5898</v>
      </c>
    </row>
    <row r="12495" spans="39:41" ht="12" customHeight="1" x14ac:dyDescent="0.2">
      <c r="AM12495" t="str">
        <f t="shared" si="195"/>
        <v>Qisha Pt [CNQSA]</v>
      </c>
      <c r="AN12495" t="s">
        <v>5899</v>
      </c>
      <c r="AO12495" t="s">
        <v>5900</v>
      </c>
    </row>
    <row r="12496" spans="39:41" ht="12" customHeight="1" x14ac:dyDescent="0.2">
      <c r="AM12496" t="str">
        <f t="shared" si="195"/>
        <v>Qixingtai [CNQXT]</v>
      </c>
      <c r="AN12496" t="s">
        <v>5901</v>
      </c>
      <c r="AO12496" t="s">
        <v>5902</v>
      </c>
    </row>
    <row r="12497" spans="39:41" ht="12" customHeight="1" x14ac:dyDescent="0.2">
      <c r="AM12497" t="str">
        <f t="shared" si="195"/>
        <v>Qizhou [CNQZO]</v>
      </c>
      <c r="AN12497" t="s">
        <v>5903</v>
      </c>
      <c r="AO12497" t="s">
        <v>5904</v>
      </c>
    </row>
    <row r="12498" spans="39:41" ht="12" customHeight="1" x14ac:dyDescent="0.2">
      <c r="AM12498" t="str">
        <f t="shared" si="195"/>
        <v>Quang Binh [VNQBH]</v>
      </c>
      <c r="AN12498" t="s">
        <v>32448</v>
      </c>
      <c r="AO12498" t="s">
        <v>36599</v>
      </c>
    </row>
    <row r="12499" spans="39:41" ht="12" customHeight="1" x14ac:dyDescent="0.2">
      <c r="AM12499" t="str">
        <f t="shared" si="195"/>
        <v>Quang Long [VNQUL]</v>
      </c>
      <c r="AN12499" t="s">
        <v>32449</v>
      </c>
      <c r="AO12499" t="s">
        <v>32450</v>
      </c>
    </row>
    <row r="12500" spans="39:41" ht="12" customHeight="1" x14ac:dyDescent="0.2">
      <c r="AM12500" t="str">
        <f t="shared" si="195"/>
        <v>Quang Ngai [VNXNG]</v>
      </c>
      <c r="AN12500" t="s">
        <v>32451</v>
      </c>
      <c r="AO12500" t="s">
        <v>32452</v>
      </c>
    </row>
    <row r="12501" spans="39:41" ht="12" customHeight="1" x14ac:dyDescent="0.2">
      <c r="AM12501" t="str">
        <f t="shared" si="195"/>
        <v>Quang Ninh [VNQNH]</v>
      </c>
      <c r="AN12501" t="s">
        <v>32453</v>
      </c>
      <c r="AO12501" t="s">
        <v>32454</v>
      </c>
    </row>
    <row r="12502" spans="39:41" ht="12" customHeight="1" x14ac:dyDescent="0.2">
      <c r="AM12502" t="str">
        <f t="shared" si="195"/>
        <v>Quang Tri [VNQUT]</v>
      </c>
      <c r="AN12502" t="s">
        <v>32455</v>
      </c>
      <c r="AO12502" t="s">
        <v>32456</v>
      </c>
    </row>
    <row r="12503" spans="39:41" ht="12" customHeight="1" x14ac:dyDescent="0.2">
      <c r="AM12503" t="str">
        <f t="shared" si="195"/>
        <v>Quanzhou [CNQZL]</v>
      </c>
      <c r="AN12503" t="s">
        <v>5905</v>
      </c>
      <c r="AO12503" t="s">
        <v>5906</v>
      </c>
    </row>
    <row r="12504" spans="39:41" ht="12" customHeight="1" x14ac:dyDescent="0.2">
      <c r="AM12504" t="str">
        <f t="shared" si="195"/>
        <v>Quanzhou Pt [CNQZJ]</v>
      </c>
      <c r="AN12504" t="s">
        <v>5907</v>
      </c>
      <c r="AO12504" t="s">
        <v>5908</v>
      </c>
    </row>
    <row r="12505" spans="39:41" ht="12" customHeight="1" x14ac:dyDescent="0.2">
      <c r="AM12505" t="str">
        <f t="shared" si="195"/>
        <v>Quarryville [USZQE]</v>
      </c>
      <c r="AN12505" t="s">
        <v>31201</v>
      </c>
      <c r="AO12505" t="s">
        <v>31202</v>
      </c>
    </row>
    <row r="12506" spans="39:41" ht="12" customHeight="1" x14ac:dyDescent="0.2">
      <c r="AM12506" t="str">
        <f t="shared" si="195"/>
        <v>Quarteira [PTQRT]</v>
      </c>
      <c r="AN12506" t="s">
        <v>26586</v>
      </c>
      <c r="AO12506" t="s">
        <v>26587</v>
      </c>
    </row>
    <row r="12507" spans="39:41" ht="12" customHeight="1" x14ac:dyDescent="0.2">
      <c r="AM12507" t="str">
        <f t="shared" si="195"/>
        <v>Quatsino [CAQTS]</v>
      </c>
      <c r="AN12507" t="s">
        <v>4303</v>
      </c>
      <c r="AO12507" t="s">
        <v>4304</v>
      </c>
    </row>
    <row r="12508" spans="39:41" ht="12" customHeight="1" x14ac:dyDescent="0.2">
      <c r="AM12508" t="str">
        <f t="shared" si="195"/>
        <v>Que Oboe Terminal/Eket [NGOBO]</v>
      </c>
      <c r="AN12508" t="s">
        <v>22974</v>
      </c>
      <c r="AO12508" t="s">
        <v>22975</v>
      </c>
    </row>
    <row r="12509" spans="39:41" ht="12" customHeight="1" x14ac:dyDescent="0.2">
      <c r="AM12509" t="str">
        <f t="shared" si="195"/>
        <v>Quebec [CAQUE]</v>
      </c>
      <c r="AN12509" t="s">
        <v>4305</v>
      </c>
      <c r="AO12509" t="s">
        <v>4306</v>
      </c>
    </row>
    <row r="12510" spans="39:41" ht="12" customHeight="1" x14ac:dyDescent="0.2">
      <c r="AM12510" t="str">
        <f t="shared" si="195"/>
        <v>Quebracho/San Lorenzo [ARQBR]</v>
      </c>
      <c r="AN12510" t="s">
        <v>1090</v>
      </c>
      <c r="AO12510" t="s">
        <v>1091</v>
      </c>
    </row>
    <row r="12511" spans="39:41" ht="12" customHeight="1" x14ac:dyDescent="0.2">
      <c r="AM12511" t="str">
        <f t="shared" si="195"/>
        <v>Quebrada Grande [CRQGG]</v>
      </c>
      <c r="AN12511" t="s">
        <v>6629</v>
      </c>
      <c r="AO12511" t="s">
        <v>6630</v>
      </c>
    </row>
    <row r="12512" spans="39:41" ht="12" customHeight="1" x14ac:dyDescent="0.2">
      <c r="AM12512" t="str">
        <f t="shared" si="195"/>
        <v>Quedgeley [GBQDL]</v>
      </c>
      <c r="AN12512" t="s">
        <v>14210</v>
      </c>
      <c r="AO12512" t="s">
        <v>14211</v>
      </c>
    </row>
    <row r="12513" spans="39:41" ht="12" customHeight="1" x14ac:dyDescent="0.2">
      <c r="AM12513" t="str">
        <f t="shared" si="195"/>
        <v>Queen Charlotte [CAQCH]</v>
      </c>
      <c r="AN12513" t="s">
        <v>4307</v>
      </c>
      <c r="AO12513" t="s">
        <v>4308</v>
      </c>
    </row>
    <row r="12514" spans="39:41" ht="12" customHeight="1" x14ac:dyDescent="0.2">
      <c r="AM12514" t="str">
        <f t="shared" si="195"/>
        <v>Queen City [USZQU]</v>
      </c>
      <c r="AN12514" t="s">
        <v>31203</v>
      </c>
      <c r="AO12514" t="s">
        <v>31204</v>
      </c>
    </row>
    <row r="12515" spans="39:41" ht="12" customHeight="1" x14ac:dyDescent="0.2">
      <c r="AM12515" t="str">
        <f t="shared" si="195"/>
        <v>Queenborough [GBQUB]</v>
      </c>
      <c r="AN12515" t="s">
        <v>14212</v>
      </c>
      <c r="AO12515" t="s">
        <v>14213</v>
      </c>
    </row>
    <row r="12516" spans="39:41" ht="12" customHeight="1" x14ac:dyDescent="0.2">
      <c r="AM12516" t="str">
        <f t="shared" si="195"/>
        <v>Queilen [CLQLN]</v>
      </c>
      <c r="AN12516" t="s">
        <v>4955</v>
      </c>
      <c r="AO12516" t="s">
        <v>35364</v>
      </c>
    </row>
    <row r="12517" spans="39:41" ht="12" customHeight="1" x14ac:dyDescent="0.2">
      <c r="AM12517" t="str">
        <f t="shared" si="195"/>
        <v>Quelimane [MZUEL]</v>
      </c>
      <c r="AN12517" t="s">
        <v>22870</v>
      </c>
      <c r="AO12517" t="s">
        <v>22871</v>
      </c>
    </row>
    <row r="12518" spans="39:41" ht="12" customHeight="1" x14ac:dyDescent="0.2">
      <c r="AM12518" t="str">
        <f t="shared" si="195"/>
        <v>Quellon (Puerto Quellon) [CLPTE]</v>
      </c>
      <c r="AN12518" t="s">
        <v>4956</v>
      </c>
      <c r="AO12518" t="s">
        <v>35365</v>
      </c>
    </row>
    <row r="12519" spans="39:41" ht="12" customHeight="1" x14ac:dyDescent="0.2">
      <c r="AM12519" t="str">
        <f t="shared" si="195"/>
        <v>Quellon Viejo [CLQUV]</v>
      </c>
      <c r="AN12519" t="s">
        <v>4957</v>
      </c>
      <c r="AO12519" t="s">
        <v>35366</v>
      </c>
    </row>
    <row r="12520" spans="39:41" ht="12" customHeight="1" x14ac:dyDescent="0.2">
      <c r="AM12520" t="str">
        <f t="shared" si="195"/>
        <v>Quemchi [CLQMC]</v>
      </c>
      <c r="AN12520" t="s">
        <v>4958</v>
      </c>
      <c r="AO12520" t="s">
        <v>4959</v>
      </c>
    </row>
    <row r="12521" spans="39:41" ht="12" customHeight="1" x14ac:dyDescent="0.2">
      <c r="AM12521" t="str">
        <f t="shared" si="195"/>
        <v>Quenne [FRQEN]</v>
      </c>
      <c r="AN12521" t="s">
        <v>11903</v>
      </c>
      <c r="AO12521" t="s">
        <v>11904</v>
      </c>
    </row>
    <row r="12522" spans="39:41" ht="12" customHeight="1" x14ac:dyDescent="0.2">
      <c r="AM12522" t="str">
        <f t="shared" si="195"/>
        <v>Quepos (Puerto Quepos) [CRXQP]</v>
      </c>
      <c r="AN12522" t="s">
        <v>6631</v>
      </c>
      <c r="AO12522" t="s">
        <v>6632</v>
      </c>
    </row>
    <row r="12523" spans="39:41" ht="12" customHeight="1" x14ac:dyDescent="0.2">
      <c r="AM12523" t="str">
        <f t="shared" si="195"/>
        <v>Quequen [ARQQN]</v>
      </c>
      <c r="AN12523" t="s">
        <v>1092</v>
      </c>
      <c r="AO12523" t="s">
        <v>35248</v>
      </c>
    </row>
    <row r="12524" spans="39:41" ht="12" customHeight="1" x14ac:dyDescent="0.2">
      <c r="AM12524" t="str">
        <f t="shared" si="195"/>
        <v>Queson/Siain [PHQUE]</v>
      </c>
      <c r="AN12524" t="s">
        <v>26083</v>
      </c>
      <c r="AO12524" t="s">
        <v>26084</v>
      </c>
    </row>
    <row r="12525" spans="39:41" ht="12" customHeight="1" x14ac:dyDescent="0.2">
      <c r="AM12525" t="str">
        <f t="shared" ref="AM12525:AM12588" si="196">AO12525 &amp; " [" &amp; AN12525 &amp; "]"</f>
        <v>Qui Nhon [VNUIH]</v>
      </c>
      <c r="AN12525" t="s">
        <v>32457</v>
      </c>
      <c r="AO12525" t="s">
        <v>32458</v>
      </c>
    </row>
    <row r="12526" spans="39:41" ht="12" customHeight="1" x14ac:dyDescent="0.2">
      <c r="AM12526" t="str">
        <f t="shared" si="196"/>
        <v>Quiberon [FRQUI]</v>
      </c>
      <c r="AN12526" t="s">
        <v>11905</v>
      </c>
      <c r="AO12526" t="s">
        <v>11906</v>
      </c>
    </row>
    <row r="12527" spans="39:41" ht="12" customHeight="1" x14ac:dyDescent="0.2">
      <c r="AM12527" t="str">
        <f t="shared" si="196"/>
        <v>Quiddiao/Aparri [PHQUI]</v>
      </c>
      <c r="AN12527" t="s">
        <v>26085</v>
      </c>
      <c r="AO12527" t="s">
        <v>26086</v>
      </c>
    </row>
    <row r="12528" spans="39:41" ht="12" customHeight="1" x14ac:dyDescent="0.2">
      <c r="AM12528" t="str">
        <f t="shared" si="196"/>
        <v>Quilon [INQUI]</v>
      </c>
      <c r="AN12528" t="s">
        <v>17409</v>
      </c>
      <c r="AO12528" t="s">
        <v>17410</v>
      </c>
    </row>
    <row r="12529" spans="39:41" ht="12" customHeight="1" x14ac:dyDescent="0.2">
      <c r="AM12529" t="str">
        <f t="shared" si="196"/>
        <v>Quimper [FRUIP]</v>
      </c>
      <c r="AN12529" t="s">
        <v>11907</v>
      </c>
      <c r="AO12529" t="s">
        <v>11908</v>
      </c>
    </row>
    <row r="12530" spans="39:41" ht="12" customHeight="1" x14ac:dyDescent="0.2">
      <c r="AM12530" t="str">
        <f t="shared" si="196"/>
        <v>Quinabigan [PHQBI]</v>
      </c>
      <c r="AN12530" t="s">
        <v>26087</v>
      </c>
      <c r="AO12530" t="s">
        <v>26088</v>
      </c>
    </row>
    <row r="12531" spans="39:41" ht="12" customHeight="1" x14ac:dyDescent="0.2">
      <c r="AM12531" t="str">
        <f t="shared" si="196"/>
        <v>Quinablagan/Mati [PHQBL]</v>
      </c>
      <c r="AN12531" t="s">
        <v>26089</v>
      </c>
      <c r="AO12531" t="s">
        <v>26090</v>
      </c>
    </row>
    <row r="12532" spans="39:41" ht="12" customHeight="1" x14ac:dyDescent="0.2">
      <c r="AM12532" t="str">
        <f t="shared" si="196"/>
        <v>Quinchao [CLQCO]</v>
      </c>
      <c r="AN12532" t="s">
        <v>4960</v>
      </c>
      <c r="AO12532" t="s">
        <v>4961</v>
      </c>
    </row>
    <row r="12533" spans="39:41" ht="12" customHeight="1" x14ac:dyDescent="0.2">
      <c r="AM12533" t="str">
        <f t="shared" si="196"/>
        <v>Quincy [USQUI]</v>
      </c>
      <c r="AN12533" t="s">
        <v>31205</v>
      </c>
      <c r="AO12533" t="s">
        <v>31206</v>
      </c>
    </row>
    <row r="12534" spans="39:41" ht="12" customHeight="1" x14ac:dyDescent="0.2">
      <c r="AM12534" t="str">
        <f t="shared" si="196"/>
        <v>Quinsac [FRQSC]</v>
      </c>
      <c r="AN12534" t="s">
        <v>11909</v>
      </c>
      <c r="AO12534" t="s">
        <v>11910</v>
      </c>
    </row>
    <row r="12535" spans="39:41" ht="12" customHeight="1" x14ac:dyDescent="0.2">
      <c r="AM12535" t="str">
        <f t="shared" si="196"/>
        <v>Quintero [CLQTV]</v>
      </c>
      <c r="AN12535" t="s">
        <v>4962</v>
      </c>
      <c r="AO12535" t="s">
        <v>4963</v>
      </c>
    </row>
    <row r="12536" spans="39:41" ht="12" customHeight="1" x14ac:dyDescent="0.2">
      <c r="AM12536" t="str">
        <f t="shared" si="196"/>
        <v>Quipit Bay/Ozamis [PHQPT]</v>
      </c>
      <c r="AN12536" t="s">
        <v>26091</v>
      </c>
      <c r="AO12536" t="s">
        <v>26092</v>
      </c>
    </row>
    <row r="12537" spans="39:41" ht="12" customHeight="1" x14ac:dyDescent="0.2">
      <c r="AM12537" t="str">
        <f t="shared" si="196"/>
        <v>Quismondo [ESQIS]</v>
      </c>
      <c r="AN12537" t="s">
        <v>10084</v>
      </c>
      <c r="AO12537" t="s">
        <v>10085</v>
      </c>
    </row>
    <row r="12538" spans="39:41" ht="12" customHeight="1" x14ac:dyDescent="0.2">
      <c r="AM12538" t="str">
        <f t="shared" si="196"/>
        <v>Qukou [CNQKU]</v>
      </c>
      <c r="AN12538" t="s">
        <v>5909</v>
      </c>
      <c r="AO12538" t="s">
        <v>5910</v>
      </c>
    </row>
    <row r="12539" spans="39:41" ht="12" customHeight="1" x14ac:dyDescent="0.2">
      <c r="AM12539" t="str">
        <f t="shared" si="196"/>
        <v>Quoin Island [OMQUO]</v>
      </c>
      <c r="AN12539" t="s">
        <v>25161</v>
      </c>
      <c r="AO12539" t="s">
        <v>25162</v>
      </c>
    </row>
    <row r="12540" spans="39:41" ht="12" customHeight="1" x14ac:dyDescent="0.2">
      <c r="AM12540" t="str">
        <f t="shared" si="196"/>
        <v>Qurayyah [SAQUR]</v>
      </c>
      <c r="AN12540" t="s">
        <v>27407</v>
      </c>
      <c r="AO12540" t="s">
        <v>27408</v>
      </c>
    </row>
    <row r="12541" spans="39:41" ht="12" customHeight="1" x14ac:dyDescent="0.2">
      <c r="AM12541" t="str">
        <f t="shared" si="196"/>
        <v>Quxi [CNJDR]</v>
      </c>
      <c r="AN12541" t="s">
        <v>5911</v>
      </c>
      <c r="AO12541" t="s">
        <v>5912</v>
      </c>
    </row>
    <row r="12542" spans="39:41" ht="12" customHeight="1" x14ac:dyDescent="0.2">
      <c r="AM12542" t="str">
        <f t="shared" si="196"/>
        <v>Raa [SERAA]</v>
      </c>
      <c r="AN12542" t="s">
        <v>27805</v>
      </c>
      <c r="AO12542" t="s">
        <v>36505</v>
      </c>
    </row>
    <row r="12543" spans="39:41" ht="12" customHeight="1" x14ac:dyDescent="0.2">
      <c r="AM12543" t="str">
        <f t="shared" si="196"/>
        <v>Raalte [NLQDS]</v>
      </c>
      <c r="AN12543" t="s">
        <v>33918</v>
      </c>
      <c r="AO12543" t="s">
        <v>34040</v>
      </c>
    </row>
    <row r="12544" spans="39:41" ht="12" customHeight="1" x14ac:dyDescent="0.2">
      <c r="AM12544" t="str">
        <f t="shared" si="196"/>
        <v>Rab [HRRAB]</v>
      </c>
      <c r="AN12544" t="s">
        <v>15888</v>
      </c>
      <c r="AO12544" t="s">
        <v>15889</v>
      </c>
    </row>
    <row r="12545" spans="39:41" ht="12" customHeight="1" x14ac:dyDescent="0.2">
      <c r="AM12545" t="str">
        <f t="shared" si="196"/>
        <v>Rabac [HRRBC]</v>
      </c>
      <c r="AN12545" t="s">
        <v>15890</v>
      </c>
      <c r="AO12545" t="s">
        <v>15891</v>
      </c>
    </row>
    <row r="12546" spans="39:41" ht="12" customHeight="1" x14ac:dyDescent="0.2">
      <c r="AM12546" t="str">
        <f t="shared" si="196"/>
        <v>Rabastens [FRABA]</v>
      </c>
      <c r="AN12546" t="s">
        <v>11911</v>
      </c>
      <c r="AO12546" t="s">
        <v>11912</v>
      </c>
    </row>
    <row r="12547" spans="39:41" ht="12" customHeight="1" x14ac:dyDescent="0.2">
      <c r="AM12547" t="str">
        <f t="shared" si="196"/>
        <v>Rabat [MARBA]</v>
      </c>
      <c r="AN12547" t="s">
        <v>22052</v>
      </c>
      <c r="AO12547" t="s">
        <v>22053</v>
      </c>
    </row>
    <row r="12548" spans="39:41" ht="12" customHeight="1" x14ac:dyDescent="0.2">
      <c r="AM12548" t="str">
        <f t="shared" si="196"/>
        <v>Rabaul [PGRAB]</v>
      </c>
      <c r="AN12548" t="s">
        <v>25452</v>
      </c>
      <c r="AO12548" t="s">
        <v>25453</v>
      </c>
    </row>
    <row r="12549" spans="39:41" ht="12" customHeight="1" x14ac:dyDescent="0.2">
      <c r="AM12549" t="str">
        <f t="shared" si="196"/>
        <v>Rabida Island [ECRAB]</v>
      </c>
      <c r="AN12549" t="s">
        <v>9119</v>
      </c>
      <c r="AO12549" t="s">
        <v>9120</v>
      </c>
    </row>
    <row r="12550" spans="39:41" ht="12" customHeight="1" x14ac:dyDescent="0.2">
      <c r="AM12550" t="str">
        <f t="shared" si="196"/>
        <v>Rabigh [SARAB]</v>
      </c>
      <c r="AN12550" t="s">
        <v>27409</v>
      </c>
      <c r="AO12550" t="s">
        <v>27410</v>
      </c>
    </row>
    <row r="12551" spans="39:41" ht="12" customHeight="1" x14ac:dyDescent="0.2">
      <c r="AM12551" t="str">
        <f t="shared" si="196"/>
        <v>Rabo de Peixe [PTRPX]</v>
      </c>
      <c r="AN12551" t="s">
        <v>26588</v>
      </c>
      <c r="AO12551" t="s">
        <v>26589</v>
      </c>
    </row>
    <row r="12552" spans="39:41" ht="12" customHeight="1" x14ac:dyDescent="0.2">
      <c r="AM12552" t="str">
        <f t="shared" si="196"/>
        <v>Rabon Grande/Coatzacoalcos [MXRBG]</v>
      </c>
      <c r="AN12552" t="s">
        <v>22431</v>
      </c>
      <c r="AO12552" t="s">
        <v>22432</v>
      </c>
    </row>
    <row r="12553" spans="39:41" ht="12" customHeight="1" x14ac:dyDescent="0.2">
      <c r="AM12553" t="str">
        <f t="shared" si="196"/>
        <v>Racine [USRAC]</v>
      </c>
      <c r="AN12553" t="s">
        <v>31207</v>
      </c>
      <c r="AO12553" t="s">
        <v>31208</v>
      </c>
    </row>
    <row r="12554" spans="39:41" ht="12" customHeight="1" x14ac:dyDescent="0.2">
      <c r="AM12554" t="str">
        <f t="shared" si="196"/>
        <v>Rade [NORAD]</v>
      </c>
      <c r="AN12554" t="s">
        <v>24620</v>
      </c>
      <c r="AO12554" t="s">
        <v>36273</v>
      </c>
    </row>
    <row r="12555" spans="39:41" ht="12" customHeight="1" x14ac:dyDescent="0.2">
      <c r="AM12555" t="str">
        <f t="shared" si="196"/>
        <v>Radeburg [DERDU]</v>
      </c>
      <c r="AN12555" t="s">
        <v>8145</v>
      </c>
      <c r="AO12555" t="s">
        <v>8146</v>
      </c>
    </row>
    <row r="12556" spans="39:41" ht="12" customHeight="1" x14ac:dyDescent="0.2">
      <c r="AM12556" t="str">
        <f t="shared" si="196"/>
        <v>Rades [TNRDS]</v>
      </c>
      <c r="AN12556" t="s">
        <v>28362</v>
      </c>
      <c r="AO12556" t="s">
        <v>36561</v>
      </c>
    </row>
    <row r="12557" spans="39:41" ht="12" customHeight="1" x14ac:dyDescent="0.2">
      <c r="AM12557" t="str">
        <f t="shared" si="196"/>
        <v>Radicatel [FRRAD]</v>
      </c>
      <c r="AN12557" t="s">
        <v>11913</v>
      </c>
      <c r="AO12557" t="s">
        <v>11914</v>
      </c>
    </row>
    <row r="12558" spans="39:41" ht="12" customHeight="1" x14ac:dyDescent="0.2">
      <c r="AM12558" t="str">
        <f t="shared" si="196"/>
        <v>Radolfzell [DERAD]</v>
      </c>
      <c r="AN12558" t="s">
        <v>8147</v>
      </c>
      <c r="AO12558" t="s">
        <v>8148</v>
      </c>
    </row>
    <row r="12559" spans="39:41" ht="12" customHeight="1" x14ac:dyDescent="0.2">
      <c r="AM12559" t="str">
        <f t="shared" si="196"/>
        <v>Radonice [CZRDN]</v>
      </c>
      <c r="AN12559" t="s">
        <v>6923</v>
      </c>
      <c r="AO12559" t="s">
        <v>6924</v>
      </c>
    </row>
    <row r="12560" spans="39:41" ht="12" customHeight="1" x14ac:dyDescent="0.2">
      <c r="AM12560" t="str">
        <f t="shared" si="196"/>
        <v>Radonice [CZRAU]</v>
      </c>
      <c r="AN12560" t="s">
        <v>6925</v>
      </c>
      <c r="AO12560" t="s">
        <v>6924</v>
      </c>
    </row>
    <row r="12561" spans="39:41" ht="12" customHeight="1" x14ac:dyDescent="0.2">
      <c r="AM12561" t="str">
        <f t="shared" si="196"/>
        <v>Radovis [MKRAD]</v>
      </c>
      <c r="AN12561" t="s">
        <v>22172</v>
      </c>
      <c r="AO12561" t="s">
        <v>22173</v>
      </c>
    </row>
    <row r="12562" spans="39:41" ht="12" customHeight="1" x14ac:dyDescent="0.2">
      <c r="AM12562" t="str">
        <f t="shared" si="196"/>
        <v>Radoy [NORAY]</v>
      </c>
      <c r="AN12562" t="s">
        <v>24621</v>
      </c>
      <c r="AO12562" t="s">
        <v>36274</v>
      </c>
    </row>
    <row r="12563" spans="39:41" ht="12" customHeight="1" x14ac:dyDescent="0.2">
      <c r="AM12563" t="str">
        <f t="shared" si="196"/>
        <v>Radstadt [ATRAD]</v>
      </c>
      <c r="AN12563" t="s">
        <v>1307</v>
      </c>
      <c r="AO12563" t="s">
        <v>1308</v>
      </c>
    </row>
    <row r="12564" spans="39:41" ht="12" customHeight="1" x14ac:dyDescent="0.2">
      <c r="AM12564" t="str">
        <f t="shared" si="196"/>
        <v>Raffles Bay [AURAF]</v>
      </c>
      <c r="AN12564" t="s">
        <v>1978</v>
      </c>
      <c r="AO12564" t="s">
        <v>1979</v>
      </c>
    </row>
    <row r="12565" spans="39:41" ht="12" customHeight="1" x14ac:dyDescent="0.2">
      <c r="AM12565" t="str">
        <f t="shared" si="196"/>
        <v>Rafina [GRRAF]</v>
      </c>
      <c r="AN12565" t="s">
        <v>15485</v>
      </c>
      <c r="AO12565" t="s">
        <v>15486</v>
      </c>
    </row>
    <row r="12566" spans="39:41" ht="12" customHeight="1" x14ac:dyDescent="0.2">
      <c r="AM12566" t="str">
        <f t="shared" si="196"/>
        <v>Rafnes [NORAF]</v>
      </c>
      <c r="AN12566" t="s">
        <v>24622</v>
      </c>
      <c r="AO12566" t="s">
        <v>24623</v>
      </c>
    </row>
    <row r="12567" spans="39:41" ht="12" customHeight="1" x14ac:dyDescent="0.2">
      <c r="AM12567" t="str">
        <f t="shared" si="196"/>
        <v>Ragland [USYRG]</v>
      </c>
      <c r="AN12567" t="s">
        <v>31209</v>
      </c>
      <c r="AO12567" t="s">
        <v>31210</v>
      </c>
    </row>
    <row r="12568" spans="39:41" ht="12" customHeight="1" x14ac:dyDescent="0.2">
      <c r="AM12568" t="str">
        <f t="shared" si="196"/>
        <v>Raili [INRRI]</v>
      </c>
      <c r="AN12568" t="s">
        <v>17411</v>
      </c>
      <c r="AO12568" t="s">
        <v>17412</v>
      </c>
    </row>
    <row r="12569" spans="39:41" ht="12" customHeight="1" x14ac:dyDescent="0.2">
      <c r="AM12569" t="str">
        <f t="shared" si="196"/>
        <v>Rainbow City [USXRC]</v>
      </c>
      <c r="AN12569" t="s">
        <v>31211</v>
      </c>
      <c r="AO12569" t="s">
        <v>31212</v>
      </c>
    </row>
    <row r="12570" spans="39:41" ht="12" customHeight="1" x14ac:dyDescent="0.2">
      <c r="AM12570" t="str">
        <f t="shared" si="196"/>
        <v>Rainier [USRAI]</v>
      </c>
      <c r="AN12570" t="s">
        <v>31213</v>
      </c>
      <c r="AO12570" t="s">
        <v>31214</v>
      </c>
    </row>
    <row r="12571" spans="39:41" ht="12" customHeight="1" x14ac:dyDescent="0.2">
      <c r="AM12571" t="str">
        <f t="shared" si="196"/>
        <v>Raivavae [PFRVV]</v>
      </c>
      <c r="AN12571" t="s">
        <v>25334</v>
      </c>
      <c r="AO12571" t="s">
        <v>25335</v>
      </c>
    </row>
    <row r="12572" spans="39:41" ht="12" customHeight="1" x14ac:dyDescent="0.2">
      <c r="AM12572" t="str">
        <f t="shared" si="196"/>
        <v>Raja [EERAJ]</v>
      </c>
      <c r="AN12572" t="s">
        <v>9315</v>
      </c>
      <c r="AO12572" t="s">
        <v>9316</v>
      </c>
    </row>
    <row r="12573" spans="39:41" ht="12" customHeight="1" x14ac:dyDescent="0.2">
      <c r="AM12573" t="str">
        <f t="shared" si="196"/>
        <v>Rajadell [ESRA5]</v>
      </c>
      <c r="AN12573" t="s">
        <v>10086</v>
      </c>
      <c r="AO12573" t="s">
        <v>10087</v>
      </c>
    </row>
    <row r="12574" spans="39:41" ht="12" customHeight="1" x14ac:dyDescent="0.2">
      <c r="AM12574" t="str">
        <f t="shared" si="196"/>
        <v>Rajakkamangalam [INRKG]</v>
      </c>
      <c r="AN12574" t="s">
        <v>17413</v>
      </c>
      <c r="AO12574" t="s">
        <v>17414</v>
      </c>
    </row>
    <row r="12575" spans="39:41" ht="12" customHeight="1" x14ac:dyDescent="0.2">
      <c r="AM12575" t="str">
        <f t="shared" si="196"/>
        <v>Rajhrad [CZRAJ]</v>
      </c>
      <c r="AN12575" t="s">
        <v>6926</v>
      </c>
      <c r="AO12575" t="s">
        <v>6927</v>
      </c>
    </row>
    <row r="12576" spans="39:41" ht="12" customHeight="1" x14ac:dyDescent="0.2">
      <c r="AM12576" t="str">
        <f t="shared" si="196"/>
        <v>Rajpara/Navabunder [INRJP]</v>
      </c>
      <c r="AN12576" t="s">
        <v>17415</v>
      </c>
      <c r="AO12576" t="s">
        <v>17416</v>
      </c>
    </row>
    <row r="12577" spans="39:41" ht="12" customHeight="1" x14ac:dyDescent="0.2">
      <c r="AM12577" t="str">
        <f t="shared" si="196"/>
        <v>Rajpuri [INRJR]</v>
      </c>
      <c r="AN12577" t="s">
        <v>17417</v>
      </c>
      <c r="AO12577" t="s">
        <v>17418</v>
      </c>
    </row>
    <row r="12578" spans="39:41" ht="12" customHeight="1" x14ac:dyDescent="0.2">
      <c r="AM12578" t="str">
        <f t="shared" si="196"/>
        <v>Rak Khor Port [AERKP]</v>
      </c>
      <c r="AN12578" t="s">
        <v>766</v>
      </c>
      <c r="AO12578" t="s">
        <v>767</v>
      </c>
    </row>
    <row r="12579" spans="39:41" ht="12" customHeight="1" x14ac:dyDescent="0.2">
      <c r="AM12579" t="str">
        <f t="shared" si="196"/>
        <v>Rak Maritime City [AERMC]</v>
      </c>
      <c r="AN12579" t="s">
        <v>768</v>
      </c>
      <c r="AO12579" t="s">
        <v>769</v>
      </c>
    </row>
    <row r="12580" spans="39:41" ht="12" customHeight="1" x14ac:dyDescent="0.2">
      <c r="AM12580" t="str">
        <f t="shared" si="196"/>
        <v>Ralby Sadam [EERLB]</v>
      </c>
      <c r="AN12580" t="s">
        <v>34326</v>
      </c>
      <c r="AO12580" t="s">
        <v>34316</v>
      </c>
    </row>
    <row r="12581" spans="39:41" ht="12" customHeight="1" x14ac:dyDescent="0.2">
      <c r="AM12581" t="str">
        <f t="shared" si="196"/>
        <v>Rama [NIRAM]</v>
      </c>
      <c r="AN12581" t="s">
        <v>23008</v>
      </c>
      <c r="AO12581" t="s">
        <v>23009</v>
      </c>
    </row>
    <row r="12582" spans="39:41" ht="12" customHeight="1" x14ac:dyDescent="0.2">
      <c r="AM12582" t="str">
        <f t="shared" si="196"/>
        <v>Ramallo [ARRAM]</v>
      </c>
      <c r="AN12582" t="s">
        <v>1093</v>
      </c>
      <c r="AO12582" t="s">
        <v>1094</v>
      </c>
    </row>
    <row r="12583" spans="39:41" ht="12" customHeight="1" x14ac:dyDescent="0.2">
      <c r="AM12583" t="str">
        <f t="shared" si="196"/>
        <v>Ramberg [NORMB]</v>
      </c>
      <c r="AN12583" t="s">
        <v>24624</v>
      </c>
      <c r="AO12583" t="s">
        <v>24625</v>
      </c>
    </row>
    <row r="12584" spans="39:41" ht="12" customHeight="1" x14ac:dyDescent="0.2">
      <c r="AM12584" t="str">
        <f t="shared" si="196"/>
        <v>Rambutyo Island [PGRAM]</v>
      </c>
      <c r="AN12584" t="s">
        <v>25454</v>
      </c>
      <c r="AO12584" t="s">
        <v>25455</v>
      </c>
    </row>
    <row r="12585" spans="39:41" ht="12" customHeight="1" x14ac:dyDescent="0.2">
      <c r="AM12585" t="str">
        <f t="shared" si="196"/>
        <v>Ramea [CARAM]</v>
      </c>
      <c r="AN12585" t="s">
        <v>4309</v>
      </c>
      <c r="AO12585" t="s">
        <v>4310</v>
      </c>
    </row>
    <row r="12586" spans="39:41" ht="12" customHeight="1" x14ac:dyDescent="0.2">
      <c r="AM12586" t="str">
        <f t="shared" si="196"/>
        <v>Ramegnies-Chin [BERCI]</v>
      </c>
      <c r="AN12586" t="s">
        <v>2861</v>
      </c>
      <c r="AO12586" t="s">
        <v>2862</v>
      </c>
    </row>
    <row r="12587" spans="39:41" ht="12" customHeight="1" x14ac:dyDescent="0.2">
      <c r="AM12587" t="str">
        <f t="shared" si="196"/>
        <v>Ramelton [IERTN]</v>
      </c>
      <c r="AN12587" t="s">
        <v>16888</v>
      </c>
      <c r="AO12587" t="s">
        <v>16889</v>
      </c>
    </row>
    <row r="12588" spans="39:41" ht="12" customHeight="1" x14ac:dyDescent="0.2">
      <c r="AM12588" t="str">
        <f t="shared" si="196"/>
        <v>Rameshwaram [INRAM]</v>
      </c>
      <c r="AN12588" t="s">
        <v>17419</v>
      </c>
      <c r="AO12588" t="s">
        <v>17420</v>
      </c>
    </row>
    <row r="12589" spans="39:41" ht="12" customHeight="1" x14ac:dyDescent="0.2">
      <c r="AM12589" t="str">
        <f t="shared" ref="AM12589:AM12652" si="197">AO12589 &amp; " [" &amp; AN12589 &amp; "]"</f>
        <v>Ramillies [FRRLI]</v>
      </c>
      <c r="AN12589" t="s">
        <v>11915</v>
      </c>
      <c r="AO12589" t="s">
        <v>11916</v>
      </c>
    </row>
    <row r="12590" spans="39:41" ht="12" customHeight="1" x14ac:dyDescent="0.2">
      <c r="AM12590" t="str">
        <f t="shared" si="197"/>
        <v>Ramsbottom [GBRMB]</v>
      </c>
      <c r="AN12590" t="s">
        <v>14214</v>
      </c>
      <c r="AO12590" t="s">
        <v>14215</v>
      </c>
    </row>
    <row r="12591" spans="39:41" ht="12" customHeight="1" x14ac:dyDescent="0.2">
      <c r="AM12591" t="str">
        <f t="shared" si="197"/>
        <v>Ramsey [GBRSY]</v>
      </c>
      <c r="AN12591" t="s">
        <v>14216</v>
      </c>
      <c r="AO12591" t="s">
        <v>14217</v>
      </c>
    </row>
    <row r="12592" spans="39:41" ht="12" customHeight="1" x14ac:dyDescent="0.2">
      <c r="AM12592" t="str">
        <f t="shared" si="197"/>
        <v>Ramsey [IMRAM]</v>
      </c>
      <c r="AN12592" t="s">
        <v>16991</v>
      </c>
      <c r="AO12592" t="s">
        <v>14217</v>
      </c>
    </row>
    <row r="12593" spans="39:41" ht="12" customHeight="1" x14ac:dyDescent="0.2">
      <c r="AM12593" t="str">
        <f t="shared" si="197"/>
        <v>Ramsgate [GBRMG]</v>
      </c>
      <c r="AN12593" t="s">
        <v>14218</v>
      </c>
      <c r="AO12593" t="s">
        <v>14219</v>
      </c>
    </row>
    <row r="12594" spans="39:41" ht="12" customHeight="1" x14ac:dyDescent="0.2">
      <c r="AM12594" t="str">
        <f t="shared" si="197"/>
        <v>Ramspol [NLRPL]</v>
      </c>
      <c r="AN12594" t="s">
        <v>23532</v>
      </c>
      <c r="AO12594" t="s">
        <v>23533</v>
      </c>
    </row>
    <row r="12595" spans="39:41" ht="12" customHeight="1" x14ac:dyDescent="0.2">
      <c r="AM12595" t="str">
        <f t="shared" si="197"/>
        <v>Ramsund [NORAM]</v>
      </c>
      <c r="AN12595" t="s">
        <v>24626</v>
      </c>
      <c r="AO12595" t="s">
        <v>24627</v>
      </c>
    </row>
    <row r="12596" spans="39:41" ht="12" customHeight="1" x14ac:dyDescent="0.2">
      <c r="AM12596" t="str">
        <f t="shared" si="197"/>
        <v>Ramsvika [NORMV]</v>
      </c>
      <c r="AN12596" t="s">
        <v>24628</v>
      </c>
      <c r="AO12596" t="s">
        <v>24629</v>
      </c>
    </row>
    <row r="12597" spans="39:41" ht="12" customHeight="1" x14ac:dyDescent="0.2">
      <c r="AM12597" t="str">
        <f t="shared" si="197"/>
        <v>Ramvik [SERAM]</v>
      </c>
      <c r="AN12597" t="s">
        <v>27806</v>
      </c>
      <c r="AO12597" t="s">
        <v>27807</v>
      </c>
    </row>
    <row r="12598" spans="39:41" ht="12" customHeight="1" x14ac:dyDescent="0.2">
      <c r="AM12598" t="str">
        <f t="shared" si="197"/>
        <v>Rana [NORNA]</v>
      </c>
      <c r="AN12598" t="s">
        <v>24630</v>
      </c>
      <c r="AO12598" t="s">
        <v>24631</v>
      </c>
    </row>
    <row r="12599" spans="39:41" ht="12" customHeight="1" x14ac:dyDescent="0.2">
      <c r="AM12599" t="str">
        <f t="shared" si="197"/>
        <v>Ranai [IDRNI]</v>
      </c>
      <c r="AN12599" t="s">
        <v>16543</v>
      </c>
      <c r="AO12599" t="s">
        <v>16544</v>
      </c>
    </row>
    <row r="12600" spans="39:41" ht="12" customHeight="1" x14ac:dyDescent="0.2">
      <c r="AM12600" t="str">
        <f t="shared" si="197"/>
        <v>Rancho Bernardo [USRBO]</v>
      </c>
      <c r="AN12600" t="s">
        <v>31215</v>
      </c>
      <c r="AO12600" t="s">
        <v>31216</v>
      </c>
    </row>
    <row r="12601" spans="39:41" ht="12" customHeight="1" x14ac:dyDescent="0.2">
      <c r="AM12601" t="str">
        <f t="shared" si="197"/>
        <v>Rancho Mirage [USRHG]</v>
      </c>
      <c r="AN12601" t="s">
        <v>31217</v>
      </c>
      <c r="AO12601" t="s">
        <v>31218</v>
      </c>
    </row>
    <row r="12602" spans="39:41" ht="12" customHeight="1" x14ac:dyDescent="0.2">
      <c r="AM12602" t="str">
        <f t="shared" si="197"/>
        <v>Ranchos de Taos [US8DD]</v>
      </c>
      <c r="AN12602" t="s">
        <v>31219</v>
      </c>
      <c r="AO12602" t="s">
        <v>31220</v>
      </c>
    </row>
    <row r="12603" spans="39:41" ht="12" customHeight="1" x14ac:dyDescent="0.2">
      <c r="AM12603" t="str">
        <f t="shared" si="197"/>
        <v>Randaberg [NORDB]</v>
      </c>
      <c r="AN12603" t="s">
        <v>24632</v>
      </c>
      <c r="AO12603" t="s">
        <v>24633</v>
      </c>
    </row>
    <row r="12604" spans="39:41" ht="12" customHeight="1" x14ac:dyDescent="0.2">
      <c r="AM12604" t="str">
        <f t="shared" si="197"/>
        <v>Randers [DKRAN]</v>
      </c>
      <c r="AN12604" t="s">
        <v>8849</v>
      </c>
      <c r="AO12604" t="s">
        <v>8850</v>
      </c>
    </row>
    <row r="12605" spans="39:41" ht="12" customHeight="1" x14ac:dyDescent="0.2">
      <c r="AM12605" t="str">
        <f t="shared" si="197"/>
        <v>Rang Dong [VNRDG]</v>
      </c>
      <c r="AN12605" t="s">
        <v>32459</v>
      </c>
      <c r="AO12605" t="s">
        <v>32460</v>
      </c>
    </row>
    <row r="12606" spans="39:41" ht="12" customHeight="1" x14ac:dyDescent="0.2">
      <c r="AM12606" t="str">
        <f t="shared" si="197"/>
        <v>Rangali [MVRGI]</v>
      </c>
      <c r="AN12606" t="s">
        <v>34185</v>
      </c>
      <c r="AO12606" t="s">
        <v>34259</v>
      </c>
    </row>
    <row r="12607" spans="39:41" ht="12" customHeight="1" x14ac:dyDescent="0.2">
      <c r="AM12607" t="str">
        <f t="shared" si="197"/>
        <v>Ranghat Bay [INRGT]</v>
      </c>
      <c r="AN12607" t="s">
        <v>17421</v>
      </c>
      <c r="AO12607" t="s">
        <v>17422</v>
      </c>
    </row>
    <row r="12608" spans="39:41" ht="12" customHeight="1" x14ac:dyDescent="0.2">
      <c r="AM12608" t="str">
        <f t="shared" si="197"/>
        <v>Rankin Inlet [CARIT]</v>
      </c>
      <c r="AN12608" t="s">
        <v>4311</v>
      </c>
      <c r="AO12608" t="s">
        <v>4312</v>
      </c>
    </row>
    <row r="12609" spans="39:41" ht="12" customHeight="1" x14ac:dyDescent="0.2">
      <c r="AM12609" t="str">
        <f t="shared" si="197"/>
        <v>Rannametsa [EERNM]</v>
      </c>
      <c r="AN12609" t="s">
        <v>9317</v>
      </c>
      <c r="AO12609" t="s">
        <v>9318</v>
      </c>
    </row>
    <row r="12610" spans="39:41" ht="12" customHeight="1" x14ac:dyDescent="0.2">
      <c r="AM12610" t="str">
        <f t="shared" si="197"/>
        <v>Ranong [THRNN]</v>
      </c>
      <c r="AN12610" t="s">
        <v>34221</v>
      </c>
      <c r="AO12610" t="s">
        <v>28275</v>
      </c>
    </row>
    <row r="12611" spans="39:41" ht="12" customHeight="1" x14ac:dyDescent="0.2">
      <c r="AM12611" t="str">
        <f t="shared" si="197"/>
        <v>Ranpar [INRNR]</v>
      </c>
      <c r="AN12611" t="s">
        <v>17423</v>
      </c>
      <c r="AO12611" t="s">
        <v>17424</v>
      </c>
    </row>
    <row r="12612" spans="39:41" ht="12" customHeight="1" x14ac:dyDescent="0.2">
      <c r="AM12612" t="str">
        <f t="shared" si="197"/>
        <v>Ranshofen [ATRHN]</v>
      </c>
      <c r="AN12612" t="s">
        <v>1309</v>
      </c>
      <c r="AO12612" t="s">
        <v>1310</v>
      </c>
    </row>
    <row r="12613" spans="39:41" ht="12" customHeight="1" x14ac:dyDescent="0.2">
      <c r="AM12613" t="str">
        <f t="shared" si="197"/>
        <v>Ranst [BERAS]</v>
      </c>
      <c r="AN12613" t="s">
        <v>36797</v>
      </c>
      <c r="AO12613" t="s">
        <v>36798</v>
      </c>
    </row>
    <row r="12614" spans="39:41" ht="12" customHeight="1" x14ac:dyDescent="0.2">
      <c r="AM12614" t="str">
        <f t="shared" si="197"/>
        <v>Rao Qua [VNRQU]</v>
      </c>
      <c r="AN12614" t="s">
        <v>32461</v>
      </c>
      <c r="AO12614" t="s">
        <v>32462</v>
      </c>
    </row>
    <row r="12615" spans="39:41" ht="12" customHeight="1" x14ac:dyDescent="0.2">
      <c r="AM12615" t="str">
        <f t="shared" si="197"/>
        <v>Raohe [CNROH]</v>
      </c>
      <c r="AN12615" t="s">
        <v>5913</v>
      </c>
      <c r="AO12615" t="s">
        <v>5914</v>
      </c>
    </row>
    <row r="12616" spans="39:41" ht="12" customHeight="1" x14ac:dyDescent="0.2">
      <c r="AM12616" t="str">
        <f t="shared" si="197"/>
        <v>Raoping [CNRPG]</v>
      </c>
      <c r="AN12616" t="s">
        <v>5915</v>
      </c>
      <c r="AO12616" t="s">
        <v>5916</v>
      </c>
    </row>
    <row r="12617" spans="39:41" ht="12" customHeight="1" x14ac:dyDescent="0.2">
      <c r="AM12617" t="str">
        <f t="shared" si="197"/>
        <v>Rapallo [ITRPO]</v>
      </c>
      <c r="AN12617" t="s">
        <v>18239</v>
      </c>
      <c r="AO12617" t="s">
        <v>18240</v>
      </c>
    </row>
    <row r="12618" spans="39:41" ht="12" customHeight="1" x14ac:dyDescent="0.2">
      <c r="AM12618" t="str">
        <f t="shared" si="197"/>
        <v>Rapid Bay [AURAB]</v>
      </c>
      <c r="AN12618" t="s">
        <v>1980</v>
      </c>
      <c r="AO12618" t="s">
        <v>1981</v>
      </c>
    </row>
    <row r="12619" spans="39:41" ht="12" customHeight="1" x14ac:dyDescent="0.2">
      <c r="AM12619" t="str">
        <f t="shared" si="197"/>
        <v>Rapidan [USYRP]</v>
      </c>
      <c r="AN12619" t="s">
        <v>31221</v>
      </c>
      <c r="AO12619" t="s">
        <v>31222</v>
      </c>
    </row>
    <row r="12620" spans="39:41" ht="12" customHeight="1" x14ac:dyDescent="0.2">
      <c r="AM12620" t="str">
        <f t="shared" si="197"/>
        <v>Rapina [EERPI]</v>
      </c>
      <c r="AN12620" t="s">
        <v>9319</v>
      </c>
      <c r="AO12620" t="s">
        <v>35637</v>
      </c>
    </row>
    <row r="12621" spans="39:41" ht="12" customHeight="1" x14ac:dyDescent="0.2">
      <c r="AM12621" t="str">
        <f t="shared" si="197"/>
        <v>Rapness, Westray [GBRAP]</v>
      </c>
      <c r="AN12621" t="s">
        <v>14220</v>
      </c>
      <c r="AO12621" t="s">
        <v>14221</v>
      </c>
    </row>
    <row r="12622" spans="39:41" ht="12" customHeight="1" x14ac:dyDescent="0.2">
      <c r="AM12622" t="str">
        <f t="shared" si="197"/>
        <v>Raroa FPSO [NZRAR]</v>
      </c>
      <c r="AN12622" t="s">
        <v>25100</v>
      </c>
      <c r="AO12622" t="s">
        <v>25101</v>
      </c>
    </row>
    <row r="12623" spans="39:41" ht="12" customHeight="1" x14ac:dyDescent="0.2">
      <c r="AM12623" t="str">
        <f t="shared" si="197"/>
        <v>Raron [CHRRN]</v>
      </c>
      <c r="AN12623" t="s">
        <v>4733</v>
      </c>
      <c r="AO12623" t="s">
        <v>4734</v>
      </c>
    </row>
    <row r="12624" spans="39:41" ht="12" customHeight="1" x14ac:dyDescent="0.2">
      <c r="AM12624" t="str">
        <f t="shared" si="197"/>
        <v>Rarotonga [CKRAR]</v>
      </c>
      <c r="AN12624" t="s">
        <v>4807</v>
      </c>
      <c r="AO12624" t="s">
        <v>4808</v>
      </c>
    </row>
    <row r="12625" spans="39:41" ht="12" customHeight="1" x14ac:dyDescent="0.2">
      <c r="AM12625" t="str">
        <f t="shared" si="197"/>
        <v>Ras Al Kalib [YERAK]</v>
      </c>
      <c r="AN12625" t="s">
        <v>32652</v>
      </c>
      <c r="AO12625" t="s">
        <v>32653</v>
      </c>
    </row>
    <row r="12626" spans="39:41" ht="12" customHeight="1" x14ac:dyDescent="0.2">
      <c r="AM12626" t="str">
        <f t="shared" si="197"/>
        <v>Ras al Khafji [SARAR]</v>
      </c>
      <c r="AN12626" t="s">
        <v>27411</v>
      </c>
      <c r="AO12626" t="s">
        <v>27412</v>
      </c>
    </row>
    <row r="12627" spans="39:41" ht="12" customHeight="1" x14ac:dyDescent="0.2">
      <c r="AM12627" t="str">
        <f t="shared" si="197"/>
        <v>Ras al Khaimah [AERKT]</v>
      </c>
      <c r="AN12627" t="s">
        <v>770</v>
      </c>
      <c r="AO12627" t="s">
        <v>771</v>
      </c>
    </row>
    <row r="12628" spans="39:41" ht="12" customHeight="1" x14ac:dyDescent="0.2">
      <c r="AM12628" t="str">
        <f t="shared" si="197"/>
        <v>Ras al Mishab [SARAM]</v>
      </c>
      <c r="AN12628" t="s">
        <v>27413</v>
      </c>
      <c r="AO12628" t="s">
        <v>27414</v>
      </c>
    </row>
    <row r="12629" spans="39:41" ht="12" customHeight="1" x14ac:dyDescent="0.2">
      <c r="AM12629" t="str">
        <f t="shared" si="197"/>
        <v>Ras Al-Khair [SARAZ]</v>
      </c>
      <c r="AN12629" t="s">
        <v>27415</v>
      </c>
      <c r="AO12629" t="s">
        <v>27416</v>
      </c>
    </row>
    <row r="12630" spans="39:41" ht="12" customHeight="1" x14ac:dyDescent="0.2">
      <c r="AM12630" t="str">
        <f t="shared" si="197"/>
        <v>Ras Bahrgan [IRRBA]</v>
      </c>
      <c r="AN12630" t="s">
        <v>17647</v>
      </c>
      <c r="AO12630" t="s">
        <v>17648</v>
      </c>
    </row>
    <row r="12631" spans="39:41" ht="12" customHeight="1" x14ac:dyDescent="0.2">
      <c r="AM12631" t="str">
        <f t="shared" si="197"/>
        <v>Ras Budran [EGRAB]</v>
      </c>
      <c r="AN12631" t="s">
        <v>9516</v>
      </c>
      <c r="AO12631" t="s">
        <v>9517</v>
      </c>
    </row>
    <row r="12632" spans="39:41" ht="12" customHeight="1" x14ac:dyDescent="0.2">
      <c r="AM12632" t="str">
        <f t="shared" si="197"/>
        <v>Ras El Ma [MAREM]</v>
      </c>
      <c r="AN12632" t="s">
        <v>35018</v>
      </c>
      <c r="AO12632" t="s">
        <v>35019</v>
      </c>
    </row>
    <row r="12633" spans="39:41" ht="12" customHeight="1" x14ac:dyDescent="0.2">
      <c r="AM12633" t="str">
        <f t="shared" si="197"/>
        <v>Ras Gharib [EGRAG]</v>
      </c>
      <c r="AN12633" t="s">
        <v>9518</v>
      </c>
      <c r="AO12633" t="s">
        <v>9519</v>
      </c>
    </row>
    <row r="12634" spans="39:41" ht="12" customHeight="1" x14ac:dyDescent="0.2">
      <c r="AM12634" t="str">
        <f t="shared" si="197"/>
        <v>Ras Isa Terminal [YERAI]</v>
      </c>
      <c r="AN12634" t="s">
        <v>32654</v>
      </c>
      <c r="AO12634" t="s">
        <v>32655</v>
      </c>
    </row>
    <row r="12635" spans="39:41" ht="12" customHeight="1" x14ac:dyDescent="0.2">
      <c r="AM12635" t="str">
        <f t="shared" si="197"/>
        <v>Ras Laffan [QARLF]</v>
      </c>
      <c r="AN12635" t="s">
        <v>26705</v>
      </c>
      <c r="AO12635" t="s">
        <v>26706</v>
      </c>
    </row>
    <row r="12636" spans="39:41" ht="12" customHeight="1" x14ac:dyDescent="0.2">
      <c r="AM12636" t="str">
        <f t="shared" si="197"/>
        <v>Ras Lanuf [LYRLA]</v>
      </c>
      <c r="AN12636" t="s">
        <v>21999</v>
      </c>
      <c r="AO12636" t="s">
        <v>22000</v>
      </c>
    </row>
    <row r="12637" spans="39:41" ht="12" customHeight="1" x14ac:dyDescent="0.2">
      <c r="AM12637" t="str">
        <f t="shared" si="197"/>
        <v>Ras Shukheir [EGRSH]</v>
      </c>
      <c r="AN12637" t="s">
        <v>9520</v>
      </c>
      <c r="AO12637" t="s">
        <v>9521</v>
      </c>
    </row>
    <row r="12638" spans="39:41" ht="12" customHeight="1" x14ac:dyDescent="0.2">
      <c r="AM12638" t="str">
        <f t="shared" si="197"/>
        <v>Ras Sudr [EGRSU]</v>
      </c>
      <c r="AN12638" t="s">
        <v>9522</v>
      </c>
      <c r="AO12638" t="s">
        <v>9523</v>
      </c>
    </row>
    <row r="12639" spans="39:41" ht="12" customHeight="1" x14ac:dyDescent="0.2">
      <c r="AM12639" t="str">
        <f t="shared" si="197"/>
        <v>Ras Tanura [SARTA]</v>
      </c>
      <c r="AN12639" t="s">
        <v>27417</v>
      </c>
      <c r="AO12639" t="s">
        <v>27418</v>
      </c>
    </row>
    <row r="12640" spans="39:41" ht="12" customHeight="1" x14ac:dyDescent="0.2">
      <c r="AM12640" t="str">
        <f t="shared" si="197"/>
        <v>Rasa [HRRAS]</v>
      </c>
      <c r="AN12640" t="s">
        <v>15892</v>
      </c>
      <c r="AO12640" t="s">
        <v>15893</v>
      </c>
    </row>
    <row r="12641" spans="39:41" ht="12" customHeight="1" x14ac:dyDescent="0.2">
      <c r="AM12641" t="str">
        <f t="shared" si="197"/>
        <v>Rashid [EGPRA]</v>
      </c>
      <c r="AN12641" t="s">
        <v>9524</v>
      </c>
      <c r="AO12641" t="s">
        <v>9525</v>
      </c>
    </row>
    <row r="12642" spans="39:41" ht="12" customHeight="1" x14ac:dyDescent="0.2">
      <c r="AM12642" t="str">
        <f t="shared" si="197"/>
        <v>Rathdrum [IERDM]</v>
      </c>
      <c r="AN12642" t="s">
        <v>16890</v>
      </c>
      <c r="AO12642" t="s">
        <v>16891</v>
      </c>
    </row>
    <row r="12643" spans="39:41" ht="12" customHeight="1" x14ac:dyDescent="0.2">
      <c r="AM12643" t="str">
        <f t="shared" si="197"/>
        <v>Rathmullan [IERAT]</v>
      </c>
      <c r="AN12643" t="s">
        <v>16892</v>
      </c>
      <c r="AO12643" t="s">
        <v>16893</v>
      </c>
    </row>
    <row r="12644" spans="39:41" ht="12" customHeight="1" x14ac:dyDescent="0.2">
      <c r="AM12644" t="str">
        <f t="shared" si="197"/>
        <v>Ratnagiri [INRTC]</v>
      </c>
      <c r="AN12644" t="s">
        <v>17425</v>
      </c>
      <c r="AO12644" t="s">
        <v>17426</v>
      </c>
    </row>
    <row r="12645" spans="39:41" ht="12" customHeight="1" x14ac:dyDescent="0.2">
      <c r="AM12645" t="str">
        <f t="shared" si="197"/>
        <v>Rauco [CLRAF]</v>
      </c>
      <c r="AN12645" t="s">
        <v>4964</v>
      </c>
      <c r="AO12645" t="s">
        <v>4965</v>
      </c>
    </row>
    <row r="12646" spans="39:41" ht="12" customHeight="1" x14ac:dyDescent="0.2">
      <c r="AM12646" t="str">
        <f t="shared" si="197"/>
        <v>Raudbergvika [NORBV]</v>
      </c>
      <c r="AN12646" t="s">
        <v>24634</v>
      </c>
      <c r="AO12646" t="s">
        <v>24635</v>
      </c>
    </row>
    <row r="12647" spans="39:41" ht="12" customHeight="1" x14ac:dyDescent="0.2">
      <c r="AM12647" t="str">
        <f t="shared" si="197"/>
        <v>Raudsand [NORSD]</v>
      </c>
      <c r="AN12647" t="s">
        <v>24636</v>
      </c>
      <c r="AO12647" t="s">
        <v>24637</v>
      </c>
    </row>
    <row r="12648" spans="39:41" ht="12" customHeight="1" x14ac:dyDescent="0.2">
      <c r="AM12648" t="str">
        <f t="shared" si="197"/>
        <v>Raufarhofn [ISRAU]</v>
      </c>
      <c r="AN12648" t="s">
        <v>17750</v>
      </c>
      <c r="AO12648" t="s">
        <v>36060</v>
      </c>
    </row>
    <row r="12649" spans="39:41" ht="12" customHeight="1" x14ac:dyDescent="0.2">
      <c r="AM12649" t="str">
        <f t="shared" si="197"/>
        <v>Rauma [NORAU]</v>
      </c>
      <c r="AN12649" t="s">
        <v>24638</v>
      </c>
      <c r="AO12649" t="s">
        <v>24639</v>
      </c>
    </row>
    <row r="12650" spans="39:41" ht="12" customHeight="1" x14ac:dyDescent="0.2">
      <c r="AM12650" t="str">
        <f t="shared" si="197"/>
        <v>Rauma (Raumo) [FIRAU]</v>
      </c>
      <c r="AN12650" t="s">
        <v>10517</v>
      </c>
      <c r="AO12650" t="s">
        <v>10518</v>
      </c>
    </row>
    <row r="12651" spans="39:41" ht="12" customHeight="1" x14ac:dyDescent="0.2">
      <c r="AM12651" t="str">
        <f t="shared" si="197"/>
        <v>Raunes - Vindafjord [NORES]</v>
      </c>
      <c r="AN12651" t="s">
        <v>24640</v>
      </c>
      <c r="AO12651" t="s">
        <v>24641</v>
      </c>
    </row>
    <row r="12652" spans="39:41" ht="12" customHeight="1" x14ac:dyDescent="0.2">
      <c r="AM12652" t="str">
        <f t="shared" si="197"/>
        <v>Rausu [JPRAU]</v>
      </c>
      <c r="AN12652" t="s">
        <v>20576</v>
      </c>
      <c r="AO12652" t="s">
        <v>20577</v>
      </c>
    </row>
    <row r="12653" spans="39:41" ht="12" customHeight="1" x14ac:dyDescent="0.2">
      <c r="AM12653" t="str">
        <f t="shared" ref="AM12653:AM12716" si="198">AO12653 &amp; " [" &amp; AN12653 &amp; "]"</f>
        <v>Rautaruukki [FIRTR]</v>
      </c>
      <c r="AN12653" t="s">
        <v>10519</v>
      </c>
      <c r="AO12653" t="s">
        <v>10520</v>
      </c>
    </row>
    <row r="12654" spans="39:41" ht="12" customHeight="1" x14ac:dyDescent="0.2">
      <c r="AM12654" t="str">
        <f t="shared" si="198"/>
        <v>Ravels [BERVS]</v>
      </c>
      <c r="AN12654" t="s">
        <v>2863</v>
      </c>
      <c r="AO12654" t="s">
        <v>2864</v>
      </c>
    </row>
    <row r="12655" spans="39:41" ht="12" customHeight="1" x14ac:dyDescent="0.2">
      <c r="AM12655" t="str">
        <f t="shared" si="198"/>
        <v>Ravena [USXRA]</v>
      </c>
      <c r="AN12655" t="s">
        <v>31223</v>
      </c>
      <c r="AO12655" t="s">
        <v>31224</v>
      </c>
    </row>
    <row r="12656" spans="39:41" ht="12" customHeight="1" x14ac:dyDescent="0.2">
      <c r="AM12656" t="str">
        <f t="shared" si="198"/>
        <v>Ravenglass [GBRGL]</v>
      </c>
      <c r="AN12656" t="s">
        <v>14222</v>
      </c>
      <c r="AO12656" t="s">
        <v>14223</v>
      </c>
    </row>
    <row r="12657" spans="39:41" ht="12" customHeight="1" x14ac:dyDescent="0.2">
      <c r="AM12657" t="str">
        <f t="shared" si="198"/>
        <v>Ravenna [ITRAN]</v>
      </c>
      <c r="AN12657" t="s">
        <v>18241</v>
      </c>
      <c r="AO12657" t="s">
        <v>18242</v>
      </c>
    </row>
    <row r="12658" spans="39:41" ht="12" customHeight="1" x14ac:dyDescent="0.2">
      <c r="AM12658" t="str">
        <f t="shared" si="198"/>
        <v>Ravensbourne [NZRAV]</v>
      </c>
      <c r="AN12658" t="s">
        <v>25102</v>
      </c>
      <c r="AO12658" t="s">
        <v>25103</v>
      </c>
    </row>
    <row r="12659" spans="39:41" ht="12" customHeight="1" x14ac:dyDescent="0.2">
      <c r="AM12659" t="str">
        <f t="shared" si="198"/>
        <v>Ravenstein [NLRAS]</v>
      </c>
      <c r="AN12659" t="s">
        <v>33919</v>
      </c>
      <c r="AO12659" t="s">
        <v>34041</v>
      </c>
    </row>
    <row r="12660" spans="39:41" ht="12" customHeight="1" x14ac:dyDescent="0.2">
      <c r="AM12660" t="str">
        <f t="shared" si="198"/>
        <v>Ravensthorpe Dewsbury [GBRAV]</v>
      </c>
      <c r="AN12660" t="s">
        <v>14224</v>
      </c>
      <c r="AO12660" t="s">
        <v>14225</v>
      </c>
    </row>
    <row r="12661" spans="39:41" ht="12" customHeight="1" x14ac:dyDescent="0.2">
      <c r="AM12661" t="str">
        <f t="shared" si="198"/>
        <v>Ravigny [FRXXD]</v>
      </c>
      <c r="AN12661" t="s">
        <v>11917</v>
      </c>
      <c r="AO12661" t="s">
        <v>11918</v>
      </c>
    </row>
    <row r="12662" spans="39:41" ht="12" customHeight="1" x14ac:dyDescent="0.2">
      <c r="AM12662" t="str">
        <f t="shared" si="198"/>
        <v>Rawcliffe Bridge [GBRBD]</v>
      </c>
      <c r="AN12662" t="s">
        <v>14226</v>
      </c>
      <c r="AO12662" t="s">
        <v>14227</v>
      </c>
    </row>
    <row r="12663" spans="39:41" ht="12" customHeight="1" x14ac:dyDescent="0.2">
      <c r="AM12663" t="str">
        <f t="shared" si="198"/>
        <v>Rawson [ARRWO]</v>
      </c>
      <c r="AN12663" t="s">
        <v>1095</v>
      </c>
      <c r="AO12663" t="s">
        <v>1096</v>
      </c>
    </row>
    <row r="12664" spans="39:41" ht="12" customHeight="1" x14ac:dyDescent="0.2">
      <c r="AM12664" t="str">
        <f t="shared" si="198"/>
        <v>Raymond [USACC]</v>
      </c>
      <c r="AN12664" t="s">
        <v>31225</v>
      </c>
      <c r="AO12664" t="s">
        <v>31226</v>
      </c>
    </row>
    <row r="12665" spans="39:41" ht="12" customHeight="1" x14ac:dyDescent="0.2">
      <c r="AM12665" t="str">
        <f t="shared" si="198"/>
        <v>Raysut [OMRAY]</v>
      </c>
      <c r="AN12665" t="s">
        <v>25163</v>
      </c>
      <c r="AO12665" t="s">
        <v>25164</v>
      </c>
    </row>
    <row r="12666" spans="39:41" ht="12" customHeight="1" x14ac:dyDescent="0.2">
      <c r="AM12666" t="str">
        <f t="shared" si="198"/>
        <v>Raytown [USYRO]</v>
      </c>
      <c r="AN12666" t="s">
        <v>31227</v>
      </c>
      <c r="AO12666" t="s">
        <v>31228</v>
      </c>
    </row>
    <row r="12667" spans="39:41" ht="12" customHeight="1" x14ac:dyDescent="0.2">
      <c r="AM12667" t="str">
        <f t="shared" si="198"/>
        <v>Re [NOREE]</v>
      </c>
      <c r="AN12667" t="s">
        <v>24642</v>
      </c>
      <c r="AO12667" t="s">
        <v>24643</v>
      </c>
    </row>
    <row r="12668" spans="39:41" ht="12" customHeight="1" x14ac:dyDescent="0.2">
      <c r="AM12668" t="str">
        <f t="shared" si="198"/>
        <v>Reading [GBRDN]</v>
      </c>
      <c r="AN12668" t="s">
        <v>14228</v>
      </c>
      <c r="AO12668" t="s">
        <v>14229</v>
      </c>
    </row>
    <row r="12669" spans="39:41" ht="12" customHeight="1" x14ac:dyDescent="0.2">
      <c r="AM12669" t="str">
        <f t="shared" si="198"/>
        <v>Real de Montroy [ESTRY]</v>
      </c>
      <c r="AN12669" t="s">
        <v>10088</v>
      </c>
      <c r="AO12669" t="s">
        <v>10089</v>
      </c>
    </row>
    <row r="12670" spans="39:41" ht="12" customHeight="1" x14ac:dyDescent="0.2">
      <c r="AM12670" t="str">
        <f t="shared" si="198"/>
        <v>Real/Siain [PHREA]</v>
      </c>
      <c r="AN12670" t="s">
        <v>26093</v>
      </c>
      <c r="AO12670" t="s">
        <v>26094</v>
      </c>
    </row>
    <row r="12671" spans="39:41" ht="12" customHeight="1" x14ac:dyDescent="0.2">
      <c r="AM12671" t="str">
        <f t="shared" si="198"/>
        <v>Reay [GBREA]</v>
      </c>
      <c r="AN12671" t="s">
        <v>14230</v>
      </c>
      <c r="AO12671" t="s">
        <v>14231</v>
      </c>
    </row>
    <row r="12672" spans="39:41" ht="12" customHeight="1" x14ac:dyDescent="0.2">
      <c r="AM12672" t="str">
        <f t="shared" si="198"/>
        <v>Rebaix [BERBX]</v>
      </c>
      <c r="AN12672" t="s">
        <v>2865</v>
      </c>
      <c r="AO12672" t="s">
        <v>2866</v>
      </c>
    </row>
    <row r="12673" spans="39:41" ht="12" customHeight="1" x14ac:dyDescent="0.2">
      <c r="AM12673" t="str">
        <f t="shared" si="198"/>
        <v>Rebase Paadisadam [EERBS]</v>
      </c>
      <c r="AN12673" t="s">
        <v>9320</v>
      </c>
      <c r="AO12673" t="s">
        <v>9321</v>
      </c>
    </row>
    <row r="12674" spans="39:41" ht="12" customHeight="1" x14ac:dyDescent="0.2">
      <c r="AM12674" t="str">
        <f t="shared" si="198"/>
        <v>Recco [ITREC]</v>
      </c>
      <c r="AN12674" t="s">
        <v>18243</v>
      </c>
      <c r="AO12674" t="s">
        <v>18244</v>
      </c>
    </row>
    <row r="12675" spans="39:41" ht="12" customHeight="1" x14ac:dyDescent="0.2">
      <c r="AM12675" t="str">
        <f t="shared" si="198"/>
        <v>Rech [DERE5]</v>
      </c>
      <c r="AN12675" t="s">
        <v>8149</v>
      </c>
      <c r="AO12675" t="s">
        <v>8150</v>
      </c>
    </row>
    <row r="12676" spans="39:41" ht="12" customHeight="1" x14ac:dyDescent="0.2">
      <c r="AM12676" t="str">
        <f t="shared" si="198"/>
        <v>Rech [FRRQE]</v>
      </c>
      <c r="AN12676" t="s">
        <v>11919</v>
      </c>
      <c r="AO12676" t="s">
        <v>8150</v>
      </c>
    </row>
    <row r="12677" spans="39:41" ht="12" customHeight="1" x14ac:dyDescent="0.2">
      <c r="AM12677" t="str">
        <f t="shared" si="198"/>
        <v>Rechlin [DERCI]</v>
      </c>
      <c r="AN12677" t="s">
        <v>8151</v>
      </c>
      <c r="AO12677" t="s">
        <v>8152</v>
      </c>
    </row>
    <row r="12678" spans="39:41" ht="12" customHeight="1" x14ac:dyDescent="0.2">
      <c r="AM12678" t="str">
        <f t="shared" si="198"/>
        <v>Rechytsa [BYRYA]</v>
      </c>
      <c r="AN12678" t="s">
        <v>3496</v>
      </c>
      <c r="AO12678" t="s">
        <v>3497</v>
      </c>
    </row>
    <row r="12679" spans="39:41" ht="12" customHeight="1" x14ac:dyDescent="0.2">
      <c r="AM12679" t="str">
        <f t="shared" si="198"/>
        <v>Recife [BRREC]</v>
      </c>
      <c r="AN12679" t="s">
        <v>3379</v>
      </c>
      <c r="AO12679" t="s">
        <v>3380</v>
      </c>
    </row>
    <row r="12680" spans="39:41" ht="12" customHeight="1" x14ac:dyDescent="0.2">
      <c r="AM12680" t="str">
        <f t="shared" si="198"/>
        <v>Recke [DERCK]</v>
      </c>
      <c r="AN12680" t="s">
        <v>8153</v>
      </c>
      <c r="AO12680" t="s">
        <v>8154</v>
      </c>
    </row>
    <row r="12681" spans="39:41" ht="12" customHeight="1" x14ac:dyDescent="0.2">
      <c r="AM12681" t="str">
        <f t="shared" si="198"/>
        <v>Red Bay [GBRED]</v>
      </c>
      <c r="AN12681" t="s">
        <v>14232</v>
      </c>
      <c r="AO12681" t="s">
        <v>14233</v>
      </c>
    </row>
    <row r="12682" spans="39:41" ht="12" customHeight="1" x14ac:dyDescent="0.2">
      <c r="AM12682" t="str">
        <f t="shared" si="198"/>
        <v>Red Feather Lakes [USRF5]</v>
      </c>
      <c r="AN12682" t="s">
        <v>31229</v>
      </c>
      <c r="AO12682" t="s">
        <v>31230</v>
      </c>
    </row>
    <row r="12683" spans="39:41" ht="12" customHeight="1" x14ac:dyDescent="0.2">
      <c r="AM12683" t="str">
        <f t="shared" si="198"/>
        <v>Red Hill [USRHY]</v>
      </c>
      <c r="AN12683" t="s">
        <v>31231</v>
      </c>
      <c r="AO12683" t="s">
        <v>31232</v>
      </c>
    </row>
    <row r="12684" spans="39:41" ht="12" customHeight="1" x14ac:dyDescent="0.2">
      <c r="AM12684" t="str">
        <f t="shared" si="198"/>
        <v>Red Oak [USRDK]</v>
      </c>
      <c r="AN12684" t="s">
        <v>31233</v>
      </c>
      <c r="AO12684" t="s">
        <v>31234</v>
      </c>
    </row>
    <row r="12685" spans="39:41" ht="12" customHeight="1" x14ac:dyDescent="0.2">
      <c r="AM12685" t="str">
        <f t="shared" si="198"/>
        <v>Red Rock [CARRC]</v>
      </c>
      <c r="AN12685" t="s">
        <v>4313</v>
      </c>
      <c r="AO12685" t="s">
        <v>4314</v>
      </c>
    </row>
    <row r="12686" spans="39:41" ht="12" customHeight="1" x14ac:dyDescent="0.2">
      <c r="AM12686" t="str">
        <f t="shared" si="198"/>
        <v>Redcar [GBRER]</v>
      </c>
      <c r="AN12686" t="s">
        <v>14234</v>
      </c>
      <c r="AO12686" t="s">
        <v>14235</v>
      </c>
    </row>
    <row r="12687" spans="39:41" ht="12" customHeight="1" x14ac:dyDescent="0.2">
      <c r="AM12687" t="str">
        <f t="shared" si="198"/>
        <v>Redcliff Bay [GBREB]</v>
      </c>
      <c r="AN12687" t="s">
        <v>14236</v>
      </c>
      <c r="AO12687" t="s">
        <v>14237</v>
      </c>
    </row>
    <row r="12688" spans="39:41" ht="12" customHeight="1" x14ac:dyDescent="0.2">
      <c r="AM12688" t="str">
        <f t="shared" si="198"/>
        <v>Reddish [GBRDS]</v>
      </c>
      <c r="AN12688" t="s">
        <v>14238</v>
      </c>
      <c r="AO12688" t="s">
        <v>14239</v>
      </c>
    </row>
    <row r="12689" spans="39:41" ht="12" customHeight="1" x14ac:dyDescent="0.2">
      <c r="AM12689" t="str">
        <f t="shared" si="198"/>
        <v>Redessan [FRAQX]</v>
      </c>
      <c r="AN12689" t="s">
        <v>11920</v>
      </c>
      <c r="AO12689" t="s">
        <v>11921</v>
      </c>
    </row>
    <row r="12690" spans="39:41" ht="12" customHeight="1" x14ac:dyDescent="0.2">
      <c r="AM12690" t="str">
        <f t="shared" si="198"/>
        <v>Redi [INRED]</v>
      </c>
      <c r="AN12690" t="s">
        <v>17427</v>
      </c>
      <c r="AO12690" t="s">
        <v>17428</v>
      </c>
    </row>
    <row r="12691" spans="39:41" ht="12" customHeight="1" x14ac:dyDescent="0.2">
      <c r="AM12691" t="str">
        <f t="shared" si="198"/>
        <v>Rediu [RORDE]</v>
      </c>
      <c r="AN12691" t="s">
        <v>26813</v>
      </c>
      <c r="AO12691" t="s">
        <v>26814</v>
      </c>
    </row>
    <row r="12692" spans="39:41" ht="12" customHeight="1" x14ac:dyDescent="0.2">
      <c r="AM12692" t="str">
        <f t="shared" si="198"/>
        <v>Redon [FRRDN]</v>
      </c>
      <c r="AN12692" t="s">
        <v>11922</v>
      </c>
      <c r="AO12692" t="s">
        <v>11923</v>
      </c>
    </row>
    <row r="12693" spans="39:41" ht="12" customHeight="1" x14ac:dyDescent="0.2">
      <c r="AM12693" t="str">
        <f t="shared" si="198"/>
        <v>Redwood City [USRWC]</v>
      </c>
      <c r="AN12693" t="s">
        <v>31235</v>
      </c>
      <c r="AO12693" t="s">
        <v>31236</v>
      </c>
    </row>
    <row r="12694" spans="39:41" ht="12" customHeight="1" x14ac:dyDescent="0.2">
      <c r="AM12694" t="str">
        <f t="shared" si="198"/>
        <v>Redwood Valley [USRR6]</v>
      </c>
      <c r="AN12694" t="s">
        <v>31237</v>
      </c>
      <c r="AO12694" t="s">
        <v>31238</v>
      </c>
    </row>
    <row r="12695" spans="39:41" ht="12" customHeight="1" x14ac:dyDescent="0.2">
      <c r="AM12695" t="str">
        <f t="shared" si="198"/>
        <v>Reedham [GBREM]</v>
      </c>
      <c r="AN12695" t="s">
        <v>14240</v>
      </c>
      <c r="AO12695" t="s">
        <v>14241</v>
      </c>
    </row>
    <row r="12696" spans="39:41" ht="12" customHeight="1" x14ac:dyDescent="0.2">
      <c r="AM12696" t="str">
        <f t="shared" si="198"/>
        <v>Reepham [GBRPH]</v>
      </c>
      <c r="AN12696" t="s">
        <v>14242</v>
      </c>
      <c r="AO12696" t="s">
        <v>14243</v>
      </c>
    </row>
    <row r="12697" spans="39:41" ht="12" customHeight="1" x14ac:dyDescent="0.2">
      <c r="AM12697" t="str">
        <f t="shared" si="198"/>
        <v>Reepsholt [DEREE]</v>
      </c>
      <c r="AN12697" t="s">
        <v>8155</v>
      </c>
      <c r="AO12697" t="s">
        <v>8156</v>
      </c>
    </row>
    <row r="12698" spans="39:41" ht="12" customHeight="1" x14ac:dyDescent="0.2">
      <c r="AM12698" t="str">
        <f t="shared" si="198"/>
        <v>Regau [ATREG]</v>
      </c>
      <c r="AN12698" t="s">
        <v>1311</v>
      </c>
      <c r="AO12698" t="s">
        <v>1312</v>
      </c>
    </row>
    <row r="12699" spans="39:41" ht="12" customHeight="1" x14ac:dyDescent="0.2">
      <c r="AM12699" t="str">
        <f t="shared" si="198"/>
        <v>Regensburg [DEREG]</v>
      </c>
      <c r="AN12699" t="s">
        <v>8157</v>
      </c>
      <c r="AO12699" t="s">
        <v>8158</v>
      </c>
    </row>
    <row r="12700" spans="39:41" ht="12" customHeight="1" x14ac:dyDescent="0.2">
      <c r="AM12700" t="str">
        <f t="shared" si="198"/>
        <v>Reggio di Calabria [ITREG]</v>
      </c>
      <c r="AN12700" t="s">
        <v>18245</v>
      </c>
      <c r="AO12700" t="s">
        <v>18246</v>
      </c>
    </row>
    <row r="12701" spans="39:41" ht="12" customHeight="1" x14ac:dyDescent="0.2">
      <c r="AM12701" t="str">
        <f t="shared" si="198"/>
        <v>Reichartshausen [DERTJ]</v>
      </c>
      <c r="AN12701" t="s">
        <v>8159</v>
      </c>
      <c r="AO12701" t="s">
        <v>8160</v>
      </c>
    </row>
    <row r="12702" spans="39:41" ht="12" customHeight="1" x14ac:dyDescent="0.2">
      <c r="AM12702" t="str">
        <f t="shared" si="198"/>
        <v>Reichenbach [CHRNB]</v>
      </c>
      <c r="AN12702" t="s">
        <v>4735</v>
      </c>
      <c r="AO12702" t="s">
        <v>4736</v>
      </c>
    </row>
    <row r="12703" spans="39:41" ht="12" customHeight="1" x14ac:dyDescent="0.2">
      <c r="AM12703" t="str">
        <f t="shared" si="198"/>
        <v>Reichenbach an der Fils [DERFI]</v>
      </c>
      <c r="AN12703" t="s">
        <v>8161</v>
      </c>
      <c r="AO12703" t="s">
        <v>8162</v>
      </c>
    </row>
    <row r="12704" spans="39:41" ht="12" customHeight="1" x14ac:dyDescent="0.2">
      <c r="AM12704" t="str">
        <f t="shared" si="198"/>
        <v>Reichsfeld [FRQXA]</v>
      </c>
      <c r="AN12704" t="s">
        <v>11924</v>
      </c>
      <c r="AO12704" t="s">
        <v>11925</v>
      </c>
    </row>
    <row r="12705" spans="39:41" ht="12" customHeight="1" x14ac:dyDescent="0.2">
      <c r="AM12705" t="str">
        <f t="shared" si="198"/>
        <v>Reichstett [FRREI]</v>
      </c>
      <c r="AN12705" t="s">
        <v>11926</v>
      </c>
      <c r="AO12705" t="s">
        <v>11927</v>
      </c>
    </row>
    <row r="12706" spans="39:41" ht="12" customHeight="1" x14ac:dyDescent="0.2">
      <c r="AM12706" t="str">
        <f t="shared" si="198"/>
        <v>Reignier [FRQWM]</v>
      </c>
      <c r="AN12706" t="s">
        <v>11928</v>
      </c>
      <c r="AO12706" t="s">
        <v>11929</v>
      </c>
    </row>
    <row r="12707" spans="39:41" ht="12" customHeight="1" x14ac:dyDescent="0.2">
      <c r="AM12707" t="str">
        <f t="shared" si="198"/>
        <v>Reigny [FRKRZ]</v>
      </c>
      <c r="AN12707" t="s">
        <v>11930</v>
      </c>
      <c r="AO12707" t="s">
        <v>11931</v>
      </c>
    </row>
    <row r="12708" spans="39:41" ht="12" customHeight="1" x14ac:dyDescent="0.2">
      <c r="AM12708" t="str">
        <f t="shared" si="198"/>
        <v>Reihoku [JPRHK]</v>
      </c>
      <c r="AN12708" t="s">
        <v>20578</v>
      </c>
      <c r="AO12708" t="s">
        <v>20579</v>
      </c>
    </row>
    <row r="12709" spans="39:41" ht="12" customHeight="1" x14ac:dyDescent="0.2">
      <c r="AM12709" t="str">
        <f t="shared" si="198"/>
        <v>Reimerswaal [NLREW]</v>
      </c>
      <c r="AN12709" t="s">
        <v>23534</v>
      </c>
      <c r="AO12709" t="s">
        <v>23535</v>
      </c>
    </row>
    <row r="12710" spans="39:41" ht="12" customHeight="1" x14ac:dyDescent="0.2">
      <c r="AM12710" t="str">
        <f t="shared" si="198"/>
        <v>Reims [FRRHE]</v>
      </c>
      <c r="AN12710" t="s">
        <v>11932</v>
      </c>
      <c r="AO12710" t="s">
        <v>11933</v>
      </c>
    </row>
    <row r="12711" spans="39:41" ht="12" customHeight="1" x14ac:dyDescent="0.2">
      <c r="AM12711" t="str">
        <f t="shared" si="198"/>
        <v>Reine [NOREI]</v>
      </c>
      <c r="AN12711" t="s">
        <v>37096</v>
      </c>
      <c r="AO12711" t="s">
        <v>37097</v>
      </c>
    </row>
    <row r="12712" spans="39:41" ht="12" customHeight="1" x14ac:dyDescent="0.2">
      <c r="AM12712" t="str">
        <f t="shared" si="198"/>
        <v>Reinfjord [NORFJ]</v>
      </c>
      <c r="AN12712" t="s">
        <v>24644</v>
      </c>
      <c r="AO12712" t="s">
        <v>24645</v>
      </c>
    </row>
    <row r="12713" spans="39:41" ht="12" customHeight="1" x14ac:dyDescent="0.2">
      <c r="AM12713" t="str">
        <f t="shared" si="198"/>
        <v>Rejang, Sarawak [MYREJ]</v>
      </c>
      <c r="AN12713" t="s">
        <v>22721</v>
      </c>
      <c r="AO12713" t="s">
        <v>22722</v>
      </c>
    </row>
    <row r="12714" spans="39:41" ht="12" customHeight="1" x14ac:dyDescent="0.2">
      <c r="AM12714" t="str">
        <f t="shared" si="198"/>
        <v>Rejerrah [GBREJ]</v>
      </c>
      <c r="AN12714" t="s">
        <v>14244</v>
      </c>
      <c r="AO12714" t="s">
        <v>14245</v>
      </c>
    </row>
    <row r="12715" spans="39:41" ht="12" customHeight="1" x14ac:dyDescent="0.2">
      <c r="AM12715" t="str">
        <f t="shared" si="198"/>
        <v>Rekefjord [NOREK]</v>
      </c>
      <c r="AN12715" t="s">
        <v>24646</v>
      </c>
      <c r="AO12715" t="s">
        <v>24647</v>
      </c>
    </row>
    <row r="12716" spans="39:41" ht="12" customHeight="1" x14ac:dyDescent="0.2">
      <c r="AM12716" t="str">
        <f t="shared" si="198"/>
        <v>Rekkem [BEREK]</v>
      </c>
      <c r="AN12716" t="s">
        <v>2867</v>
      </c>
      <c r="AO12716" t="s">
        <v>2868</v>
      </c>
    </row>
    <row r="12717" spans="39:41" ht="12" customHeight="1" x14ac:dyDescent="0.2">
      <c r="AM12717" t="str">
        <f t="shared" ref="AM12717:AM12780" si="199">AO12717 &amp; " [" &amp; AN12717 &amp; "]"</f>
        <v>Remagen [DEREM]</v>
      </c>
      <c r="AN12717" t="s">
        <v>8163</v>
      </c>
      <c r="AO12717" t="s">
        <v>8164</v>
      </c>
    </row>
    <row r="12718" spans="39:41" ht="12" customHeight="1" x14ac:dyDescent="0.2">
      <c r="AM12718" t="str">
        <f t="shared" si="199"/>
        <v>Remniku Vanasadam [EERVS]</v>
      </c>
      <c r="AN12718" t="s">
        <v>9322</v>
      </c>
      <c r="AO12718" t="s">
        <v>9323</v>
      </c>
    </row>
    <row r="12719" spans="39:41" ht="12" customHeight="1" x14ac:dyDescent="0.2">
      <c r="AM12719" t="str">
        <f t="shared" si="199"/>
        <v>Rendsburg [DEREN]</v>
      </c>
      <c r="AN12719" t="s">
        <v>8165</v>
      </c>
      <c r="AO12719" t="s">
        <v>8166</v>
      </c>
    </row>
    <row r="12720" spans="39:41" ht="12" customHeight="1" x14ac:dyDescent="0.2">
      <c r="AM12720" t="str">
        <f t="shared" si="199"/>
        <v>Renedo de Pielago [ESRDP]</v>
      </c>
      <c r="AN12720" t="s">
        <v>10090</v>
      </c>
      <c r="AO12720" t="s">
        <v>10091</v>
      </c>
    </row>
    <row r="12721" spans="39:41" ht="12" customHeight="1" x14ac:dyDescent="0.2">
      <c r="AM12721" t="str">
        <f t="shared" si="199"/>
        <v>Renfrew [GBREN]</v>
      </c>
      <c r="AN12721" t="s">
        <v>14246</v>
      </c>
      <c r="AO12721" t="s">
        <v>14247</v>
      </c>
    </row>
    <row r="12722" spans="39:41" ht="12" customHeight="1" x14ac:dyDescent="0.2">
      <c r="AM12722" t="str">
        <f t="shared" si="199"/>
        <v>Rengat, Sumatra [IDRGT]</v>
      </c>
      <c r="AN12722" t="s">
        <v>16545</v>
      </c>
      <c r="AO12722" t="s">
        <v>16546</v>
      </c>
    </row>
    <row r="12723" spans="39:41" ht="12" customHeight="1" x14ac:dyDescent="0.2">
      <c r="AM12723" t="str">
        <f t="shared" si="199"/>
        <v>Reni [UARNI]</v>
      </c>
      <c r="AN12723" t="s">
        <v>28760</v>
      </c>
      <c r="AO12723" t="s">
        <v>28761</v>
      </c>
    </row>
    <row r="12724" spans="39:41" ht="12" customHeight="1" x14ac:dyDescent="0.2">
      <c r="AM12724" t="str">
        <f t="shared" si="199"/>
        <v>Renick [USIZK]</v>
      </c>
      <c r="AN12724" t="s">
        <v>31239</v>
      </c>
      <c r="AO12724" t="s">
        <v>31240</v>
      </c>
    </row>
    <row r="12725" spans="39:41" ht="12" customHeight="1" x14ac:dyDescent="0.2">
      <c r="AM12725" t="str">
        <f t="shared" si="199"/>
        <v>Reninge [BERGE]</v>
      </c>
      <c r="AN12725" t="s">
        <v>2869</v>
      </c>
      <c r="AO12725" t="s">
        <v>2870</v>
      </c>
    </row>
    <row r="12726" spans="39:41" ht="12" customHeight="1" x14ac:dyDescent="0.2">
      <c r="AM12726" t="str">
        <f t="shared" si="199"/>
        <v>Renkum [NLRNK]</v>
      </c>
      <c r="AN12726" t="s">
        <v>23536</v>
      </c>
      <c r="AO12726" t="s">
        <v>23537</v>
      </c>
    </row>
    <row r="12727" spans="39:41" ht="12" customHeight="1" x14ac:dyDescent="0.2">
      <c r="AM12727" t="str">
        <f t="shared" si="199"/>
        <v>Rennesoy [NOREN]</v>
      </c>
      <c r="AN12727" t="s">
        <v>24648</v>
      </c>
      <c r="AO12727" t="s">
        <v>36275</v>
      </c>
    </row>
    <row r="12728" spans="39:41" ht="12" customHeight="1" x14ac:dyDescent="0.2">
      <c r="AM12728" t="str">
        <f t="shared" si="199"/>
        <v>Renory [BENRY]</v>
      </c>
      <c r="AN12728" t="s">
        <v>2871</v>
      </c>
      <c r="AO12728" t="s">
        <v>2872</v>
      </c>
    </row>
    <row r="12729" spans="39:41" ht="12" customHeight="1" x14ac:dyDescent="0.2">
      <c r="AM12729" t="str">
        <f t="shared" si="199"/>
        <v>Renteria [ESRTA]</v>
      </c>
      <c r="AN12729" t="s">
        <v>10092</v>
      </c>
      <c r="AO12729" t="s">
        <v>35692</v>
      </c>
    </row>
    <row r="12730" spans="39:41" ht="12" customHeight="1" x14ac:dyDescent="0.2">
      <c r="AM12730" t="str">
        <f t="shared" si="199"/>
        <v>Renville [USJE7]</v>
      </c>
      <c r="AN12730" t="s">
        <v>31241</v>
      </c>
      <c r="AO12730" t="s">
        <v>31242</v>
      </c>
    </row>
    <row r="12731" spans="39:41" ht="12" customHeight="1" x14ac:dyDescent="0.2">
      <c r="AM12731" t="str">
        <f t="shared" si="199"/>
        <v>Reo [IDREO]</v>
      </c>
      <c r="AN12731" t="s">
        <v>16547</v>
      </c>
      <c r="AO12731" t="s">
        <v>16548</v>
      </c>
    </row>
    <row r="12732" spans="39:41" ht="12" customHeight="1" x14ac:dyDescent="0.2">
      <c r="AM12732" t="str">
        <f t="shared" si="199"/>
        <v>Reposaari [FIREP]</v>
      </c>
      <c r="AN12732" t="s">
        <v>10521</v>
      </c>
      <c r="AO12732" t="s">
        <v>10522</v>
      </c>
    </row>
    <row r="12733" spans="39:41" ht="12" customHeight="1" x14ac:dyDescent="0.2">
      <c r="AM12733" t="str">
        <f t="shared" si="199"/>
        <v>Repparfjord [NOREP]</v>
      </c>
      <c r="AN12733" t="s">
        <v>24649</v>
      </c>
      <c r="AO12733" t="s">
        <v>24650</v>
      </c>
    </row>
    <row r="12734" spans="39:41" ht="12" customHeight="1" x14ac:dyDescent="0.2">
      <c r="AM12734" t="str">
        <f t="shared" si="199"/>
        <v>Repvag [NORPV]</v>
      </c>
      <c r="AN12734" t="s">
        <v>24651</v>
      </c>
      <c r="AO12734" t="s">
        <v>36276</v>
      </c>
    </row>
    <row r="12735" spans="39:41" ht="12" customHeight="1" x14ac:dyDescent="0.2">
      <c r="AM12735" t="str">
        <f t="shared" si="199"/>
        <v>Requiao [PTRQU]</v>
      </c>
      <c r="AN12735" t="s">
        <v>26590</v>
      </c>
      <c r="AO12735" t="s">
        <v>36393</v>
      </c>
    </row>
    <row r="12736" spans="39:41" ht="12" customHeight="1" x14ac:dyDescent="0.2">
      <c r="AM12736" t="str">
        <f t="shared" si="199"/>
        <v>Resende [BRQRZ]</v>
      </c>
      <c r="AN12736" t="s">
        <v>3381</v>
      </c>
      <c r="AO12736" t="s">
        <v>3382</v>
      </c>
    </row>
    <row r="12737" spans="39:41" ht="12" customHeight="1" x14ac:dyDescent="0.2">
      <c r="AM12737" t="str">
        <f t="shared" si="199"/>
        <v>Resinfor [ARRSF]</v>
      </c>
      <c r="AN12737" t="s">
        <v>1097</v>
      </c>
      <c r="AO12737" t="s">
        <v>1098</v>
      </c>
    </row>
    <row r="12738" spans="39:41" ht="12" customHeight="1" x14ac:dyDescent="0.2">
      <c r="AM12738" t="str">
        <f t="shared" si="199"/>
        <v>Resolute Bay [CAREB]</v>
      </c>
      <c r="AN12738" t="s">
        <v>4315</v>
      </c>
      <c r="AO12738" t="s">
        <v>4316</v>
      </c>
    </row>
    <row r="12739" spans="39:41" ht="12" customHeight="1" x14ac:dyDescent="0.2">
      <c r="AM12739" t="str">
        <f t="shared" si="199"/>
        <v>Ressons-le-Long [FR9SS]</v>
      </c>
      <c r="AN12739" t="s">
        <v>11934</v>
      </c>
      <c r="AO12739" t="s">
        <v>11935</v>
      </c>
    </row>
    <row r="12740" spans="39:41" ht="12" customHeight="1" x14ac:dyDescent="0.2">
      <c r="AM12740" t="str">
        <f t="shared" si="199"/>
        <v>Rethem [DERET]</v>
      </c>
      <c r="AN12740" t="s">
        <v>8167</v>
      </c>
      <c r="AO12740" t="s">
        <v>8168</v>
      </c>
    </row>
    <row r="12741" spans="39:41" ht="12" customHeight="1" x14ac:dyDescent="0.2">
      <c r="AM12741" t="str">
        <f t="shared" si="199"/>
        <v>Rethymnon [GRRET]</v>
      </c>
      <c r="AN12741" t="s">
        <v>15487</v>
      </c>
      <c r="AO12741" t="s">
        <v>35970</v>
      </c>
    </row>
    <row r="12742" spans="39:41" ht="12" customHeight="1" x14ac:dyDescent="0.2">
      <c r="AM12742" t="str">
        <f t="shared" si="199"/>
        <v>Retie [BERTI]</v>
      </c>
      <c r="AN12742" t="s">
        <v>2873</v>
      </c>
      <c r="AO12742" t="s">
        <v>2874</v>
      </c>
    </row>
    <row r="12743" spans="39:41" ht="12" customHeight="1" x14ac:dyDescent="0.2">
      <c r="AM12743" t="str">
        <f t="shared" si="199"/>
        <v>Retirolandia [BRREL]</v>
      </c>
      <c r="AN12743" t="s">
        <v>35020</v>
      </c>
      <c r="AO12743" t="s">
        <v>35306</v>
      </c>
    </row>
    <row r="12744" spans="39:41" ht="12" customHeight="1" x14ac:dyDescent="0.2">
      <c r="AM12744" t="str">
        <f t="shared" si="199"/>
        <v>Rettenbach / Gunzburg [DERZB]</v>
      </c>
      <c r="AN12744" t="s">
        <v>8169</v>
      </c>
      <c r="AO12744" t="s">
        <v>8170</v>
      </c>
    </row>
    <row r="12745" spans="39:41" ht="12" customHeight="1" x14ac:dyDescent="0.2">
      <c r="AM12745" t="str">
        <f t="shared" si="199"/>
        <v>Revdanda [INRVD]</v>
      </c>
      <c r="AN12745" t="s">
        <v>17429</v>
      </c>
      <c r="AO12745" t="s">
        <v>17430</v>
      </c>
    </row>
    <row r="12746" spans="39:41" ht="12" customHeight="1" x14ac:dyDescent="0.2">
      <c r="AM12746" t="str">
        <f t="shared" si="199"/>
        <v>Revesby [AUREV]</v>
      </c>
      <c r="AN12746" t="s">
        <v>1982</v>
      </c>
      <c r="AO12746" t="s">
        <v>1983</v>
      </c>
    </row>
    <row r="12747" spans="39:41" ht="12" customHeight="1" x14ac:dyDescent="0.2">
      <c r="AM12747" t="str">
        <f t="shared" si="199"/>
        <v>Revithoussa [GRREV]</v>
      </c>
      <c r="AN12747" t="s">
        <v>15488</v>
      </c>
      <c r="AO12747" t="s">
        <v>15489</v>
      </c>
    </row>
    <row r="12748" spans="39:41" ht="12" customHeight="1" x14ac:dyDescent="0.2">
      <c r="AM12748" t="str">
        <f t="shared" si="199"/>
        <v>Rewal [PLRWL]</v>
      </c>
      <c r="AN12748" t="s">
        <v>26369</v>
      </c>
      <c r="AO12748" t="s">
        <v>26370</v>
      </c>
    </row>
    <row r="12749" spans="39:41" ht="12" customHeight="1" x14ac:dyDescent="0.2">
      <c r="AM12749" t="str">
        <f t="shared" si="199"/>
        <v>Rexford [USRXF]</v>
      </c>
      <c r="AN12749" t="s">
        <v>31243</v>
      </c>
      <c r="AO12749" t="s">
        <v>31244</v>
      </c>
    </row>
    <row r="12750" spans="39:41" ht="12" customHeight="1" x14ac:dyDescent="0.2">
      <c r="AM12750" t="str">
        <f t="shared" si="199"/>
        <v>Reydarfjordur [ISRFJ]</v>
      </c>
      <c r="AN12750" t="s">
        <v>17751</v>
      </c>
      <c r="AO12750" t="s">
        <v>36061</v>
      </c>
    </row>
    <row r="12751" spans="39:41" ht="12" customHeight="1" x14ac:dyDescent="0.2">
      <c r="AM12751" t="str">
        <f t="shared" si="199"/>
        <v>Reykholar [ISRHA]</v>
      </c>
      <c r="AN12751" t="s">
        <v>17752</v>
      </c>
      <c r="AO12751" t="s">
        <v>36062</v>
      </c>
    </row>
    <row r="12752" spans="39:41" ht="12" customHeight="1" x14ac:dyDescent="0.2">
      <c r="AM12752" t="str">
        <f t="shared" si="199"/>
        <v>Reykjavik [ISREY]</v>
      </c>
      <c r="AN12752" t="s">
        <v>17753</v>
      </c>
      <c r="AO12752" t="s">
        <v>36063</v>
      </c>
    </row>
    <row r="12753" spans="39:41" ht="12" customHeight="1" x14ac:dyDescent="0.2">
      <c r="AM12753" t="str">
        <f t="shared" si="199"/>
        <v>Reynella [AURLL]</v>
      </c>
      <c r="AN12753" t="s">
        <v>1984</v>
      </c>
      <c r="AO12753" t="s">
        <v>1985</v>
      </c>
    </row>
    <row r="12754" spans="39:41" ht="12" customHeight="1" x14ac:dyDescent="0.2">
      <c r="AM12754" t="str">
        <f t="shared" si="199"/>
        <v>Reynoldston [GBRYL]</v>
      </c>
      <c r="AN12754" t="s">
        <v>14248</v>
      </c>
      <c r="AO12754" t="s">
        <v>14249</v>
      </c>
    </row>
    <row r="12755" spans="39:41" ht="12" customHeight="1" x14ac:dyDescent="0.2">
      <c r="AM12755" t="str">
        <f t="shared" si="199"/>
        <v>Reynoldsville [USYRY]</v>
      </c>
      <c r="AN12755" t="s">
        <v>31245</v>
      </c>
      <c r="AO12755" t="s">
        <v>31246</v>
      </c>
    </row>
    <row r="12756" spans="39:41" ht="12" customHeight="1" x14ac:dyDescent="0.2">
      <c r="AM12756" t="str">
        <f t="shared" si="199"/>
        <v>Rheden [NLRHD]</v>
      </c>
      <c r="AN12756" t="s">
        <v>34109</v>
      </c>
      <c r="AO12756" t="s">
        <v>34155</v>
      </c>
    </row>
    <row r="12757" spans="39:41" ht="12" customHeight="1" x14ac:dyDescent="0.2">
      <c r="AM12757" t="str">
        <f t="shared" si="199"/>
        <v>Rheinberg [DERHB]</v>
      </c>
      <c r="AN12757" t="s">
        <v>8171</v>
      </c>
      <c r="AO12757" t="s">
        <v>8172</v>
      </c>
    </row>
    <row r="12758" spans="39:41" ht="12" customHeight="1" x14ac:dyDescent="0.2">
      <c r="AM12758" t="str">
        <f t="shared" si="199"/>
        <v>Rheinbrohl [DERHL]</v>
      </c>
      <c r="AN12758" t="s">
        <v>8173</v>
      </c>
      <c r="AO12758" t="s">
        <v>8174</v>
      </c>
    </row>
    <row r="12759" spans="39:41" ht="12" customHeight="1" x14ac:dyDescent="0.2">
      <c r="AM12759" t="str">
        <f t="shared" si="199"/>
        <v>Rheine [DERHE]</v>
      </c>
      <c r="AN12759" t="s">
        <v>8175</v>
      </c>
      <c r="AO12759" t="s">
        <v>8176</v>
      </c>
    </row>
    <row r="12760" spans="39:41" ht="12" customHeight="1" x14ac:dyDescent="0.2">
      <c r="AM12760" t="str">
        <f t="shared" si="199"/>
        <v>Rheinsberg [DERRG]</v>
      </c>
      <c r="AN12760" t="s">
        <v>8177</v>
      </c>
      <c r="AO12760" t="s">
        <v>8178</v>
      </c>
    </row>
    <row r="12761" spans="39:41" ht="12" customHeight="1" x14ac:dyDescent="0.2">
      <c r="AM12761" t="str">
        <f t="shared" si="199"/>
        <v>Rhinebeck [USZBK]</v>
      </c>
      <c r="AN12761" t="s">
        <v>31247</v>
      </c>
      <c r="AO12761" t="s">
        <v>31248</v>
      </c>
    </row>
    <row r="12762" spans="39:41" ht="12" customHeight="1" x14ac:dyDescent="0.2">
      <c r="AM12762" t="str">
        <f t="shared" si="199"/>
        <v>Rhodes [AURDS]</v>
      </c>
      <c r="AN12762" t="s">
        <v>1986</v>
      </c>
      <c r="AO12762" t="s">
        <v>1987</v>
      </c>
    </row>
    <row r="12763" spans="39:41" ht="12" customHeight="1" x14ac:dyDescent="0.2">
      <c r="AM12763" t="str">
        <f t="shared" si="199"/>
        <v>Rhodes [GRRHO]</v>
      </c>
      <c r="AN12763" t="s">
        <v>15490</v>
      </c>
      <c r="AO12763" t="s">
        <v>1987</v>
      </c>
    </row>
    <row r="12764" spans="39:41" ht="12" customHeight="1" x14ac:dyDescent="0.2">
      <c r="AM12764" t="str">
        <f t="shared" si="199"/>
        <v>Rhosneigr [GBRNE]</v>
      </c>
      <c r="AN12764" t="s">
        <v>14250</v>
      </c>
      <c r="AO12764" t="s">
        <v>14251</v>
      </c>
    </row>
    <row r="12765" spans="39:41" ht="12" customHeight="1" x14ac:dyDescent="0.2">
      <c r="AM12765" t="str">
        <f t="shared" si="199"/>
        <v>Rhos-on-Sea [GBRHS]</v>
      </c>
      <c r="AN12765" t="s">
        <v>14252</v>
      </c>
      <c r="AO12765" t="s">
        <v>35866</v>
      </c>
    </row>
    <row r="12766" spans="39:41" ht="12" customHeight="1" x14ac:dyDescent="0.2">
      <c r="AM12766" t="str">
        <f t="shared" si="199"/>
        <v>Rhu [GBRHU]</v>
      </c>
      <c r="AN12766" t="s">
        <v>14253</v>
      </c>
      <c r="AO12766" t="s">
        <v>14254</v>
      </c>
    </row>
    <row r="12767" spans="39:41" ht="12" customHeight="1" x14ac:dyDescent="0.2">
      <c r="AM12767" t="str">
        <f t="shared" si="199"/>
        <v>Rhu Coigach - Badluachrach [GBRCB]</v>
      </c>
      <c r="AN12767" t="s">
        <v>14255</v>
      </c>
      <c r="AO12767" t="s">
        <v>14256</v>
      </c>
    </row>
    <row r="12768" spans="39:41" ht="12" customHeight="1" x14ac:dyDescent="0.2">
      <c r="AM12768" t="str">
        <f t="shared" si="199"/>
        <v>Rhubodach, Isle of Bute [GBRHB]</v>
      </c>
      <c r="AN12768" t="s">
        <v>14257</v>
      </c>
      <c r="AO12768" t="s">
        <v>14258</v>
      </c>
    </row>
    <row r="12769" spans="39:41" ht="12" customHeight="1" x14ac:dyDescent="0.2">
      <c r="AM12769" t="str">
        <f t="shared" si="199"/>
        <v>Rhyl [GBRHY]</v>
      </c>
      <c r="AN12769" t="s">
        <v>14259</v>
      </c>
      <c r="AO12769" t="s">
        <v>14260</v>
      </c>
    </row>
    <row r="12770" spans="39:41" ht="12" customHeight="1" x14ac:dyDescent="0.2">
      <c r="AM12770" t="str">
        <f t="shared" si="199"/>
        <v>Ribadeo [ESRIB]</v>
      </c>
      <c r="AN12770" t="s">
        <v>10093</v>
      </c>
      <c r="AO12770" t="s">
        <v>10094</v>
      </c>
    </row>
    <row r="12771" spans="39:41" ht="12" customHeight="1" x14ac:dyDescent="0.2">
      <c r="AM12771" t="str">
        <f t="shared" si="199"/>
        <v>Ribadesella [ESRBS]</v>
      </c>
      <c r="AN12771" t="s">
        <v>10095</v>
      </c>
      <c r="AO12771" t="s">
        <v>10096</v>
      </c>
    </row>
    <row r="12772" spans="39:41" ht="12" customHeight="1" x14ac:dyDescent="0.2">
      <c r="AM12772" t="str">
        <f t="shared" si="199"/>
        <v>Ribeira (Santa Uxia) [ESRBI]</v>
      </c>
      <c r="AN12772" t="s">
        <v>10097</v>
      </c>
      <c r="AO12772" t="s">
        <v>10098</v>
      </c>
    </row>
    <row r="12773" spans="39:41" ht="12" customHeight="1" x14ac:dyDescent="0.2">
      <c r="AM12773" t="str">
        <f t="shared" si="199"/>
        <v>Riberalta [BORIB]</v>
      </c>
      <c r="AN12773" t="s">
        <v>3231</v>
      </c>
      <c r="AO12773" t="s">
        <v>3232</v>
      </c>
    </row>
    <row r="12774" spans="39:41" ht="12" customHeight="1" x14ac:dyDescent="0.2">
      <c r="AM12774" t="str">
        <f t="shared" si="199"/>
        <v>Riccione [ITRCE]</v>
      </c>
      <c r="AN12774" t="s">
        <v>18247</v>
      </c>
      <c r="AO12774" t="s">
        <v>18248</v>
      </c>
    </row>
    <row r="12775" spans="39:41" ht="12" customHeight="1" x14ac:dyDescent="0.2">
      <c r="AM12775" t="str">
        <f t="shared" si="199"/>
        <v>Richards Bay [ZARCB]</v>
      </c>
      <c r="AN12775" t="s">
        <v>32731</v>
      </c>
      <c r="AO12775" t="s">
        <v>32732</v>
      </c>
    </row>
    <row r="12776" spans="39:41" ht="12" customHeight="1" x14ac:dyDescent="0.2">
      <c r="AM12776" t="str">
        <f t="shared" si="199"/>
        <v>Richborough [GBRIC]</v>
      </c>
      <c r="AN12776" t="s">
        <v>14261</v>
      </c>
      <c r="AO12776" t="s">
        <v>14262</v>
      </c>
    </row>
    <row r="12777" spans="39:41" ht="12" customHeight="1" x14ac:dyDescent="0.2">
      <c r="AM12777" t="str">
        <f t="shared" si="199"/>
        <v>Richelle [BERCL]</v>
      </c>
      <c r="AN12777" t="s">
        <v>2875</v>
      </c>
      <c r="AO12777" t="s">
        <v>2876</v>
      </c>
    </row>
    <row r="12778" spans="39:41" ht="12" customHeight="1" x14ac:dyDescent="0.2">
      <c r="AM12778" t="str">
        <f t="shared" si="199"/>
        <v>Richemont [FRIHT]</v>
      </c>
      <c r="AN12778" t="s">
        <v>11936</v>
      </c>
      <c r="AO12778" t="s">
        <v>11937</v>
      </c>
    </row>
    <row r="12779" spans="39:41" ht="12" customHeight="1" x14ac:dyDescent="0.2">
      <c r="AM12779" t="str">
        <f t="shared" si="199"/>
        <v>Richmond [AURCM]</v>
      </c>
      <c r="AN12779" t="s">
        <v>1988</v>
      </c>
      <c r="AO12779" t="s">
        <v>1989</v>
      </c>
    </row>
    <row r="12780" spans="39:41" ht="12" customHeight="1" x14ac:dyDescent="0.2">
      <c r="AM12780" t="str">
        <f t="shared" si="199"/>
        <v>Richmond [USRCH]</v>
      </c>
      <c r="AN12780" t="s">
        <v>31249</v>
      </c>
      <c r="AO12780" t="s">
        <v>1989</v>
      </c>
    </row>
    <row r="12781" spans="39:41" ht="12" customHeight="1" x14ac:dyDescent="0.2">
      <c r="AM12781" t="str">
        <f t="shared" ref="AM12781:AM12844" si="200">AO12781 &amp; " [" &amp; AN12781 &amp; "]"</f>
        <v>Richmond [USRIC]</v>
      </c>
      <c r="AN12781" t="s">
        <v>31250</v>
      </c>
      <c r="AO12781" t="s">
        <v>1989</v>
      </c>
    </row>
    <row r="12782" spans="39:41" ht="12" customHeight="1" x14ac:dyDescent="0.2">
      <c r="AM12782" t="str">
        <f t="shared" si="200"/>
        <v>Rickreall [USZIC]</v>
      </c>
      <c r="AN12782" t="s">
        <v>31251</v>
      </c>
      <c r="AO12782" t="s">
        <v>31252</v>
      </c>
    </row>
    <row r="12783" spans="39:41" ht="12" customHeight="1" x14ac:dyDescent="0.2">
      <c r="AM12783" t="str">
        <f t="shared" si="200"/>
        <v>Ridderkerk [NLRID]</v>
      </c>
      <c r="AN12783" t="s">
        <v>23538</v>
      </c>
      <c r="AO12783" t="s">
        <v>23539</v>
      </c>
    </row>
    <row r="12784" spans="39:41" ht="12" customHeight="1" x14ac:dyDescent="0.2">
      <c r="AM12784" t="str">
        <f t="shared" si="200"/>
        <v>Ridham Dock [GBRID]</v>
      </c>
      <c r="AN12784" t="s">
        <v>14263</v>
      </c>
      <c r="AO12784" t="s">
        <v>14264</v>
      </c>
    </row>
    <row r="12785" spans="39:41" ht="12" customHeight="1" x14ac:dyDescent="0.2">
      <c r="AM12785" t="str">
        <f t="shared" si="200"/>
        <v>Riebeek West [ZARWC]</v>
      </c>
      <c r="AN12785" t="s">
        <v>34236</v>
      </c>
      <c r="AO12785" t="s">
        <v>34304</v>
      </c>
    </row>
    <row r="12786" spans="39:41" ht="12" customHeight="1" x14ac:dyDescent="0.2">
      <c r="AM12786" t="str">
        <f t="shared" si="200"/>
        <v>Riec-sur-Belon [FRIEC]</v>
      </c>
      <c r="AN12786" t="s">
        <v>11938</v>
      </c>
      <c r="AO12786" t="s">
        <v>35837</v>
      </c>
    </row>
    <row r="12787" spans="39:41" ht="12" customHeight="1" x14ac:dyDescent="0.2">
      <c r="AM12787" t="str">
        <f t="shared" si="200"/>
        <v>Ried [NLRED]</v>
      </c>
      <c r="AN12787" t="s">
        <v>23540</v>
      </c>
      <c r="AO12787" t="s">
        <v>23541</v>
      </c>
    </row>
    <row r="12788" spans="39:41" ht="12" customHeight="1" x14ac:dyDescent="0.2">
      <c r="AM12788" t="str">
        <f t="shared" si="200"/>
        <v>Riedlhutte [DERDL]</v>
      </c>
      <c r="AN12788" t="s">
        <v>8179</v>
      </c>
      <c r="AO12788" t="s">
        <v>35487</v>
      </c>
    </row>
    <row r="12789" spans="39:41" ht="12" customHeight="1" x14ac:dyDescent="0.2">
      <c r="AM12789" t="str">
        <f t="shared" si="200"/>
        <v>Rieme [BERIE]</v>
      </c>
      <c r="AN12789" t="s">
        <v>2877</v>
      </c>
      <c r="AO12789" t="s">
        <v>2878</v>
      </c>
    </row>
    <row r="12790" spans="39:41" ht="12" customHeight="1" x14ac:dyDescent="0.2">
      <c r="AM12790" t="str">
        <f t="shared" si="200"/>
        <v>Riemst [BERIS]</v>
      </c>
      <c r="AN12790" t="s">
        <v>36799</v>
      </c>
      <c r="AO12790" t="s">
        <v>36800</v>
      </c>
    </row>
    <row r="12791" spans="39:41" ht="12" customHeight="1" x14ac:dyDescent="0.2">
      <c r="AM12791" t="str">
        <f t="shared" si="200"/>
        <v>Rieneck [DERIK]</v>
      </c>
      <c r="AN12791" t="s">
        <v>8180</v>
      </c>
      <c r="AO12791" t="s">
        <v>8181</v>
      </c>
    </row>
    <row r="12792" spans="39:41" ht="12" customHeight="1" x14ac:dyDescent="0.2">
      <c r="AM12792" t="str">
        <f t="shared" si="200"/>
        <v>Riesenbeck [DERBK]</v>
      </c>
      <c r="AN12792" t="s">
        <v>8182</v>
      </c>
      <c r="AO12792" t="s">
        <v>8183</v>
      </c>
    </row>
    <row r="12793" spans="39:41" ht="12" customHeight="1" x14ac:dyDescent="0.2">
      <c r="AM12793" t="str">
        <f t="shared" si="200"/>
        <v>Rietz [ATETZ]</v>
      </c>
      <c r="AN12793" t="s">
        <v>1313</v>
      </c>
      <c r="AO12793" t="s">
        <v>1314</v>
      </c>
    </row>
    <row r="12794" spans="39:41" ht="12" customHeight="1" x14ac:dyDescent="0.2">
      <c r="AM12794" t="str">
        <f t="shared" si="200"/>
        <v>Rif-Hellisandur [ISRIF]</v>
      </c>
      <c r="AN12794" t="s">
        <v>17754</v>
      </c>
      <c r="AO12794" t="s">
        <v>17755</v>
      </c>
    </row>
    <row r="12795" spans="39:41" ht="12" customHeight="1" x14ac:dyDescent="0.2">
      <c r="AM12795" t="str">
        <f t="shared" si="200"/>
        <v>Riga [LVRIX]</v>
      </c>
      <c r="AN12795" t="s">
        <v>21943</v>
      </c>
      <c r="AO12795" t="s">
        <v>21944</v>
      </c>
    </row>
    <row r="12796" spans="39:41" ht="12" customHeight="1" x14ac:dyDescent="0.2">
      <c r="AM12796" t="str">
        <f t="shared" si="200"/>
        <v>Rijeka [HRRJK]</v>
      </c>
      <c r="AN12796" t="s">
        <v>15894</v>
      </c>
      <c r="AO12796" t="s">
        <v>15895</v>
      </c>
    </row>
    <row r="12797" spans="39:41" ht="12" customHeight="1" x14ac:dyDescent="0.2">
      <c r="AM12797" t="str">
        <f t="shared" si="200"/>
        <v>Rijiju [TZRIJ]</v>
      </c>
      <c r="AN12797" t="s">
        <v>28733</v>
      </c>
      <c r="AO12797" t="s">
        <v>28734</v>
      </c>
    </row>
    <row r="12798" spans="39:41" ht="12" customHeight="1" x14ac:dyDescent="0.2">
      <c r="AM12798" t="str">
        <f t="shared" si="200"/>
        <v>Rijkevorsel [BERIJ]</v>
      </c>
      <c r="AN12798" t="s">
        <v>2879</v>
      </c>
      <c r="AO12798" t="s">
        <v>2880</v>
      </c>
    </row>
    <row r="12799" spans="39:41" ht="12" customHeight="1" x14ac:dyDescent="0.2">
      <c r="AM12799" t="str">
        <f t="shared" si="200"/>
        <v>Rijnsaterwoude [NLRSW]</v>
      </c>
      <c r="AN12799" t="s">
        <v>23542</v>
      </c>
      <c r="AO12799" t="s">
        <v>23543</v>
      </c>
    </row>
    <row r="12800" spans="39:41" ht="12" customHeight="1" x14ac:dyDescent="0.2">
      <c r="AM12800" t="str">
        <f t="shared" si="200"/>
        <v>Rijnsburg [NLRBG]</v>
      </c>
      <c r="AN12800" t="s">
        <v>33920</v>
      </c>
      <c r="AO12800" t="s">
        <v>34042</v>
      </c>
    </row>
    <row r="12801" spans="39:41" ht="12" customHeight="1" x14ac:dyDescent="0.2">
      <c r="AM12801" t="str">
        <f t="shared" si="200"/>
        <v>Rijs [NLRIJ]</v>
      </c>
      <c r="AN12801" t="s">
        <v>23544</v>
      </c>
      <c r="AO12801" t="s">
        <v>23545</v>
      </c>
    </row>
    <row r="12802" spans="39:41" ht="12" customHeight="1" x14ac:dyDescent="0.2">
      <c r="AM12802" t="str">
        <f t="shared" si="200"/>
        <v>Rijsenhout [NLRSH]</v>
      </c>
      <c r="AN12802" t="s">
        <v>23546</v>
      </c>
      <c r="AO12802" t="s">
        <v>23547</v>
      </c>
    </row>
    <row r="12803" spans="39:41" ht="12" customHeight="1" x14ac:dyDescent="0.2">
      <c r="AM12803" t="str">
        <f t="shared" si="200"/>
        <v>Rijswijk [NLRYS]</v>
      </c>
      <c r="AN12803" t="s">
        <v>33921</v>
      </c>
      <c r="AO12803" t="s">
        <v>34043</v>
      </c>
    </row>
    <row r="12804" spans="39:41" ht="12" customHeight="1" x14ac:dyDescent="0.2">
      <c r="AM12804" t="str">
        <f t="shared" si="200"/>
        <v>Rilland [NLRLA]</v>
      </c>
      <c r="AN12804" t="s">
        <v>23548</v>
      </c>
      <c r="AO12804" t="s">
        <v>23549</v>
      </c>
    </row>
    <row r="12805" spans="39:41" ht="12" customHeight="1" x14ac:dyDescent="0.2">
      <c r="AM12805" t="str">
        <f t="shared" si="200"/>
        <v>Rimer [USRIM]</v>
      </c>
      <c r="AN12805" t="s">
        <v>31253</v>
      </c>
      <c r="AO12805" t="s">
        <v>31254</v>
      </c>
    </row>
    <row r="12806" spans="39:41" ht="12" customHeight="1" x14ac:dyDescent="0.2">
      <c r="AM12806" t="str">
        <f t="shared" si="200"/>
        <v>Rimini [ITRMI]</v>
      </c>
      <c r="AN12806" t="s">
        <v>18249</v>
      </c>
      <c r="AO12806" t="s">
        <v>18250</v>
      </c>
    </row>
    <row r="12807" spans="39:41" ht="12" customHeight="1" x14ac:dyDescent="0.2">
      <c r="AM12807" t="str">
        <f t="shared" si="200"/>
        <v>Rimito (Rymattyla) [FIRYM]</v>
      </c>
      <c r="AN12807" t="s">
        <v>10523</v>
      </c>
      <c r="AO12807" t="s">
        <v>35745</v>
      </c>
    </row>
    <row r="12808" spans="39:41" ht="12" customHeight="1" x14ac:dyDescent="0.2">
      <c r="AM12808" t="str">
        <f t="shared" si="200"/>
        <v>Rimouski [CARIM]</v>
      </c>
      <c r="AN12808" t="s">
        <v>4317</v>
      </c>
      <c r="AO12808" t="s">
        <v>4318</v>
      </c>
    </row>
    <row r="12809" spans="39:41" ht="12" customHeight="1" x14ac:dyDescent="0.2">
      <c r="AM12809" t="str">
        <f t="shared" si="200"/>
        <v>Rinella [ITRIN]</v>
      </c>
      <c r="AN12809" t="s">
        <v>18251</v>
      </c>
      <c r="AO12809" t="s">
        <v>18252</v>
      </c>
    </row>
    <row r="12810" spans="39:41" ht="12" customHeight="1" x14ac:dyDescent="0.2">
      <c r="AM12810" t="str">
        <f t="shared" si="200"/>
        <v>Ringaskiddy [IERIN]</v>
      </c>
      <c r="AN12810" t="s">
        <v>16894</v>
      </c>
      <c r="AO12810" t="s">
        <v>16895</v>
      </c>
    </row>
    <row r="12811" spans="39:41" ht="12" customHeight="1" x14ac:dyDescent="0.2">
      <c r="AM12811" t="str">
        <f t="shared" si="200"/>
        <v>Ringaskiddy Deepwater Terminal [IERDT]</v>
      </c>
      <c r="AN12811" t="s">
        <v>16896</v>
      </c>
      <c r="AO12811" t="s">
        <v>16897</v>
      </c>
    </row>
    <row r="12812" spans="39:41" ht="12" customHeight="1" x14ac:dyDescent="0.2">
      <c r="AM12812" t="str">
        <f t="shared" si="200"/>
        <v>Ringaskiddy Passenger Terminal [IERPT]</v>
      </c>
      <c r="AN12812" t="s">
        <v>16898</v>
      </c>
      <c r="AO12812" t="s">
        <v>16899</v>
      </c>
    </row>
    <row r="12813" spans="39:41" ht="12" customHeight="1" x14ac:dyDescent="0.2">
      <c r="AM12813" t="str">
        <f t="shared" si="200"/>
        <v>Ringgi Cove, Kolombangara [SBRIN]</v>
      </c>
      <c r="AN12813" t="s">
        <v>27455</v>
      </c>
      <c r="AO12813" t="s">
        <v>27456</v>
      </c>
    </row>
    <row r="12814" spans="39:41" ht="12" customHeight="1" x14ac:dyDescent="0.2">
      <c r="AM12814" t="str">
        <f t="shared" si="200"/>
        <v>Ringhals [SERIN]</v>
      </c>
      <c r="AN12814" t="s">
        <v>27808</v>
      </c>
      <c r="AO12814" t="s">
        <v>27809</v>
      </c>
    </row>
    <row r="12815" spans="39:41" ht="12" customHeight="1" x14ac:dyDescent="0.2">
      <c r="AM12815" t="str">
        <f t="shared" si="200"/>
        <v>Ringle [USRAF]</v>
      </c>
      <c r="AN12815" t="s">
        <v>31255</v>
      </c>
      <c r="AO12815" t="s">
        <v>31256</v>
      </c>
    </row>
    <row r="12816" spans="39:41" ht="12" customHeight="1" x14ac:dyDescent="0.2">
      <c r="AM12816" t="str">
        <f t="shared" si="200"/>
        <v>Ringsu [EERNG]</v>
      </c>
      <c r="AN12816" t="s">
        <v>9324</v>
      </c>
      <c r="AO12816" t="s">
        <v>9325</v>
      </c>
    </row>
    <row r="12817" spans="39:41" ht="12" customHeight="1" x14ac:dyDescent="0.2">
      <c r="AM12817" t="str">
        <f t="shared" si="200"/>
        <v>Rio [GRRIO]</v>
      </c>
      <c r="AN12817" t="s">
        <v>15491</v>
      </c>
      <c r="AO12817" t="s">
        <v>15492</v>
      </c>
    </row>
    <row r="12818" spans="39:41" ht="12" customHeight="1" x14ac:dyDescent="0.2">
      <c r="AM12818" t="str">
        <f t="shared" si="200"/>
        <v>Rio [USR88]</v>
      </c>
      <c r="AN12818" t="s">
        <v>31257</v>
      </c>
      <c r="AO12818" t="s">
        <v>15492</v>
      </c>
    </row>
    <row r="12819" spans="39:41" ht="12" customHeight="1" x14ac:dyDescent="0.2">
      <c r="AM12819" t="str">
        <f t="shared" si="200"/>
        <v>Rio Bravo [GTRIO]</v>
      </c>
      <c r="AN12819" t="s">
        <v>15604</v>
      </c>
      <c r="AO12819" t="s">
        <v>35999</v>
      </c>
    </row>
    <row r="12820" spans="39:41" ht="12" customHeight="1" x14ac:dyDescent="0.2">
      <c r="AM12820" t="str">
        <f t="shared" si="200"/>
        <v>Rio Bueno [JMRIB]</v>
      </c>
      <c r="AN12820" t="s">
        <v>18450</v>
      </c>
      <c r="AO12820" t="s">
        <v>18451</v>
      </c>
    </row>
    <row r="12821" spans="39:41" ht="12" customHeight="1" x14ac:dyDescent="0.2">
      <c r="AM12821" t="str">
        <f t="shared" si="200"/>
        <v>Rio Cordoba [CORCO]</v>
      </c>
      <c r="AN12821" t="s">
        <v>6539</v>
      </c>
      <c r="AO12821" t="s">
        <v>6540</v>
      </c>
    </row>
    <row r="12822" spans="39:41" ht="12" customHeight="1" x14ac:dyDescent="0.2">
      <c r="AM12822" t="str">
        <f t="shared" si="200"/>
        <v>Rio Cuarto [CRRCD]</v>
      </c>
      <c r="AN12822" t="s">
        <v>6633</v>
      </c>
      <c r="AO12822" t="s">
        <v>35379</v>
      </c>
    </row>
    <row r="12823" spans="39:41" ht="12" customHeight="1" x14ac:dyDescent="0.2">
      <c r="AM12823" t="str">
        <f t="shared" si="200"/>
        <v>Rio Cullen [ARRIC]</v>
      </c>
      <c r="AN12823" t="s">
        <v>1099</v>
      </c>
      <c r="AO12823" t="s">
        <v>1100</v>
      </c>
    </row>
    <row r="12824" spans="39:41" ht="12" customHeight="1" x14ac:dyDescent="0.2">
      <c r="AM12824" t="str">
        <f t="shared" si="200"/>
        <v>Rio de Janeiro [BRRIO]</v>
      </c>
      <c r="AN12824" t="s">
        <v>3383</v>
      </c>
      <c r="AO12824" t="s">
        <v>3384</v>
      </c>
    </row>
    <row r="12825" spans="39:41" ht="12" customHeight="1" x14ac:dyDescent="0.2">
      <c r="AM12825" t="str">
        <f t="shared" si="200"/>
        <v>Rio Frio [CRRIO]</v>
      </c>
      <c r="AN12825" t="s">
        <v>6634</v>
      </c>
      <c r="AO12825" t="s">
        <v>35380</v>
      </c>
    </row>
    <row r="12826" spans="39:41" ht="12" customHeight="1" x14ac:dyDescent="0.2">
      <c r="AM12826" t="str">
        <f t="shared" si="200"/>
        <v>Rio Gallegos [ARRGL]</v>
      </c>
      <c r="AN12826" t="s">
        <v>1101</v>
      </c>
      <c r="AO12826" t="s">
        <v>35249</v>
      </c>
    </row>
    <row r="12827" spans="39:41" ht="12" customHeight="1" x14ac:dyDescent="0.2">
      <c r="AM12827" t="str">
        <f t="shared" si="200"/>
        <v>Rio Grande [ARRGA]</v>
      </c>
      <c r="AN12827" t="s">
        <v>1102</v>
      </c>
      <c r="AO12827" t="s">
        <v>3386</v>
      </c>
    </row>
    <row r="12828" spans="39:41" ht="12" customHeight="1" x14ac:dyDescent="0.2">
      <c r="AM12828" t="str">
        <f t="shared" si="200"/>
        <v>Rio Grande [BRRIG]</v>
      </c>
      <c r="AN12828" t="s">
        <v>3385</v>
      </c>
      <c r="AO12828" t="s">
        <v>3386</v>
      </c>
    </row>
    <row r="12829" spans="39:41" ht="12" customHeight="1" x14ac:dyDescent="0.2">
      <c r="AM12829" t="str">
        <f t="shared" si="200"/>
        <v>Rio Grande [PAGDE]</v>
      </c>
      <c r="AN12829" t="s">
        <v>25223</v>
      </c>
      <c r="AO12829" t="s">
        <v>3386</v>
      </c>
    </row>
    <row r="12830" spans="39:41" ht="12" customHeight="1" x14ac:dyDescent="0.2">
      <c r="AM12830" t="str">
        <f t="shared" si="200"/>
        <v>Rio Haina [DOHAI]</v>
      </c>
      <c r="AN12830" t="s">
        <v>9020</v>
      </c>
      <c r="AO12830" t="s">
        <v>9021</v>
      </c>
    </row>
    <row r="12831" spans="39:41" ht="12" customHeight="1" x14ac:dyDescent="0.2">
      <c r="AM12831" t="str">
        <f t="shared" si="200"/>
        <v>Rio Jimenez [CRRJI]</v>
      </c>
      <c r="AN12831" t="s">
        <v>6635</v>
      </c>
      <c r="AO12831" t="s">
        <v>6636</v>
      </c>
    </row>
    <row r="12832" spans="39:41" ht="12" customHeight="1" x14ac:dyDescent="0.2">
      <c r="AM12832" t="str">
        <f t="shared" si="200"/>
        <v>Rio Maggiore [ITRMG]</v>
      </c>
      <c r="AN12832" t="s">
        <v>18253</v>
      </c>
      <c r="AO12832" t="s">
        <v>18254</v>
      </c>
    </row>
    <row r="12833" spans="39:41" ht="12" customHeight="1" x14ac:dyDescent="0.2">
      <c r="AM12833" t="str">
        <f t="shared" si="200"/>
        <v>Rio Marina [ITRMA]</v>
      </c>
      <c r="AN12833" t="s">
        <v>18255</v>
      </c>
      <c r="AO12833" t="s">
        <v>18256</v>
      </c>
    </row>
    <row r="12834" spans="39:41" ht="12" customHeight="1" x14ac:dyDescent="0.2">
      <c r="AM12834" t="str">
        <f t="shared" si="200"/>
        <v>Riohacha [CORCH]</v>
      </c>
      <c r="AN12834" t="s">
        <v>6541</v>
      </c>
      <c r="AO12834" t="s">
        <v>6542</v>
      </c>
    </row>
    <row r="12835" spans="39:41" ht="12" customHeight="1" x14ac:dyDescent="0.2">
      <c r="AM12835" t="str">
        <f t="shared" si="200"/>
        <v>Rions [FRRN3]</v>
      </c>
      <c r="AN12835" t="s">
        <v>11939</v>
      </c>
      <c r="AO12835" t="s">
        <v>11940</v>
      </c>
    </row>
    <row r="12836" spans="39:41" ht="12" customHeight="1" x14ac:dyDescent="0.2">
      <c r="AM12836" t="str">
        <f t="shared" si="200"/>
        <v>Rioseco de Guriezo [ESREG]</v>
      </c>
      <c r="AN12836" t="s">
        <v>10099</v>
      </c>
      <c r="AO12836" t="s">
        <v>10100</v>
      </c>
    </row>
    <row r="12837" spans="39:41" ht="12" customHeight="1" x14ac:dyDescent="0.2">
      <c r="AM12837" t="str">
        <f t="shared" si="200"/>
        <v>Ripoll [ESRPL]</v>
      </c>
      <c r="AN12837" t="s">
        <v>10101</v>
      </c>
      <c r="AO12837" t="s">
        <v>10102</v>
      </c>
    </row>
    <row r="12838" spans="39:41" ht="12" customHeight="1" x14ac:dyDescent="0.2">
      <c r="AM12838" t="str">
        <f t="shared" si="200"/>
        <v>Riposto [ITRPT]</v>
      </c>
      <c r="AN12838" t="s">
        <v>18257</v>
      </c>
      <c r="AO12838" t="s">
        <v>18258</v>
      </c>
    </row>
    <row r="12839" spans="39:41" ht="12" customHeight="1" x14ac:dyDescent="0.2">
      <c r="AM12839" t="str">
        <f t="shared" si="200"/>
        <v>RIS Inland waterways [ATXXX]</v>
      </c>
      <c r="AN12839" t="s">
        <v>1315</v>
      </c>
      <c r="AO12839" t="s">
        <v>1316</v>
      </c>
    </row>
    <row r="12840" spans="39:41" ht="12" customHeight="1" x14ac:dyDescent="0.2">
      <c r="AM12840" t="str">
        <f t="shared" si="200"/>
        <v>RIS Inland waterways [BEXXX]</v>
      </c>
      <c r="AN12840" t="s">
        <v>2881</v>
      </c>
      <c r="AO12840" t="s">
        <v>1316</v>
      </c>
    </row>
    <row r="12841" spans="39:41" ht="12" customHeight="1" x14ac:dyDescent="0.2">
      <c r="AM12841" t="str">
        <f t="shared" si="200"/>
        <v>RIS Inland waterways [BGXXX]</v>
      </c>
      <c r="AN12841" t="s">
        <v>3158</v>
      </c>
      <c r="AO12841" t="s">
        <v>1316</v>
      </c>
    </row>
    <row r="12842" spans="39:41" ht="12" customHeight="1" x14ac:dyDescent="0.2">
      <c r="AM12842" t="str">
        <f t="shared" si="200"/>
        <v>RIS Inland waterways [CHXXX]</v>
      </c>
      <c r="AN12842" t="s">
        <v>4737</v>
      </c>
      <c r="AO12842" t="s">
        <v>1316</v>
      </c>
    </row>
    <row r="12843" spans="39:41" ht="12" customHeight="1" x14ac:dyDescent="0.2">
      <c r="AM12843" t="str">
        <f t="shared" si="200"/>
        <v>RIS Inland waterways [CZXXX]</v>
      </c>
      <c r="AN12843" t="s">
        <v>6928</v>
      </c>
      <c r="AO12843" t="s">
        <v>1316</v>
      </c>
    </row>
    <row r="12844" spans="39:41" ht="12" customHeight="1" x14ac:dyDescent="0.2">
      <c r="AM12844" t="str">
        <f t="shared" si="200"/>
        <v>RIS Inland waterways [DEXXX]</v>
      </c>
      <c r="AN12844" t="s">
        <v>8184</v>
      </c>
      <c r="AO12844" t="s">
        <v>1316</v>
      </c>
    </row>
    <row r="12845" spans="39:41" ht="12" customHeight="1" x14ac:dyDescent="0.2">
      <c r="AM12845" t="str">
        <f t="shared" ref="AM12845:AM12908" si="201">AO12845 &amp; " [" &amp; AN12845 &amp; "]"</f>
        <v>RIS Inland waterways [FRXXX]</v>
      </c>
      <c r="AN12845" t="s">
        <v>11941</v>
      </c>
      <c r="AO12845" t="s">
        <v>1316</v>
      </c>
    </row>
    <row r="12846" spans="39:41" ht="12" customHeight="1" x14ac:dyDescent="0.2">
      <c r="AM12846" t="str">
        <f t="shared" si="201"/>
        <v>RIS Inland waterways [HRXXX]</v>
      </c>
      <c r="AN12846" t="s">
        <v>15896</v>
      </c>
      <c r="AO12846" t="s">
        <v>1316</v>
      </c>
    </row>
    <row r="12847" spans="39:41" ht="12" customHeight="1" x14ac:dyDescent="0.2">
      <c r="AM12847" t="str">
        <f t="shared" si="201"/>
        <v>RIS Inland waterways [HUXXX]</v>
      </c>
      <c r="AN12847" t="s">
        <v>16121</v>
      </c>
      <c r="AO12847" t="s">
        <v>1316</v>
      </c>
    </row>
    <row r="12848" spans="39:41" ht="12" customHeight="1" x14ac:dyDescent="0.2">
      <c r="AM12848" t="str">
        <f t="shared" si="201"/>
        <v>RIS Inland waterways [ITXXX]</v>
      </c>
      <c r="AN12848" t="s">
        <v>18259</v>
      </c>
      <c r="AO12848" t="s">
        <v>1316</v>
      </c>
    </row>
    <row r="12849" spans="39:41" ht="12" customHeight="1" x14ac:dyDescent="0.2">
      <c r="AM12849" t="str">
        <f t="shared" si="201"/>
        <v>RIS Inland waterways [LUXXX]</v>
      </c>
      <c r="AN12849" t="s">
        <v>21912</v>
      </c>
      <c r="AO12849" t="s">
        <v>1316</v>
      </c>
    </row>
    <row r="12850" spans="39:41" ht="12" customHeight="1" x14ac:dyDescent="0.2">
      <c r="AM12850" t="str">
        <f t="shared" si="201"/>
        <v>RIS Inland waterways [MDXXX]</v>
      </c>
      <c r="AN12850" t="s">
        <v>22076</v>
      </c>
      <c r="AO12850" t="s">
        <v>1316</v>
      </c>
    </row>
    <row r="12851" spans="39:41" ht="12" customHeight="1" x14ac:dyDescent="0.2">
      <c r="AM12851" t="str">
        <f t="shared" si="201"/>
        <v>RIS Inland waterways [NLXXX]</v>
      </c>
      <c r="AN12851" t="s">
        <v>23550</v>
      </c>
      <c r="AO12851" t="s">
        <v>1316</v>
      </c>
    </row>
    <row r="12852" spans="39:41" ht="12" customHeight="1" x14ac:dyDescent="0.2">
      <c r="AM12852" t="str">
        <f t="shared" si="201"/>
        <v>RIS Inland waterways [PLXXX]</v>
      </c>
      <c r="AN12852" t="s">
        <v>26371</v>
      </c>
      <c r="AO12852" t="s">
        <v>1316</v>
      </c>
    </row>
    <row r="12853" spans="39:41" ht="12" customHeight="1" x14ac:dyDescent="0.2">
      <c r="AM12853" t="str">
        <f t="shared" si="201"/>
        <v>RIS Inland waterways [ROXXX]</v>
      </c>
      <c r="AN12853" t="s">
        <v>26815</v>
      </c>
      <c r="AO12853" t="s">
        <v>1316</v>
      </c>
    </row>
    <row r="12854" spans="39:41" ht="12" customHeight="1" x14ac:dyDescent="0.2">
      <c r="AM12854" t="str">
        <f t="shared" si="201"/>
        <v>RIS Inland waterways [RSXXX]</v>
      </c>
      <c r="AN12854" t="s">
        <v>26850</v>
      </c>
      <c r="AO12854" t="s">
        <v>1316</v>
      </c>
    </row>
    <row r="12855" spans="39:41" ht="12" customHeight="1" x14ac:dyDescent="0.2">
      <c r="AM12855" t="str">
        <f t="shared" si="201"/>
        <v>RIS Inland waterways [SKXXX]</v>
      </c>
      <c r="AN12855" t="s">
        <v>28059</v>
      </c>
      <c r="AO12855" t="s">
        <v>1316</v>
      </c>
    </row>
    <row r="12856" spans="39:41" ht="12" customHeight="1" x14ac:dyDescent="0.2">
      <c r="AM12856" t="str">
        <f t="shared" si="201"/>
        <v>RIS Inland waterways [UAXXX]</v>
      </c>
      <c r="AN12856" t="s">
        <v>28762</v>
      </c>
      <c r="AO12856" t="s">
        <v>1316</v>
      </c>
    </row>
    <row r="12857" spans="39:41" ht="12" customHeight="1" x14ac:dyDescent="0.2">
      <c r="AM12857" t="str">
        <f t="shared" si="201"/>
        <v>Risan (Risano) [MERSN]</v>
      </c>
      <c r="AN12857" t="s">
        <v>22090</v>
      </c>
      <c r="AO12857" t="s">
        <v>22091</v>
      </c>
    </row>
    <row r="12858" spans="39:41" ht="12" customHeight="1" x14ac:dyDescent="0.2">
      <c r="AM12858" t="str">
        <f t="shared" si="201"/>
        <v>Risavika [NORIV]</v>
      </c>
      <c r="AN12858" t="s">
        <v>24652</v>
      </c>
      <c r="AO12858" t="s">
        <v>24653</v>
      </c>
    </row>
    <row r="12859" spans="39:41" ht="12" customHeight="1" x14ac:dyDescent="0.2">
      <c r="AM12859" t="str">
        <f t="shared" si="201"/>
        <v>Risdon [AURDN]</v>
      </c>
      <c r="AN12859" t="s">
        <v>1990</v>
      </c>
      <c r="AO12859" t="s">
        <v>1991</v>
      </c>
    </row>
    <row r="12860" spans="39:41" ht="12" customHeight="1" x14ac:dyDescent="0.2">
      <c r="AM12860" t="str">
        <f t="shared" si="201"/>
        <v>Risor [NORIS]</v>
      </c>
      <c r="AN12860" t="s">
        <v>24654</v>
      </c>
      <c r="AO12860" t="s">
        <v>36277</v>
      </c>
    </row>
    <row r="12861" spans="39:41" ht="12" customHeight="1" x14ac:dyDescent="0.2">
      <c r="AM12861" t="str">
        <f t="shared" si="201"/>
        <v>Risoyhamn [NORSH]</v>
      </c>
      <c r="AN12861" t="s">
        <v>24655</v>
      </c>
      <c r="AO12861" t="s">
        <v>36278</v>
      </c>
    </row>
    <row r="12862" spans="39:41" ht="12" customHeight="1" x14ac:dyDescent="0.2">
      <c r="AM12862" t="str">
        <f t="shared" si="201"/>
        <v>Rissa [NORSS]</v>
      </c>
      <c r="AN12862" t="s">
        <v>24656</v>
      </c>
      <c r="AO12862" t="s">
        <v>24657</v>
      </c>
    </row>
    <row r="12863" spans="39:41" ht="12" customHeight="1" x14ac:dyDescent="0.2">
      <c r="AM12863" t="str">
        <f t="shared" si="201"/>
        <v>Ristiina [FIRIS]</v>
      </c>
      <c r="AN12863" t="s">
        <v>10524</v>
      </c>
      <c r="AO12863" t="s">
        <v>10525</v>
      </c>
    </row>
    <row r="12864" spans="39:41" ht="12" customHeight="1" x14ac:dyDescent="0.2">
      <c r="AM12864" t="str">
        <f t="shared" si="201"/>
        <v>Ristna [EERST]</v>
      </c>
      <c r="AN12864" t="s">
        <v>9326</v>
      </c>
      <c r="AO12864" t="s">
        <v>9327</v>
      </c>
    </row>
    <row r="12865" spans="39:41" ht="12" customHeight="1" x14ac:dyDescent="0.2">
      <c r="AM12865" t="str">
        <f t="shared" si="201"/>
        <v>Ristna Jahisadam [EERJS]</v>
      </c>
      <c r="AN12865" t="s">
        <v>9328</v>
      </c>
      <c r="AO12865" t="s">
        <v>9329</v>
      </c>
    </row>
    <row r="12866" spans="39:41" ht="12" customHeight="1" x14ac:dyDescent="0.2">
      <c r="AM12866" t="str">
        <f t="shared" si="201"/>
        <v>Ristna Lounasadam [EERLS]</v>
      </c>
      <c r="AN12866" t="s">
        <v>9330</v>
      </c>
      <c r="AO12866" t="s">
        <v>35638</v>
      </c>
    </row>
    <row r="12867" spans="39:41" ht="12" customHeight="1" x14ac:dyDescent="0.2">
      <c r="AM12867" t="str">
        <f t="shared" si="201"/>
        <v>Riudecanyes [ESCAQ]</v>
      </c>
      <c r="AN12867" t="s">
        <v>10103</v>
      </c>
      <c r="AO12867" t="s">
        <v>10104</v>
      </c>
    </row>
    <row r="12868" spans="39:41" ht="12" customHeight="1" x14ac:dyDescent="0.2">
      <c r="AM12868" t="str">
        <f t="shared" si="201"/>
        <v>Riva Trigoso [ITRTS]</v>
      </c>
      <c r="AN12868" t="s">
        <v>18260</v>
      </c>
      <c r="AO12868" t="s">
        <v>18261</v>
      </c>
    </row>
    <row r="12869" spans="39:41" ht="12" customHeight="1" x14ac:dyDescent="0.2">
      <c r="AM12869" t="str">
        <f t="shared" si="201"/>
        <v>Rivadavia [ARRIV]</v>
      </c>
      <c r="AN12869" t="s">
        <v>1103</v>
      </c>
      <c r="AO12869" t="s">
        <v>1104</v>
      </c>
    </row>
    <row r="12870" spans="39:41" ht="12" customHeight="1" x14ac:dyDescent="0.2">
      <c r="AM12870" t="str">
        <f t="shared" si="201"/>
        <v>Rivecourt [FRRVC]</v>
      </c>
      <c r="AN12870" t="s">
        <v>11942</v>
      </c>
      <c r="AO12870" t="s">
        <v>11943</v>
      </c>
    </row>
    <row r="12871" spans="39:41" ht="12" customHeight="1" x14ac:dyDescent="0.2">
      <c r="AM12871" t="str">
        <f t="shared" si="201"/>
        <v>River Cess [LRRVC]</v>
      </c>
      <c r="AN12871" t="s">
        <v>21879</v>
      </c>
      <c r="AO12871" t="s">
        <v>21880</v>
      </c>
    </row>
    <row r="12872" spans="39:41" ht="12" customHeight="1" x14ac:dyDescent="0.2">
      <c r="AM12872" t="str">
        <f t="shared" si="201"/>
        <v>River Dart [GBRRD]</v>
      </c>
      <c r="AN12872" t="s">
        <v>14265</v>
      </c>
      <c r="AO12872" t="s">
        <v>14266</v>
      </c>
    </row>
    <row r="12873" spans="39:41" ht="12" customHeight="1" x14ac:dyDescent="0.2">
      <c r="AM12873" t="str">
        <f t="shared" si="201"/>
        <v>River Fowey [GBRVF]</v>
      </c>
      <c r="AN12873" t="s">
        <v>14267</v>
      </c>
      <c r="AO12873" t="s">
        <v>14268</v>
      </c>
    </row>
    <row r="12874" spans="39:41" ht="12" customHeight="1" x14ac:dyDescent="0.2">
      <c r="AM12874" t="str">
        <f t="shared" si="201"/>
        <v>River Grove [USRG6]</v>
      </c>
      <c r="AN12874" t="s">
        <v>31258</v>
      </c>
      <c r="AO12874" t="s">
        <v>31259</v>
      </c>
    </row>
    <row r="12875" spans="39:41" ht="12" customHeight="1" x14ac:dyDescent="0.2">
      <c r="AM12875" t="str">
        <f t="shared" si="201"/>
        <v>River Moy [IERVM]</v>
      </c>
      <c r="AN12875" t="s">
        <v>16900</v>
      </c>
      <c r="AO12875" t="s">
        <v>16901</v>
      </c>
    </row>
    <row r="12876" spans="39:41" ht="12" customHeight="1" x14ac:dyDescent="0.2">
      <c r="AM12876" t="str">
        <f t="shared" si="201"/>
        <v>River Ridge [USQQN]</v>
      </c>
      <c r="AN12876" t="s">
        <v>31260</v>
      </c>
      <c r="AO12876" t="s">
        <v>31261</v>
      </c>
    </row>
    <row r="12877" spans="39:41" ht="12" customHeight="1" x14ac:dyDescent="0.2">
      <c r="AM12877" t="str">
        <f t="shared" si="201"/>
        <v>River Sao Nicolau [AORSN]</v>
      </c>
      <c r="AN12877" t="s">
        <v>890</v>
      </c>
      <c r="AO12877" t="s">
        <v>891</v>
      </c>
    </row>
    <row r="12878" spans="39:41" ht="12" customHeight="1" x14ac:dyDescent="0.2">
      <c r="AM12878" t="str">
        <f t="shared" si="201"/>
        <v>Riverbank [USZRB]</v>
      </c>
      <c r="AN12878" t="s">
        <v>31262</v>
      </c>
      <c r="AO12878" t="s">
        <v>31263</v>
      </c>
    </row>
    <row r="12879" spans="39:41" ht="12" customHeight="1" x14ac:dyDescent="0.2">
      <c r="AM12879" t="str">
        <f t="shared" si="201"/>
        <v>Riverdale [USRV5]</v>
      </c>
      <c r="AN12879" t="s">
        <v>31264</v>
      </c>
      <c r="AO12879" t="s">
        <v>31265</v>
      </c>
    </row>
    <row r="12880" spans="39:41" ht="12" customHeight="1" x14ac:dyDescent="0.2">
      <c r="AM12880" t="str">
        <f t="shared" si="201"/>
        <v>Rivergate [USRGJ]</v>
      </c>
      <c r="AN12880" t="s">
        <v>31266</v>
      </c>
      <c r="AO12880" t="s">
        <v>31267</v>
      </c>
    </row>
    <row r="12881" spans="39:41" ht="12" customHeight="1" x14ac:dyDescent="0.2">
      <c r="AM12881" t="str">
        <f t="shared" si="201"/>
        <v>Riverside [USVRD]</v>
      </c>
      <c r="AN12881" t="s">
        <v>31268</v>
      </c>
      <c r="AO12881" t="s">
        <v>31269</v>
      </c>
    </row>
    <row r="12882" spans="39:41" ht="12" customHeight="1" x14ac:dyDescent="0.2">
      <c r="AM12882" t="str">
        <f t="shared" si="201"/>
        <v>Riverside [USVSE]</v>
      </c>
      <c r="AN12882" t="s">
        <v>31270</v>
      </c>
      <c r="AO12882" t="s">
        <v>31269</v>
      </c>
    </row>
    <row r="12883" spans="39:41" ht="12" customHeight="1" x14ac:dyDescent="0.2">
      <c r="AM12883" t="str">
        <f t="shared" si="201"/>
        <v>Riviere [BERVE]</v>
      </c>
      <c r="AN12883" t="s">
        <v>2882</v>
      </c>
      <c r="AO12883" t="s">
        <v>11944</v>
      </c>
    </row>
    <row r="12884" spans="39:41" ht="12" customHeight="1" x14ac:dyDescent="0.2">
      <c r="AM12884" t="str">
        <f t="shared" si="201"/>
        <v>Riviere-du-Loup [CARDL]</v>
      </c>
      <c r="AN12884" t="s">
        <v>4319</v>
      </c>
      <c r="AO12884" t="s">
        <v>35334</v>
      </c>
    </row>
    <row r="12885" spans="39:41" ht="12" customHeight="1" x14ac:dyDescent="0.2">
      <c r="AM12885" t="str">
        <f t="shared" si="201"/>
        <v>Riviersonderend [ZA7WC]</v>
      </c>
      <c r="AN12885" t="s">
        <v>34237</v>
      </c>
      <c r="AO12885" t="s">
        <v>34305</v>
      </c>
    </row>
    <row r="12886" spans="39:41" ht="12" customHeight="1" x14ac:dyDescent="0.2">
      <c r="AM12886" t="str">
        <f t="shared" si="201"/>
        <v>Riwon [KPRIW]</v>
      </c>
      <c r="AN12886" t="s">
        <v>21590</v>
      </c>
      <c r="AO12886" t="s">
        <v>21591</v>
      </c>
    </row>
    <row r="12887" spans="39:41" ht="12" customHeight="1" x14ac:dyDescent="0.2">
      <c r="AM12887" t="str">
        <f t="shared" si="201"/>
        <v>Rize [TRRIZ]</v>
      </c>
      <c r="AN12887" t="s">
        <v>28572</v>
      </c>
      <c r="AO12887" t="s">
        <v>28573</v>
      </c>
    </row>
    <row r="12888" spans="39:41" ht="12" customHeight="1" x14ac:dyDescent="0.2">
      <c r="AM12888" t="str">
        <f t="shared" si="201"/>
        <v>Rizes [GRRIZ]</v>
      </c>
      <c r="AN12888" t="s">
        <v>15493</v>
      </c>
      <c r="AO12888" t="s">
        <v>35971</v>
      </c>
    </row>
    <row r="12889" spans="39:41" ht="12" customHeight="1" x14ac:dyDescent="0.2">
      <c r="AM12889" t="str">
        <f t="shared" si="201"/>
        <v>Rizhao Pt [CNRZH]</v>
      </c>
      <c r="AN12889" t="s">
        <v>5917</v>
      </c>
      <c r="AO12889" t="s">
        <v>5918</v>
      </c>
    </row>
    <row r="12890" spans="39:41" ht="12" customHeight="1" x14ac:dyDescent="0.2">
      <c r="AM12890" t="str">
        <f t="shared" si="201"/>
        <v>Roaches Line [CAROA]</v>
      </c>
      <c r="AN12890" t="s">
        <v>4320</v>
      </c>
      <c r="AO12890" t="s">
        <v>4321</v>
      </c>
    </row>
    <row r="12891" spans="39:41" ht="12" customHeight="1" x14ac:dyDescent="0.2">
      <c r="AM12891" t="str">
        <f t="shared" si="201"/>
        <v>Road Town [GBANO]</v>
      </c>
      <c r="AN12891" t="s">
        <v>34175</v>
      </c>
      <c r="AO12891" t="s">
        <v>34249</v>
      </c>
    </row>
    <row r="12892" spans="39:41" ht="12" customHeight="1" x14ac:dyDescent="0.2">
      <c r="AM12892" t="str">
        <f t="shared" si="201"/>
        <v>Road Town, Tortola [VGRAD]</v>
      </c>
      <c r="AN12892" t="s">
        <v>32272</v>
      </c>
      <c r="AO12892" t="s">
        <v>32273</v>
      </c>
    </row>
    <row r="12893" spans="39:41" ht="12" customHeight="1" x14ac:dyDescent="0.2">
      <c r="AM12893" t="str">
        <f t="shared" si="201"/>
        <v>Roan [NOROA]</v>
      </c>
      <c r="AN12893" t="s">
        <v>24658</v>
      </c>
      <c r="AO12893" t="s">
        <v>24659</v>
      </c>
    </row>
    <row r="12894" spans="39:41" ht="12" customHeight="1" x14ac:dyDescent="0.2">
      <c r="AM12894" t="str">
        <f t="shared" si="201"/>
        <v>Roatan [HNRTB]</v>
      </c>
      <c r="AN12894" t="s">
        <v>15682</v>
      </c>
      <c r="AO12894" t="s">
        <v>36001</v>
      </c>
    </row>
    <row r="12895" spans="39:41" ht="12" customHeight="1" x14ac:dyDescent="0.2">
      <c r="AM12895" t="str">
        <f t="shared" si="201"/>
        <v>Robbenoord [NLRBO]</v>
      </c>
      <c r="AN12895" t="s">
        <v>23551</v>
      </c>
      <c r="AO12895" t="s">
        <v>23552</v>
      </c>
    </row>
    <row r="12896" spans="39:41" ht="12" customHeight="1" x14ac:dyDescent="0.2">
      <c r="AM12896" t="str">
        <f t="shared" si="201"/>
        <v>Robe [AUROB]</v>
      </c>
      <c r="AN12896" t="s">
        <v>1992</v>
      </c>
      <c r="AO12896" t="s">
        <v>1993</v>
      </c>
    </row>
    <row r="12897" spans="39:41" ht="12" customHeight="1" x14ac:dyDescent="0.2">
      <c r="AM12897" t="str">
        <f t="shared" si="201"/>
        <v>Robert's Bank [CARTB]</v>
      </c>
      <c r="AN12897" t="s">
        <v>4322</v>
      </c>
      <c r="AO12897" t="s">
        <v>4323</v>
      </c>
    </row>
    <row r="12898" spans="39:41" ht="12" customHeight="1" x14ac:dyDescent="0.2">
      <c r="AM12898" t="str">
        <f t="shared" si="201"/>
        <v>Robertsham [ZASHM]</v>
      </c>
      <c r="AN12898" t="s">
        <v>32733</v>
      </c>
      <c r="AO12898" t="s">
        <v>32734</v>
      </c>
    </row>
    <row r="12899" spans="39:41" ht="12" customHeight="1" x14ac:dyDescent="0.2">
      <c r="AM12899" t="str">
        <f t="shared" si="201"/>
        <v>Robertsonville [CARSV]</v>
      </c>
      <c r="AN12899" t="s">
        <v>4324</v>
      </c>
      <c r="AO12899" t="s">
        <v>4325</v>
      </c>
    </row>
    <row r="12900" spans="39:41" ht="12" customHeight="1" x14ac:dyDescent="0.2">
      <c r="AM12900" t="str">
        <f t="shared" si="201"/>
        <v>Robertsport [LRROX]</v>
      </c>
      <c r="AN12900" t="s">
        <v>21881</v>
      </c>
      <c r="AO12900" t="s">
        <v>21882</v>
      </c>
    </row>
    <row r="12901" spans="39:41" ht="12" customHeight="1" x14ac:dyDescent="0.2">
      <c r="AM12901" t="str">
        <f t="shared" si="201"/>
        <v>Robin Hoods Bay [GBRBB]</v>
      </c>
      <c r="AN12901" t="s">
        <v>14269</v>
      </c>
      <c r="AO12901" t="s">
        <v>14270</v>
      </c>
    </row>
    <row r="12902" spans="39:41" ht="12" customHeight="1" x14ac:dyDescent="0.2">
      <c r="AM12902" t="str">
        <f t="shared" si="201"/>
        <v>Robinson River [PGRNR]</v>
      </c>
      <c r="AN12902" t="s">
        <v>25456</v>
      </c>
      <c r="AO12902" t="s">
        <v>25457</v>
      </c>
    </row>
    <row r="12903" spans="39:41" ht="12" customHeight="1" x14ac:dyDescent="0.2">
      <c r="AM12903" t="str">
        <f t="shared" si="201"/>
        <v>Robinsons [CARBN]</v>
      </c>
      <c r="AN12903" t="s">
        <v>4326</v>
      </c>
      <c r="AO12903" t="s">
        <v>4327</v>
      </c>
    </row>
    <row r="12904" spans="39:41" ht="12" customHeight="1" x14ac:dyDescent="0.2">
      <c r="AM12904" t="str">
        <f t="shared" si="201"/>
        <v>Roccella Ionica [ITROC]</v>
      </c>
      <c r="AN12904" t="s">
        <v>18262</v>
      </c>
      <c r="AO12904" t="s">
        <v>18263</v>
      </c>
    </row>
    <row r="12905" spans="39:41" ht="12" customHeight="1" x14ac:dyDescent="0.2">
      <c r="AM12905" t="str">
        <f t="shared" si="201"/>
        <v>Rochefort [FRRCO]</v>
      </c>
      <c r="AN12905" t="s">
        <v>11945</v>
      </c>
      <c r="AO12905" t="s">
        <v>11946</v>
      </c>
    </row>
    <row r="12906" spans="39:41" ht="12" customHeight="1" x14ac:dyDescent="0.2">
      <c r="AM12906" t="str">
        <f t="shared" si="201"/>
        <v>Rochelle [USR55]</v>
      </c>
      <c r="AN12906" t="s">
        <v>31271</v>
      </c>
      <c r="AO12906" t="s">
        <v>31272</v>
      </c>
    </row>
    <row r="12907" spans="39:41" ht="12" customHeight="1" x14ac:dyDescent="0.2">
      <c r="AM12907" t="str">
        <f t="shared" si="201"/>
        <v>Roches Noires [MARNA]</v>
      </c>
      <c r="AN12907" t="s">
        <v>22054</v>
      </c>
      <c r="AO12907" t="s">
        <v>22055</v>
      </c>
    </row>
    <row r="12908" spans="39:41" ht="12" customHeight="1" x14ac:dyDescent="0.2">
      <c r="AM12908" t="str">
        <f t="shared" si="201"/>
        <v>Roche-Saint-Secret [FRR26]</v>
      </c>
      <c r="AN12908" t="s">
        <v>11947</v>
      </c>
      <c r="AO12908" t="s">
        <v>11948</v>
      </c>
    </row>
    <row r="12909" spans="39:41" ht="12" customHeight="1" x14ac:dyDescent="0.2">
      <c r="AM12909" t="str">
        <f t="shared" ref="AM12909:AM12972" si="202">AO12909 &amp; " [" &amp; AN12909 &amp; "]"</f>
        <v>Rochester [GBRCS]</v>
      </c>
      <c r="AN12909" t="s">
        <v>14271</v>
      </c>
      <c r="AO12909" t="s">
        <v>14272</v>
      </c>
    </row>
    <row r="12910" spans="39:41" ht="12" customHeight="1" x14ac:dyDescent="0.2">
      <c r="AM12910" t="str">
        <f t="shared" si="202"/>
        <v>Rochester [USROC]</v>
      </c>
      <c r="AN12910" t="s">
        <v>31273</v>
      </c>
      <c r="AO12910" t="s">
        <v>14272</v>
      </c>
    </row>
    <row r="12911" spans="39:41" ht="12" customHeight="1" x14ac:dyDescent="0.2">
      <c r="AM12911" t="str">
        <f t="shared" si="202"/>
        <v>Rochford [GBRFD]</v>
      </c>
      <c r="AN12911" t="s">
        <v>14273</v>
      </c>
      <c r="AO12911" t="s">
        <v>14274</v>
      </c>
    </row>
    <row r="12912" spans="39:41" ht="12" customHeight="1" x14ac:dyDescent="0.2">
      <c r="AM12912" t="str">
        <f t="shared" si="202"/>
        <v>Rock [GBROC]</v>
      </c>
      <c r="AN12912" t="s">
        <v>14275</v>
      </c>
      <c r="AO12912" t="s">
        <v>14276</v>
      </c>
    </row>
    <row r="12913" spans="39:41" ht="12" customHeight="1" x14ac:dyDescent="0.2">
      <c r="AM12913" t="str">
        <f t="shared" si="202"/>
        <v>Rock Creek [USRC6]</v>
      </c>
      <c r="AN12913" t="s">
        <v>31274</v>
      </c>
      <c r="AO12913" t="s">
        <v>31275</v>
      </c>
    </row>
    <row r="12914" spans="39:41" ht="12" customHeight="1" x14ac:dyDescent="0.2">
      <c r="AM12914" t="str">
        <f t="shared" si="202"/>
        <v>Rock Ferry [GBRFR]</v>
      </c>
      <c r="AN12914" t="s">
        <v>14277</v>
      </c>
      <c r="AO12914" t="s">
        <v>14278</v>
      </c>
    </row>
    <row r="12915" spans="39:41" ht="12" customHeight="1" x14ac:dyDescent="0.2">
      <c r="AM12915" t="str">
        <f t="shared" si="202"/>
        <v>Rock Sound [BSRSD]</v>
      </c>
      <c r="AN12915" t="s">
        <v>3468</v>
      </c>
      <c r="AO12915" t="s">
        <v>3469</v>
      </c>
    </row>
    <row r="12916" spans="39:41" ht="12" customHeight="1" x14ac:dyDescent="0.2">
      <c r="AM12916" t="str">
        <f t="shared" si="202"/>
        <v>Rock Tavern [USXRT]</v>
      </c>
      <c r="AN12916" t="s">
        <v>31276</v>
      </c>
      <c r="AO12916" t="s">
        <v>31277</v>
      </c>
    </row>
    <row r="12917" spans="39:41" ht="12" customHeight="1" x14ac:dyDescent="0.2">
      <c r="AM12917" t="str">
        <f t="shared" si="202"/>
        <v>Rockanje [NLROC]</v>
      </c>
      <c r="AN12917" t="s">
        <v>23553</v>
      </c>
      <c r="AO12917" t="s">
        <v>23554</v>
      </c>
    </row>
    <row r="12918" spans="39:41" ht="12" customHeight="1" x14ac:dyDescent="0.2">
      <c r="AM12918" t="str">
        <f t="shared" si="202"/>
        <v>Rockaway Parks [USRYK]</v>
      </c>
      <c r="AN12918" t="s">
        <v>31278</v>
      </c>
      <c r="AO12918" t="s">
        <v>31279</v>
      </c>
    </row>
    <row r="12919" spans="39:41" ht="12" customHeight="1" x14ac:dyDescent="0.2">
      <c r="AM12919" t="str">
        <f t="shared" si="202"/>
        <v>Rockhampton [AUROK]</v>
      </c>
      <c r="AN12919" t="s">
        <v>1994</v>
      </c>
      <c r="AO12919" t="s">
        <v>1995</v>
      </c>
    </row>
    <row r="12920" spans="39:41" ht="12" customHeight="1" x14ac:dyDescent="0.2">
      <c r="AM12920" t="str">
        <f t="shared" si="202"/>
        <v>Rockland [USRKD]</v>
      </c>
      <c r="AN12920" t="s">
        <v>31280</v>
      </c>
      <c r="AO12920" t="s">
        <v>31281</v>
      </c>
    </row>
    <row r="12921" spans="39:41" ht="12" customHeight="1" x14ac:dyDescent="0.2">
      <c r="AM12921" t="str">
        <f t="shared" si="202"/>
        <v>Rockport [CAGNN]</v>
      </c>
      <c r="AN12921" t="s">
        <v>4328</v>
      </c>
      <c r="AO12921" t="s">
        <v>4329</v>
      </c>
    </row>
    <row r="12922" spans="39:41" ht="12" customHeight="1" x14ac:dyDescent="0.2">
      <c r="AM12922" t="str">
        <f t="shared" si="202"/>
        <v>Rockport [USR63]</v>
      </c>
      <c r="AN12922" t="s">
        <v>31282</v>
      </c>
      <c r="AO12922" t="s">
        <v>4329</v>
      </c>
    </row>
    <row r="12923" spans="39:41" ht="12" customHeight="1" x14ac:dyDescent="0.2">
      <c r="AM12923" t="str">
        <f t="shared" si="202"/>
        <v>Rockport [USRP3]</v>
      </c>
      <c r="AN12923" t="s">
        <v>31283</v>
      </c>
      <c r="AO12923" t="s">
        <v>4329</v>
      </c>
    </row>
    <row r="12924" spans="39:41" ht="12" customHeight="1" x14ac:dyDescent="0.2">
      <c r="AM12924" t="str">
        <f t="shared" si="202"/>
        <v>Rockville [USR2V]</v>
      </c>
      <c r="AN12924" t="s">
        <v>31284</v>
      </c>
      <c r="AO12924" t="s">
        <v>31285</v>
      </c>
    </row>
    <row r="12925" spans="39:41" ht="12" customHeight="1" x14ac:dyDescent="0.2">
      <c r="AM12925" t="str">
        <f t="shared" si="202"/>
        <v>Rockwood [CARCD]</v>
      </c>
      <c r="AN12925" t="s">
        <v>4330</v>
      </c>
      <c r="AO12925" t="s">
        <v>4331</v>
      </c>
    </row>
    <row r="12926" spans="39:41" ht="12" customHeight="1" x14ac:dyDescent="0.2">
      <c r="AM12926" t="str">
        <f t="shared" si="202"/>
        <v>Rocky Face [USRYF]</v>
      </c>
      <c r="AN12926" t="s">
        <v>31286</v>
      </c>
      <c r="AO12926" t="s">
        <v>31287</v>
      </c>
    </row>
    <row r="12927" spans="39:41" ht="12" customHeight="1" x14ac:dyDescent="0.2">
      <c r="AM12927" t="str">
        <f t="shared" si="202"/>
        <v>Rocky Point [AURYP]</v>
      </c>
      <c r="AN12927" t="s">
        <v>1996</v>
      </c>
      <c r="AO12927" t="s">
        <v>1997</v>
      </c>
    </row>
    <row r="12928" spans="39:41" ht="12" customHeight="1" x14ac:dyDescent="0.2">
      <c r="AM12928" t="str">
        <f t="shared" si="202"/>
        <v>Rocky Point [JMROP]</v>
      </c>
      <c r="AN12928" t="s">
        <v>18452</v>
      </c>
      <c r="AO12928" t="s">
        <v>1997</v>
      </c>
    </row>
    <row r="12929" spans="39:41" ht="12" customHeight="1" x14ac:dyDescent="0.2">
      <c r="AM12929" t="str">
        <f t="shared" si="202"/>
        <v>Rocky River [USRKY]</v>
      </c>
      <c r="AN12929" t="s">
        <v>31288</v>
      </c>
      <c r="AO12929" t="s">
        <v>31289</v>
      </c>
    </row>
    <row r="12930" spans="39:41" ht="12" customHeight="1" x14ac:dyDescent="0.2">
      <c r="AM12930" t="str">
        <f t="shared" si="202"/>
        <v>Rocky View County [CAABR]</v>
      </c>
      <c r="AN12930" t="s">
        <v>4332</v>
      </c>
      <c r="AO12930" t="s">
        <v>4333</v>
      </c>
    </row>
    <row r="12931" spans="39:41" ht="12" customHeight="1" x14ac:dyDescent="0.2">
      <c r="AM12931" t="str">
        <f t="shared" si="202"/>
        <v>Rocourt [BERJT]</v>
      </c>
      <c r="AN12931" t="s">
        <v>2883</v>
      </c>
      <c r="AO12931" t="s">
        <v>2884</v>
      </c>
    </row>
    <row r="12932" spans="39:41" ht="12" customHeight="1" x14ac:dyDescent="0.2">
      <c r="AM12932" t="str">
        <f t="shared" si="202"/>
        <v>Rodange [LUROD]</v>
      </c>
      <c r="AN12932" t="s">
        <v>21913</v>
      </c>
      <c r="AO12932" t="s">
        <v>21914</v>
      </c>
    </row>
    <row r="12933" spans="39:41" ht="12" customHeight="1" x14ac:dyDescent="0.2">
      <c r="AM12933" t="str">
        <f t="shared" si="202"/>
        <v>Rodby [DKROF]</v>
      </c>
      <c r="AN12933" t="s">
        <v>8851</v>
      </c>
      <c r="AO12933" t="s">
        <v>35569</v>
      </c>
    </row>
    <row r="12934" spans="39:41" ht="12" customHeight="1" x14ac:dyDescent="0.2">
      <c r="AM12934" t="str">
        <f t="shared" si="202"/>
        <v>Rodbyhavn [DKROD]</v>
      </c>
      <c r="AN12934" t="s">
        <v>8852</v>
      </c>
      <c r="AO12934" t="s">
        <v>35570</v>
      </c>
    </row>
    <row r="12935" spans="39:41" ht="12" customHeight="1" x14ac:dyDescent="0.2">
      <c r="AM12935" t="str">
        <f t="shared" si="202"/>
        <v>Roddickton [CAROD]</v>
      </c>
      <c r="AN12935" t="s">
        <v>4334</v>
      </c>
      <c r="AO12935" t="s">
        <v>4335</v>
      </c>
    </row>
    <row r="12936" spans="39:41" ht="12" customHeight="1" x14ac:dyDescent="0.2">
      <c r="AM12936" t="str">
        <f t="shared" si="202"/>
        <v>Rodekro [DKRDK]</v>
      </c>
      <c r="AN12936" t="s">
        <v>8853</v>
      </c>
      <c r="AO12936" t="s">
        <v>35571</v>
      </c>
    </row>
    <row r="12937" spans="39:41" ht="12" customHeight="1" x14ac:dyDescent="0.2">
      <c r="AM12937" t="str">
        <f t="shared" si="202"/>
        <v>Rodeo [USRD4]</v>
      </c>
      <c r="AN12937" t="s">
        <v>31290</v>
      </c>
      <c r="AO12937" t="s">
        <v>31291</v>
      </c>
    </row>
    <row r="12938" spans="39:41" ht="12" customHeight="1" x14ac:dyDescent="0.2">
      <c r="AM12938" t="str">
        <f t="shared" si="202"/>
        <v>Rodersheim [DE2RO]</v>
      </c>
      <c r="AN12938" t="s">
        <v>8185</v>
      </c>
      <c r="AO12938" t="s">
        <v>35488</v>
      </c>
    </row>
    <row r="12939" spans="39:41" ht="12" customHeight="1" x14ac:dyDescent="0.2">
      <c r="AM12939" t="str">
        <f t="shared" si="202"/>
        <v>Rodi Garganico [ITRGG]</v>
      </c>
      <c r="AN12939" t="s">
        <v>18264</v>
      </c>
      <c r="AO12939" t="s">
        <v>18265</v>
      </c>
    </row>
    <row r="12940" spans="39:41" ht="12" customHeight="1" x14ac:dyDescent="0.2">
      <c r="AM12940" t="str">
        <f t="shared" si="202"/>
        <v>Rodman [PAROD]</v>
      </c>
      <c r="AN12940" t="s">
        <v>25224</v>
      </c>
      <c r="AO12940" t="s">
        <v>25225</v>
      </c>
    </row>
    <row r="12941" spans="39:41" ht="12" customHeight="1" x14ac:dyDescent="0.2">
      <c r="AM12941" t="str">
        <f t="shared" si="202"/>
        <v>Rodoy [NORDY]</v>
      </c>
      <c r="AN12941" t="s">
        <v>24660</v>
      </c>
      <c r="AO12941" t="s">
        <v>36279</v>
      </c>
    </row>
    <row r="12942" spans="39:41" ht="12" customHeight="1" x14ac:dyDescent="0.2">
      <c r="AM12942" t="str">
        <f t="shared" si="202"/>
        <v>Rodvig Havn [DKRDH]</v>
      </c>
      <c r="AN12942" t="s">
        <v>8854</v>
      </c>
      <c r="AO12942" t="s">
        <v>35572</v>
      </c>
    </row>
    <row r="12943" spans="39:41" ht="12" customHeight="1" x14ac:dyDescent="0.2">
      <c r="AM12943" t="str">
        <f t="shared" si="202"/>
        <v>Roebourne [AURBU]</v>
      </c>
      <c r="AN12943" t="s">
        <v>1998</v>
      </c>
      <c r="AO12943" t="s">
        <v>1999</v>
      </c>
    </row>
    <row r="12944" spans="39:41" ht="12" customHeight="1" x14ac:dyDescent="0.2">
      <c r="AM12944" t="str">
        <f t="shared" si="202"/>
        <v>Roermond [NLOMD]</v>
      </c>
      <c r="AN12944" t="s">
        <v>37055</v>
      </c>
      <c r="AO12944" t="s">
        <v>37056</v>
      </c>
    </row>
    <row r="12945" spans="39:41" ht="12" customHeight="1" x14ac:dyDescent="0.2">
      <c r="AM12945" t="str">
        <f t="shared" si="202"/>
        <v>Roesbrugge [BERBE]</v>
      </c>
      <c r="AN12945" t="s">
        <v>2885</v>
      </c>
      <c r="AO12945" t="s">
        <v>2886</v>
      </c>
    </row>
    <row r="12946" spans="39:41" ht="12" customHeight="1" x14ac:dyDescent="0.2">
      <c r="AM12946" t="str">
        <f t="shared" si="202"/>
        <v>Roesbrugge-Haringe [BERHA]</v>
      </c>
      <c r="AN12946" t="s">
        <v>2887</v>
      </c>
      <c r="AO12946" t="s">
        <v>2888</v>
      </c>
    </row>
    <row r="12947" spans="39:41" ht="12" customHeight="1" x14ac:dyDescent="0.2">
      <c r="AM12947" t="str">
        <f t="shared" si="202"/>
        <v>Roeselare [BEROE]</v>
      </c>
      <c r="AN12947" t="s">
        <v>2889</v>
      </c>
      <c r="AO12947" t="s">
        <v>2890</v>
      </c>
    </row>
    <row r="12948" spans="39:41" ht="12" customHeight="1" x14ac:dyDescent="0.2">
      <c r="AM12948" t="str">
        <f t="shared" si="202"/>
        <v>Rogac [HRRGC]</v>
      </c>
      <c r="AN12948" t="s">
        <v>15897</v>
      </c>
      <c r="AO12948" t="s">
        <v>15898</v>
      </c>
    </row>
    <row r="12949" spans="39:41" ht="12" customHeight="1" x14ac:dyDescent="0.2">
      <c r="AM12949" t="str">
        <f t="shared" si="202"/>
        <v>Rogasovci [SIROG]</v>
      </c>
      <c r="AN12949" t="s">
        <v>28016</v>
      </c>
      <c r="AO12949" t="s">
        <v>28017</v>
      </c>
    </row>
    <row r="12950" spans="39:41" ht="12" customHeight="1" x14ac:dyDescent="0.2">
      <c r="AM12950" t="str">
        <f t="shared" si="202"/>
        <v>Rogers [USRGS]</v>
      </c>
      <c r="AN12950" t="s">
        <v>31292</v>
      </c>
      <c r="AO12950" t="s">
        <v>31293</v>
      </c>
    </row>
    <row r="12951" spans="39:41" ht="12" customHeight="1" x14ac:dyDescent="0.2">
      <c r="AM12951" t="str">
        <f t="shared" si="202"/>
        <v>Rogers City [USRCY]</v>
      </c>
      <c r="AN12951" t="s">
        <v>31294</v>
      </c>
      <c r="AO12951" t="s">
        <v>31295</v>
      </c>
    </row>
    <row r="12952" spans="39:41" ht="12" customHeight="1" x14ac:dyDescent="0.2">
      <c r="AM12952" t="str">
        <f t="shared" si="202"/>
        <v>Rogers Haven [USRH2]</v>
      </c>
      <c r="AN12952" t="s">
        <v>31296</v>
      </c>
      <c r="AO12952" t="s">
        <v>31297</v>
      </c>
    </row>
    <row r="12953" spans="39:41" ht="12" customHeight="1" x14ac:dyDescent="0.2">
      <c r="AM12953" t="str">
        <f t="shared" si="202"/>
        <v>Roggen [USRJQ]</v>
      </c>
      <c r="AN12953" t="s">
        <v>31298</v>
      </c>
      <c r="AO12953" t="s">
        <v>31299</v>
      </c>
    </row>
    <row r="12954" spans="39:41" ht="12" customHeight="1" x14ac:dyDescent="0.2">
      <c r="AM12954" t="str">
        <f t="shared" si="202"/>
        <v>Rognan [NOROG]</v>
      </c>
      <c r="AN12954" t="s">
        <v>24661</v>
      </c>
      <c r="AO12954" t="s">
        <v>24662</v>
      </c>
    </row>
    <row r="12955" spans="39:41" ht="12" customHeight="1" x14ac:dyDescent="0.2">
      <c r="AM12955" t="str">
        <f t="shared" si="202"/>
        <v>Rogny-les-Sept-Ecluses [FRYGP]</v>
      </c>
      <c r="AN12955" t="s">
        <v>11949</v>
      </c>
      <c r="AO12955" t="s">
        <v>11950</v>
      </c>
    </row>
    <row r="12956" spans="39:41" ht="12" customHeight="1" x14ac:dyDescent="0.2">
      <c r="AM12956" t="str">
        <f t="shared" si="202"/>
        <v>Rogoznica [HRRGN]</v>
      </c>
      <c r="AN12956" t="s">
        <v>15899</v>
      </c>
      <c r="AO12956" t="s">
        <v>15900</v>
      </c>
    </row>
    <row r="12957" spans="39:41" ht="12" customHeight="1" x14ac:dyDescent="0.2">
      <c r="AM12957" t="str">
        <f t="shared" si="202"/>
        <v>Rohrau [ATRHR]</v>
      </c>
      <c r="AN12957" t="s">
        <v>1317</v>
      </c>
      <c r="AO12957" t="s">
        <v>1318</v>
      </c>
    </row>
    <row r="12958" spans="39:41" ht="12" customHeight="1" x14ac:dyDescent="0.2">
      <c r="AM12958" t="str">
        <f t="shared" si="202"/>
        <v>Rohukula [EERHK]</v>
      </c>
      <c r="AN12958" t="s">
        <v>9331</v>
      </c>
      <c r="AO12958" t="s">
        <v>35639</v>
      </c>
    </row>
    <row r="12959" spans="39:41" ht="12" customHeight="1" x14ac:dyDescent="0.2">
      <c r="AM12959" t="str">
        <f t="shared" si="202"/>
        <v>Rohuneeme [EERON]</v>
      </c>
      <c r="AN12959" t="s">
        <v>9332</v>
      </c>
      <c r="AO12959" t="s">
        <v>9333</v>
      </c>
    </row>
    <row r="12960" spans="39:41" ht="12" customHeight="1" x14ac:dyDescent="0.2">
      <c r="AM12960" t="str">
        <f t="shared" si="202"/>
        <v>Rohuneeme Vaikesadam [EERNV]</v>
      </c>
      <c r="AN12960" t="s">
        <v>9334</v>
      </c>
      <c r="AO12960" t="s">
        <v>35640</v>
      </c>
    </row>
    <row r="12961" spans="39:41" ht="12" customHeight="1" x14ac:dyDescent="0.2">
      <c r="AM12961" t="str">
        <f t="shared" si="202"/>
        <v>Roja [LVROJ]</v>
      </c>
      <c r="AN12961" t="s">
        <v>21945</v>
      </c>
      <c r="AO12961" t="s">
        <v>21946</v>
      </c>
    </row>
    <row r="12962" spans="39:41" ht="12" customHeight="1" x14ac:dyDescent="0.2">
      <c r="AM12962" t="str">
        <f t="shared" si="202"/>
        <v>Rokietnica [PLROI]</v>
      </c>
      <c r="AN12962" t="s">
        <v>26372</v>
      </c>
      <c r="AO12962" t="s">
        <v>26373</v>
      </c>
    </row>
    <row r="12963" spans="39:41" ht="12" customHeight="1" x14ac:dyDescent="0.2">
      <c r="AM12963" t="str">
        <f t="shared" si="202"/>
        <v>Rokko Island [JPRKO]</v>
      </c>
      <c r="AN12963" t="s">
        <v>20580</v>
      </c>
      <c r="AO12963" t="s">
        <v>20581</v>
      </c>
    </row>
    <row r="12964" spans="39:41" ht="12" customHeight="1" x14ac:dyDescent="0.2">
      <c r="AM12964" t="str">
        <f t="shared" si="202"/>
        <v>Rolleston [NZOLT]</v>
      </c>
      <c r="AN12964" t="s">
        <v>25104</v>
      </c>
      <c r="AO12964" t="s">
        <v>25105</v>
      </c>
    </row>
    <row r="12965" spans="39:41" ht="12" customHeight="1" x14ac:dyDescent="0.2">
      <c r="AM12965" t="str">
        <f t="shared" si="202"/>
        <v>Rollinsford [USR3O]</v>
      </c>
      <c r="AN12965" t="s">
        <v>31300</v>
      </c>
      <c r="AO12965" t="s">
        <v>31301</v>
      </c>
    </row>
    <row r="12966" spans="39:41" ht="12" customHeight="1" x14ac:dyDescent="0.2">
      <c r="AM12966" t="str">
        <f t="shared" si="202"/>
        <v>Romanshorn [CHRMH]</v>
      </c>
      <c r="AN12966" t="s">
        <v>4738</v>
      </c>
      <c r="AO12966" t="s">
        <v>4739</v>
      </c>
    </row>
    <row r="12967" spans="39:41" ht="12" customHeight="1" x14ac:dyDescent="0.2">
      <c r="AM12967" t="str">
        <f t="shared" si="202"/>
        <v>Romblon [PHRLN]</v>
      </c>
      <c r="AN12967" t="s">
        <v>26095</v>
      </c>
      <c r="AO12967" t="s">
        <v>26096</v>
      </c>
    </row>
    <row r="12968" spans="39:41" ht="12" customHeight="1" x14ac:dyDescent="0.2">
      <c r="AM12968" t="str">
        <f t="shared" si="202"/>
        <v>Romblon [PHROM]</v>
      </c>
      <c r="AN12968" t="s">
        <v>26097</v>
      </c>
      <c r="AO12968" t="s">
        <v>26096</v>
      </c>
    </row>
    <row r="12969" spans="39:41" ht="12" customHeight="1" x14ac:dyDescent="0.2">
      <c r="AM12969" t="str">
        <f t="shared" si="202"/>
        <v>Rome (Roma) [ITROM]</v>
      </c>
      <c r="AN12969" t="s">
        <v>37009</v>
      </c>
      <c r="AO12969" t="s">
        <v>37010</v>
      </c>
    </row>
    <row r="12970" spans="39:41" ht="12" customHeight="1" x14ac:dyDescent="0.2">
      <c r="AM12970" t="str">
        <f t="shared" si="202"/>
        <v>Romeny-sur-Marne [FRVFG]</v>
      </c>
      <c r="AN12970" t="s">
        <v>11951</v>
      </c>
      <c r="AO12970" t="s">
        <v>11952</v>
      </c>
    </row>
    <row r="12971" spans="39:41" ht="12" customHeight="1" x14ac:dyDescent="0.2">
      <c r="AM12971" t="str">
        <f t="shared" si="202"/>
        <v>Romo [DKRMO]</v>
      </c>
      <c r="AN12971" t="s">
        <v>8855</v>
      </c>
      <c r="AO12971" t="s">
        <v>8856</v>
      </c>
    </row>
    <row r="12972" spans="39:41" ht="12" customHeight="1" x14ac:dyDescent="0.2">
      <c r="AM12972" t="str">
        <f t="shared" si="202"/>
        <v>Romoland [USOMD]</v>
      </c>
      <c r="AN12972" t="s">
        <v>31302</v>
      </c>
      <c r="AO12972" t="s">
        <v>31303</v>
      </c>
    </row>
    <row r="12973" spans="39:41" ht="12" customHeight="1" x14ac:dyDescent="0.2">
      <c r="AM12973" t="str">
        <f t="shared" ref="AM12973:AM13036" si="203">AO12973 &amp; " [" &amp; AN12973 &amp; "]"</f>
        <v>Ronchin [FRZOG]</v>
      </c>
      <c r="AN12973" t="s">
        <v>11953</v>
      </c>
      <c r="AO12973" t="s">
        <v>11954</v>
      </c>
    </row>
    <row r="12974" spans="39:41" ht="12" customHeight="1" x14ac:dyDescent="0.2">
      <c r="AM12974" t="str">
        <f t="shared" si="203"/>
        <v>Roncq [FRRON]</v>
      </c>
      <c r="AN12974" t="s">
        <v>11955</v>
      </c>
      <c r="AO12974" t="s">
        <v>11956</v>
      </c>
    </row>
    <row r="12975" spans="39:41" ht="12" customHeight="1" x14ac:dyDescent="0.2">
      <c r="AM12975" t="str">
        <f t="shared" si="203"/>
        <v>Ronden [JPRND]</v>
      </c>
      <c r="AN12975" t="s">
        <v>20582</v>
      </c>
      <c r="AO12975" t="s">
        <v>20583</v>
      </c>
    </row>
    <row r="12976" spans="39:41" ht="12" customHeight="1" x14ac:dyDescent="0.2">
      <c r="AM12976" t="str">
        <f t="shared" si="203"/>
        <v>Ronehamn [SERNH]</v>
      </c>
      <c r="AN12976" t="s">
        <v>27810</v>
      </c>
      <c r="AO12976" t="s">
        <v>27811</v>
      </c>
    </row>
    <row r="12977" spans="39:41" ht="12" customHeight="1" x14ac:dyDescent="0.2">
      <c r="AM12977" t="str">
        <f t="shared" si="203"/>
        <v>Rong'an [CNRGA]</v>
      </c>
      <c r="AN12977" t="s">
        <v>5919</v>
      </c>
      <c r="AO12977" t="s">
        <v>5920</v>
      </c>
    </row>
    <row r="12978" spans="39:41" ht="12" customHeight="1" x14ac:dyDescent="0.2">
      <c r="AM12978" t="str">
        <f t="shared" si="203"/>
        <v>Rongcheng [CNRCG]</v>
      </c>
      <c r="AN12978" t="s">
        <v>5921</v>
      </c>
      <c r="AO12978" t="s">
        <v>5922</v>
      </c>
    </row>
    <row r="12979" spans="39:41" ht="12" customHeight="1" x14ac:dyDescent="0.2">
      <c r="AM12979" t="str">
        <f t="shared" si="203"/>
        <v>Rongcheng [CNRCH]</v>
      </c>
      <c r="AN12979" t="s">
        <v>5923</v>
      </c>
      <c r="AO12979" t="s">
        <v>5922</v>
      </c>
    </row>
    <row r="12980" spans="39:41" ht="12" customHeight="1" x14ac:dyDescent="0.2">
      <c r="AM12980" t="str">
        <f t="shared" si="203"/>
        <v>Rongcheng [CNRGC]</v>
      </c>
      <c r="AN12980" t="s">
        <v>5924</v>
      </c>
      <c r="AO12980" t="s">
        <v>5922</v>
      </c>
    </row>
    <row r="12981" spans="39:41" ht="12" customHeight="1" x14ac:dyDescent="0.2">
      <c r="AM12981" t="str">
        <f t="shared" si="203"/>
        <v>Rongjiang [CNRJG]</v>
      </c>
      <c r="AN12981" t="s">
        <v>5925</v>
      </c>
      <c r="AO12981" t="s">
        <v>5926</v>
      </c>
    </row>
    <row r="12982" spans="39:41" ht="12" customHeight="1" x14ac:dyDescent="0.2">
      <c r="AM12982" t="str">
        <f t="shared" si="203"/>
        <v>Rongqi Pt [CNROQ]</v>
      </c>
      <c r="AN12982" t="s">
        <v>5927</v>
      </c>
      <c r="AO12982" t="s">
        <v>5928</v>
      </c>
    </row>
    <row r="12983" spans="39:41" ht="12" customHeight="1" x14ac:dyDescent="0.2">
      <c r="AM12983" t="str">
        <f t="shared" si="203"/>
        <v>Rongshui [CNRSI]</v>
      </c>
      <c r="AN12983" t="s">
        <v>5929</v>
      </c>
      <c r="AO12983" t="s">
        <v>5930</v>
      </c>
    </row>
    <row r="12984" spans="39:41" ht="12" customHeight="1" x14ac:dyDescent="0.2">
      <c r="AM12984" t="str">
        <f t="shared" si="203"/>
        <v>Ronks [USROJ]</v>
      </c>
      <c r="AN12984" t="s">
        <v>31304</v>
      </c>
      <c r="AO12984" t="s">
        <v>31305</v>
      </c>
    </row>
    <row r="12985" spans="39:41" ht="12" customHeight="1" x14ac:dyDescent="0.2">
      <c r="AM12985" t="str">
        <f t="shared" si="203"/>
        <v>Ronnang [SERNG]</v>
      </c>
      <c r="AN12985" t="s">
        <v>27812</v>
      </c>
      <c r="AO12985" t="s">
        <v>36506</v>
      </c>
    </row>
    <row r="12986" spans="39:41" ht="12" customHeight="1" x14ac:dyDescent="0.2">
      <c r="AM12986" t="str">
        <f t="shared" si="203"/>
        <v>Ronne [DKRNN]</v>
      </c>
      <c r="AN12986" t="s">
        <v>8857</v>
      </c>
      <c r="AO12986" t="s">
        <v>35573</v>
      </c>
    </row>
    <row r="12987" spans="39:41" ht="12" customHeight="1" x14ac:dyDescent="0.2">
      <c r="AM12987" t="str">
        <f t="shared" si="203"/>
        <v>Ronneby [SERNB]</v>
      </c>
      <c r="AN12987" t="s">
        <v>27813</v>
      </c>
      <c r="AO12987" t="s">
        <v>27814</v>
      </c>
    </row>
    <row r="12988" spans="39:41" ht="12" customHeight="1" x14ac:dyDescent="0.2">
      <c r="AM12988" t="str">
        <f t="shared" si="203"/>
        <v>Ronnebyhamn [SERBY]</v>
      </c>
      <c r="AN12988" t="s">
        <v>27815</v>
      </c>
      <c r="AO12988" t="s">
        <v>27816</v>
      </c>
    </row>
    <row r="12989" spans="39:41" ht="12" customHeight="1" x14ac:dyDescent="0.2">
      <c r="AM12989" t="str">
        <f t="shared" si="203"/>
        <v>Ronningen [NORON]</v>
      </c>
      <c r="AN12989" t="s">
        <v>37098</v>
      </c>
      <c r="AO12989" t="s">
        <v>37099</v>
      </c>
    </row>
    <row r="12990" spans="39:41" ht="12" customHeight="1" x14ac:dyDescent="0.2">
      <c r="AM12990" t="str">
        <f t="shared" si="203"/>
        <v>Ronnskar [SEROR]</v>
      </c>
      <c r="AN12990" t="s">
        <v>27817</v>
      </c>
      <c r="AO12990" t="s">
        <v>36507</v>
      </c>
    </row>
    <row r="12991" spans="39:41" ht="12" customHeight="1" x14ac:dyDescent="0.2">
      <c r="AM12991" t="str">
        <f t="shared" si="203"/>
        <v>Ronnskarsverken [SEROV]</v>
      </c>
      <c r="AN12991" t="s">
        <v>27818</v>
      </c>
      <c r="AO12991" t="s">
        <v>36508</v>
      </c>
    </row>
    <row r="12992" spans="39:41" ht="12" customHeight="1" x14ac:dyDescent="0.2">
      <c r="AM12992" t="str">
        <f t="shared" si="203"/>
        <v>Ronquieres [BERQS]</v>
      </c>
      <c r="AN12992" t="s">
        <v>2891</v>
      </c>
      <c r="AO12992" t="s">
        <v>35280</v>
      </c>
    </row>
    <row r="12993" spans="39:41" ht="12" customHeight="1" x14ac:dyDescent="0.2">
      <c r="AM12993" t="str">
        <f t="shared" si="203"/>
        <v>Roograhu [EERGR]</v>
      </c>
      <c r="AN12993" t="s">
        <v>9335</v>
      </c>
      <c r="AO12993" t="s">
        <v>9336</v>
      </c>
    </row>
    <row r="12994" spans="39:41" ht="12" customHeight="1" x14ac:dyDescent="0.2">
      <c r="AM12994" t="str">
        <f t="shared" si="203"/>
        <v>Roomassaare [EERMS]</v>
      </c>
      <c r="AN12994" t="s">
        <v>9337</v>
      </c>
      <c r="AO12994" t="s">
        <v>9338</v>
      </c>
    </row>
    <row r="12995" spans="39:41" ht="12" customHeight="1" x14ac:dyDescent="0.2">
      <c r="AM12995" t="str">
        <f t="shared" si="203"/>
        <v>Roompotsluis [NLRSL]</v>
      </c>
      <c r="AN12995" t="s">
        <v>37057</v>
      </c>
      <c r="AO12995" t="s">
        <v>37058</v>
      </c>
    </row>
    <row r="12996" spans="39:41" ht="12" customHeight="1" x14ac:dyDescent="0.2">
      <c r="AM12996" t="str">
        <f t="shared" si="203"/>
        <v>Roopa [EEROO]</v>
      </c>
      <c r="AN12996" t="s">
        <v>9339</v>
      </c>
      <c r="AO12996" t="s">
        <v>9340</v>
      </c>
    </row>
    <row r="12997" spans="39:41" ht="12" customHeight="1" x14ac:dyDescent="0.2">
      <c r="AM12997" t="str">
        <f t="shared" si="203"/>
        <v>Roosevelt [USRLT]</v>
      </c>
      <c r="AN12997" t="s">
        <v>31306</v>
      </c>
      <c r="AO12997" t="s">
        <v>31307</v>
      </c>
    </row>
    <row r="12998" spans="39:41" ht="12" customHeight="1" x14ac:dyDescent="0.2">
      <c r="AM12998" t="str">
        <f t="shared" si="203"/>
        <v>Roosteren [NLRST]</v>
      </c>
      <c r="AN12998" t="s">
        <v>23555</v>
      </c>
      <c r="AO12998" t="s">
        <v>23556</v>
      </c>
    </row>
    <row r="12999" spans="39:41" ht="12" customHeight="1" x14ac:dyDescent="0.2">
      <c r="AM12999" t="str">
        <f t="shared" si="203"/>
        <v>Rootstown [USR34]</v>
      </c>
      <c r="AN12999" t="s">
        <v>31308</v>
      </c>
      <c r="AO12999" t="s">
        <v>31309</v>
      </c>
    </row>
    <row r="13000" spans="39:41" ht="12" customHeight="1" x14ac:dyDescent="0.2">
      <c r="AM13000" t="str">
        <f t="shared" si="203"/>
        <v>Ropazi [LVROP]</v>
      </c>
      <c r="AN13000" t="s">
        <v>21947</v>
      </c>
      <c r="AO13000" t="s">
        <v>21948</v>
      </c>
    </row>
    <row r="13001" spans="39:41" ht="12" customHeight="1" x14ac:dyDescent="0.2">
      <c r="AM13001" t="str">
        <f t="shared" si="203"/>
        <v>Roquebrune-sur-Argens [FRRSA]</v>
      </c>
      <c r="AN13001" t="s">
        <v>11957</v>
      </c>
      <c r="AO13001" t="s">
        <v>11958</v>
      </c>
    </row>
    <row r="13002" spans="39:41" ht="12" customHeight="1" x14ac:dyDescent="0.2">
      <c r="AM13002" t="str">
        <f t="shared" si="203"/>
        <v>Roquecourbe [FRWIK]</v>
      </c>
      <c r="AN13002" t="s">
        <v>11959</v>
      </c>
      <c r="AO13002" t="s">
        <v>11960</v>
      </c>
    </row>
    <row r="13003" spans="39:41" ht="12" customHeight="1" x14ac:dyDescent="0.2">
      <c r="AM13003" t="str">
        <f t="shared" si="203"/>
        <v>Roquefort-des-Corbieres [FRBKD]</v>
      </c>
      <c r="AN13003" t="s">
        <v>11961</v>
      </c>
      <c r="AO13003" t="s">
        <v>11962</v>
      </c>
    </row>
    <row r="13004" spans="39:41" ht="12" customHeight="1" x14ac:dyDescent="0.2">
      <c r="AM13004" t="str">
        <f t="shared" si="203"/>
        <v>Rorvig [DKRRV]</v>
      </c>
      <c r="AN13004" t="s">
        <v>8858</v>
      </c>
      <c r="AO13004" t="s">
        <v>35574</v>
      </c>
    </row>
    <row r="13005" spans="39:41" ht="12" customHeight="1" x14ac:dyDescent="0.2">
      <c r="AM13005" t="str">
        <f t="shared" si="203"/>
        <v>Rorvik [NORVK]</v>
      </c>
      <c r="AN13005" t="s">
        <v>24663</v>
      </c>
      <c r="AO13005" t="s">
        <v>36280</v>
      </c>
    </row>
    <row r="13006" spans="39:41" ht="12" customHeight="1" x14ac:dyDescent="0.2">
      <c r="AM13006" t="str">
        <f t="shared" si="203"/>
        <v>Rosario [ARROS]</v>
      </c>
      <c r="AN13006" t="s">
        <v>1105</v>
      </c>
      <c r="AO13006" t="s">
        <v>1106</v>
      </c>
    </row>
    <row r="13007" spans="39:41" ht="12" customHeight="1" x14ac:dyDescent="0.2">
      <c r="AM13007" t="str">
        <f t="shared" si="203"/>
        <v>Rosario de la Frontera [ARRFO]</v>
      </c>
      <c r="AN13007" t="s">
        <v>1107</v>
      </c>
      <c r="AO13007" t="s">
        <v>1108</v>
      </c>
    </row>
    <row r="13008" spans="39:41" ht="12" customHeight="1" x14ac:dyDescent="0.2">
      <c r="AM13008" t="str">
        <f t="shared" si="203"/>
        <v>Rosarito Terminal [MXRST]</v>
      </c>
      <c r="AN13008" t="s">
        <v>22433</v>
      </c>
      <c r="AO13008" t="s">
        <v>22434</v>
      </c>
    </row>
    <row r="13009" spans="39:41" ht="12" customHeight="1" x14ac:dyDescent="0.2">
      <c r="AM13009" t="str">
        <f t="shared" si="203"/>
        <v>Rosas [ESROS]</v>
      </c>
      <c r="AN13009" t="s">
        <v>10105</v>
      </c>
      <c r="AO13009" t="s">
        <v>10106</v>
      </c>
    </row>
    <row r="13010" spans="39:41" ht="12" customHeight="1" x14ac:dyDescent="0.2">
      <c r="AM13010" t="str">
        <f t="shared" si="203"/>
        <v>Roschbach [DEHJK]</v>
      </c>
      <c r="AN13010" t="s">
        <v>8186</v>
      </c>
      <c r="AO13010" t="s">
        <v>8187</v>
      </c>
    </row>
    <row r="13011" spans="39:41" ht="12" customHeight="1" x14ac:dyDescent="0.2">
      <c r="AM13011" t="str">
        <f t="shared" si="203"/>
        <v>Roscoff [FRROS]</v>
      </c>
      <c r="AN13011" t="s">
        <v>11963</v>
      </c>
      <c r="AO13011" t="s">
        <v>11964</v>
      </c>
    </row>
    <row r="13012" spans="39:41" ht="12" customHeight="1" x14ac:dyDescent="0.2">
      <c r="AM13012" t="str">
        <f t="shared" si="203"/>
        <v>Roseau [DMRSU]</v>
      </c>
      <c r="AN13012" t="s">
        <v>8979</v>
      </c>
      <c r="AO13012" t="s">
        <v>8980</v>
      </c>
    </row>
    <row r="13013" spans="39:41" ht="12" customHeight="1" x14ac:dyDescent="0.2">
      <c r="AM13013" t="str">
        <f t="shared" si="203"/>
        <v>Rosehearty [GBRTY]</v>
      </c>
      <c r="AN13013" t="s">
        <v>14279</v>
      </c>
      <c r="AO13013" t="s">
        <v>14280</v>
      </c>
    </row>
    <row r="13014" spans="39:41" ht="12" customHeight="1" x14ac:dyDescent="0.2">
      <c r="AM13014" t="str">
        <f t="shared" si="203"/>
        <v>Roselies [BEROS]</v>
      </c>
      <c r="AN13014" t="s">
        <v>2892</v>
      </c>
      <c r="AO13014" t="s">
        <v>2893</v>
      </c>
    </row>
    <row r="13015" spans="39:41" ht="12" customHeight="1" x14ac:dyDescent="0.2">
      <c r="AM13015" t="str">
        <f t="shared" si="203"/>
        <v>Rosemarkie [GBRME]</v>
      </c>
      <c r="AN13015" t="s">
        <v>14281</v>
      </c>
      <c r="AO13015" t="s">
        <v>14282</v>
      </c>
    </row>
    <row r="13016" spans="39:41" ht="12" customHeight="1" x14ac:dyDescent="0.2">
      <c r="AM13016" t="str">
        <f t="shared" si="203"/>
        <v>Rosenberg [USRSG]</v>
      </c>
      <c r="AN13016" t="s">
        <v>31310</v>
      </c>
      <c r="AO13016" t="s">
        <v>31311</v>
      </c>
    </row>
    <row r="13017" spans="39:41" ht="12" customHeight="1" x14ac:dyDescent="0.2">
      <c r="AM13017" t="str">
        <f t="shared" si="203"/>
        <v>Rosendal [NORSE]</v>
      </c>
      <c r="AN13017" t="s">
        <v>37100</v>
      </c>
      <c r="AO13017" t="s">
        <v>37101</v>
      </c>
    </row>
    <row r="13018" spans="39:41" ht="12" customHeight="1" x14ac:dyDescent="0.2">
      <c r="AM13018" t="str">
        <f t="shared" si="203"/>
        <v>Rosenheim [DEROS]</v>
      </c>
      <c r="AN13018" t="s">
        <v>8188</v>
      </c>
      <c r="AO13018" t="s">
        <v>8189</v>
      </c>
    </row>
    <row r="13019" spans="39:41" ht="12" customHeight="1" x14ac:dyDescent="0.2">
      <c r="AM13019" t="str">
        <f t="shared" si="203"/>
        <v>Roseton [USRJT]</v>
      </c>
      <c r="AN13019" t="s">
        <v>31312</v>
      </c>
      <c r="AO13019" t="s">
        <v>31313</v>
      </c>
    </row>
    <row r="13020" spans="39:41" ht="12" customHeight="1" x14ac:dyDescent="0.2">
      <c r="AM13020" t="str">
        <f t="shared" si="203"/>
        <v>Roseville [USRV9]</v>
      </c>
      <c r="AN13020" t="s">
        <v>31314</v>
      </c>
      <c r="AO13020" t="s">
        <v>31315</v>
      </c>
    </row>
    <row r="13021" spans="39:41" ht="12" customHeight="1" x14ac:dyDescent="0.2">
      <c r="AM13021" t="str">
        <f t="shared" si="203"/>
        <v>Rosia Montana [RORNN]</v>
      </c>
      <c r="AN13021" t="s">
        <v>26816</v>
      </c>
      <c r="AO13021" t="s">
        <v>26817</v>
      </c>
    </row>
    <row r="13022" spans="39:41" ht="12" customHeight="1" x14ac:dyDescent="0.2">
      <c r="AM13022" t="str">
        <f t="shared" si="203"/>
        <v>Rosiclare [USRSK]</v>
      </c>
      <c r="AN13022" t="s">
        <v>31316</v>
      </c>
      <c r="AO13022" t="s">
        <v>31317</v>
      </c>
    </row>
    <row r="13023" spans="39:41" ht="12" customHeight="1" x14ac:dyDescent="0.2">
      <c r="AM13023" t="str">
        <f t="shared" si="203"/>
        <v>Rosieres-aux-Salines [FRRXL]</v>
      </c>
      <c r="AN13023" t="s">
        <v>11965</v>
      </c>
      <c r="AO13023" t="s">
        <v>35838</v>
      </c>
    </row>
    <row r="13024" spans="39:41" ht="12" customHeight="1" x14ac:dyDescent="0.2">
      <c r="AM13024" t="str">
        <f t="shared" si="203"/>
        <v>Rosignano Solvay [ITGSV]</v>
      </c>
      <c r="AN13024" t="s">
        <v>18266</v>
      </c>
      <c r="AO13024" t="s">
        <v>18267</v>
      </c>
    </row>
    <row r="13025" spans="39:41" ht="12" customHeight="1" x14ac:dyDescent="0.2">
      <c r="AM13025" t="str">
        <f t="shared" si="203"/>
        <v>Roskilde [DKRKE]</v>
      </c>
      <c r="AN13025" t="s">
        <v>8859</v>
      </c>
      <c r="AO13025" t="s">
        <v>8860</v>
      </c>
    </row>
    <row r="13026" spans="39:41" ht="12" customHeight="1" x14ac:dyDescent="0.2">
      <c r="AM13026" t="str">
        <f t="shared" si="203"/>
        <v>Roslyn Heights [USRYN]</v>
      </c>
      <c r="AN13026" t="s">
        <v>31318</v>
      </c>
      <c r="AO13026" t="s">
        <v>31319</v>
      </c>
    </row>
    <row r="13027" spans="39:41" ht="12" customHeight="1" x14ac:dyDescent="0.2">
      <c r="AM13027" t="str">
        <f t="shared" si="203"/>
        <v>Rosneath [GBRSH]</v>
      </c>
      <c r="AN13027" t="s">
        <v>14283</v>
      </c>
      <c r="AO13027" t="s">
        <v>14284</v>
      </c>
    </row>
    <row r="13028" spans="39:41" ht="12" customHeight="1" x14ac:dyDescent="0.2">
      <c r="AM13028" t="str">
        <f t="shared" si="203"/>
        <v>Rossaveel [IERAV]</v>
      </c>
      <c r="AN13028" t="s">
        <v>16902</v>
      </c>
      <c r="AO13028" t="s">
        <v>16903</v>
      </c>
    </row>
    <row r="13029" spans="39:41" ht="12" customHeight="1" x14ac:dyDescent="0.2">
      <c r="AM13029" t="str">
        <f t="shared" si="203"/>
        <v>Rossaveel [IERSM]</v>
      </c>
      <c r="AN13029" t="s">
        <v>16904</v>
      </c>
      <c r="AO13029" t="s">
        <v>16903</v>
      </c>
    </row>
    <row r="13030" spans="39:41" ht="12" customHeight="1" x14ac:dyDescent="0.2">
      <c r="AM13030" t="str">
        <f t="shared" si="203"/>
        <v>Rossburgh [ESVEZ]</v>
      </c>
      <c r="AN13030" t="s">
        <v>10107</v>
      </c>
      <c r="AO13030" t="s">
        <v>10108</v>
      </c>
    </row>
    <row r="13031" spans="39:41" ht="12" customHeight="1" x14ac:dyDescent="0.2">
      <c r="AM13031" t="str">
        <f t="shared" si="203"/>
        <v>Rossendale [GBRDA]</v>
      </c>
      <c r="AN13031" t="s">
        <v>14285</v>
      </c>
      <c r="AO13031" t="s">
        <v>14286</v>
      </c>
    </row>
    <row r="13032" spans="39:41" ht="12" customHeight="1" x14ac:dyDescent="0.2">
      <c r="AM13032" t="str">
        <f t="shared" si="203"/>
        <v>Rosslare [IEROE]</v>
      </c>
      <c r="AN13032" t="s">
        <v>16905</v>
      </c>
      <c r="AO13032" t="s">
        <v>16906</v>
      </c>
    </row>
    <row r="13033" spans="39:41" ht="12" customHeight="1" x14ac:dyDescent="0.2">
      <c r="AM13033" t="str">
        <f t="shared" si="203"/>
        <v>Rosslare Harbour [IEROS]</v>
      </c>
      <c r="AN13033" t="s">
        <v>16907</v>
      </c>
      <c r="AO13033" t="s">
        <v>16908</v>
      </c>
    </row>
    <row r="13034" spans="39:41" ht="12" customHeight="1" x14ac:dyDescent="0.2">
      <c r="AM13034" t="str">
        <f t="shared" si="203"/>
        <v>Rosslyn Bay [AURNB]</v>
      </c>
      <c r="AN13034" t="s">
        <v>2000</v>
      </c>
      <c r="AO13034" t="s">
        <v>2001</v>
      </c>
    </row>
    <row r="13035" spans="39:41" ht="12" customHeight="1" x14ac:dyDescent="0.2">
      <c r="AM13035" t="str">
        <f t="shared" si="203"/>
        <v>Rosso [MRROS]</v>
      </c>
      <c r="AN13035" t="s">
        <v>22237</v>
      </c>
      <c r="AO13035" t="s">
        <v>22238</v>
      </c>
    </row>
    <row r="13036" spans="39:41" ht="12" customHeight="1" x14ac:dyDescent="0.2">
      <c r="AM13036" t="str">
        <f t="shared" si="203"/>
        <v>Rossport [CARPO]</v>
      </c>
      <c r="AN13036" t="s">
        <v>4336</v>
      </c>
      <c r="AO13036" t="s">
        <v>4337</v>
      </c>
    </row>
    <row r="13037" spans="39:41" ht="12" customHeight="1" x14ac:dyDescent="0.2">
      <c r="AM13037" t="str">
        <f t="shared" ref="AM13037:AM13100" si="204">AO13037 &amp; " [" &amp; AN13037 &amp; "]"</f>
        <v>Rost [NORET]</v>
      </c>
      <c r="AN13037" t="s">
        <v>24664</v>
      </c>
      <c r="AO13037" t="s">
        <v>36281</v>
      </c>
    </row>
    <row r="13038" spans="39:41" ht="12" customHeight="1" x14ac:dyDescent="0.2">
      <c r="AM13038" t="str">
        <f t="shared" si="204"/>
        <v>Rostock [DERSK]</v>
      </c>
      <c r="AN13038" t="s">
        <v>8190</v>
      </c>
      <c r="AO13038" t="s">
        <v>8191</v>
      </c>
    </row>
    <row r="13039" spans="39:41" ht="12" customHeight="1" x14ac:dyDescent="0.2">
      <c r="AM13039" t="str">
        <f t="shared" si="204"/>
        <v>Rostov [RUROV]</v>
      </c>
      <c r="AN13039" t="s">
        <v>27202</v>
      </c>
      <c r="AO13039" t="s">
        <v>27203</v>
      </c>
    </row>
    <row r="13040" spans="39:41" ht="12" customHeight="1" x14ac:dyDescent="0.2">
      <c r="AM13040" t="str">
        <f t="shared" si="204"/>
        <v>Rostov-na-Donu [RURND]</v>
      </c>
      <c r="AN13040" t="s">
        <v>36407</v>
      </c>
      <c r="AO13040" t="s">
        <v>36408</v>
      </c>
    </row>
    <row r="13041" spans="39:41" ht="12" customHeight="1" x14ac:dyDescent="0.2">
      <c r="AM13041" t="str">
        <f t="shared" si="204"/>
        <v>Rostrevor [GBROR]</v>
      </c>
      <c r="AN13041" t="s">
        <v>14287</v>
      </c>
      <c r="AO13041" t="s">
        <v>14288</v>
      </c>
    </row>
    <row r="13042" spans="39:41" ht="12" customHeight="1" x14ac:dyDescent="0.2">
      <c r="AM13042" t="str">
        <f t="shared" si="204"/>
        <v>Rosult [FRRSQ]</v>
      </c>
      <c r="AN13042" t="s">
        <v>11966</v>
      </c>
      <c r="AO13042" t="s">
        <v>11967</v>
      </c>
    </row>
    <row r="13043" spans="39:41" ht="12" customHeight="1" x14ac:dyDescent="0.2">
      <c r="AM13043" t="str">
        <f t="shared" si="204"/>
        <v>Rosyth [GBROY]</v>
      </c>
      <c r="AN13043" t="s">
        <v>14289</v>
      </c>
      <c r="AO13043" t="s">
        <v>14290</v>
      </c>
    </row>
    <row r="13044" spans="39:41" ht="12" customHeight="1" x14ac:dyDescent="0.2">
      <c r="AM13044" t="str">
        <f t="shared" si="204"/>
        <v>Rot an der Rot [DERDT]</v>
      </c>
      <c r="AN13044" t="s">
        <v>8192</v>
      </c>
      <c r="AO13044" t="s">
        <v>8193</v>
      </c>
    </row>
    <row r="13045" spans="39:41" ht="12" customHeight="1" x14ac:dyDescent="0.2">
      <c r="AM13045" t="str">
        <f t="shared" si="204"/>
        <v>Rota [ESROT]</v>
      </c>
      <c r="AN13045" t="s">
        <v>10109</v>
      </c>
      <c r="AO13045" t="s">
        <v>10110</v>
      </c>
    </row>
    <row r="13046" spans="39:41" ht="12" customHeight="1" x14ac:dyDescent="0.2">
      <c r="AM13046" t="str">
        <f t="shared" si="204"/>
        <v>Rota-Izmit Bay [TRRZY]</v>
      </c>
      <c r="AN13046" t="s">
        <v>28574</v>
      </c>
      <c r="AO13046" t="s">
        <v>28575</v>
      </c>
    </row>
    <row r="13047" spans="39:41" ht="12" customHeight="1" x14ac:dyDescent="0.2">
      <c r="AM13047" t="str">
        <f t="shared" si="204"/>
        <v>Rotenburg an der Fulda [DERBF]</v>
      </c>
      <c r="AN13047" t="s">
        <v>8194</v>
      </c>
      <c r="AO13047" t="s">
        <v>8195</v>
      </c>
    </row>
    <row r="13048" spans="39:41" ht="12" customHeight="1" x14ac:dyDescent="0.2">
      <c r="AM13048" t="str">
        <f t="shared" si="204"/>
        <v>Rothensee [DEOHE]</v>
      </c>
      <c r="AN13048" t="s">
        <v>8196</v>
      </c>
      <c r="AO13048" t="s">
        <v>8197</v>
      </c>
    </row>
    <row r="13049" spans="39:41" ht="12" customHeight="1" x14ac:dyDescent="0.2">
      <c r="AM13049" t="str">
        <f t="shared" si="204"/>
        <v>Rothera [AQROT]</v>
      </c>
      <c r="AN13049" t="s">
        <v>962</v>
      </c>
      <c r="AO13049" t="s">
        <v>963</v>
      </c>
    </row>
    <row r="13050" spans="39:41" ht="12" customHeight="1" x14ac:dyDescent="0.2">
      <c r="AM13050" t="str">
        <f t="shared" si="204"/>
        <v>Rotherham [GBRTH]</v>
      </c>
      <c r="AN13050" t="s">
        <v>14291</v>
      </c>
      <c r="AO13050" t="s">
        <v>14292</v>
      </c>
    </row>
    <row r="13051" spans="39:41" ht="12" customHeight="1" x14ac:dyDescent="0.2">
      <c r="AM13051" t="str">
        <f t="shared" si="204"/>
        <v>Rothesay, Isle of Bute [GBRAY]</v>
      </c>
      <c r="AN13051" t="s">
        <v>14293</v>
      </c>
      <c r="AO13051" t="s">
        <v>14294</v>
      </c>
    </row>
    <row r="13052" spans="39:41" ht="12" customHeight="1" x14ac:dyDescent="0.2">
      <c r="AM13052" t="str">
        <f t="shared" si="204"/>
        <v>Rotova [ESOTO]</v>
      </c>
      <c r="AN13052" t="s">
        <v>10111</v>
      </c>
      <c r="AO13052" t="s">
        <v>10112</v>
      </c>
    </row>
    <row r="13053" spans="39:41" ht="12" customHeight="1" x14ac:dyDescent="0.2">
      <c r="AM13053" t="str">
        <f t="shared" si="204"/>
        <v>Rotterdam [NLRTM]</v>
      </c>
      <c r="AN13053" t="s">
        <v>23557</v>
      </c>
      <c r="AO13053" t="s">
        <v>23558</v>
      </c>
    </row>
    <row r="13054" spans="39:41" ht="12" customHeight="1" x14ac:dyDescent="0.2">
      <c r="AM13054" t="str">
        <f t="shared" si="204"/>
        <v>Rotterdam [USRAJ]</v>
      </c>
      <c r="AN13054" t="s">
        <v>31320</v>
      </c>
      <c r="AO13054" t="s">
        <v>23558</v>
      </c>
    </row>
    <row r="13055" spans="39:41" ht="12" customHeight="1" x14ac:dyDescent="0.2">
      <c r="AM13055" t="str">
        <f t="shared" si="204"/>
        <v>Rottnest Island [AURTS]</v>
      </c>
      <c r="AN13055" t="s">
        <v>2002</v>
      </c>
      <c r="AO13055" t="s">
        <v>2003</v>
      </c>
    </row>
    <row r="13056" spans="39:41" ht="12" customHeight="1" x14ac:dyDescent="0.2">
      <c r="AM13056" t="str">
        <f t="shared" si="204"/>
        <v>Rotuma [FJRTA]</v>
      </c>
      <c r="AN13056" t="s">
        <v>10624</v>
      </c>
      <c r="AO13056" t="s">
        <v>10625</v>
      </c>
    </row>
    <row r="13057" spans="39:41" ht="12" customHeight="1" x14ac:dyDescent="0.2">
      <c r="AM13057" t="str">
        <f t="shared" si="204"/>
        <v>Roubaix [FRROU]</v>
      </c>
      <c r="AN13057" t="s">
        <v>11968</v>
      </c>
      <c r="AO13057" t="s">
        <v>11969</v>
      </c>
    </row>
    <row r="13058" spans="39:41" ht="12" customHeight="1" x14ac:dyDescent="0.2">
      <c r="AM13058" t="str">
        <f t="shared" si="204"/>
        <v>Roucourt [BERCT]</v>
      </c>
      <c r="AN13058" t="s">
        <v>2894</v>
      </c>
      <c r="AO13058" t="s">
        <v>2895</v>
      </c>
    </row>
    <row r="13059" spans="39:41" ht="12" customHeight="1" x14ac:dyDescent="0.2">
      <c r="AM13059" t="str">
        <f t="shared" si="204"/>
        <v>Rouen [FRURO]</v>
      </c>
      <c r="AN13059" t="s">
        <v>11970</v>
      </c>
      <c r="AO13059" t="s">
        <v>11971</v>
      </c>
    </row>
    <row r="13060" spans="39:41" ht="12" customHeight="1" x14ac:dyDescent="0.2">
      <c r="AM13060" t="str">
        <f t="shared" si="204"/>
        <v>Rougemont [CHRGT]</v>
      </c>
      <c r="AN13060" t="s">
        <v>4740</v>
      </c>
      <c r="AO13060" t="s">
        <v>4741</v>
      </c>
    </row>
    <row r="13061" spans="39:41" ht="12" customHeight="1" x14ac:dyDescent="0.2">
      <c r="AM13061" t="str">
        <f t="shared" si="204"/>
        <v>Rouhu [FIRHU]</v>
      </c>
      <c r="AN13061" t="s">
        <v>10526</v>
      </c>
      <c r="AO13061" t="s">
        <v>10527</v>
      </c>
    </row>
    <row r="13062" spans="39:41" ht="12" customHeight="1" x14ac:dyDescent="0.2">
      <c r="AM13062" t="str">
        <f t="shared" si="204"/>
        <v>Rouiba [DZROU]</v>
      </c>
      <c r="AN13062" t="s">
        <v>9068</v>
      </c>
      <c r="AO13062" t="s">
        <v>9069</v>
      </c>
    </row>
    <row r="13063" spans="39:41" ht="12" customHeight="1" x14ac:dyDescent="0.2">
      <c r="AM13063" t="str">
        <f t="shared" si="204"/>
        <v>Rousay [GBROU]</v>
      </c>
      <c r="AN13063" t="s">
        <v>14295</v>
      </c>
      <c r="AO13063" t="s">
        <v>14296</v>
      </c>
    </row>
    <row r="13064" spans="39:41" ht="12" customHeight="1" x14ac:dyDescent="0.2">
      <c r="AM13064" t="str">
        <f t="shared" si="204"/>
        <v>Roux [BEROX]</v>
      </c>
      <c r="AN13064" t="s">
        <v>2896</v>
      </c>
      <c r="AO13064" t="s">
        <v>2897</v>
      </c>
    </row>
    <row r="13065" spans="39:41" ht="12" customHeight="1" x14ac:dyDescent="0.2">
      <c r="AM13065" t="str">
        <f t="shared" si="204"/>
        <v>Rovaniemi [FIRVN]</v>
      </c>
      <c r="AN13065" t="s">
        <v>10528</v>
      </c>
      <c r="AO13065" t="s">
        <v>10529</v>
      </c>
    </row>
    <row r="13066" spans="39:41" ht="12" customHeight="1" x14ac:dyDescent="0.2">
      <c r="AM13066" t="str">
        <f t="shared" si="204"/>
        <v>Rovde [NOROV]</v>
      </c>
      <c r="AN13066" t="s">
        <v>24665</v>
      </c>
      <c r="AO13066" t="s">
        <v>24666</v>
      </c>
    </row>
    <row r="13067" spans="39:41" ht="12" customHeight="1" x14ac:dyDescent="0.2">
      <c r="AM13067" t="str">
        <f t="shared" si="204"/>
        <v>Rovinj [HRROV]</v>
      </c>
      <c r="AN13067" t="s">
        <v>15901</v>
      </c>
      <c r="AO13067" t="s">
        <v>15902</v>
      </c>
    </row>
    <row r="13068" spans="39:41" ht="12" customHeight="1" x14ac:dyDescent="0.2">
      <c r="AM13068" t="str">
        <f t="shared" si="204"/>
        <v>Rowena [USR5W]</v>
      </c>
      <c r="AN13068" t="s">
        <v>31321</v>
      </c>
      <c r="AO13068" t="s">
        <v>31322</v>
      </c>
    </row>
    <row r="13069" spans="39:41" ht="12" customHeight="1" x14ac:dyDescent="0.2">
      <c r="AM13069" t="str">
        <f t="shared" si="204"/>
        <v>Rowhedge [GBROW]</v>
      </c>
      <c r="AN13069" t="s">
        <v>14297</v>
      </c>
      <c r="AO13069" t="s">
        <v>14298</v>
      </c>
    </row>
    <row r="13070" spans="39:41" ht="12" customHeight="1" x14ac:dyDescent="0.2">
      <c r="AM13070" t="str">
        <f t="shared" si="204"/>
        <v>Rowlett [USZRE]</v>
      </c>
      <c r="AN13070" t="s">
        <v>31323</v>
      </c>
      <c r="AO13070" t="s">
        <v>31324</v>
      </c>
    </row>
    <row r="13071" spans="39:41" ht="12" customHeight="1" x14ac:dyDescent="0.2">
      <c r="AM13071" t="str">
        <f t="shared" si="204"/>
        <v>Roxana [CRROX]</v>
      </c>
      <c r="AN13071" t="s">
        <v>6637</v>
      </c>
      <c r="AO13071" t="s">
        <v>6638</v>
      </c>
    </row>
    <row r="13072" spans="39:41" ht="12" customHeight="1" x14ac:dyDescent="0.2">
      <c r="AM13072" t="str">
        <f t="shared" si="204"/>
        <v>Roxas/Puerto Princesa [PHRXS]</v>
      </c>
      <c r="AN13072" t="s">
        <v>26098</v>
      </c>
      <c r="AO13072" t="s">
        <v>26099</v>
      </c>
    </row>
    <row r="13073" spans="39:41" ht="12" customHeight="1" x14ac:dyDescent="0.2">
      <c r="AM13073" t="str">
        <f t="shared" si="204"/>
        <v>Royan [FRRYN]</v>
      </c>
      <c r="AN13073" t="s">
        <v>11972</v>
      </c>
      <c r="AO13073" t="s">
        <v>11973</v>
      </c>
    </row>
    <row r="13074" spans="39:41" ht="12" customHeight="1" x14ac:dyDescent="0.2">
      <c r="AM13074" t="str">
        <f t="shared" si="204"/>
        <v>Roytta [FIROY]</v>
      </c>
      <c r="AN13074" t="s">
        <v>10530</v>
      </c>
      <c r="AO13074" t="s">
        <v>35746</v>
      </c>
    </row>
    <row r="13075" spans="39:41" ht="12" customHeight="1" x14ac:dyDescent="0.2">
      <c r="AM13075" t="str">
        <f t="shared" si="204"/>
        <v>Rozelle [AUROZ]</v>
      </c>
      <c r="AN13075" t="s">
        <v>2004</v>
      </c>
      <c r="AO13075" t="s">
        <v>2005</v>
      </c>
    </row>
    <row r="13076" spans="39:41" ht="12" customHeight="1" x14ac:dyDescent="0.2">
      <c r="AM13076" t="str">
        <f t="shared" si="204"/>
        <v>Rozenburg [NLROZ]</v>
      </c>
      <c r="AN13076" t="s">
        <v>23559</v>
      </c>
      <c r="AO13076" t="s">
        <v>23560</v>
      </c>
    </row>
    <row r="13077" spans="39:41" ht="12" customHeight="1" x14ac:dyDescent="0.2">
      <c r="AM13077" t="str">
        <f t="shared" si="204"/>
        <v>Rozi [INROZ]</v>
      </c>
      <c r="AN13077" t="s">
        <v>17431</v>
      </c>
      <c r="AO13077" t="s">
        <v>17432</v>
      </c>
    </row>
    <row r="13078" spans="39:41" ht="12" customHeight="1" x14ac:dyDescent="0.2">
      <c r="AM13078" t="str">
        <f t="shared" si="204"/>
        <v>Ruacana [NARUA]</v>
      </c>
      <c r="AN13078" t="s">
        <v>22873</v>
      </c>
      <c r="AO13078" t="s">
        <v>22874</v>
      </c>
    </row>
    <row r="13079" spans="39:41" ht="12" customHeight="1" x14ac:dyDescent="0.2">
      <c r="AM13079" t="str">
        <f t="shared" si="204"/>
        <v>Ruan Minor [GBRUM]</v>
      </c>
      <c r="AN13079" t="s">
        <v>14299</v>
      </c>
      <c r="AO13079" t="s">
        <v>14300</v>
      </c>
    </row>
    <row r="13080" spans="39:41" ht="12" customHeight="1" x14ac:dyDescent="0.2">
      <c r="AM13080" t="str">
        <f t="shared" si="204"/>
        <v>Rubbestadneset [NORUB]</v>
      </c>
      <c r="AN13080" t="s">
        <v>24667</v>
      </c>
      <c r="AO13080" t="s">
        <v>24668</v>
      </c>
    </row>
    <row r="13081" spans="39:41" ht="12" customHeight="1" x14ac:dyDescent="0.2">
      <c r="AM13081" t="str">
        <f t="shared" si="204"/>
        <v>Rubengera [RWRUB]</v>
      </c>
      <c r="AN13081" t="s">
        <v>27362</v>
      </c>
      <c r="AO13081" t="s">
        <v>27363</v>
      </c>
    </row>
    <row r="13082" spans="39:41" ht="12" customHeight="1" x14ac:dyDescent="0.2">
      <c r="AM13082" t="str">
        <f t="shared" si="204"/>
        <v>Rubicon Vantage FPSO [THRVT]</v>
      </c>
      <c r="AN13082" t="s">
        <v>28276</v>
      </c>
      <c r="AO13082" t="s">
        <v>28277</v>
      </c>
    </row>
    <row r="13083" spans="39:41" ht="12" customHeight="1" x14ac:dyDescent="0.2">
      <c r="AM13083" t="str">
        <f t="shared" si="204"/>
        <v>Rubielos de Mora [ESRDE]</v>
      </c>
      <c r="AN13083" t="s">
        <v>10113</v>
      </c>
      <c r="AO13083" t="s">
        <v>10114</v>
      </c>
    </row>
    <row r="13084" spans="39:41" ht="12" customHeight="1" x14ac:dyDescent="0.2">
      <c r="AM13084" t="str">
        <f t="shared" si="204"/>
        <v>Rubnoye [RURUB]</v>
      </c>
      <c r="AN13084" t="s">
        <v>27204</v>
      </c>
      <c r="AO13084" t="s">
        <v>27205</v>
      </c>
    </row>
    <row r="13085" spans="39:41" ht="12" customHeight="1" x14ac:dyDescent="0.2">
      <c r="AM13085" t="str">
        <f t="shared" si="204"/>
        <v>Ruchocice [PLRUC]</v>
      </c>
      <c r="AN13085" t="s">
        <v>26374</v>
      </c>
      <c r="AO13085" t="s">
        <v>26375</v>
      </c>
    </row>
    <row r="13086" spans="39:41" ht="12" customHeight="1" x14ac:dyDescent="0.2">
      <c r="AM13086" t="str">
        <f t="shared" si="204"/>
        <v>Rude [DKRD4]</v>
      </c>
      <c r="AN13086" t="s">
        <v>8861</v>
      </c>
      <c r="AO13086" t="s">
        <v>8862</v>
      </c>
    </row>
    <row r="13087" spans="39:41" ht="12" customHeight="1" x14ac:dyDescent="0.2">
      <c r="AM13087" t="str">
        <f t="shared" si="204"/>
        <v>Rudesheim [DERU7]</v>
      </c>
      <c r="AN13087" t="s">
        <v>8198</v>
      </c>
      <c r="AO13087" t="s">
        <v>35489</v>
      </c>
    </row>
    <row r="13088" spans="39:41" ht="12" customHeight="1" x14ac:dyDescent="0.2">
      <c r="AM13088" t="str">
        <f t="shared" si="204"/>
        <v>Rudesheim am Rhein [DERUE]</v>
      </c>
      <c r="AN13088" t="s">
        <v>8199</v>
      </c>
      <c r="AO13088" t="s">
        <v>35490</v>
      </c>
    </row>
    <row r="13089" spans="39:41" ht="12" customHeight="1" x14ac:dyDescent="0.2">
      <c r="AM13089" t="str">
        <f t="shared" si="204"/>
        <v>Rudh Re - Red Point [GBRDH]</v>
      </c>
      <c r="AN13089" t="s">
        <v>14301</v>
      </c>
      <c r="AO13089" t="s">
        <v>14302</v>
      </c>
    </row>
    <row r="13090" spans="39:41" ht="12" customHeight="1" x14ac:dyDescent="0.2">
      <c r="AM13090" t="str">
        <f t="shared" si="204"/>
        <v>Rudkobing [DKRKB]</v>
      </c>
      <c r="AN13090" t="s">
        <v>8863</v>
      </c>
      <c r="AO13090" t="s">
        <v>35575</v>
      </c>
    </row>
    <row r="13091" spans="39:41" ht="12" customHeight="1" x14ac:dyDescent="0.2">
      <c r="AM13091" t="str">
        <f t="shared" si="204"/>
        <v>Rudnaya Pristan [RURDP]</v>
      </c>
      <c r="AN13091" t="s">
        <v>27206</v>
      </c>
      <c r="AO13091" t="s">
        <v>27207</v>
      </c>
    </row>
    <row r="13092" spans="39:41" ht="12" customHeight="1" x14ac:dyDescent="0.2">
      <c r="AM13092" t="str">
        <f t="shared" si="204"/>
        <v>Rudow [DERDW]</v>
      </c>
      <c r="AN13092" t="s">
        <v>8200</v>
      </c>
      <c r="AO13092" t="s">
        <v>8201</v>
      </c>
    </row>
    <row r="13093" spans="39:41" ht="12" customHeight="1" x14ac:dyDescent="0.2">
      <c r="AM13093" t="str">
        <f t="shared" si="204"/>
        <v>Rueda [ESRUE]</v>
      </c>
      <c r="AN13093" t="s">
        <v>10115</v>
      </c>
      <c r="AO13093" t="s">
        <v>10116</v>
      </c>
    </row>
    <row r="13094" spans="39:41" ht="12" customHeight="1" x14ac:dyDescent="0.2">
      <c r="AM13094" t="str">
        <f t="shared" si="204"/>
        <v>Ruffin [USYRF]</v>
      </c>
      <c r="AN13094" t="s">
        <v>31325</v>
      </c>
      <c r="AO13094" t="s">
        <v>31326</v>
      </c>
    </row>
    <row r="13095" spans="39:41" ht="12" customHeight="1" x14ac:dyDescent="0.2">
      <c r="AM13095" t="str">
        <f t="shared" si="204"/>
        <v>Rugao Pt [CNRUG]</v>
      </c>
      <c r="AN13095" t="s">
        <v>5931</v>
      </c>
      <c r="AO13095" t="s">
        <v>5932</v>
      </c>
    </row>
    <row r="13096" spans="39:41" ht="12" customHeight="1" x14ac:dyDescent="0.2">
      <c r="AM13096" t="str">
        <f t="shared" si="204"/>
        <v>Rugvica [HRRVC]</v>
      </c>
      <c r="AN13096" t="s">
        <v>15903</v>
      </c>
      <c r="AO13096" t="s">
        <v>15904</v>
      </c>
    </row>
    <row r="13097" spans="39:41" ht="12" customHeight="1" x14ac:dyDescent="0.2">
      <c r="AM13097" t="str">
        <f t="shared" si="204"/>
        <v>Ruhrsdorf [ATRRF]</v>
      </c>
      <c r="AN13097" t="s">
        <v>1319</v>
      </c>
      <c r="AO13097" t="s">
        <v>1320</v>
      </c>
    </row>
    <row r="13098" spans="39:41" ht="12" customHeight="1" x14ac:dyDescent="0.2">
      <c r="AM13098" t="str">
        <f t="shared" si="204"/>
        <v>Ruhstorf an der Rott [DERAR]</v>
      </c>
      <c r="AN13098" t="s">
        <v>8202</v>
      </c>
      <c r="AO13098" t="s">
        <v>8203</v>
      </c>
    </row>
    <row r="13099" spans="39:41" ht="12" customHeight="1" x14ac:dyDescent="0.2">
      <c r="AM13099" t="str">
        <f t="shared" si="204"/>
        <v>Ruhve [EERUV]</v>
      </c>
      <c r="AN13099" t="s">
        <v>9341</v>
      </c>
      <c r="AO13099" t="s">
        <v>9342</v>
      </c>
    </row>
    <row r="13100" spans="39:41" ht="12" customHeight="1" x14ac:dyDescent="0.2">
      <c r="AM13100" t="str">
        <f t="shared" si="204"/>
        <v>Ruian [CNRIA]</v>
      </c>
      <c r="AN13100" t="s">
        <v>5933</v>
      </c>
      <c r="AO13100" t="s">
        <v>5934</v>
      </c>
    </row>
    <row r="13101" spans="39:41" ht="12" customHeight="1" x14ac:dyDescent="0.2">
      <c r="AM13101" t="str">
        <f t="shared" ref="AM13101:AM13164" si="205">AO13101 &amp; " [" &amp; AN13101 &amp; "]"</f>
        <v>Ruichang [CNRAG]</v>
      </c>
      <c r="AN13101" t="s">
        <v>5935</v>
      </c>
      <c r="AO13101" t="s">
        <v>5936</v>
      </c>
    </row>
    <row r="13102" spans="39:41" ht="12" customHeight="1" x14ac:dyDescent="0.2">
      <c r="AM13102" t="str">
        <f t="shared" si="205"/>
        <v>Ruien [BERUE]</v>
      </c>
      <c r="AN13102" t="s">
        <v>2898</v>
      </c>
      <c r="AO13102" t="s">
        <v>2899</v>
      </c>
    </row>
    <row r="13103" spans="39:41" ht="12" customHeight="1" x14ac:dyDescent="0.2">
      <c r="AM13103" t="str">
        <f t="shared" si="205"/>
        <v>Ruisbroek [BESVG]</v>
      </c>
      <c r="AN13103" t="s">
        <v>2900</v>
      </c>
      <c r="AO13103" t="s">
        <v>2901</v>
      </c>
    </row>
    <row r="13104" spans="39:41" ht="12" customHeight="1" x14ac:dyDescent="0.2">
      <c r="AM13104" t="str">
        <f t="shared" si="205"/>
        <v>Ruisbroek [BERUI]</v>
      </c>
      <c r="AN13104" t="s">
        <v>2902</v>
      </c>
      <c r="AO13104" t="s">
        <v>2901</v>
      </c>
    </row>
    <row r="13105" spans="39:41" ht="12" customHeight="1" x14ac:dyDescent="0.2">
      <c r="AM13105" t="str">
        <f t="shared" si="205"/>
        <v>Rumbula [LVRUM]</v>
      </c>
      <c r="AN13105" t="s">
        <v>21949</v>
      </c>
      <c r="AO13105" t="s">
        <v>21950</v>
      </c>
    </row>
    <row r="13106" spans="39:41" ht="12" customHeight="1" x14ac:dyDescent="0.2">
      <c r="AM13106" t="str">
        <f t="shared" si="205"/>
        <v>Rumoi [JPRMI]</v>
      </c>
      <c r="AN13106" t="s">
        <v>20584</v>
      </c>
      <c r="AO13106" t="s">
        <v>20585</v>
      </c>
    </row>
    <row r="13107" spans="39:41" ht="12" customHeight="1" x14ac:dyDescent="0.2">
      <c r="AM13107" t="str">
        <f t="shared" si="205"/>
        <v>Rumst [BERUS]</v>
      </c>
      <c r="AN13107" t="s">
        <v>2903</v>
      </c>
      <c r="AO13107" t="s">
        <v>2904</v>
      </c>
    </row>
    <row r="13108" spans="39:41" ht="12" customHeight="1" x14ac:dyDescent="0.2">
      <c r="AM13108" t="str">
        <f t="shared" si="205"/>
        <v>Runavik [FORVK]</v>
      </c>
      <c r="AN13108" t="s">
        <v>10685</v>
      </c>
      <c r="AO13108" t="s">
        <v>35766</v>
      </c>
    </row>
    <row r="13109" spans="39:41" ht="12" customHeight="1" x14ac:dyDescent="0.2">
      <c r="AM13109" t="str">
        <f t="shared" si="205"/>
        <v>Runcorn [GBRUN]</v>
      </c>
      <c r="AN13109" t="s">
        <v>14303</v>
      </c>
      <c r="AO13109" t="s">
        <v>14304</v>
      </c>
    </row>
    <row r="13110" spans="39:41" ht="12" customHeight="1" x14ac:dyDescent="0.2">
      <c r="AM13110" t="str">
        <f t="shared" si="205"/>
        <v>Runde [NORUN]</v>
      </c>
      <c r="AN13110" t="s">
        <v>24669</v>
      </c>
      <c r="AO13110" t="s">
        <v>24670</v>
      </c>
    </row>
    <row r="13111" spans="39:41" ht="12" customHeight="1" x14ac:dyDescent="0.2">
      <c r="AM13111" t="str">
        <f t="shared" si="205"/>
        <v>Rundvik [SERUV]</v>
      </c>
      <c r="AN13111" t="s">
        <v>27819</v>
      </c>
      <c r="AO13111" t="s">
        <v>27820</v>
      </c>
    </row>
    <row r="13112" spans="39:41" ht="12" customHeight="1" x14ac:dyDescent="0.2">
      <c r="AM13112" t="str">
        <f t="shared" si="205"/>
        <v>Rungis [FRRUN]</v>
      </c>
      <c r="AN13112" t="s">
        <v>11974</v>
      </c>
      <c r="AO13112" t="s">
        <v>11975</v>
      </c>
    </row>
    <row r="13113" spans="39:41" ht="12" customHeight="1" x14ac:dyDescent="0.2">
      <c r="AM13113" t="str">
        <f t="shared" si="205"/>
        <v>Runjiang [CNRJN]</v>
      </c>
      <c r="AN13113" t="s">
        <v>5937</v>
      </c>
      <c r="AO13113" t="s">
        <v>5938</v>
      </c>
    </row>
    <row r="13114" spans="39:41" ht="12" customHeight="1" x14ac:dyDescent="0.2">
      <c r="AM13114" t="str">
        <f t="shared" si="205"/>
        <v>Runnemede [USYRD]</v>
      </c>
      <c r="AN13114" t="s">
        <v>31327</v>
      </c>
      <c r="AO13114" t="s">
        <v>31328</v>
      </c>
    </row>
    <row r="13115" spans="39:41" ht="12" customHeight="1" x14ac:dyDescent="0.2">
      <c r="AM13115" t="str">
        <f t="shared" si="205"/>
        <v>Runthe [DERNT]</v>
      </c>
      <c r="AN13115" t="s">
        <v>8204</v>
      </c>
      <c r="AO13115" t="s">
        <v>35491</v>
      </c>
    </row>
    <row r="13116" spans="39:41" ht="12" customHeight="1" x14ac:dyDescent="0.2">
      <c r="AM13116" t="str">
        <f t="shared" si="205"/>
        <v>Ruotsinpyhtaa (Stromfors) [FIRUO]</v>
      </c>
      <c r="AN13116" t="s">
        <v>10531</v>
      </c>
      <c r="AO13116" t="s">
        <v>35747</v>
      </c>
    </row>
    <row r="13117" spans="39:41" ht="12" customHeight="1" x14ac:dyDescent="0.2">
      <c r="AM13117" t="str">
        <f t="shared" si="205"/>
        <v>Ruovesi [FIRUI]</v>
      </c>
      <c r="AN13117" t="s">
        <v>10532</v>
      </c>
      <c r="AO13117" t="s">
        <v>10533</v>
      </c>
    </row>
    <row r="13118" spans="39:41" ht="12" customHeight="1" x14ac:dyDescent="0.2">
      <c r="AM13118" t="str">
        <f t="shared" si="205"/>
        <v>Rupelmonde [BERPM]</v>
      </c>
      <c r="AN13118" t="s">
        <v>2905</v>
      </c>
      <c r="AO13118" t="s">
        <v>2906</v>
      </c>
    </row>
    <row r="13119" spans="39:41" ht="12" customHeight="1" x14ac:dyDescent="0.2">
      <c r="AM13119" t="str">
        <f t="shared" si="205"/>
        <v>Rupert Inlet [CARUI]</v>
      </c>
      <c r="AN13119" t="s">
        <v>4338</v>
      </c>
      <c r="AO13119" t="s">
        <v>4339</v>
      </c>
    </row>
    <row r="13120" spans="39:41" ht="12" customHeight="1" x14ac:dyDescent="0.2">
      <c r="AM13120" t="str">
        <f t="shared" si="205"/>
        <v>Rupert's Bay [SHRPT]</v>
      </c>
      <c r="AN13120" t="s">
        <v>35021</v>
      </c>
      <c r="AO13120" t="s">
        <v>35022</v>
      </c>
    </row>
    <row r="13121" spans="39:41" ht="12" customHeight="1" x14ac:dyDescent="0.2">
      <c r="AM13121" t="str">
        <f t="shared" si="205"/>
        <v>Rurrenabaque [BORBQ]</v>
      </c>
      <c r="AN13121" t="s">
        <v>3233</v>
      </c>
      <c r="AO13121" t="s">
        <v>3234</v>
      </c>
    </row>
    <row r="13122" spans="39:41" ht="12" customHeight="1" x14ac:dyDescent="0.2">
      <c r="AM13122" t="str">
        <f t="shared" si="205"/>
        <v>Rusape [ZWRSP]</v>
      </c>
      <c r="AN13122" t="s">
        <v>34241</v>
      </c>
      <c r="AO13122" t="s">
        <v>34309</v>
      </c>
    </row>
    <row r="13123" spans="39:41" ht="12" customHeight="1" x14ac:dyDescent="0.2">
      <c r="AM13123" t="str">
        <f t="shared" si="205"/>
        <v>Rusbend [DERUB]</v>
      </c>
      <c r="AN13123" t="s">
        <v>8205</v>
      </c>
      <c r="AO13123" t="s">
        <v>8206</v>
      </c>
    </row>
    <row r="13124" spans="39:41" ht="12" customHeight="1" x14ac:dyDescent="0.2">
      <c r="AM13124" t="str">
        <f t="shared" si="205"/>
        <v>Ruse [BGRDU]</v>
      </c>
      <c r="AN13124" t="s">
        <v>3159</v>
      </c>
      <c r="AO13124" t="s">
        <v>3160</v>
      </c>
    </row>
    <row r="13125" spans="39:41" ht="12" customHeight="1" x14ac:dyDescent="0.2">
      <c r="AM13125" t="str">
        <f t="shared" si="205"/>
        <v>Rushan [CNWHR]</v>
      </c>
      <c r="AN13125" t="s">
        <v>5939</v>
      </c>
      <c r="AO13125" t="s">
        <v>5940</v>
      </c>
    </row>
    <row r="13126" spans="39:41" ht="12" customHeight="1" x14ac:dyDescent="0.2">
      <c r="AM13126" t="str">
        <f t="shared" si="205"/>
        <v>Rushankou [CNRSN]</v>
      </c>
      <c r="AN13126" t="s">
        <v>5941</v>
      </c>
      <c r="AO13126" t="s">
        <v>5942</v>
      </c>
    </row>
    <row r="13127" spans="39:41" ht="12" customHeight="1" x14ac:dyDescent="0.2">
      <c r="AM13127" t="str">
        <f t="shared" si="205"/>
        <v>Rushbrooke [IERUS]</v>
      </c>
      <c r="AN13127" t="s">
        <v>16909</v>
      </c>
      <c r="AO13127" t="s">
        <v>16910</v>
      </c>
    </row>
    <row r="13128" spans="39:41" ht="12" customHeight="1" x14ac:dyDescent="0.2">
      <c r="AM13128" t="str">
        <f t="shared" si="205"/>
        <v>Ruskin [CARUS]</v>
      </c>
      <c r="AN13128" t="s">
        <v>4340</v>
      </c>
      <c r="AO13128" t="s">
        <v>4341</v>
      </c>
    </row>
    <row r="13129" spans="39:41" ht="12" customHeight="1" x14ac:dyDescent="0.2">
      <c r="AM13129" t="str">
        <f t="shared" si="205"/>
        <v>Russel [NZRUS]</v>
      </c>
      <c r="AN13129" t="s">
        <v>25106</v>
      </c>
      <c r="AO13129" t="s">
        <v>25107</v>
      </c>
    </row>
    <row r="13130" spans="39:41" ht="12" customHeight="1" x14ac:dyDescent="0.2">
      <c r="AM13130" t="str">
        <f t="shared" si="205"/>
        <v>Russel Island [PGRVI]</v>
      </c>
      <c r="AN13130" t="s">
        <v>25458</v>
      </c>
      <c r="AO13130" t="s">
        <v>25459</v>
      </c>
    </row>
    <row r="13131" spans="39:41" ht="12" customHeight="1" x14ac:dyDescent="0.2">
      <c r="AM13131" t="str">
        <f t="shared" si="205"/>
        <v>Russelsheim [DERUM]</v>
      </c>
      <c r="AN13131" t="s">
        <v>8207</v>
      </c>
      <c r="AO13131" t="s">
        <v>35492</v>
      </c>
    </row>
    <row r="13132" spans="39:41" ht="12" customHeight="1" x14ac:dyDescent="0.2">
      <c r="AM13132" t="str">
        <f t="shared" si="205"/>
        <v>Rustenburg [NLRTG]</v>
      </c>
      <c r="AN13132" t="s">
        <v>23561</v>
      </c>
      <c r="AO13132" t="s">
        <v>23562</v>
      </c>
    </row>
    <row r="13133" spans="39:41" ht="12" customHeight="1" x14ac:dyDescent="0.2">
      <c r="AM13133" t="str">
        <f t="shared" si="205"/>
        <v>Rutledal [NORTL]</v>
      </c>
      <c r="AN13133" t="s">
        <v>24671</v>
      </c>
      <c r="AO13133" t="s">
        <v>24672</v>
      </c>
    </row>
    <row r="13134" spans="39:41" ht="12" customHeight="1" x14ac:dyDescent="0.2">
      <c r="AM13134" t="str">
        <f t="shared" si="205"/>
        <v>Rutten [NLRUT]</v>
      </c>
      <c r="AN13134" t="s">
        <v>23563</v>
      </c>
      <c r="AO13134" t="s">
        <v>23564</v>
      </c>
    </row>
    <row r="13135" spans="39:41" ht="12" customHeight="1" x14ac:dyDescent="0.2">
      <c r="AM13135" t="str">
        <f t="shared" si="205"/>
        <v>Ruwais Port [AERWP]</v>
      </c>
      <c r="AN13135" t="s">
        <v>772</v>
      </c>
      <c r="AO13135" t="s">
        <v>773</v>
      </c>
    </row>
    <row r="13136" spans="39:41" ht="12" customHeight="1" x14ac:dyDescent="0.2">
      <c r="AM13136" t="str">
        <f t="shared" si="205"/>
        <v>Rwamagana [RWRW4]</v>
      </c>
      <c r="AN13136" t="s">
        <v>27364</v>
      </c>
      <c r="AO13136" t="s">
        <v>27365</v>
      </c>
    </row>
    <row r="13137" spans="39:41" ht="12" customHeight="1" x14ac:dyDescent="0.2">
      <c r="AM13137" t="str">
        <f t="shared" si="205"/>
        <v>Rybinsk [RURYB]</v>
      </c>
      <c r="AN13137" t="s">
        <v>27208</v>
      </c>
      <c r="AO13137" t="s">
        <v>27209</v>
      </c>
    </row>
    <row r="13138" spans="39:41" ht="12" customHeight="1" x14ac:dyDescent="0.2">
      <c r="AM13138" t="str">
        <f t="shared" si="205"/>
        <v>Ryde [GBRYD]</v>
      </c>
      <c r="AN13138" t="s">
        <v>14305</v>
      </c>
      <c r="AO13138" t="s">
        <v>14306</v>
      </c>
    </row>
    <row r="13139" spans="39:41" ht="12" customHeight="1" x14ac:dyDescent="0.2">
      <c r="AM13139" t="str">
        <f t="shared" si="205"/>
        <v>Rye [GBRYE]</v>
      </c>
      <c r="AN13139" t="s">
        <v>14307</v>
      </c>
      <c r="AO13139" t="s">
        <v>14308</v>
      </c>
    </row>
    <row r="13140" spans="39:41" ht="12" customHeight="1" x14ac:dyDescent="0.2">
      <c r="AM13140" t="str">
        <f t="shared" si="205"/>
        <v>Rye [USZRY]</v>
      </c>
      <c r="AN13140" t="s">
        <v>31329</v>
      </c>
      <c r="AO13140" t="s">
        <v>14308</v>
      </c>
    </row>
    <row r="13141" spans="39:41" ht="12" customHeight="1" x14ac:dyDescent="0.2">
      <c r="AM13141" t="str">
        <f t="shared" si="205"/>
        <v>Ryohshida [JPRYS]</v>
      </c>
      <c r="AN13141" t="s">
        <v>20586</v>
      </c>
      <c r="AO13141" t="s">
        <v>20587</v>
      </c>
    </row>
    <row r="13142" spans="39:41" ht="12" customHeight="1" x14ac:dyDescent="0.2">
      <c r="AM13142" t="str">
        <f t="shared" si="205"/>
        <v>Ryotsu [JPRYO]</v>
      </c>
      <c r="AN13142" t="s">
        <v>20588</v>
      </c>
      <c r="AO13142" t="s">
        <v>20589</v>
      </c>
    </row>
    <row r="13143" spans="39:41" ht="12" customHeight="1" x14ac:dyDescent="0.2">
      <c r="AM13143" t="str">
        <f t="shared" si="205"/>
        <v>Rypefjord [NORYF]</v>
      </c>
      <c r="AN13143" t="s">
        <v>24673</v>
      </c>
      <c r="AO13143" t="s">
        <v>24674</v>
      </c>
    </row>
    <row r="13144" spans="39:41" ht="12" customHeight="1" x14ac:dyDescent="0.2">
      <c r="AM13144" t="str">
        <f t="shared" si="205"/>
        <v>Ryslinge [DKRYS]</v>
      </c>
      <c r="AN13144" t="s">
        <v>8864</v>
      </c>
      <c r="AO13144" t="s">
        <v>8865</v>
      </c>
    </row>
    <row r="13145" spans="39:41" ht="12" customHeight="1" x14ac:dyDescent="0.2">
      <c r="AM13145" t="str">
        <f t="shared" si="205"/>
        <v>Ryugamizu [JPRYG]</v>
      </c>
      <c r="AN13145" t="s">
        <v>20590</v>
      </c>
      <c r="AO13145" t="s">
        <v>20591</v>
      </c>
    </row>
    <row r="13146" spans="39:41" ht="12" customHeight="1" x14ac:dyDescent="0.2">
      <c r="AM13146" t="str">
        <f t="shared" si="205"/>
        <v>Rzhev [RURZV]</v>
      </c>
      <c r="AN13146" t="s">
        <v>27210</v>
      </c>
      <c r="AO13146" t="s">
        <v>27211</v>
      </c>
    </row>
    <row r="13147" spans="39:41" ht="12" customHeight="1" x14ac:dyDescent="0.2">
      <c r="AM13147" t="str">
        <f t="shared" si="205"/>
        <v>Sa Dec [VNSAD]</v>
      </c>
      <c r="AN13147" t="s">
        <v>32463</v>
      </c>
      <c r="AO13147" t="s">
        <v>36600</v>
      </c>
    </row>
    <row r="13148" spans="39:41" ht="12" customHeight="1" x14ac:dyDescent="0.2">
      <c r="AM13148" t="str">
        <f t="shared" si="205"/>
        <v>Saacy-sur-Marne [FRS5M]</v>
      </c>
      <c r="AN13148" t="s">
        <v>11976</v>
      </c>
      <c r="AO13148" t="s">
        <v>35839</v>
      </c>
    </row>
    <row r="13149" spans="39:41" ht="12" customHeight="1" x14ac:dyDescent="0.2">
      <c r="AM13149" t="str">
        <f t="shared" si="205"/>
        <v>Saaga Sadam [EESGS]</v>
      </c>
      <c r="AN13149" t="s">
        <v>33840</v>
      </c>
      <c r="AO13149" t="s">
        <v>33963</v>
      </c>
    </row>
    <row r="13150" spans="39:41" ht="12" customHeight="1" x14ac:dyDescent="0.2">
      <c r="AM13150" t="str">
        <f t="shared" si="205"/>
        <v>Saarbrucken [DESCN]</v>
      </c>
      <c r="AN13150" t="s">
        <v>8208</v>
      </c>
      <c r="AO13150" t="s">
        <v>35493</v>
      </c>
    </row>
    <row r="13151" spans="39:41" ht="12" customHeight="1" x14ac:dyDescent="0.2">
      <c r="AM13151" t="str">
        <f t="shared" si="205"/>
        <v>Saarburg [DESAG]</v>
      </c>
      <c r="AN13151" t="s">
        <v>8209</v>
      </c>
      <c r="AO13151" t="s">
        <v>8210</v>
      </c>
    </row>
    <row r="13152" spans="39:41" ht="12" customHeight="1" x14ac:dyDescent="0.2">
      <c r="AM13152" t="str">
        <f t="shared" si="205"/>
        <v>Saaremaa sadam [EESMA]</v>
      </c>
      <c r="AN13152" t="s">
        <v>9343</v>
      </c>
      <c r="AO13152" t="s">
        <v>9344</v>
      </c>
    </row>
    <row r="13153" spans="39:41" ht="12" customHeight="1" x14ac:dyDescent="0.2">
      <c r="AM13153" t="str">
        <f t="shared" si="205"/>
        <v>Saarepera [EESRA]</v>
      </c>
      <c r="AN13153" t="s">
        <v>9345</v>
      </c>
      <c r="AO13153" t="s">
        <v>9346</v>
      </c>
    </row>
    <row r="13154" spans="39:41" ht="12" customHeight="1" x14ac:dyDescent="0.2">
      <c r="AM13154" t="str">
        <f t="shared" si="205"/>
        <v>Saarlouis [DESAA]</v>
      </c>
      <c r="AN13154" t="s">
        <v>8211</v>
      </c>
      <c r="AO13154" t="s">
        <v>8212</v>
      </c>
    </row>
    <row r="13155" spans="39:41" ht="12" customHeight="1" x14ac:dyDescent="0.2">
      <c r="AM13155" t="str">
        <f t="shared" si="205"/>
        <v>Saastna Vanasadam [EESVS]</v>
      </c>
      <c r="AN13155" t="s">
        <v>9347</v>
      </c>
      <c r="AO13155" t="s">
        <v>9348</v>
      </c>
    </row>
    <row r="13156" spans="39:41" ht="12" customHeight="1" x14ac:dyDescent="0.2">
      <c r="AM13156" t="str">
        <f t="shared" si="205"/>
        <v>Saavedra [CLSAA]</v>
      </c>
      <c r="AN13156" t="s">
        <v>4966</v>
      </c>
      <c r="AO13156" t="s">
        <v>4967</v>
      </c>
    </row>
    <row r="13157" spans="39:41" ht="12" customHeight="1" x14ac:dyDescent="0.2">
      <c r="AM13157" t="str">
        <f t="shared" si="205"/>
        <v>Saba [BQSAB]</v>
      </c>
      <c r="AN13157" t="s">
        <v>3244</v>
      </c>
      <c r="AO13157" t="s">
        <v>3245</v>
      </c>
    </row>
    <row r="13158" spans="39:41" ht="12" customHeight="1" x14ac:dyDescent="0.2">
      <c r="AM13158" t="str">
        <f t="shared" si="205"/>
        <v>Saba [JPSAB]</v>
      </c>
      <c r="AN13158" t="s">
        <v>20592</v>
      </c>
      <c r="AO13158" t="s">
        <v>3245</v>
      </c>
    </row>
    <row r="13159" spans="39:41" ht="12" customHeight="1" x14ac:dyDescent="0.2">
      <c r="AM13159" t="str">
        <f t="shared" si="205"/>
        <v>Saba [NLSAB]</v>
      </c>
      <c r="AN13159" t="s">
        <v>23565</v>
      </c>
      <c r="AO13159" t="s">
        <v>3245</v>
      </c>
    </row>
    <row r="13160" spans="39:41" ht="12" customHeight="1" x14ac:dyDescent="0.2">
      <c r="AM13160" t="str">
        <f t="shared" si="205"/>
        <v>Sabahat [MYSBT]</v>
      </c>
      <c r="AN13160" t="s">
        <v>22723</v>
      </c>
      <c r="AO13160" t="s">
        <v>22724</v>
      </c>
    </row>
    <row r="13161" spans="39:41" ht="12" customHeight="1" x14ac:dyDescent="0.2">
      <c r="AM13161" t="str">
        <f t="shared" si="205"/>
        <v>Sabana de la Mar [DOSNX]</v>
      </c>
      <c r="AN13161" t="s">
        <v>9022</v>
      </c>
      <c r="AO13161" t="s">
        <v>9023</v>
      </c>
    </row>
    <row r="13162" spans="39:41" ht="12" customHeight="1" x14ac:dyDescent="0.2">
      <c r="AM13162" t="str">
        <f t="shared" si="205"/>
        <v>Sabang [PHSBG]</v>
      </c>
      <c r="AN13162" t="s">
        <v>26100</v>
      </c>
      <c r="AO13162" t="s">
        <v>26101</v>
      </c>
    </row>
    <row r="13163" spans="39:41" ht="12" customHeight="1" x14ac:dyDescent="0.2">
      <c r="AM13163" t="str">
        <f t="shared" si="205"/>
        <v>Sabang, Sumatra [IDSBG]</v>
      </c>
      <c r="AN13163" t="s">
        <v>16549</v>
      </c>
      <c r="AO13163" t="s">
        <v>16550</v>
      </c>
    </row>
    <row r="13164" spans="39:41" ht="12" customHeight="1" x14ac:dyDescent="0.2">
      <c r="AM13164" t="str">
        <f t="shared" si="205"/>
        <v>Sabbot/Siain [PHSBB]</v>
      </c>
      <c r="AN13164" t="s">
        <v>26102</v>
      </c>
      <c r="AO13164" t="s">
        <v>26103</v>
      </c>
    </row>
    <row r="13165" spans="39:41" ht="12" customHeight="1" x14ac:dyDescent="0.2">
      <c r="AM13165" t="str">
        <f t="shared" ref="AM13165:AM13228" si="206">AO13165 &amp; " [" &amp; AN13165 &amp; "]"</f>
        <v>Sabetha [USZHB]</v>
      </c>
      <c r="AN13165" t="s">
        <v>31330</v>
      </c>
      <c r="AO13165" t="s">
        <v>31331</v>
      </c>
    </row>
    <row r="13166" spans="39:41" ht="12" customHeight="1" x14ac:dyDescent="0.2">
      <c r="AM13166" t="str">
        <f t="shared" si="206"/>
        <v>Sabetta [RUSAB]</v>
      </c>
      <c r="AN13166" t="s">
        <v>27212</v>
      </c>
      <c r="AO13166" t="s">
        <v>27213</v>
      </c>
    </row>
    <row r="13167" spans="39:41" ht="12" customHeight="1" x14ac:dyDescent="0.2">
      <c r="AM13167" t="str">
        <f t="shared" si="206"/>
        <v>Sabina [USSBB]</v>
      </c>
      <c r="AN13167" t="s">
        <v>31332</v>
      </c>
      <c r="AO13167" t="s">
        <v>31333</v>
      </c>
    </row>
    <row r="13168" spans="39:41" ht="12" customHeight="1" x14ac:dyDescent="0.2">
      <c r="AM13168" t="str">
        <f t="shared" si="206"/>
        <v>Sabine [USSAB]</v>
      </c>
      <c r="AN13168" t="s">
        <v>31334</v>
      </c>
      <c r="AO13168" t="s">
        <v>31335</v>
      </c>
    </row>
    <row r="13169" spans="39:41" ht="12" customHeight="1" x14ac:dyDescent="0.2">
      <c r="AM13169" t="str">
        <f t="shared" si="206"/>
        <v>Sablayan/Batangas [PHSBY]</v>
      </c>
      <c r="AN13169" t="s">
        <v>26104</v>
      </c>
      <c r="AO13169" t="s">
        <v>26105</v>
      </c>
    </row>
    <row r="13170" spans="39:41" ht="12" customHeight="1" x14ac:dyDescent="0.2">
      <c r="AM13170" t="str">
        <f t="shared" si="206"/>
        <v>Saby [DKSAE]</v>
      </c>
      <c r="AN13170" t="s">
        <v>8866</v>
      </c>
      <c r="AO13170" t="s">
        <v>35576</v>
      </c>
    </row>
    <row r="13171" spans="39:41" ht="12" customHeight="1" x14ac:dyDescent="0.2">
      <c r="AM13171" t="str">
        <f t="shared" si="206"/>
        <v>Saco [USQSK]</v>
      </c>
      <c r="AN13171" t="s">
        <v>31336</v>
      </c>
      <c r="AO13171" t="s">
        <v>31337</v>
      </c>
    </row>
    <row r="13172" spans="39:41" ht="12" customHeight="1" x14ac:dyDescent="0.2">
      <c r="AM13172" t="str">
        <f t="shared" si="206"/>
        <v>Sacramento [USSAC]</v>
      </c>
      <c r="AN13172" t="s">
        <v>31338</v>
      </c>
      <c r="AO13172" t="s">
        <v>31339</v>
      </c>
    </row>
    <row r="13173" spans="39:41" ht="12" customHeight="1" x14ac:dyDescent="0.2">
      <c r="AM13173" t="str">
        <f t="shared" si="206"/>
        <v>Sada [ESSAD]</v>
      </c>
      <c r="AN13173" t="s">
        <v>10117</v>
      </c>
      <c r="AO13173" t="s">
        <v>10118</v>
      </c>
    </row>
    <row r="13174" spans="39:41" ht="12" customHeight="1" x14ac:dyDescent="0.2">
      <c r="AM13174" t="str">
        <f t="shared" si="206"/>
        <v>Sadah [YESYE]</v>
      </c>
      <c r="AN13174" t="s">
        <v>32656</v>
      </c>
      <c r="AO13174" t="s">
        <v>32657</v>
      </c>
    </row>
    <row r="13175" spans="39:41" ht="12" customHeight="1" x14ac:dyDescent="0.2">
      <c r="AM13175" t="str">
        <f t="shared" si="206"/>
        <v>Sadau, Borneo [IDSAD]</v>
      </c>
      <c r="AN13175" t="s">
        <v>16551</v>
      </c>
      <c r="AO13175" t="s">
        <v>16552</v>
      </c>
    </row>
    <row r="13176" spans="39:41" ht="12" customHeight="1" x14ac:dyDescent="0.2">
      <c r="AM13176" t="str">
        <f t="shared" si="206"/>
        <v>Saddle River [USRV4]</v>
      </c>
      <c r="AN13176" t="s">
        <v>31340</v>
      </c>
      <c r="AO13176" t="s">
        <v>31341</v>
      </c>
    </row>
    <row r="13177" spans="39:41" ht="12" customHeight="1" x14ac:dyDescent="0.2">
      <c r="AM13177" t="str">
        <f t="shared" si="206"/>
        <v>Sadiyat Island [AESID]</v>
      </c>
      <c r="AN13177" t="s">
        <v>774</v>
      </c>
      <c r="AO13177" t="s">
        <v>775</v>
      </c>
    </row>
    <row r="13178" spans="39:41" ht="12" customHeight="1" x14ac:dyDescent="0.2">
      <c r="AM13178" t="str">
        <f t="shared" si="206"/>
        <v>Sady nad Torysou [SKK87]</v>
      </c>
      <c r="AN13178" t="s">
        <v>28060</v>
      </c>
      <c r="AO13178" t="s">
        <v>28061</v>
      </c>
    </row>
    <row r="13179" spans="39:41" ht="12" customHeight="1" x14ac:dyDescent="0.2">
      <c r="AM13179" t="str">
        <f t="shared" si="206"/>
        <v>Safaga [EGSGA]</v>
      </c>
      <c r="AN13179" t="s">
        <v>9526</v>
      </c>
      <c r="AO13179" t="s">
        <v>9527</v>
      </c>
    </row>
    <row r="13180" spans="39:41" ht="12" customHeight="1" x14ac:dyDescent="0.2">
      <c r="AM13180" t="str">
        <f t="shared" si="206"/>
        <v>Saffle [SESAF]</v>
      </c>
      <c r="AN13180" t="s">
        <v>27821</v>
      </c>
      <c r="AO13180" t="s">
        <v>36509</v>
      </c>
    </row>
    <row r="13181" spans="39:41" ht="12" customHeight="1" x14ac:dyDescent="0.2">
      <c r="AM13181" t="str">
        <f t="shared" si="206"/>
        <v>Safi [MASFI]</v>
      </c>
      <c r="AN13181" t="s">
        <v>22056</v>
      </c>
      <c r="AO13181" t="s">
        <v>22057</v>
      </c>
    </row>
    <row r="13182" spans="39:41" ht="12" customHeight="1" x14ac:dyDescent="0.2">
      <c r="AM13182" t="str">
        <f t="shared" si="206"/>
        <v>Sag Harbor [USGXH]</v>
      </c>
      <c r="AN13182" t="s">
        <v>31342</v>
      </c>
      <c r="AO13182" t="s">
        <v>31343</v>
      </c>
    </row>
    <row r="13183" spans="39:41" ht="12" customHeight="1" x14ac:dyDescent="0.2">
      <c r="AM13183" t="str">
        <f t="shared" si="206"/>
        <v>Saga [JPHSG]</v>
      </c>
      <c r="AN13183" t="s">
        <v>20593</v>
      </c>
      <c r="AO13183" t="s">
        <v>20594</v>
      </c>
    </row>
    <row r="13184" spans="39:41" ht="12" customHeight="1" x14ac:dyDescent="0.2">
      <c r="AM13184" t="str">
        <f t="shared" si="206"/>
        <v>Saga, Kochi [JPSGA]</v>
      </c>
      <c r="AN13184" t="s">
        <v>20595</v>
      </c>
      <c r="AO13184" t="s">
        <v>20596</v>
      </c>
    </row>
    <row r="13185" spans="39:41" ht="12" customHeight="1" x14ac:dyDescent="0.2">
      <c r="AM13185" t="str">
        <f t="shared" si="206"/>
        <v>Saga, Saga [JPQSG]</v>
      </c>
      <c r="AN13185" t="s">
        <v>20597</v>
      </c>
      <c r="AO13185" t="s">
        <v>20598</v>
      </c>
    </row>
    <row r="13186" spans="39:41" ht="12" customHeight="1" x14ac:dyDescent="0.2">
      <c r="AM13186" t="str">
        <f t="shared" si="206"/>
        <v>Saganoseki [JPSAG]</v>
      </c>
      <c r="AN13186" t="s">
        <v>20599</v>
      </c>
      <c r="AO13186" t="s">
        <v>20600</v>
      </c>
    </row>
    <row r="13187" spans="39:41" ht="12" customHeight="1" x14ac:dyDescent="0.2">
      <c r="AM13187" t="str">
        <f t="shared" si="206"/>
        <v>Sagaponack [USSP2]</v>
      </c>
      <c r="AN13187" t="s">
        <v>31344</v>
      </c>
      <c r="AO13187" t="s">
        <v>31345</v>
      </c>
    </row>
    <row r="13188" spans="39:41" ht="12" customHeight="1" x14ac:dyDescent="0.2">
      <c r="AM13188" t="str">
        <f t="shared" si="206"/>
        <v>Sagara [JPSGR]</v>
      </c>
      <c r="AN13188" t="s">
        <v>20601</v>
      </c>
      <c r="AO13188" t="s">
        <v>20602</v>
      </c>
    </row>
    <row r="13189" spans="39:41" ht="12" customHeight="1" x14ac:dyDescent="0.2">
      <c r="AM13189" t="str">
        <f t="shared" si="206"/>
        <v>Sagawa [JPSAW]</v>
      </c>
      <c r="AN13189" t="s">
        <v>20603</v>
      </c>
      <c r="AO13189" t="s">
        <v>20604</v>
      </c>
    </row>
    <row r="13190" spans="39:41" ht="12" customHeight="1" x14ac:dyDescent="0.2">
      <c r="AM13190" t="str">
        <f t="shared" si="206"/>
        <v>Sagay/Iloilo [PHSAG]</v>
      </c>
      <c r="AN13190" t="s">
        <v>26106</v>
      </c>
      <c r="AO13190" t="s">
        <v>26107</v>
      </c>
    </row>
    <row r="13191" spans="39:41" ht="12" customHeight="1" x14ac:dyDescent="0.2">
      <c r="AM13191" t="str">
        <f t="shared" si="206"/>
        <v>Sagi [JPSGJ]</v>
      </c>
      <c r="AN13191" t="s">
        <v>20605</v>
      </c>
      <c r="AO13191" t="s">
        <v>20606</v>
      </c>
    </row>
    <row r="13192" spans="39:41" ht="12" customHeight="1" x14ac:dyDescent="0.2">
      <c r="AM13192" t="str">
        <f t="shared" si="206"/>
        <v>Sagiada Thesprotias [GRSGT]</v>
      </c>
      <c r="AN13192" t="s">
        <v>15494</v>
      </c>
      <c r="AO13192" t="s">
        <v>15495</v>
      </c>
    </row>
    <row r="13193" spans="39:41" ht="12" customHeight="1" x14ac:dyDescent="0.2">
      <c r="AM13193" t="str">
        <f t="shared" si="206"/>
        <v>Sagola [USXSG]</v>
      </c>
      <c r="AN13193" t="s">
        <v>31346</v>
      </c>
      <c r="AO13193" t="s">
        <v>31347</v>
      </c>
    </row>
    <row r="13194" spans="39:41" ht="12" customHeight="1" x14ac:dyDescent="0.2">
      <c r="AM13194" t="str">
        <f t="shared" si="206"/>
        <v>Sagres [PTSAG]</v>
      </c>
      <c r="AN13194" t="s">
        <v>26591</v>
      </c>
      <c r="AO13194" t="s">
        <v>26592</v>
      </c>
    </row>
    <row r="13195" spans="39:41" ht="12" customHeight="1" x14ac:dyDescent="0.2">
      <c r="AM13195" t="str">
        <f t="shared" si="206"/>
        <v>Sagua de Tanamo [CUSDT]</v>
      </c>
      <c r="AN13195" t="s">
        <v>6722</v>
      </c>
      <c r="AO13195" t="s">
        <v>35391</v>
      </c>
    </row>
    <row r="13196" spans="39:41" ht="12" customHeight="1" x14ac:dyDescent="0.2">
      <c r="AM13196" t="str">
        <f t="shared" si="206"/>
        <v>Sagua la Grande [CURSL]</v>
      </c>
      <c r="AN13196" t="s">
        <v>6723</v>
      </c>
      <c r="AO13196" t="s">
        <v>6724</v>
      </c>
    </row>
    <row r="13197" spans="39:41" ht="12" customHeight="1" x14ac:dyDescent="0.2">
      <c r="AM13197" t="str">
        <f t="shared" si="206"/>
        <v>Saguenay [CASAG]</v>
      </c>
      <c r="AN13197" t="s">
        <v>4342</v>
      </c>
      <c r="AO13197" t="s">
        <v>4343</v>
      </c>
    </row>
    <row r="13198" spans="39:41" ht="12" customHeight="1" x14ac:dyDescent="0.2">
      <c r="AM13198" t="str">
        <f t="shared" si="206"/>
        <v>Sagunto [ESSAG]</v>
      </c>
      <c r="AN13198" t="s">
        <v>10119</v>
      </c>
      <c r="AO13198" t="s">
        <v>10120</v>
      </c>
    </row>
    <row r="13199" spans="39:41" ht="12" customHeight="1" x14ac:dyDescent="0.2">
      <c r="AM13199" t="str">
        <f t="shared" si="206"/>
        <v>Sahathai Coastal Seaport [THSCS]</v>
      </c>
      <c r="AN13199" t="s">
        <v>28278</v>
      </c>
      <c r="AO13199" t="s">
        <v>28279</v>
      </c>
    </row>
    <row r="13200" spans="39:41" ht="12" customHeight="1" x14ac:dyDescent="0.2">
      <c r="AM13200" t="str">
        <f t="shared" si="206"/>
        <v>Sahnewal [INSWA]</v>
      </c>
      <c r="AN13200" t="s">
        <v>17433</v>
      </c>
      <c r="AO13200" t="s">
        <v>17434</v>
      </c>
    </row>
    <row r="13201" spans="39:41" ht="12" customHeight="1" x14ac:dyDescent="0.2">
      <c r="AM13201" t="str">
        <f t="shared" si="206"/>
        <v>Sai Gon Port [VNCSG]</v>
      </c>
      <c r="AN13201" t="s">
        <v>32464</v>
      </c>
      <c r="AO13201" t="s">
        <v>32465</v>
      </c>
    </row>
    <row r="13202" spans="39:41" ht="12" customHeight="1" x14ac:dyDescent="0.2">
      <c r="AM13202" t="str">
        <f t="shared" si="206"/>
        <v>Sai, Aomori [JPSJA]</v>
      </c>
      <c r="AN13202" t="s">
        <v>20607</v>
      </c>
      <c r="AO13202" t="s">
        <v>20608</v>
      </c>
    </row>
    <row r="13203" spans="39:41" ht="12" customHeight="1" x14ac:dyDescent="0.2">
      <c r="AM13203" t="str">
        <f t="shared" si="206"/>
        <v>Sai, Shimane [JPSAC]</v>
      </c>
      <c r="AN13203" t="s">
        <v>20609</v>
      </c>
      <c r="AO13203" t="s">
        <v>20610</v>
      </c>
    </row>
    <row r="13204" spans="39:41" ht="12" customHeight="1" x14ac:dyDescent="0.2">
      <c r="AM13204" t="str">
        <f t="shared" si="206"/>
        <v>Saibai [PGSAI]</v>
      </c>
      <c r="AN13204" t="s">
        <v>25460</v>
      </c>
      <c r="AO13204" t="s">
        <v>25461</v>
      </c>
    </row>
    <row r="13205" spans="39:41" ht="12" customHeight="1" x14ac:dyDescent="0.2">
      <c r="AM13205" t="str">
        <f t="shared" si="206"/>
        <v>Saidaiji [JPSDZ]</v>
      </c>
      <c r="AN13205" t="s">
        <v>20611</v>
      </c>
      <c r="AO13205" t="s">
        <v>20612</v>
      </c>
    </row>
    <row r="13206" spans="39:41" ht="12" customHeight="1" x14ac:dyDescent="0.2">
      <c r="AM13206" t="str">
        <f t="shared" si="206"/>
        <v>Saidoh [JPSAD]</v>
      </c>
      <c r="AN13206" t="s">
        <v>20613</v>
      </c>
      <c r="AO13206" t="s">
        <v>20614</v>
      </c>
    </row>
    <row r="13207" spans="39:41" ht="12" customHeight="1" x14ac:dyDescent="0.2">
      <c r="AM13207" t="str">
        <f t="shared" si="206"/>
        <v>Saigo, Nagasaki [JPSGU]</v>
      </c>
      <c r="AN13207" t="s">
        <v>20615</v>
      </c>
      <c r="AO13207" t="s">
        <v>20616</v>
      </c>
    </row>
    <row r="13208" spans="39:41" ht="12" customHeight="1" x14ac:dyDescent="0.2">
      <c r="AM13208" t="str">
        <f t="shared" si="206"/>
        <v>Saigo, Shimane [JPSAI]</v>
      </c>
      <c r="AN13208" t="s">
        <v>20617</v>
      </c>
      <c r="AO13208" t="s">
        <v>20618</v>
      </c>
    </row>
    <row r="13209" spans="39:41" ht="12" customHeight="1" x14ac:dyDescent="0.2">
      <c r="AM13209" t="str">
        <f t="shared" si="206"/>
        <v>Saigon ITV/Phu My [VNSIT]</v>
      </c>
      <c r="AN13209" t="s">
        <v>32466</v>
      </c>
      <c r="AO13209" t="s">
        <v>32467</v>
      </c>
    </row>
    <row r="13210" spans="39:41" ht="12" customHeight="1" x14ac:dyDescent="0.2">
      <c r="AM13210" t="str">
        <f t="shared" si="206"/>
        <v>Saigon Petro Oil Terminal [VNOSP]</v>
      </c>
      <c r="AN13210" t="s">
        <v>32468</v>
      </c>
      <c r="AO13210" t="s">
        <v>32469</v>
      </c>
    </row>
    <row r="13211" spans="39:41" ht="12" customHeight="1" x14ac:dyDescent="0.2">
      <c r="AM13211" t="str">
        <f t="shared" si="206"/>
        <v>Saijo [JPSAJ]</v>
      </c>
      <c r="AN13211" t="s">
        <v>20619</v>
      </c>
      <c r="AO13211" t="s">
        <v>20620</v>
      </c>
    </row>
    <row r="13212" spans="39:41" ht="12" customHeight="1" x14ac:dyDescent="0.2">
      <c r="AM13212" t="str">
        <f t="shared" si="206"/>
        <v>Saiki [JPSAE]</v>
      </c>
      <c r="AN13212" t="s">
        <v>20621</v>
      </c>
      <c r="AO13212" t="s">
        <v>20622</v>
      </c>
    </row>
    <row r="13213" spans="39:41" ht="12" customHeight="1" x14ac:dyDescent="0.2">
      <c r="AM13213" t="str">
        <f t="shared" si="206"/>
        <v>Sailly-sur-la-Lys [FRSYY]</v>
      </c>
      <c r="AN13213" t="s">
        <v>11977</v>
      </c>
      <c r="AO13213" t="s">
        <v>11978</v>
      </c>
    </row>
    <row r="13214" spans="39:41" ht="12" customHeight="1" x14ac:dyDescent="0.2">
      <c r="AM13214" t="str">
        <f t="shared" si="206"/>
        <v>Saint Abbs [GBABJ]</v>
      </c>
      <c r="AN13214" t="s">
        <v>14309</v>
      </c>
      <c r="AO13214" t="s">
        <v>14310</v>
      </c>
    </row>
    <row r="13215" spans="39:41" ht="12" customHeight="1" x14ac:dyDescent="0.2">
      <c r="AM13215" t="str">
        <f t="shared" si="206"/>
        <v>Saint Agnes [GBSAG]</v>
      </c>
      <c r="AN13215" t="s">
        <v>14311</v>
      </c>
      <c r="AO13215" t="s">
        <v>14312</v>
      </c>
    </row>
    <row r="13216" spans="39:41" ht="12" customHeight="1" x14ac:dyDescent="0.2">
      <c r="AM13216" t="str">
        <f t="shared" si="206"/>
        <v>Saint Albans [USSA3]</v>
      </c>
      <c r="AN13216" t="s">
        <v>31348</v>
      </c>
      <c r="AO13216" t="s">
        <v>31349</v>
      </c>
    </row>
    <row r="13217" spans="39:41" ht="12" customHeight="1" x14ac:dyDescent="0.2">
      <c r="AM13217" t="str">
        <f t="shared" si="206"/>
        <v>Saint Albert [CAS8A]</v>
      </c>
      <c r="AN13217" t="s">
        <v>4344</v>
      </c>
      <c r="AO13217" t="s">
        <v>4345</v>
      </c>
    </row>
    <row r="13218" spans="39:41" ht="12" customHeight="1" x14ac:dyDescent="0.2">
      <c r="AM13218" t="str">
        <f t="shared" si="206"/>
        <v>Saint Andrews [GBSNW]</v>
      </c>
      <c r="AN13218" t="s">
        <v>14313</v>
      </c>
      <c r="AO13218" t="s">
        <v>14314</v>
      </c>
    </row>
    <row r="13219" spans="39:41" ht="12" customHeight="1" x14ac:dyDescent="0.2">
      <c r="AM13219" t="str">
        <f t="shared" si="206"/>
        <v>Saint Ann's Bay [JMSAW]</v>
      </c>
      <c r="AN13219" t="s">
        <v>18453</v>
      </c>
      <c r="AO13219" t="s">
        <v>18454</v>
      </c>
    </row>
    <row r="13220" spans="39:41" ht="12" customHeight="1" x14ac:dyDescent="0.2">
      <c r="AM13220" t="str">
        <f t="shared" si="206"/>
        <v>Saint Aubin [JESAB]</v>
      </c>
      <c r="AN13220" t="s">
        <v>18418</v>
      </c>
      <c r="AO13220" t="s">
        <v>18419</v>
      </c>
    </row>
    <row r="13221" spans="39:41" ht="12" customHeight="1" x14ac:dyDescent="0.2">
      <c r="AM13221" t="str">
        <f t="shared" si="206"/>
        <v>Saint Brelade [GBTBR]</v>
      </c>
      <c r="AN13221" t="s">
        <v>14315</v>
      </c>
      <c r="AO13221" t="s">
        <v>14316</v>
      </c>
    </row>
    <row r="13222" spans="39:41" ht="12" customHeight="1" x14ac:dyDescent="0.2">
      <c r="AM13222" t="str">
        <f t="shared" si="206"/>
        <v>Saint Catherine's Point [GBCNP]</v>
      </c>
      <c r="AN13222" t="s">
        <v>14317</v>
      </c>
      <c r="AO13222" t="s">
        <v>14318</v>
      </c>
    </row>
    <row r="13223" spans="39:41" ht="12" customHeight="1" x14ac:dyDescent="0.2">
      <c r="AM13223" t="str">
        <f t="shared" si="206"/>
        <v>Saint Charles [USS7T]</v>
      </c>
      <c r="AN13223" t="s">
        <v>31350</v>
      </c>
      <c r="AO13223" t="s">
        <v>31351</v>
      </c>
    </row>
    <row r="13224" spans="39:41" ht="12" customHeight="1" x14ac:dyDescent="0.2">
      <c r="AM13224" t="str">
        <f t="shared" si="206"/>
        <v>Saint Clair [USSKZ]</v>
      </c>
      <c r="AN13224" t="s">
        <v>31352</v>
      </c>
      <c r="AO13224" t="s">
        <v>31353</v>
      </c>
    </row>
    <row r="13225" spans="39:41" ht="12" customHeight="1" x14ac:dyDescent="0.2">
      <c r="AM13225" t="str">
        <f t="shared" si="206"/>
        <v>Saint Clair Shores [USCS4]</v>
      </c>
      <c r="AN13225" t="s">
        <v>31354</v>
      </c>
      <c r="AO13225" t="s">
        <v>31355</v>
      </c>
    </row>
    <row r="13226" spans="39:41" ht="12" customHeight="1" x14ac:dyDescent="0.2">
      <c r="AM13226" t="str">
        <f t="shared" si="206"/>
        <v>Saint Clement [GBSZC]</v>
      </c>
      <c r="AN13226" t="s">
        <v>14319</v>
      </c>
      <c r="AO13226" t="s">
        <v>14320</v>
      </c>
    </row>
    <row r="13227" spans="39:41" ht="12" customHeight="1" x14ac:dyDescent="0.2">
      <c r="AM13227" t="str">
        <f t="shared" si="206"/>
        <v>Saint Clement [JESCJ]</v>
      </c>
      <c r="AN13227" t="s">
        <v>18420</v>
      </c>
      <c r="AO13227" t="s">
        <v>14320</v>
      </c>
    </row>
    <row r="13228" spans="39:41" ht="12" customHeight="1" x14ac:dyDescent="0.2">
      <c r="AM13228" t="str">
        <f t="shared" si="206"/>
        <v>Saint Combs and Charleston [GBSCM]</v>
      </c>
      <c r="AN13228" t="s">
        <v>14321</v>
      </c>
      <c r="AO13228" t="s">
        <v>14322</v>
      </c>
    </row>
    <row r="13229" spans="39:41" ht="12" customHeight="1" x14ac:dyDescent="0.2">
      <c r="AM13229" t="str">
        <f t="shared" ref="AM13229:AM13291" si="207">AO13229 &amp; " [" &amp; AN13229 &amp; "]"</f>
        <v>Saint David's [GBSVS]</v>
      </c>
      <c r="AN13229" t="s">
        <v>14323</v>
      </c>
      <c r="AO13229" t="s">
        <v>14324</v>
      </c>
    </row>
    <row r="13230" spans="39:41" ht="12" customHeight="1" x14ac:dyDescent="0.2">
      <c r="AM13230" t="str">
        <f t="shared" si="207"/>
        <v>Saint George [BMSGE]</v>
      </c>
      <c r="AN13230" t="s">
        <v>3206</v>
      </c>
      <c r="AO13230" t="s">
        <v>3207</v>
      </c>
    </row>
    <row r="13231" spans="39:41" ht="12" customHeight="1" x14ac:dyDescent="0.2">
      <c r="AM13231" t="str">
        <f t="shared" si="207"/>
        <v>Saint George [GRSGB]</v>
      </c>
      <c r="AN13231" t="s">
        <v>15496</v>
      </c>
      <c r="AO13231" t="s">
        <v>3207</v>
      </c>
    </row>
    <row r="13232" spans="39:41" ht="12" customHeight="1" x14ac:dyDescent="0.2">
      <c r="AM13232" t="str">
        <f t="shared" si="207"/>
        <v>Saint George [USST9]</v>
      </c>
      <c r="AN13232" t="s">
        <v>31356</v>
      </c>
      <c r="AO13232" t="s">
        <v>3207</v>
      </c>
    </row>
    <row r="13233" spans="39:41" ht="12" customHeight="1" x14ac:dyDescent="0.2">
      <c r="AM13233" t="str">
        <f t="shared" si="207"/>
        <v>Saint George Island [USSTG]</v>
      </c>
      <c r="AN13233" t="s">
        <v>31357</v>
      </c>
      <c r="AO13233" t="s">
        <v>31358</v>
      </c>
    </row>
    <row r="13234" spans="39:41" ht="12" customHeight="1" x14ac:dyDescent="0.2">
      <c r="AM13234" t="str">
        <f t="shared" si="207"/>
        <v>Saint George's [GDSTG]</v>
      </c>
      <c r="AN13234" t="s">
        <v>14926</v>
      </c>
      <c r="AO13234" t="s">
        <v>14927</v>
      </c>
    </row>
    <row r="13235" spans="39:41" ht="12" customHeight="1" x14ac:dyDescent="0.2">
      <c r="AM13235" t="str">
        <f t="shared" si="207"/>
        <v>Saint Helens [GBTLE]</v>
      </c>
      <c r="AN13235" t="s">
        <v>14325</v>
      </c>
      <c r="AO13235" t="s">
        <v>14326</v>
      </c>
    </row>
    <row r="13236" spans="39:41" ht="12" customHeight="1" x14ac:dyDescent="0.2">
      <c r="AM13236" t="str">
        <f t="shared" si="207"/>
        <v>Saint Helens [GBSHY]</v>
      </c>
      <c r="AN13236" t="s">
        <v>14327</v>
      </c>
      <c r="AO13236" t="s">
        <v>14326</v>
      </c>
    </row>
    <row r="13237" spans="39:41" ht="12" customHeight="1" x14ac:dyDescent="0.2">
      <c r="AM13237" t="str">
        <f t="shared" si="207"/>
        <v>Saint Helens [USSTH]</v>
      </c>
      <c r="AN13237" t="s">
        <v>31359</v>
      </c>
      <c r="AO13237" t="s">
        <v>14326</v>
      </c>
    </row>
    <row r="13238" spans="39:41" ht="12" customHeight="1" x14ac:dyDescent="0.2">
      <c r="AM13238" t="str">
        <f t="shared" si="207"/>
        <v>Saint Helier [JESTH]</v>
      </c>
      <c r="AN13238" t="s">
        <v>18421</v>
      </c>
      <c r="AO13238" t="s">
        <v>34250</v>
      </c>
    </row>
    <row r="13239" spans="39:41" ht="12" customHeight="1" x14ac:dyDescent="0.2">
      <c r="AM13239" t="str">
        <f t="shared" si="207"/>
        <v>Saint Helier [GBTNR]</v>
      </c>
      <c r="AN13239" t="s">
        <v>34176</v>
      </c>
      <c r="AO13239" t="s">
        <v>34250</v>
      </c>
    </row>
    <row r="13240" spans="39:41" ht="12" customHeight="1" x14ac:dyDescent="0.2">
      <c r="AM13240" t="str">
        <f t="shared" si="207"/>
        <v>Saint Henry [USHZA]</v>
      </c>
      <c r="AN13240" t="s">
        <v>31360</v>
      </c>
      <c r="AO13240" t="s">
        <v>31361</v>
      </c>
    </row>
    <row r="13241" spans="39:41" ht="12" customHeight="1" x14ac:dyDescent="0.2">
      <c r="AM13241" t="str">
        <f t="shared" si="207"/>
        <v>Saint James City [USJSY]</v>
      </c>
      <c r="AN13241" t="s">
        <v>31362</v>
      </c>
      <c r="AO13241" t="s">
        <v>31363</v>
      </c>
    </row>
    <row r="13242" spans="39:41" ht="12" customHeight="1" x14ac:dyDescent="0.2">
      <c r="AM13242" t="str">
        <f t="shared" si="207"/>
        <v>Saint Johns [USJO4]</v>
      </c>
      <c r="AN13242" t="s">
        <v>31364</v>
      </c>
      <c r="AO13242" t="s">
        <v>31365</v>
      </c>
    </row>
    <row r="13243" spans="39:41" ht="12" customHeight="1" x14ac:dyDescent="0.2">
      <c r="AM13243" t="str">
        <f t="shared" si="207"/>
        <v>Saint John's [AGSJO]</v>
      </c>
      <c r="AN13243" t="s">
        <v>802</v>
      </c>
      <c r="AO13243" t="s">
        <v>803</v>
      </c>
    </row>
    <row r="13244" spans="39:41" ht="12" customHeight="1" x14ac:dyDescent="0.2">
      <c r="AM13244" t="str">
        <f t="shared" si="207"/>
        <v>Saint Johnsville [USTOU]</v>
      </c>
      <c r="AN13244" t="s">
        <v>31366</v>
      </c>
      <c r="AO13244" t="s">
        <v>31367</v>
      </c>
    </row>
    <row r="13245" spans="39:41" ht="12" customHeight="1" x14ac:dyDescent="0.2">
      <c r="AM13245" t="str">
        <f t="shared" si="207"/>
        <v>Saint Joseph [USYSJ]</v>
      </c>
      <c r="AN13245" t="s">
        <v>31368</v>
      </c>
      <c r="AO13245" t="s">
        <v>31369</v>
      </c>
    </row>
    <row r="13246" spans="39:41" ht="12" customHeight="1" x14ac:dyDescent="0.2">
      <c r="AM13246" t="str">
        <f t="shared" si="207"/>
        <v>Saint Just [GBSJU]</v>
      </c>
      <c r="AN13246" t="s">
        <v>14328</v>
      </c>
      <c r="AO13246" t="s">
        <v>14329</v>
      </c>
    </row>
    <row r="13247" spans="39:41" ht="12" customHeight="1" x14ac:dyDescent="0.2">
      <c r="AM13247" t="str">
        <f t="shared" si="207"/>
        <v>Saint Keverne [GBSKV]</v>
      </c>
      <c r="AN13247" t="s">
        <v>14330</v>
      </c>
      <c r="AO13247" t="s">
        <v>14331</v>
      </c>
    </row>
    <row r="13248" spans="39:41" ht="12" customHeight="1" x14ac:dyDescent="0.2">
      <c r="AM13248" t="str">
        <f t="shared" si="207"/>
        <v>Saint Kilian [DKKII]</v>
      </c>
      <c r="AN13248" t="s">
        <v>8868</v>
      </c>
      <c r="AO13248" t="s">
        <v>8869</v>
      </c>
    </row>
    <row r="13249" spans="39:41" ht="12" customHeight="1" x14ac:dyDescent="0.2">
      <c r="AM13249" t="str">
        <f t="shared" si="207"/>
        <v>Saint Laurent du Maroni [GFSLM]</v>
      </c>
      <c r="AN13249" t="s">
        <v>36990</v>
      </c>
      <c r="AO13249" t="s">
        <v>36991</v>
      </c>
    </row>
    <row r="13250" spans="39:41" ht="12" customHeight="1" x14ac:dyDescent="0.2">
      <c r="AM13250" t="str">
        <f t="shared" si="207"/>
        <v>Saint Leonards-on-Sea [GBLDS]</v>
      </c>
      <c r="AN13250" t="s">
        <v>14332</v>
      </c>
      <c r="AO13250" t="s">
        <v>14333</v>
      </c>
    </row>
    <row r="13251" spans="39:41" ht="12" customHeight="1" x14ac:dyDescent="0.2">
      <c r="AM13251" t="str">
        <f t="shared" si="207"/>
        <v>Saint Leu [RELEU]</v>
      </c>
      <c r="AN13251" t="s">
        <v>26714</v>
      </c>
      <c r="AO13251" t="s">
        <v>26715</v>
      </c>
    </row>
    <row r="13252" spans="39:41" ht="12" customHeight="1" x14ac:dyDescent="0.2">
      <c r="AM13252" t="str">
        <f t="shared" si="207"/>
        <v>Saint Louis [SNXLS]</v>
      </c>
      <c r="AN13252" t="s">
        <v>28100</v>
      </c>
      <c r="AO13252" t="s">
        <v>28101</v>
      </c>
    </row>
    <row r="13253" spans="39:41" ht="12" customHeight="1" x14ac:dyDescent="0.2">
      <c r="AM13253" t="str">
        <f t="shared" si="207"/>
        <v>Saint Louis [USUTS]</v>
      </c>
      <c r="AN13253" t="s">
        <v>31370</v>
      </c>
      <c r="AO13253" t="s">
        <v>28101</v>
      </c>
    </row>
    <row r="13254" spans="39:41" ht="12" customHeight="1" x14ac:dyDescent="0.2">
      <c r="AM13254" t="str">
        <f t="shared" si="207"/>
        <v>Saint Louis [USSTL]</v>
      </c>
      <c r="AN13254" t="s">
        <v>31371</v>
      </c>
      <c r="AO13254" t="s">
        <v>28101</v>
      </c>
    </row>
    <row r="13255" spans="39:41" ht="12" customHeight="1" x14ac:dyDescent="0.2">
      <c r="AM13255" t="str">
        <f t="shared" si="207"/>
        <v>Saint Louis [USOK9]</v>
      </c>
      <c r="AN13255" t="s">
        <v>31372</v>
      </c>
      <c r="AO13255" t="s">
        <v>28101</v>
      </c>
    </row>
    <row r="13256" spans="39:41" ht="12" customHeight="1" x14ac:dyDescent="0.2">
      <c r="AM13256" t="str">
        <f t="shared" si="207"/>
        <v>Saint Lucia Apt [LCSLU]</v>
      </c>
      <c r="AN13256" t="s">
        <v>37027</v>
      </c>
      <c r="AO13256" t="s">
        <v>37028</v>
      </c>
    </row>
    <row r="13257" spans="39:41" ht="12" customHeight="1" x14ac:dyDescent="0.2">
      <c r="AM13257" t="str">
        <f t="shared" si="207"/>
        <v>Saint Margaret's Hope [GBSGP]</v>
      </c>
      <c r="AN13257" t="s">
        <v>14334</v>
      </c>
      <c r="AO13257" t="s">
        <v>14335</v>
      </c>
    </row>
    <row r="13258" spans="39:41" ht="12" customHeight="1" x14ac:dyDescent="0.2">
      <c r="AM13258" t="str">
        <f t="shared" si="207"/>
        <v>Saint Margaret's Hope, South Ronaldsay [GBSMH]</v>
      </c>
      <c r="AN13258" t="s">
        <v>14336</v>
      </c>
      <c r="AO13258" t="s">
        <v>14337</v>
      </c>
    </row>
    <row r="13259" spans="39:41" ht="12" customHeight="1" x14ac:dyDescent="0.2">
      <c r="AM13259" t="str">
        <f t="shared" si="207"/>
        <v>Saint Martins [GBSQK]</v>
      </c>
      <c r="AN13259" t="s">
        <v>14338</v>
      </c>
      <c r="AO13259" t="s">
        <v>14339</v>
      </c>
    </row>
    <row r="13260" spans="39:41" ht="12" customHeight="1" x14ac:dyDescent="0.2">
      <c r="AM13260" t="str">
        <f t="shared" si="207"/>
        <v>Saint Mary's [GBSVZ]</v>
      </c>
      <c r="AN13260" t="s">
        <v>14340</v>
      </c>
      <c r="AO13260" t="s">
        <v>14341</v>
      </c>
    </row>
    <row r="13261" spans="39:41" ht="12" customHeight="1" x14ac:dyDescent="0.2">
      <c r="AM13261" t="str">
        <f t="shared" si="207"/>
        <v>Saint Mary's [TTFPT]</v>
      </c>
      <c r="AN13261" t="s">
        <v>28654</v>
      </c>
      <c r="AO13261" t="s">
        <v>14341</v>
      </c>
    </row>
    <row r="13262" spans="39:41" ht="12" customHeight="1" x14ac:dyDescent="0.2">
      <c r="AM13262" t="str">
        <f t="shared" si="207"/>
        <v>Saint Marys Bay [GBSMA]</v>
      </c>
      <c r="AN13262" t="s">
        <v>14342</v>
      </c>
      <c r="AO13262" t="s">
        <v>14343</v>
      </c>
    </row>
    <row r="13263" spans="39:41" ht="12" customHeight="1" x14ac:dyDescent="0.2">
      <c r="AM13263" t="str">
        <f t="shared" si="207"/>
        <v>Saint Mawes [GBSMV]</v>
      </c>
      <c r="AN13263" t="s">
        <v>14344</v>
      </c>
      <c r="AO13263" t="s">
        <v>14345</v>
      </c>
    </row>
    <row r="13264" spans="39:41" ht="12" customHeight="1" x14ac:dyDescent="0.2">
      <c r="AM13264" t="str">
        <f t="shared" si="207"/>
        <v>Saint Michael [BBSTM]</v>
      </c>
      <c r="AN13264" t="s">
        <v>2186</v>
      </c>
      <c r="AO13264" t="s">
        <v>2187</v>
      </c>
    </row>
    <row r="13265" spans="39:41" ht="12" customHeight="1" x14ac:dyDescent="0.2">
      <c r="AM13265" t="str">
        <f t="shared" si="207"/>
        <v>Saint Michael's Mount [GBSMM]</v>
      </c>
      <c r="AN13265" t="s">
        <v>14346</v>
      </c>
      <c r="AO13265" t="s">
        <v>14347</v>
      </c>
    </row>
    <row r="13266" spans="39:41" ht="12" customHeight="1" x14ac:dyDescent="0.2">
      <c r="AM13266" t="str">
        <f t="shared" si="207"/>
        <v>Saint Minver [GBSNV]</v>
      </c>
      <c r="AN13266" t="s">
        <v>14348</v>
      </c>
      <c r="AO13266" t="s">
        <v>14349</v>
      </c>
    </row>
    <row r="13267" spans="39:41" ht="12" customHeight="1" x14ac:dyDescent="0.2">
      <c r="AM13267" t="str">
        <f t="shared" si="207"/>
        <v>Saint Monance (Saint Monans) [GBSMC]</v>
      </c>
      <c r="AN13267" t="s">
        <v>14350</v>
      </c>
      <c r="AO13267" t="s">
        <v>14351</v>
      </c>
    </row>
    <row r="13268" spans="39:41" ht="12" customHeight="1" x14ac:dyDescent="0.2">
      <c r="AM13268" t="str">
        <f t="shared" si="207"/>
        <v>Saint Nicolas [GRSTN]</v>
      </c>
      <c r="AN13268" t="s">
        <v>15497</v>
      </c>
      <c r="AO13268" t="s">
        <v>15498</v>
      </c>
    </row>
    <row r="13269" spans="39:41" ht="12" customHeight="1" x14ac:dyDescent="0.2">
      <c r="AM13269" t="str">
        <f t="shared" si="207"/>
        <v>Saint Ouen [GBUEN]</v>
      </c>
      <c r="AN13269" t="s">
        <v>14352</v>
      </c>
      <c r="AO13269" t="s">
        <v>14353</v>
      </c>
    </row>
    <row r="13270" spans="39:41" ht="12" customHeight="1" x14ac:dyDescent="0.2">
      <c r="AM13270" t="str">
        <f t="shared" si="207"/>
        <v>Saint Paul [USSTP]</v>
      </c>
      <c r="AN13270" t="s">
        <v>31373</v>
      </c>
      <c r="AO13270" t="s">
        <v>31374</v>
      </c>
    </row>
    <row r="13271" spans="39:41" ht="12" customHeight="1" x14ac:dyDescent="0.2">
      <c r="AM13271" t="str">
        <f t="shared" si="207"/>
        <v>Saint Paul Park [USS67]</v>
      </c>
      <c r="AN13271" t="s">
        <v>31375</v>
      </c>
      <c r="AO13271" t="s">
        <v>31376</v>
      </c>
    </row>
    <row r="13272" spans="39:41" ht="12" customHeight="1" x14ac:dyDescent="0.2">
      <c r="AM13272" t="str">
        <f t="shared" si="207"/>
        <v>Saint Paul's Bay (San Pawl il-Bahar) [MTSPB]</v>
      </c>
      <c r="AN13272" t="s">
        <v>22272</v>
      </c>
      <c r="AO13272" t="s">
        <v>22273</v>
      </c>
    </row>
    <row r="13273" spans="39:41" ht="12" customHeight="1" x14ac:dyDescent="0.2">
      <c r="AM13273" t="str">
        <f t="shared" si="207"/>
        <v>Saint Pete Beach [US6TT]</v>
      </c>
      <c r="AN13273" t="s">
        <v>31377</v>
      </c>
      <c r="AO13273" t="s">
        <v>31378</v>
      </c>
    </row>
    <row r="13274" spans="39:41" ht="12" customHeight="1" x14ac:dyDescent="0.2">
      <c r="AM13274" t="str">
        <f t="shared" si="207"/>
        <v>Saint Peter Port [GBPPO]</v>
      </c>
      <c r="AN13274" t="s">
        <v>14354</v>
      </c>
      <c r="AO13274" t="s">
        <v>14355</v>
      </c>
    </row>
    <row r="13275" spans="39:41" ht="12" customHeight="1" x14ac:dyDescent="0.2">
      <c r="AM13275" t="str">
        <f t="shared" si="207"/>
        <v>Saint Peter Port [GGSPT]</v>
      </c>
      <c r="AN13275" t="s">
        <v>14949</v>
      </c>
      <c r="AO13275" t="s">
        <v>14355</v>
      </c>
    </row>
    <row r="13276" spans="39:41" ht="12" customHeight="1" x14ac:dyDescent="0.2">
      <c r="AM13276" t="str">
        <f t="shared" si="207"/>
        <v>Saint Petersburg [USPIE]</v>
      </c>
      <c r="AN13276" t="s">
        <v>31379</v>
      </c>
      <c r="AO13276" t="s">
        <v>31380</v>
      </c>
    </row>
    <row r="13277" spans="39:41" ht="12" customHeight="1" x14ac:dyDescent="0.2">
      <c r="AM13277" t="str">
        <f t="shared" si="207"/>
        <v>Saint Petersburg (ex Leningrad) [RULED]</v>
      </c>
      <c r="AN13277" t="s">
        <v>27214</v>
      </c>
      <c r="AO13277" t="s">
        <v>27215</v>
      </c>
    </row>
    <row r="13278" spans="39:41" ht="12" customHeight="1" x14ac:dyDescent="0.2">
      <c r="AM13278" t="str">
        <f t="shared" si="207"/>
        <v>Saint Pierre [MQSPI]</v>
      </c>
      <c r="AN13278" t="s">
        <v>22229</v>
      </c>
      <c r="AO13278" t="s">
        <v>22230</v>
      </c>
    </row>
    <row r="13279" spans="39:41" ht="12" customHeight="1" x14ac:dyDescent="0.2">
      <c r="AM13279" t="str">
        <f t="shared" si="207"/>
        <v>Saint Pierre [PMFSP]</v>
      </c>
      <c r="AN13279" t="s">
        <v>26412</v>
      </c>
      <c r="AO13279" t="s">
        <v>22230</v>
      </c>
    </row>
    <row r="13280" spans="39:41" ht="12" customHeight="1" x14ac:dyDescent="0.2">
      <c r="AM13280" t="str">
        <f t="shared" si="207"/>
        <v>Saint Quivox [GBSTQ]</v>
      </c>
      <c r="AN13280" t="s">
        <v>14356</v>
      </c>
      <c r="AO13280" t="s">
        <v>14357</v>
      </c>
    </row>
    <row r="13281" spans="39:41" ht="12" customHeight="1" x14ac:dyDescent="0.2">
      <c r="AM13281" t="str">
        <f t="shared" si="207"/>
        <v>Saint Rose [USSRE]</v>
      </c>
      <c r="AN13281" t="s">
        <v>31381</v>
      </c>
      <c r="AO13281" t="s">
        <v>31382</v>
      </c>
    </row>
    <row r="13282" spans="39:41" ht="12" customHeight="1" x14ac:dyDescent="0.2">
      <c r="AM13282" t="str">
        <f t="shared" si="207"/>
        <v>Saint Sampson (Golant) [GBSMP]</v>
      </c>
      <c r="AN13282" t="s">
        <v>14358</v>
      </c>
      <c r="AO13282" t="s">
        <v>14359</v>
      </c>
    </row>
    <row r="13283" spans="39:41" ht="12" customHeight="1" x14ac:dyDescent="0.2">
      <c r="AM13283" t="str">
        <f t="shared" si="207"/>
        <v>Saint Thomas [USXTM]</v>
      </c>
      <c r="AN13283" t="s">
        <v>31383</v>
      </c>
      <c r="AO13283" t="s">
        <v>31384</v>
      </c>
    </row>
    <row r="13284" spans="39:41" ht="12" customHeight="1" x14ac:dyDescent="0.2">
      <c r="AM13284" t="str">
        <f t="shared" si="207"/>
        <v>Saint Thomas [VISTT]</v>
      </c>
      <c r="AN13284" t="s">
        <v>32294</v>
      </c>
      <c r="AO13284" t="s">
        <v>31384</v>
      </c>
    </row>
    <row r="13285" spans="39:41" ht="12" customHeight="1" x14ac:dyDescent="0.2">
      <c r="AM13285" t="str">
        <f t="shared" si="207"/>
        <v>Saint Vincent [VCSVD]</v>
      </c>
      <c r="AN13285" t="s">
        <v>32144</v>
      </c>
      <c r="AO13285" t="s">
        <v>32145</v>
      </c>
    </row>
    <row r="13286" spans="39:41" ht="12" customHeight="1" x14ac:dyDescent="0.2">
      <c r="AM13286" t="str">
        <f t="shared" si="207"/>
        <v>Saint-Andre-de-la-Roche [FR4S4]</v>
      </c>
      <c r="AN13286" t="s">
        <v>11979</v>
      </c>
      <c r="AO13286" t="s">
        <v>35840</v>
      </c>
    </row>
    <row r="13287" spans="39:41" ht="12" customHeight="1" x14ac:dyDescent="0.2">
      <c r="AM13287" t="str">
        <f t="shared" si="207"/>
        <v>Saint-Andrews [CASAD]</v>
      </c>
      <c r="AN13287" t="s">
        <v>4346</v>
      </c>
      <c r="AO13287" t="s">
        <v>4347</v>
      </c>
    </row>
    <row r="13288" spans="39:41" ht="12" customHeight="1" x14ac:dyDescent="0.2">
      <c r="AM13288" t="str">
        <f t="shared" si="207"/>
        <v>Saint-Androny [FRMMJ]</v>
      </c>
      <c r="AN13288" t="s">
        <v>11980</v>
      </c>
      <c r="AO13288" t="s">
        <v>11981</v>
      </c>
    </row>
    <row r="13289" spans="39:41" ht="12" customHeight="1" x14ac:dyDescent="0.2">
      <c r="AM13289" t="str">
        <f t="shared" si="207"/>
        <v>Saint-Anne-de-Kent [CASKE]</v>
      </c>
      <c r="AN13289" t="s">
        <v>4348</v>
      </c>
      <c r="AO13289" t="s">
        <v>4349</v>
      </c>
    </row>
    <row r="13290" spans="39:41" ht="12" customHeight="1" x14ac:dyDescent="0.2">
      <c r="AM13290" t="str">
        <f t="shared" si="207"/>
        <v>Saint-Anne's-on-Sea [GBASA]</v>
      </c>
      <c r="AN13290" t="s">
        <v>14360</v>
      </c>
      <c r="AO13290" t="s">
        <v>14361</v>
      </c>
    </row>
    <row r="13291" spans="39:41" ht="12" customHeight="1" x14ac:dyDescent="0.2">
      <c r="AM13291" t="str">
        <f t="shared" si="207"/>
        <v>Saint-Anthony [CASAT]</v>
      </c>
      <c r="AN13291" t="s">
        <v>4350</v>
      </c>
      <c r="AO13291" t="s">
        <v>4351</v>
      </c>
    </row>
    <row r="13292" spans="39:41" ht="12" customHeight="1" x14ac:dyDescent="0.2">
      <c r="AM13292" t="str">
        <f t="shared" ref="AM13292:AM13355" si="208">AO13292 &amp; " [" &amp; AN13292 &amp; "]"</f>
        <v>Saint-Antoine-du-Queyret [FRQEY]</v>
      </c>
      <c r="AN13292" t="s">
        <v>11982</v>
      </c>
      <c r="AO13292" t="s">
        <v>11983</v>
      </c>
    </row>
    <row r="13293" spans="39:41" ht="12" customHeight="1" x14ac:dyDescent="0.2">
      <c r="AM13293" t="str">
        <f t="shared" si="208"/>
        <v>Saint-Armand [CASTD]</v>
      </c>
      <c r="AN13293" t="s">
        <v>4352</v>
      </c>
      <c r="AO13293" t="s">
        <v>4353</v>
      </c>
    </row>
    <row r="13294" spans="39:41" ht="12" customHeight="1" x14ac:dyDescent="0.2">
      <c r="AM13294" t="str">
        <f t="shared" si="208"/>
        <v>Saint-Aubin-Sauges [CHSAS]</v>
      </c>
      <c r="AN13294" t="s">
        <v>4742</v>
      </c>
      <c r="AO13294" t="s">
        <v>4743</v>
      </c>
    </row>
    <row r="13295" spans="39:41" ht="12" customHeight="1" x14ac:dyDescent="0.2">
      <c r="AM13295" t="str">
        <f t="shared" si="208"/>
        <v>Saint-Augustin [CASAU]</v>
      </c>
      <c r="AN13295" t="s">
        <v>4354</v>
      </c>
      <c r="AO13295" t="s">
        <v>4355</v>
      </c>
    </row>
    <row r="13296" spans="39:41" ht="12" customHeight="1" x14ac:dyDescent="0.2">
      <c r="AM13296" t="str">
        <f t="shared" si="208"/>
        <v>Saint-Barthelemy [BLSBH]</v>
      </c>
      <c r="AN13296" t="s">
        <v>3195</v>
      </c>
      <c r="AO13296" t="s">
        <v>35284</v>
      </c>
    </row>
    <row r="13297" spans="39:41" ht="12" customHeight="1" x14ac:dyDescent="0.2">
      <c r="AM13297" t="str">
        <f t="shared" si="208"/>
        <v>Saint-Bernard [CASBD]</v>
      </c>
      <c r="AN13297" t="s">
        <v>4356</v>
      </c>
      <c r="AO13297" t="s">
        <v>4357</v>
      </c>
    </row>
    <row r="13298" spans="39:41" ht="12" customHeight="1" x14ac:dyDescent="0.2">
      <c r="AM13298" t="str">
        <f t="shared" si="208"/>
        <v>Saint-Bernard-de-Michaudville [CAQCS]</v>
      </c>
      <c r="AN13298" t="s">
        <v>4358</v>
      </c>
      <c r="AO13298" t="s">
        <v>4359</v>
      </c>
    </row>
    <row r="13299" spans="39:41" ht="12" customHeight="1" x14ac:dyDescent="0.2">
      <c r="AM13299" t="str">
        <f t="shared" si="208"/>
        <v>Saint-Bonnet-sur-Gironde [FRBG2]</v>
      </c>
      <c r="AN13299" t="s">
        <v>11984</v>
      </c>
      <c r="AO13299" t="s">
        <v>11985</v>
      </c>
    </row>
    <row r="13300" spans="39:41" ht="12" customHeight="1" x14ac:dyDescent="0.2">
      <c r="AM13300" t="str">
        <f t="shared" si="208"/>
        <v>Saint-Brevin-les-Pins [FRSLP]</v>
      </c>
      <c r="AN13300" t="s">
        <v>36978</v>
      </c>
      <c r="AO13300" t="s">
        <v>36979</v>
      </c>
    </row>
    <row r="13301" spans="39:41" ht="12" customHeight="1" x14ac:dyDescent="0.2">
      <c r="AM13301" t="str">
        <f t="shared" si="208"/>
        <v>Saint-Brevin-l'Ocean [FRICN]</v>
      </c>
      <c r="AN13301" t="s">
        <v>11986</v>
      </c>
      <c r="AO13301" t="s">
        <v>35841</v>
      </c>
    </row>
    <row r="13302" spans="39:41" ht="12" customHeight="1" x14ac:dyDescent="0.2">
      <c r="AM13302" t="str">
        <f t="shared" si="208"/>
        <v>Saint-Brieuc [FRSBK]</v>
      </c>
      <c r="AN13302" t="s">
        <v>11987</v>
      </c>
      <c r="AO13302" t="s">
        <v>11988</v>
      </c>
    </row>
    <row r="13303" spans="39:41" ht="12" customHeight="1" x14ac:dyDescent="0.2">
      <c r="AM13303" t="str">
        <f t="shared" si="208"/>
        <v>Saint-Bruno-Lac-Saint-Jean [CABOJ]</v>
      </c>
      <c r="AN13303" t="s">
        <v>4360</v>
      </c>
      <c r="AO13303" t="s">
        <v>4361</v>
      </c>
    </row>
    <row r="13304" spans="39:41" ht="12" customHeight="1" x14ac:dyDescent="0.2">
      <c r="AM13304" t="str">
        <f t="shared" si="208"/>
        <v>Saint-Catharines [CASCA]</v>
      </c>
      <c r="AN13304" t="s">
        <v>4362</v>
      </c>
      <c r="AO13304" t="s">
        <v>4363</v>
      </c>
    </row>
    <row r="13305" spans="39:41" ht="12" customHeight="1" x14ac:dyDescent="0.2">
      <c r="AM13305" t="str">
        <f t="shared" si="208"/>
        <v>Saint-Charles-sur-Richelieu [CAZCR]</v>
      </c>
      <c r="AN13305" t="s">
        <v>4364</v>
      </c>
      <c r="AO13305" t="s">
        <v>4365</v>
      </c>
    </row>
    <row r="13306" spans="39:41" ht="12" customHeight="1" x14ac:dyDescent="0.2">
      <c r="AM13306" t="str">
        <f t="shared" si="208"/>
        <v>Saint-Christ-Briost [FRSQS]</v>
      </c>
      <c r="AN13306" t="s">
        <v>11989</v>
      </c>
      <c r="AO13306" t="s">
        <v>11990</v>
      </c>
    </row>
    <row r="13307" spans="39:41" ht="12" customHeight="1" x14ac:dyDescent="0.2">
      <c r="AM13307" t="str">
        <f t="shared" si="208"/>
        <v>Saint-Christoly-Medoc [FRDCJ]</v>
      </c>
      <c r="AN13307" t="s">
        <v>11991</v>
      </c>
      <c r="AO13307" t="s">
        <v>35842</v>
      </c>
    </row>
    <row r="13308" spans="39:41" ht="12" customHeight="1" x14ac:dyDescent="0.2">
      <c r="AM13308" t="str">
        <f t="shared" si="208"/>
        <v>Saint-Christophe-d'Arthabaska [CASCP]</v>
      </c>
      <c r="AN13308" t="s">
        <v>4366</v>
      </c>
      <c r="AO13308" t="s">
        <v>4367</v>
      </c>
    </row>
    <row r="13309" spans="39:41" ht="12" customHeight="1" x14ac:dyDescent="0.2">
      <c r="AM13309" t="str">
        <f t="shared" si="208"/>
        <v>Saint-Christophe-la-Couperie [FRPJH]</v>
      </c>
      <c r="AN13309" t="s">
        <v>11992</v>
      </c>
      <c r="AO13309" t="s">
        <v>11993</v>
      </c>
    </row>
    <row r="13310" spans="39:41" ht="12" customHeight="1" x14ac:dyDescent="0.2">
      <c r="AM13310" t="str">
        <f t="shared" si="208"/>
        <v>Saint-Damien-de-Brandon [CASDN]</v>
      </c>
      <c r="AN13310" t="s">
        <v>4368</v>
      </c>
      <c r="AO13310" t="s">
        <v>4369</v>
      </c>
    </row>
    <row r="13311" spans="39:41" ht="12" customHeight="1" x14ac:dyDescent="0.2">
      <c r="AM13311" t="str">
        <f t="shared" si="208"/>
        <v>Saint-Davids [CADDS]</v>
      </c>
      <c r="AN13311" t="s">
        <v>4370</v>
      </c>
      <c r="AO13311" t="s">
        <v>4371</v>
      </c>
    </row>
    <row r="13312" spans="39:41" ht="12" customHeight="1" x14ac:dyDescent="0.2">
      <c r="AM13312" t="str">
        <f t="shared" si="208"/>
        <v>Saint-Desirat [FRRZT]</v>
      </c>
      <c r="AN13312" t="s">
        <v>11994</v>
      </c>
      <c r="AO13312" t="s">
        <v>35843</v>
      </c>
    </row>
    <row r="13313" spans="39:41" ht="12" customHeight="1" x14ac:dyDescent="0.2">
      <c r="AM13313" t="str">
        <f t="shared" si="208"/>
        <v>Sainte Suzanne [RESSZ]</v>
      </c>
      <c r="AN13313" t="s">
        <v>26716</v>
      </c>
      <c r="AO13313" t="s">
        <v>26717</v>
      </c>
    </row>
    <row r="13314" spans="39:41" ht="12" customHeight="1" x14ac:dyDescent="0.2">
      <c r="AM13314" t="str">
        <f t="shared" si="208"/>
        <v>Sainte-Anne-sur-Vilaine [FRNLA]</v>
      </c>
      <c r="AN13314" t="s">
        <v>11995</v>
      </c>
      <c r="AO13314" t="s">
        <v>11996</v>
      </c>
    </row>
    <row r="13315" spans="39:41" ht="12" customHeight="1" x14ac:dyDescent="0.2">
      <c r="AM13315" t="str">
        <f t="shared" si="208"/>
        <v>Sainte-Catherine [CASCT]</v>
      </c>
      <c r="AN13315" t="s">
        <v>4372</v>
      </c>
      <c r="AO13315" t="s">
        <v>4373</v>
      </c>
    </row>
    <row r="13316" spans="39:41" ht="12" customHeight="1" x14ac:dyDescent="0.2">
      <c r="AM13316" t="str">
        <f t="shared" si="208"/>
        <v>Sainte-Famille [CASFI]</v>
      </c>
      <c r="AN13316" t="s">
        <v>4374</v>
      </c>
      <c r="AO13316" t="s">
        <v>4375</v>
      </c>
    </row>
    <row r="13317" spans="39:41" ht="12" customHeight="1" x14ac:dyDescent="0.2">
      <c r="AM13317" t="str">
        <f t="shared" si="208"/>
        <v>Sainte-Gemme-sur-Loire [FRSGT]</v>
      </c>
      <c r="AN13317" t="s">
        <v>11997</v>
      </c>
      <c r="AO13317" t="s">
        <v>11998</v>
      </c>
    </row>
    <row r="13318" spans="39:41" ht="12" customHeight="1" x14ac:dyDescent="0.2">
      <c r="AM13318" t="str">
        <f t="shared" si="208"/>
        <v>Sainte-Marguerite [CAMGT]</v>
      </c>
      <c r="AN13318" t="s">
        <v>4376</v>
      </c>
      <c r="AO13318" t="s">
        <v>4377</v>
      </c>
    </row>
    <row r="13319" spans="39:41" ht="12" customHeight="1" x14ac:dyDescent="0.2">
      <c r="AM13319" t="str">
        <f t="shared" si="208"/>
        <v>Sainte-Maure-de-Peyriac [FRMDW]</v>
      </c>
      <c r="AN13319" t="s">
        <v>11999</v>
      </c>
      <c r="AO13319" t="s">
        <v>12000</v>
      </c>
    </row>
    <row r="13320" spans="39:41" ht="12" customHeight="1" x14ac:dyDescent="0.2">
      <c r="AM13320" t="str">
        <f t="shared" si="208"/>
        <v>Saint-Etienne-du-Rouvray [FRZEF]</v>
      </c>
      <c r="AN13320" t="s">
        <v>36986</v>
      </c>
      <c r="AO13320" t="s">
        <v>36987</v>
      </c>
    </row>
    <row r="13321" spans="39:41" ht="12" customHeight="1" x14ac:dyDescent="0.2">
      <c r="AM13321" t="str">
        <f t="shared" si="208"/>
        <v>Saint-Eustache [CASEU]</v>
      </c>
      <c r="AN13321" t="s">
        <v>4378</v>
      </c>
      <c r="AO13321" t="s">
        <v>4379</v>
      </c>
    </row>
    <row r="13322" spans="39:41" ht="12" customHeight="1" x14ac:dyDescent="0.2">
      <c r="AM13322" t="str">
        <f t="shared" si="208"/>
        <v>Sainte-Victoire-de-Sorel [CASVD]</v>
      </c>
      <c r="AN13322" t="s">
        <v>4380</v>
      </c>
      <c r="AO13322" t="s">
        <v>4381</v>
      </c>
    </row>
    <row r="13323" spans="39:41" ht="12" customHeight="1" x14ac:dyDescent="0.2">
      <c r="AM13323" t="str">
        <f t="shared" si="208"/>
        <v>Saint-Felix-de-Kingsey [CAST3]</v>
      </c>
      <c r="AN13323" t="s">
        <v>4382</v>
      </c>
      <c r="AO13323" t="s">
        <v>35335</v>
      </c>
    </row>
    <row r="13324" spans="39:41" ht="12" customHeight="1" x14ac:dyDescent="0.2">
      <c r="AM13324" t="str">
        <f t="shared" si="208"/>
        <v>Saint-Felix-de-Valois [CASFX]</v>
      </c>
      <c r="AN13324" t="s">
        <v>4383</v>
      </c>
      <c r="AO13324" t="s">
        <v>35336</v>
      </c>
    </row>
    <row r="13325" spans="39:41" ht="12" customHeight="1" x14ac:dyDescent="0.2">
      <c r="AM13325" t="str">
        <f t="shared" si="208"/>
        <v>Saint-Francois [GPSFC]</v>
      </c>
      <c r="AN13325" t="s">
        <v>15062</v>
      </c>
      <c r="AO13325" t="s">
        <v>35870</v>
      </c>
    </row>
    <row r="13326" spans="39:41" ht="12" customHeight="1" x14ac:dyDescent="0.2">
      <c r="AM13326" t="str">
        <f t="shared" si="208"/>
        <v>Saint-Francois-du-Lac [CASFR]</v>
      </c>
      <c r="AN13326" t="s">
        <v>4384</v>
      </c>
      <c r="AO13326" t="s">
        <v>35337</v>
      </c>
    </row>
    <row r="13327" spans="39:41" ht="12" customHeight="1" x14ac:dyDescent="0.2">
      <c r="AM13327" t="str">
        <f t="shared" si="208"/>
        <v>Saint-Gedeon [CAW4C]</v>
      </c>
      <c r="AN13327" t="s">
        <v>34170</v>
      </c>
      <c r="AO13327" t="s">
        <v>34244</v>
      </c>
    </row>
    <row r="13328" spans="39:41" ht="12" customHeight="1" x14ac:dyDescent="0.2">
      <c r="AM13328" t="str">
        <f t="shared" si="208"/>
        <v>Saint-Georges [BESGS]</v>
      </c>
      <c r="AN13328" t="s">
        <v>36801</v>
      </c>
      <c r="AO13328" t="s">
        <v>36802</v>
      </c>
    </row>
    <row r="13329" spans="39:41" ht="12" customHeight="1" x14ac:dyDescent="0.2">
      <c r="AM13329" t="str">
        <f t="shared" si="208"/>
        <v>Saint-Gereon [FRGON]</v>
      </c>
      <c r="AN13329" t="s">
        <v>12001</v>
      </c>
      <c r="AO13329" t="s">
        <v>35844</v>
      </c>
    </row>
    <row r="13330" spans="39:41" ht="12" customHeight="1" x14ac:dyDescent="0.2">
      <c r="AM13330" t="str">
        <f t="shared" si="208"/>
        <v>Saint-Ghislain [BEGHI]</v>
      </c>
      <c r="AN13330" t="s">
        <v>2907</v>
      </c>
      <c r="AO13330" t="s">
        <v>2908</v>
      </c>
    </row>
    <row r="13331" spans="39:41" ht="12" customHeight="1" x14ac:dyDescent="0.2">
      <c r="AM13331" t="str">
        <f t="shared" si="208"/>
        <v>Saint-Gilles [FRXGL]</v>
      </c>
      <c r="AN13331" t="s">
        <v>12002</v>
      </c>
      <c r="AO13331" t="s">
        <v>12003</v>
      </c>
    </row>
    <row r="13332" spans="39:41" ht="12" customHeight="1" x14ac:dyDescent="0.2">
      <c r="AM13332" t="str">
        <f t="shared" si="208"/>
        <v>Saint-Gilles [FRNGI]</v>
      </c>
      <c r="AN13332" t="s">
        <v>12004</v>
      </c>
      <c r="AO13332" t="s">
        <v>12003</v>
      </c>
    </row>
    <row r="13333" spans="39:41" ht="12" customHeight="1" x14ac:dyDescent="0.2">
      <c r="AM13333" t="str">
        <f t="shared" si="208"/>
        <v>Saint-Gilles-Croix-de-Vie [FRXGV]</v>
      </c>
      <c r="AN13333" t="s">
        <v>12005</v>
      </c>
      <c r="AO13333" t="s">
        <v>12006</v>
      </c>
    </row>
    <row r="13334" spans="39:41" ht="12" customHeight="1" x14ac:dyDescent="0.2">
      <c r="AM13334" t="str">
        <f t="shared" si="208"/>
        <v>Saint-Gonnery [FRUJI]</v>
      </c>
      <c r="AN13334" t="s">
        <v>12007</v>
      </c>
      <c r="AO13334" t="s">
        <v>12008</v>
      </c>
    </row>
    <row r="13335" spans="39:41" ht="12" customHeight="1" x14ac:dyDescent="0.2">
      <c r="AM13335" t="str">
        <f t="shared" si="208"/>
        <v>Saint-Isidore [CASID]</v>
      </c>
      <c r="AN13335" t="s">
        <v>4385</v>
      </c>
      <c r="AO13335" t="s">
        <v>4386</v>
      </c>
    </row>
    <row r="13336" spans="39:41" ht="12" customHeight="1" x14ac:dyDescent="0.2">
      <c r="AM13336" t="str">
        <f t="shared" si="208"/>
        <v>Saint-Isidore d'Auckland [CAXZC]</v>
      </c>
      <c r="AN13336" t="s">
        <v>4387</v>
      </c>
      <c r="AO13336" t="s">
        <v>4388</v>
      </c>
    </row>
    <row r="13337" spans="39:41" ht="12" customHeight="1" x14ac:dyDescent="0.2">
      <c r="AM13337" t="str">
        <f t="shared" si="208"/>
        <v>Saint-John [CASJB]</v>
      </c>
      <c r="AN13337" t="s">
        <v>4389</v>
      </c>
      <c r="AO13337" t="s">
        <v>4390</v>
      </c>
    </row>
    <row r="13338" spans="39:41" ht="12" customHeight="1" x14ac:dyDescent="0.2">
      <c r="AM13338" t="str">
        <f t="shared" si="208"/>
        <v>Saint-John's [CASJF]</v>
      </c>
      <c r="AN13338" t="s">
        <v>4391</v>
      </c>
      <c r="AO13338" t="s">
        <v>4392</v>
      </c>
    </row>
    <row r="13339" spans="39:41" ht="12" customHeight="1" x14ac:dyDescent="0.2">
      <c r="AM13339" t="str">
        <f t="shared" si="208"/>
        <v>Saint-Joseph-de-Beauce [CAXJH]</v>
      </c>
      <c r="AN13339" t="s">
        <v>4393</v>
      </c>
      <c r="AO13339" t="s">
        <v>4394</v>
      </c>
    </row>
    <row r="13340" spans="39:41" ht="12" customHeight="1" x14ac:dyDescent="0.2">
      <c r="AM13340" t="str">
        <f t="shared" si="208"/>
        <v>Saint-Julien-de-Chedon [FRKAQ]</v>
      </c>
      <c r="AN13340" t="s">
        <v>12009</v>
      </c>
      <c r="AO13340" t="s">
        <v>35845</v>
      </c>
    </row>
    <row r="13341" spans="39:41" ht="12" customHeight="1" x14ac:dyDescent="0.2">
      <c r="AM13341" t="str">
        <f t="shared" si="208"/>
        <v>Saint-Lambert [CASLT]</v>
      </c>
      <c r="AN13341" t="s">
        <v>4395</v>
      </c>
      <c r="AO13341" t="s">
        <v>4396</v>
      </c>
    </row>
    <row r="13342" spans="39:41" ht="12" customHeight="1" x14ac:dyDescent="0.2">
      <c r="AM13342" t="str">
        <f t="shared" si="208"/>
        <v>Saint-Lawrence [CASLW]</v>
      </c>
      <c r="AN13342" t="s">
        <v>4397</v>
      </c>
      <c r="AO13342" t="s">
        <v>4398</v>
      </c>
    </row>
    <row r="13343" spans="39:41" ht="12" customHeight="1" x14ac:dyDescent="0.2">
      <c r="AM13343" t="str">
        <f t="shared" si="208"/>
        <v>Saint-Leger-le-Petit [FRGPI]</v>
      </c>
      <c r="AN13343" t="s">
        <v>12010</v>
      </c>
      <c r="AO13343" t="s">
        <v>35846</v>
      </c>
    </row>
    <row r="13344" spans="39:41" ht="12" customHeight="1" x14ac:dyDescent="0.2">
      <c r="AM13344" t="str">
        <f t="shared" si="208"/>
        <v>Saint-Leger-sur-Dheune [FRXDH]</v>
      </c>
      <c r="AN13344" t="s">
        <v>12011</v>
      </c>
      <c r="AO13344" t="s">
        <v>35847</v>
      </c>
    </row>
    <row r="13345" spans="39:41" ht="12" customHeight="1" x14ac:dyDescent="0.2">
      <c r="AM13345" t="str">
        <f t="shared" si="208"/>
        <v>Saint-Malo [FRSML]</v>
      </c>
      <c r="AN13345" t="s">
        <v>12012</v>
      </c>
      <c r="AO13345" t="s">
        <v>12013</v>
      </c>
    </row>
    <row r="13346" spans="39:41" ht="12" customHeight="1" x14ac:dyDescent="0.2">
      <c r="AM13346" t="str">
        <f t="shared" si="208"/>
        <v>Saint-Martin-d'Ablois [FRDAS]</v>
      </c>
      <c r="AN13346" t="s">
        <v>12014</v>
      </c>
      <c r="AO13346" t="s">
        <v>12015</v>
      </c>
    </row>
    <row r="13347" spans="39:41" ht="12" customHeight="1" x14ac:dyDescent="0.2">
      <c r="AM13347" t="str">
        <f t="shared" si="208"/>
        <v>Saint-Martin-d'Ardeche [FRDAD]</v>
      </c>
      <c r="AN13347" t="s">
        <v>12016</v>
      </c>
      <c r="AO13347" t="s">
        <v>12017</v>
      </c>
    </row>
    <row r="13348" spans="39:41" ht="12" customHeight="1" x14ac:dyDescent="0.2">
      <c r="AM13348" t="str">
        <f t="shared" si="208"/>
        <v>Saint-Martin-la-Garenne [FRTMG]</v>
      </c>
      <c r="AN13348" t="s">
        <v>12018</v>
      </c>
      <c r="AO13348" t="s">
        <v>12019</v>
      </c>
    </row>
    <row r="13349" spans="39:41" ht="12" customHeight="1" x14ac:dyDescent="0.2">
      <c r="AM13349" t="str">
        <f t="shared" si="208"/>
        <v>Saint-Marys [CASMS]</v>
      </c>
      <c r="AN13349" t="s">
        <v>4399</v>
      </c>
      <c r="AO13349" t="s">
        <v>4400</v>
      </c>
    </row>
    <row r="13350" spans="39:41" ht="12" customHeight="1" x14ac:dyDescent="0.2">
      <c r="AM13350" t="str">
        <f t="shared" si="208"/>
        <v>Saint-Nazaire [FRSNR]</v>
      </c>
      <c r="AN13350" t="s">
        <v>12020</v>
      </c>
      <c r="AO13350" t="s">
        <v>12021</v>
      </c>
    </row>
    <row r="13351" spans="39:41" ht="12" customHeight="1" x14ac:dyDescent="0.2">
      <c r="AM13351" t="str">
        <f t="shared" si="208"/>
        <v>Saint-Nicolas [FRPC6]</v>
      </c>
      <c r="AN13351" t="s">
        <v>12022</v>
      </c>
      <c r="AO13351" t="s">
        <v>12023</v>
      </c>
    </row>
    <row r="13352" spans="39:41" ht="12" customHeight="1" x14ac:dyDescent="0.2">
      <c r="AM13352" t="str">
        <f t="shared" si="208"/>
        <v>Saint-Pair-sur-Mer [FRFS4]</v>
      </c>
      <c r="AN13352" t="s">
        <v>12024</v>
      </c>
      <c r="AO13352" t="s">
        <v>12025</v>
      </c>
    </row>
    <row r="13353" spans="39:41" ht="12" customHeight="1" x14ac:dyDescent="0.2">
      <c r="AM13353" t="str">
        <f t="shared" si="208"/>
        <v>Saint-Pascal [CASPA]</v>
      </c>
      <c r="AN13353" t="s">
        <v>4401</v>
      </c>
      <c r="AO13353" t="s">
        <v>4402</v>
      </c>
    </row>
    <row r="13354" spans="39:41" ht="12" customHeight="1" x14ac:dyDescent="0.2">
      <c r="AM13354" t="str">
        <f t="shared" si="208"/>
        <v>Saint-Paul [FRSP5]</v>
      </c>
      <c r="AN13354" t="s">
        <v>12026</v>
      </c>
      <c r="AO13354" t="s">
        <v>12027</v>
      </c>
    </row>
    <row r="13355" spans="39:41" ht="12" customHeight="1" x14ac:dyDescent="0.2">
      <c r="AM13355" t="str">
        <f t="shared" si="208"/>
        <v>Saint-Peters [CASRS]</v>
      </c>
      <c r="AN13355" t="s">
        <v>4403</v>
      </c>
      <c r="AO13355" t="s">
        <v>4404</v>
      </c>
    </row>
    <row r="13356" spans="39:41" ht="12" customHeight="1" x14ac:dyDescent="0.2">
      <c r="AM13356" t="str">
        <f t="shared" ref="AM13356:AM13419" si="209">AO13356 &amp; " [" &amp; AN13356 &amp; "]"</f>
        <v>Saint-Pierre [CASPI]</v>
      </c>
      <c r="AN13356" t="s">
        <v>4405</v>
      </c>
      <c r="AO13356" t="s">
        <v>4406</v>
      </c>
    </row>
    <row r="13357" spans="39:41" ht="12" customHeight="1" x14ac:dyDescent="0.2">
      <c r="AM13357" t="str">
        <f t="shared" si="209"/>
        <v>Saint-Pierre-d'Autils [FRPDU]</v>
      </c>
      <c r="AN13357" t="s">
        <v>12028</v>
      </c>
      <c r="AO13357" t="s">
        <v>12029</v>
      </c>
    </row>
    <row r="13358" spans="39:41" ht="12" customHeight="1" x14ac:dyDescent="0.2">
      <c r="AM13358" t="str">
        <f t="shared" si="209"/>
        <v>Saint-Pierre-de-l'Ile-d'Orleans [CAPDO]</v>
      </c>
      <c r="AN13358" t="s">
        <v>4407</v>
      </c>
      <c r="AO13358" t="s">
        <v>35338</v>
      </c>
    </row>
    <row r="13359" spans="39:41" ht="12" customHeight="1" x14ac:dyDescent="0.2">
      <c r="AM13359" t="str">
        <f t="shared" si="209"/>
        <v>Saint-Pierre-de-Manneville [FRX28]</v>
      </c>
      <c r="AN13359" t="s">
        <v>12030</v>
      </c>
      <c r="AO13359" t="s">
        <v>12031</v>
      </c>
    </row>
    <row r="13360" spans="39:41" ht="12" customHeight="1" x14ac:dyDescent="0.2">
      <c r="AM13360" t="str">
        <f t="shared" si="209"/>
        <v>Saint-Pierre-Quiberon [FRSQR]</v>
      </c>
      <c r="AN13360" t="s">
        <v>12032</v>
      </c>
      <c r="AO13360" t="s">
        <v>12033</v>
      </c>
    </row>
    <row r="13361" spans="39:41" ht="12" customHeight="1" x14ac:dyDescent="0.2">
      <c r="AM13361" t="str">
        <f t="shared" si="209"/>
        <v>Saint-Quentin [FRSTQ]</v>
      </c>
      <c r="AN13361" t="s">
        <v>12034</v>
      </c>
      <c r="AO13361" t="s">
        <v>12035</v>
      </c>
    </row>
    <row r="13362" spans="39:41" ht="12" customHeight="1" x14ac:dyDescent="0.2">
      <c r="AM13362" t="str">
        <f t="shared" si="209"/>
        <v>Saint-Quentin-la-Motte-Croix-au-Bailly [FRQLC]</v>
      </c>
      <c r="AN13362" t="s">
        <v>12036</v>
      </c>
      <c r="AO13362" t="s">
        <v>12037</v>
      </c>
    </row>
    <row r="13363" spans="39:41" ht="12" customHeight="1" x14ac:dyDescent="0.2">
      <c r="AM13363" t="str">
        <f t="shared" si="209"/>
        <v>Saint-Raphael [FRSRL]</v>
      </c>
      <c r="AN13363" t="s">
        <v>12038</v>
      </c>
      <c r="AO13363" t="s">
        <v>35848</v>
      </c>
    </row>
    <row r="13364" spans="39:41" ht="12" customHeight="1" x14ac:dyDescent="0.2">
      <c r="AM13364" t="str">
        <f t="shared" si="209"/>
        <v>Saint-Remy [FRSIR]</v>
      </c>
      <c r="AN13364" t="s">
        <v>12039</v>
      </c>
      <c r="AO13364" t="s">
        <v>35849</v>
      </c>
    </row>
    <row r="13365" spans="39:41" ht="12" customHeight="1" x14ac:dyDescent="0.2">
      <c r="AM13365" t="str">
        <f t="shared" si="209"/>
        <v>Saint-Roch-de-l'Achigan [CASRA]</v>
      </c>
      <c r="AN13365" t="s">
        <v>4408</v>
      </c>
      <c r="AO13365" t="s">
        <v>4409</v>
      </c>
    </row>
    <row r="13366" spans="39:41" ht="12" customHeight="1" x14ac:dyDescent="0.2">
      <c r="AM13366" t="str">
        <f t="shared" si="209"/>
        <v>Saint-Romuald-d'Etchemin [CASRO]</v>
      </c>
      <c r="AN13366" t="s">
        <v>4410</v>
      </c>
      <c r="AO13366" t="s">
        <v>4411</v>
      </c>
    </row>
    <row r="13367" spans="39:41" ht="12" customHeight="1" x14ac:dyDescent="0.2">
      <c r="AM13367" t="str">
        <f t="shared" si="209"/>
        <v>Saint-Satur [FRUJJ]</v>
      </c>
      <c r="AN13367" t="s">
        <v>12040</v>
      </c>
      <c r="AO13367" t="s">
        <v>12041</v>
      </c>
    </row>
    <row r="13368" spans="39:41" ht="12" customHeight="1" x14ac:dyDescent="0.2">
      <c r="AM13368" t="str">
        <f t="shared" si="209"/>
        <v>Saint-Saturnin [FRSS2]</v>
      </c>
      <c r="AN13368" t="s">
        <v>12042</v>
      </c>
      <c r="AO13368" t="s">
        <v>12043</v>
      </c>
    </row>
    <row r="13369" spans="39:41" ht="12" customHeight="1" x14ac:dyDescent="0.2">
      <c r="AM13369" t="str">
        <f t="shared" si="209"/>
        <v>Saint-Saturnin-d'Apt [FRTQJ]</v>
      </c>
      <c r="AN13369" t="s">
        <v>12044</v>
      </c>
      <c r="AO13369" t="s">
        <v>12045</v>
      </c>
    </row>
    <row r="13370" spans="39:41" ht="12" customHeight="1" x14ac:dyDescent="0.2">
      <c r="AM13370" t="str">
        <f t="shared" si="209"/>
        <v>Saint-Sauveur-de-Meilhan [FRUJQ]</v>
      </c>
      <c r="AN13370" t="s">
        <v>12046</v>
      </c>
      <c r="AO13370" t="s">
        <v>12047</v>
      </c>
    </row>
    <row r="13371" spans="39:41" ht="12" customHeight="1" x14ac:dyDescent="0.2">
      <c r="AM13371" t="str">
        <f t="shared" si="209"/>
        <v>Saint-Savinien [FRIAV]</v>
      </c>
      <c r="AN13371" t="s">
        <v>12048</v>
      </c>
      <c r="AO13371" t="s">
        <v>12049</v>
      </c>
    </row>
    <row r="13372" spans="39:41" ht="12" customHeight="1" x14ac:dyDescent="0.2">
      <c r="AM13372" t="str">
        <f t="shared" si="209"/>
        <v>Saint-Sebastien-sur-Loire [FRSSK]</v>
      </c>
      <c r="AN13372" t="s">
        <v>12050</v>
      </c>
      <c r="AO13372" t="s">
        <v>35850</v>
      </c>
    </row>
    <row r="13373" spans="39:41" ht="12" customHeight="1" x14ac:dyDescent="0.2">
      <c r="AM13373" t="str">
        <f t="shared" si="209"/>
        <v>Saint-Seuri-de-Bourg [FRUQJ]</v>
      </c>
      <c r="AN13373" t="s">
        <v>12051</v>
      </c>
      <c r="AO13373" t="s">
        <v>12052</v>
      </c>
    </row>
    <row r="13374" spans="39:41" ht="12" customHeight="1" x14ac:dyDescent="0.2">
      <c r="AM13374" t="str">
        <f t="shared" si="209"/>
        <v>Saint-Shotts [CASST]</v>
      </c>
      <c r="AN13374" t="s">
        <v>4412</v>
      </c>
      <c r="AO13374" t="s">
        <v>4413</v>
      </c>
    </row>
    <row r="13375" spans="39:41" ht="12" customHeight="1" x14ac:dyDescent="0.2">
      <c r="AM13375" t="str">
        <f t="shared" si="209"/>
        <v>Saint-Simon [FRTIM]</v>
      </c>
      <c r="AN13375" t="s">
        <v>12053</v>
      </c>
      <c r="AO13375" t="s">
        <v>12054</v>
      </c>
    </row>
    <row r="13376" spans="39:41" ht="12" customHeight="1" x14ac:dyDescent="0.2">
      <c r="AM13376" t="str">
        <f t="shared" si="209"/>
        <v>Saint-Stephen [CASTS]</v>
      </c>
      <c r="AN13376" t="s">
        <v>4414</v>
      </c>
      <c r="AO13376" t="s">
        <v>4415</v>
      </c>
    </row>
    <row r="13377" spans="39:41" ht="12" customHeight="1" x14ac:dyDescent="0.2">
      <c r="AM13377" t="str">
        <f t="shared" si="209"/>
        <v>Saint-Sulpice [CHSSV]</v>
      </c>
      <c r="AN13377" t="s">
        <v>4744</v>
      </c>
      <c r="AO13377" t="s">
        <v>4745</v>
      </c>
    </row>
    <row r="13378" spans="39:41" ht="12" customHeight="1" x14ac:dyDescent="0.2">
      <c r="AM13378" t="str">
        <f t="shared" si="209"/>
        <v>Saint-Thibault-des-Vignes [FRVIG]</v>
      </c>
      <c r="AN13378" t="s">
        <v>36980</v>
      </c>
      <c r="AO13378" t="s">
        <v>36981</v>
      </c>
    </row>
    <row r="13379" spans="39:41" ht="12" customHeight="1" x14ac:dyDescent="0.2">
      <c r="AM13379" t="str">
        <f t="shared" si="209"/>
        <v>Saint-Thomas [CASTH]</v>
      </c>
      <c r="AN13379" t="s">
        <v>4416</v>
      </c>
      <c r="AO13379" t="s">
        <v>4417</v>
      </c>
    </row>
    <row r="13380" spans="39:41" ht="12" customHeight="1" x14ac:dyDescent="0.2">
      <c r="AM13380" t="str">
        <f t="shared" si="209"/>
        <v>Saint-Tite [CAZTI]</v>
      </c>
      <c r="AN13380" t="s">
        <v>4418</v>
      </c>
      <c r="AO13380" t="s">
        <v>4419</v>
      </c>
    </row>
    <row r="13381" spans="39:41" ht="12" customHeight="1" x14ac:dyDescent="0.2">
      <c r="AM13381" t="str">
        <f t="shared" si="209"/>
        <v>Saint-Tropez [FRSTP]</v>
      </c>
      <c r="AN13381" t="s">
        <v>12055</v>
      </c>
      <c r="AO13381" t="s">
        <v>12056</v>
      </c>
    </row>
    <row r="13382" spans="39:41" ht="12" customHeight="1" x14ac:dyDescent="0.2">
      <c r="AM13382" t="str">
        <f t="shared" si="209"/>
        <v>Saint-Urcisse [FRUCS]</v>
      </c>
      <c r="AN13382" t="s">
        <v>12057</v>
      </c>
      <c r="AO13382" t="s">
        <v>12058</v>
      </c>
    </row>
    <row r="13383" spans="39:41" ht="12" customHeight="1" x14ac:dyDescent="0.2">
      <c r="AM13383" t="str">
        <f t="shared" si="209"/>
        <v>Saint-Usage [FRTUA]</v>
      </c>
      <c r="AN13383" t="s">
        <v>12059</v>
      </c>
      <c r="AO13383" t="s">
        <v>12060</v>
      </c>
    </row>
    <row r="13384" spans="39:41" ht="12" customHeight="1" x14ac:dyDescent="0.2">
      <c r="AM13384" t="str">
        <f t="shared" si="209"/>
        <v>Saint-Vaize [FRXCS]</v>
      </c>
      <c r="AN13384" t="s">
        <v>12061</v>
      </c>
      <c r="AO13384" t="s">
        <v>12062</v>
      </c>
    </row>
    <row r="13385" spans="39:41" ht="12" customHeight="1" x14ac:dyDescent="0.2">
      <c r="AM13385" t="str">
        <f t="shared" si="209"/>
        <v>Saint-Valentin [FRVTI]</v>
      </c>
      <c r="AN13385" t="s">
        <v>12063</v>
      </c>
      <c r="AO13385" t="s">
        <v>12064</v>
      </c>
    </row>
    <row r="13386" spans="39:41" ht="12" customHeight="1" x14ac:dyDescent="0.2">
      <c r="AM13386" t="str">
        <f t="shared" si="209"/>
        <v>Saint-Valery-sur-Somme [FRSVS]</v>
      </c>
      <c r="AN13386" t="s">
        <v>12065</v>
      </c>
      <c r="AO13386" t="s">
        <v>35851</v>
      </c>
    </row>
    <row r="13387" spans="39:41" ht="12" customHeight="1" x14ac:dyDescent="0.2">
      <c r="AM13387" t="str">
        <f t="shared" si="209"/>
        <v>Saint-Vallerin [FRVNR]</v>
      </c>
      <c r="AN13387" t="s">
        <v>12066</v>
      </c>
      <c r="AO13387" t="s">
        <v>12067</v>
      </c>
    </row>
    <row r="13388" spans="39:41" ht="12" customHeight="1" x14ac:dyDescent="0.2">
      <c r="AM13388" t="str">
        <f t="shared" si="209"/>
        <v>Saint-Vallier [FRVA5]</v>
      </c>
      <c r="AN13388" t="s">
        <v>12068</v>
      </c>
      <c r="AO13388" t="s">
        <v>12069</v>
      </c>
    </row>
    <row r="13389" spans="39:41" ht="12" customHeight="1" x14ac:dyDescent="0.2">
      <c r="AM13389" t="str">
        <f t="shared" si="209"/>
        <v>Saint-Vit [FRSIT]</v>
      </c>
      <c r="AN13389" t="s">
        <v>12070</v>
      </c>
      <c r="AO13389" t="s">
        <v>12071</v>
      </c>
    </row>
    <row r="13390" spans="39:41" ht="12" customHeight="1" x14ac:dyDescent="0.2">
      <c r="AM13390" t="str">
        <f t="shared" si="209"/>
        <v>Saint-Wandrille-Rancon [FRSWD]</v>
      </c>
      <c r="AN13390" t="s">
        <v>12072</v>
      </c>
      <c r="AO13390" t="s">
        <v>35852</v>
      </c>
    </row>
    <row r="13391" spans="39:41" ht="12" customHeight="1" x14ac:dyDescent="0.2">
      <c r="AM13391" t="str">
        <f t="shared" si="209"/>
        <v>Saint-Zotique [CASZT]</v>
      </c>
      <c r="AN13391" t="s">
        <v>4420</v>
      </c>
      <c r="AO13391" t="s">
        <v>4421</v>
      </c>
    </row>
    <row r="13392" spans="39:41" ht="12" customHeight="1" x14ac:dyDescent="0.2">
      <c r="AM13392" t="str">
        <f t="shared" si="209"/>
        <v>Saipan [MPSPN]</v>
      </c>
      <c r="AN13392" t="s">
        <v>22223</v>
      </c>
      <c r="AO13392" t="s">
        <v>22224</v>
      </c>
    </row>
    <row r="13393" spans="39:41" ht="12" customHeight="1" x14ac:dyDescent="0.2">
      <c r="AM13393" t="str">
        <f t="shared" si="209"/>
        <v>Saiqi [CNSIQ]</v>
      </c>
      <c r="AN13393" t="s">
        <v>5943</v>
      </c>
      <c r="AO13393" t="s">
        <v>5944</v>
      </c>
    </row>
    <row r="13394" spans="39:41" ht="12" customHeight="1" x14ac:dyDescent="0.2">
      <c r="AM13394" t="str">
        <f t="shared" si="209"/>
        <v>Saitozaki [JPSTZ]</v>
      </c>
      <c r="AN13394" t="s">
        <v>20623</v>
      </c>
      <c r="AO13394" t="s">
        <v>20624</v>
      </c>
    </row>
    <row r="13395" spans="39:41" ht="12" customHeight="1" x14ac:dyDescent="0.2">
      <c r="AM13395" t="str">
        <f t="shared" si="209"/>
        <v>Saizaki [JPSSK]</v>
      </c>
      <c r="AN13395" t="s">
        <v>20625</v>
      </c>
      <c r="AO13395" t="s">
        <v>20626</v>
      </c>
    </row>
    <row r="13396" spans="39:41" ht="12" customHeight="1" x14ac:dyDescent="0.2">
      <c r="AM13396" t="str">
        <f t="shared" si="209"/>
        <v>Sakai [JPSAK]</v>
      </c>
      <c r="AN13396" t="s">
        <v>20627</v>
      </c>
      <c r="AO13396" t="s">
        <v>20628</v>
      </c>
    </row>
    <row r="13397" spans="39:41" ht="12" customHeight="1" x14ac:dyDescent="0.2">
      <c r="AM13397" t="str">
        <f t="shared" si="209"/>
        <v>Sakaide [JPSKD]</v>
      </c>
      <c r="AN13397" t="s">
        <v>20629</v>
      </c>
      <c r="AO13397" t="s">
        <v>20630</v>
      </c>
    </row>
    <row r="13398" spans="39:41" ht="12" customHeight="1" x14ac:dyDescent="0.2">
      <c r="AM13398" t="str">
        <f t="shared" si="209"/>
        <v>Sakaiminato [JPSMN]</v>
      </c>
      <c r="AN13398" t="s">
        <v>20631</v>
      </c>
      <c r="AO13398" t="s">
        <v>20632</v>
      </c>
    </row>
    <row r="13399" spans="39:41" ht="12" customHeight="1" x14ac:dyDescent="0.2">
      <c r="AM13399" t="str">
        <f t="shared" si="209"/>
        <v>Sakaisenboku [JPSBK]</v>
      </c>
      <c r="AN13399" t="s">
        <v>20633</v>
      </c>
      <c r="AO13399" t="s">
        <v>20634</v>
      </c>
    </row>
    <row r="13400" spans="39:41" ht="12" customHeight="1" x14ac:dyDescent="0.2">
      <c r="AM13400" t="str">
        <f t="shared" si="209"/>
        <v>Sakaki [JPSKK]</v>
      </c>
      <c r="AN13400" t="s">
        <v>20635</v>
      </c>
      <c r="AO13400" t="s">
        <v>20636</v>
      </c>
    </row>
    <row r="13401" spans="39:41" ht="12" customHeight="1" x14ac:dyDescent="0.2">
      <c r="AM13401" t="str">
        <f t="shared" si="209"/>
        <v>Sakata [JPSKT]</v>
      </c>
      <c r="AN13401" t="s">
        <v>20637</v>
      </c>
      <c r="AO13401" t="s">
        <v>20638</v>
      </c>
    </row>
    <row r="13402" spans="39:41" ht="12" customHeight="1" x14ac:dyDescent="0.2">
      <c r="AM13402" t="str">
        <f t="shared" si="209"/>
        <v>Sakate [JPSAT]</v>
      </c>
      <c r="AN13402" t="s">
        <v>20639</v>
      </c>
      <c r="AO13402" t="s">
        <v>20640</v>
      </c>
    </row>
    <row r="13403" spans="39:41" ht="12" customHeight="1" x14ac:dyDescent="0.2">
      <c r="AM13403" t="str">
        <f t="shared" si="209"/>
        <v>Sakihama [JPSKH]</v>
      </c>
      <c r="AN13403" t="s">
        <v>20641</v>
      </c>
      <c r="AO13403" t="s">
        <v>20642</v>
      </c>
    </row>
    <row r="13404" spans="39:41" ht="12" customHeight="1" x14ac:dyDescent="0.2">
      <c r="AM13404" t="str">
        <f t="shared" si="209"/>
        <v>Sakimui [JPSMU]</v>
      </c>
      <c r="AN13404" t="s">
        <v>20643</v>
      </c>
      <c r="AO13404" t="s">
        <v>20644</v>
      </c>
    </row>
    <row r="13405" spans="39:41" ht="12" customHeight="1" x14ac:dyDescent="0.2">
      <c r="AM13405" t="str">
        <f t="shared" si="209"/>
        <v>Sakito [JPSTO]</v>
      </c>
      <c r="AN13405" t="s">
        <v>20645</v>
      </c>
      <c r="AO13405" t="s">
        <v>20646</v>
      </c>
    </row>
    <row r="13406" spans="39:41" ht="12" customHeight="1" x14ac:dyDescent="0.2">
      <c r="AM13406" t="str">
        <f t="shared" si="209"/>
        <v>Sakitsu [JPSAU]</v>
      </c>
      <c r="AN13406" t="s">
        <v>20647</v>
      </c>
      <c r="AO13406" t="s">
        <v>20648</v>
      </c>
    </row>
    <row r="13407" spans="39:41" ht="12" customHeight="1" x14ac:dyDescent="0.2">
      <c r="AM13407" t="str">
        <f t="shared" si="209"/>
        <v>Sakoshi [JPSKO]</v>
      </c>
      <c r="AN13407" t="s">
        <v>20649</v>
      </c>
      <c r="AO13407" t="s">
        <v>20650</v>
      </c>
    </row>
    <row r="13408" spans="39:41" ht="12" customHeight="1" x14ac:dyDescent="0.2">
      <c r="AM13408" t="str">
        <f t="shared" si="209"/>
        <v>Sakr Koreish [EGSKR]</v>
      </c>
      <c r="AN13408" t="s">
        <v>9528</v>
      </c>
      <c r="AO13408" t="s">
        <v>9529</v>
      </c>
    </row>
    <row r="13409" spans="39:41" ht="12" customHeight="1" x14ac:dyDescent="0.2">
      <c r="AM13409" t="str">
        <f t="shared" si="209"/>
        <v>Sakskobing [DKSAX]</v>
      </c>
      <c r="AN13409" t="s">
        <v>8870</v>
      </c>
      <c r="AO13409" t="s">
        <v>35578</v>
      </c>
    </row>
    <row r="13410" spans="39:41" ht="12" customHeight="1" x14ac:dyDescent="0.2">
      <c r="AM13410" t="str">
        <f t="shared" si="209"/>
        <v>Sakuraikako [JPSKR]</v>
      </c>
      <c r="AN13410" t="s">
        <v>20651</v>
      </c>
      <c r="AO13410" t="s">
        <v>20652</v>
      </c>
    </row>
    <row r="13411" spans="39:41" ht="12" customHeight="1" x14ac:dyDescent="0.2">
      <c r="AM13411" t="str">
        <f t="shared" si="209"/>
        <v>Sakurajima [JPSRZ]</v>
      </c>
      <c r="AN13411" t="s">
        <v>20653</v>
      </c>
      <c r="AO13411" t="s">
        <v>20654</v>
      </c>
    </row>
    <row r="13412" spans="39:41" ht="12" customHeight="1" x14ac:dyDescent="0.2">
      <c r="AM13412" t="str">
        <f t="shared" si="209"/>
        <v>Sakvice [CZJK6]</v>
      </c>
      <c r="AN13412" t="s">
        <v>6929</v>
      </c>
      <c r="AO13412" t="s">
        <v>6930</v>
      </c>
    </row>
    <row r="13413" spans="39:41" ht="12" customHeight="1" x14ac:dyDescent="0.2">
      <c r="AM13413" t="str">
        <f t="shared" si="209"/>
        <v>Sal Rei [CVSAR]</v>
      </c>
      <c r="AN13413" t="s">
        <v>36845</v>
      </c>
      <c r="AO13413" t="s">
        <v>36846</v>
      </c>
    </row>
    <row r="13414" spans="39:41" ht="12" customHeight="1" x14ac:dyDescent="0.2">
      <c r="AM13414" t="str">
        <f t="shared" si="209"/>
        <v>Salacgriva [LVSAL]</v>
      </c>
      <c r="AN13414" t="s">
        <v>21951</v>
      </c>
      <c r="AO13414" t="s">
        <v>21952</v>
      </c>
    </row>
    <row r="13415" spans="39:41" ht="12" customHeight="1" x14ac:dyDescent="0.2">
      <c r="AM13415" t="str">
        <f t="shared" si="209"/>
        <v>Saladin Marine Terminal [AUSMT]</v>
      </c>
      <c r="AN13415" t="s">
        <v>2006</v>
      </c>
      <c r="AO13415" t="s">
        <v>2007</v>
      </c>
    </row>
    <row r="13416" spans="39:41" ht="12" customHeight="1" x14ac:dyDescent="0.2">
      <c r="AM13416" t="str">
        <f t="shared" si="209"/>
        <v>Salalah [OMSLL]</v>
      </c>
      <c r="AN13416" t="s">
        <v>25165</v>
      </c>
      <c r="AO13416" t="s">
        <v>25166</v>
      </c>
    </row>
    <row r="13417" spans="39:41" ht="12" customHeight="1" x14ac:dyDescent="0.2">
      <c r="AM13417" t="str">
        <f t="shared" si="209"/>
        <v>Salamaua [PGSMU]</v>
      </c>
      <c r="AN13417" t="s">
        <v>25462</v>
      </c>
      <c r="AO13417" t="s">
        <v>25463</v>
      </c>
    </row>
    <row r="13418" spans="39:41" ht="12" customHeight="1" x14ac:dyDescent="0.2">
      <c r="AM13418" t="str">
        <f t="shared" si="209"/>
        <v>Salamis [GRSAL]</v>
      </c>
      <c r="AN13418" t="s">
        <v>15499</v>
      </c>
      <c r="AO13418" t="s">
        <v>35972</v>
      </c>
    </row>
    <row r="13419" spans="39:41" ht="12" customHeight="1" x14ac:dyDescent="0.2">
      <c r="AM13419" t="str">
        <f t="shared" si="209"/>
        <v>Salangen [NOSAL]</v>
      </c>
      <c r="AN13419" t="s">
        <v>24675</v>
      </c>
      <c r="AO13419" t="s">
        <v>24676</v>
      </c>
    </row>
    <row r="13420" spans="39:41" ht="12" customHeight="1" x14ac:dyDescent="0.2">
      <c r="AM13420" t="str">
        <f t="shared" ref="AM13420:AM13483" si="210">AO13420 &amp; " [" &amp; AN13420 &amp; "]"</f>
        <v>Salangsverket [NOSAC]</v>
      </c>
      <c r="AN13420" t="s">
        <v>24677</v>
      </c>
      <c r="AO13420" t="s">
        <v>24678</v>
      </c>
    </row>
    <row r="13421" spans="39:41" ht="12" customHeight="1" x14ac:dyDescent="0.2">
      <c r="AM13421" t="str">
        <f t="shared" si="210"/>
        <v>Salaverry [PESVY]</v>
      </c>
      <c r="AN13421" t="s">
        <v>25295</v>
      </c>
      <c r="AO13421" t="s">
        <v>25296</v>
      </c>
    </row>
    <row r="13422" spans="39:41" ht="12" customHeight="1" x14ac:dyDescent="0.2">
      <c r="AM13422" t="str">
        <f t="shared" si="210"/>
        <v>Salawati Terminal [IDSWT]</v>
      </c>
      <c r="AN13422" t="s">
        <v>16553</v>
      </c>
      <c r="AO13422" t="s">
        <v>16554</v>
      </c>
    </row>
    <row r="13423" spans="39:41" ht="12" customHeight="1" x14ac:dyDescent="0.2">
      <c r="AM13423" t="str">
        <f t="shared" si="210"/>
        <v>Salaya [INSAL]</v>
      </c>
      <c r="AN13423" t="s">
        <v>17435</v>
      </c>
      <c r="AO13423" t="s">
        <v>17436</v>
      </c>
    </row>
    <row r="13424" spans="39:41" ht="12" customHeight="1" x14ac:dyDescent="0.2">
      <c r="AM13424" t="str">
        <f t="shared" si="210"/>
        <v>Salbke [DESKS]</v>
      </c>
      <c r="AN13424" t="s">
        <v>8213</v>
      </c>
      <c r="AO13424" t="s">
        <v>8214</v>
      </c>
    </row>
    <row r="13425" spans="39:41" ht="12" customHeight="1" x14ac:dyDescent="0.2">
      <c r="AM13425" t="str">
        <f t="shared" si="210"/>
        <v>Salboukh [SASUH]</v>
      </c>
      <c r="AN13425" t="s">
        <v>27419</v>
      </c>
      <c r="AO13425" t="s">
        <v>27420</v>
      </c>
    </row>
    <row r="13426" spans="39:41" ht="12" customHeight="1" x14ac:dyDescent="0.2">
      <c r="AM13426" t="str">
        <f t="shared" si="210"/>
        <v>Salcombe [GBSCB]</v>
      </c>
      <c r="AN13426" t="s">
        <v>14362</v>
      </c>
      <c r="AO13426" t="s">
        <v>14363</v>
      </c>
    </row>
    <row r="13427" spans="39:41" ht="12" customHeight="1" x14ac:dyDescent="0.2">
      <c r="AM13427" t="str">
        <f t="shared" si="210"/>
        <v>Saldanha Bay [ZASDB]</v>
      </c>
      <c r="AN13427" t="s">
        <v>32735</v>
      </c>
      <c r="AO13427" t="s">
        <v>32736</v>
      </c>
    </row>
    <row r="13428" spans="39:41" ht="12" customHeight="1" x14ac:dyDescent="0.2">
      <c r="AM13428" t="str">
        <f t="shared" si="210"/>
        <v>Sale [MASAL]</v>
      </c>
      <c r="AN13428" t="s">
        <v>22058</v>
      </c>
      <c r="AO13428" t="s">
        <v>36083</v>
      </c>
    </row>
    <row r="13429" spans="39:41" ht="12" customHeight="1" x14ac:dyDescent="0.2">
      <c r="AM13429" t="str">
        <f t="shared" si="210"/>
        <v>Saleef Port [YESAL]</v>
      </c>
      <c r="AN13429" t="s">
        <v>32658</v>
      </c>
      <c r="AO13429" t="s">
        <v>32659</v>
      </c>
    </row>
    <row r="13430" spans="39:41" ht="12" customHeight="1" x14ac:dyDescent="0.2">
      <c r="AM13430" t="str">
        <f t="shared" si="210"/>
        <v>Salekhard [RUSLH]</v>
      </c>
      <c r="AN13430" t="s">
        <v>27216</v>
      </c>
      <c r="AO13430" t="s">
        <v>27217</v>
      </c>
    </row>
    <row r="13431" spans="39:41" ht="12" customHeight="1" x14ac:dyDescent="0.2">
      <c r="AM13431" t="str">
        <f t="shared" si="210"/>
        <v>Salem [USSLM]</v>
      </c>
      <c r="AN13431" t="s">
        <v>31385</v>
      </c>
      <c r="AO13431" t="s">
        <v>31386</v>
      </c>
    </row>
    <row r="13432" spans="39:41" ht="12" customHeight="1" x14ac:dyDescent="0.2">
      <c r="AM13432" t="str">
        <f t="shared" si="210"/>
        <v>Salemburg [USS2B]</v>
      </c>
      <c r="AN13432" t="s">
        <v>31387</v>
      </c>
      <c r="AO13432" t="s">
        <v>31388</v>
      </c>
    </row>
    <row r="13433" spans="39:41" ht="12" customHeight="1" x14ac:dyDescent="0.2">
      <c r="AM13433" t="str">
        <f t="shared" si="210"/>
        <v>Salen [GBAEN]</v>
      </c>
      <c r="AN13433" t="s">
        <v>14364</v>
      </c>
      <c r="AO13433" t="s">
        <v>14365</v>
      </c>
    </row>
    <row r="13434" spans="39:41" ht="12" customHeight="1" x14ac:dyDescent="0.2">
      <c r="AM13434" t="str">
        <f t="shared" si="210"/>
        <v>Salenstein [CHTTG]</v>
      </c>
      <c r="AN13434" t="s">
        <v>4746</v>
      </c>
      <c r="AO13434" t="s">
        <v>4747</v>
      </c>
    </row>
    <row r="13435" spans="39:41" ht="12" customHeight="1" x14ac:dyDescent="0.2">
      <c r="AM13435" t="str">
        <f t="shared" si="210"/>
        <v>Salerno [ITSAL]</v>
      </c>
      <c r="AN13435" t="s">
        <v>18268</v>
      </c>
      <c r="AO13435" t="s">
        <v>18269</v>
      </c>
    </row>
    <row r="13436" spans="39:41" ht="12" customHeight="1" x14ac:dyDescent="0.2">
      <c r="AM13436" t="str">
        <f t="shared" si="210"/>
        <v>Salford [GBSFY]</v>
      </c>
      <c r="AN13436" t="s">
        <v>14366</v>
      </c>
      <c r="AO13436" t="s">
        <v>14367</v>
      </c>
    </row>
    <row r="13437" spans="39:41" ht="12" customHeight="1" x14ac:dyDescent="0.2">
      <c r="AM13437" t="str">
        <f t="shared" si="210"/>
        <v>Sali [HRSAL]</v>
      </c>
      <c r="AN13437" t="s">
        <v>15905</v>
      </c>
      <c r="AO13437" t="s">
        <v>15906</v>
      </c>
    </row>
    <row r="13438" spans="39:41" ht="12" customHeight="1" x14ac:dyDescent="0.2">
      <c r="AM13438" t="str">
        <f t="shared" si="210"/>
        <v>Salina Cruz [MXSCX]</v>
      </c>
      <c r="AN13438" t="s">
        <v>22435</v>
      </c>
      <c r="AO13438" t="s">
        <v>22436</v>
      </c>
    </row>
    <row r="13439" spans="39:41" ht="12" customHeight="1" x14ac:dyDescent="0.2">
      <c r="AM13439" t="str">
        <f t="shared" si="210"/>
        <v>Salinas [ECSNC]</v>
      </c>
      <c r="AN13439" t="s">
        <v>9121</v>
      </c>
      <c r="AO13439" t="s">
        <v>9122</v>
      </c>
    </row>
    <row r="13440" spans="39:41" ht="12" customHeight="1" x14ac:dyDescent="0.2">
      <c r="AM13440" t="str">
        <f t="shared" si="210"/>
        <v>Salinas [PRSAL]</v>
      </c>
      <c r="AN13440" t="s">
        <v>26434</v>
      </c>
      <c r="AO13440" t="s">
        <v>9122</v>
      </c>
    </row>
    <row r="13441" spans="39:41" ht="12" customHeight="1" x14ac:dyDescent="0.2">
      <c r="AM13441" t="str">
        <f t="shared" si="210"/>
        <v>Salinas de Oro [ESS9S]</v>
      </c>
      <c r="AN13441" t="s">
        <v>10121</v>
      </c>
      <c r="AO13441" t="s">
        <v>10122</v>
      </c>
    </row>
    <row r="13442" spans="39:41" ht="12" customHeight="1" x14ac:dyDescent="0.2">
      <c r="AM13442" t="str">
        <f t="shared" si="210"/>
        <v>Salinas De Pamplona [ESNRA]</v>
      </c>
      <c r="AN13442" t="s">
        <v>10123</v>
      </c>
      <c r="AO13442" t="s">
        <v>10124</v>
      </c>
    </row>
    <row r="13443" spans="39:41" ht="12" customHeight="1" x14ac:dyDescent="0.2">
      <c r="AM13443" t="str">
        <f t="shared" si="210"/>
        <v>Salin-de-Giraud [FRSDG]</v>
      </c>
      <c r="AN13443" t="s">
        <v>36982</v>
      </c>
      <c r="AO13443" t="s">
        <v>36983</v>
      </c>
    </row>
    <row r="13444" spans="39:41" ht="12" customHeight="1" x14ac:dyDescent="0.2">
      <c r="AM13444" t="str">
        <f t="shared" si="210"/>
        <v>Saline, Reggio Calabria [ITSLC]</v>
      </c>
      <c r="AN13444" t="s">
        <v>18270</v>
      </c>
      <c r="AO13444" t="s">
        <v>18271</v>
      </c>
    </row>
    <row r="13445" spans="39:41" ht="12" customHeight="1" x14ac:dyDescent="0.2">
      <c r="AM13445" t="str">
        <f t="shared" si="210"/>
        <v>Salinetas [ESSAT]</v>
      </c>
      <c r="AN13445" t="s">
        <v>10125</v>
      </c>
      <c r="AO13445" t="s">
        <v>10126</v>
      </c>
    </row>
    <row r="13446" spans="39:41" ht="12" customHeight="1" x14ac:dyDescent="0.2">
      <c r="AM13446" t="str">
        <f t="shared" si="210"/>
        <v>Salinomme [EESLN]</v>
      </c>
      <c r="AN13446" t="s">
        <v>9349</v>
      </c>
      <c r="AO13446" t="s">
        <v>35641</v>
      </c>
    </row>
    <row r="13447" spans="39:41" ht="12" customHeight="1" x14ac:dyDescent="0.2">
      <c r="AM13447" t="str">
        <f t="shared" si="210"/>
        <v>Salinomme Kalasadam [EESNK]</v>
      </c>
      <c r="AN13447" t="s">
        <v>9350</v>
      </c>
      <c r="AO13447" t="s">
        <v>35642</v>
      </c>
    </row>
    <row r="13448" spans="39:41" ht="12" customHeight="1" x14ac:dyDescent="0.2">
      <c r="AM13448" t="str">
        <f t="shared" si="210"/>
        <v>Salinomme Paadisadam [EESNP]</v>
      </c>
      <c r="AN13448" t="s">
        <v>9351</v>
      </c>
      <c r="AO13448" t="s">
        <v>35643</v>
      </c>
    </row>
    <row r="13449" spans="39:41" ht="12" customHeight="1" x14ac:dyDescent="0.2">
      <c r="AM13449" t="str">
        <f t="shared" si="210"/>
        <v>Sallent de Gallego [ESSDG]</v>
      </c>
      <c r="AN13449" t="s">
        <v>10127</v>
      </c>
      <c r="AO13449" t="s">
        <v>10128</v>
      </c>
    </row>
    <row r="13450" spans="39:41" ht="12" customHeight="1" x14ac:dyDescent="0.2">
      <c r="AM13450" t="str">
        <f t="shared" si="210"/>
        <v>Salles [BESLS]</v>
      </c>
      <c r="AN13450" t="s">
        <v>2909</v>
      </c>
      <c r="AO13450" t="s">
        <v>2910</v>
      </c>
    </row>
    <row r="13451" spans="39:41" ht="12" customHeight="1" x14ac:dyDescent="0.2">
      <c r="AM13451" t="str">
        <f t="shared" si="210"/>
        <v>Salme Joesadam [EESLE]</v>
      </c>
      <c r="AN13451" t="s">
        <v>9352</v>
      </c>
      <c r="AO13451" t="s">
        <v>35644</v>
      </c>
    </row>
    <row r="13452" spans="39:41" ht="12" customHeight="1" x14ac:dyDescent="0.2">
      <c r="AM13452" t="str">
        <f t="shared" si="210"/>
        <v>Salmis [SESMS]</v>
      </c>
      <c r="AN13452" t="s">
        <v>27822</v>
      </c>
      <c r="AO13452" t="s">
        <v>27823</v>
      </c>
    </row>
    <row r="13453" spans="39:41" ht="12" customHeight="1" x14ac:dyDescent="0.2">
      <c r="AM13453" t="str">
        <f t="shared" si="210"/>
        <v>Salmistu [EESAM]</v>
      </c>
      <c r="AN13453" t="s">
        <v>9353</v>
      </c>
      <c r="AO13453" t="s">
        <v>9354</v>
      </c>
    </row>
    <row r="13454" spans="39:41" ht="12" customHeight="1" x14ac:dyDescent="0.2">
      <c r="AM13454" t="str">
        <f t="shared" si="210"/>
        <v>Salmiya [KWSMY]</v>
      </c>
      <c r="AN13454" t="s">
        <v>33854</v>
      </c>
      <c r="AO13454" t="s">
        <v>33976</v>
      </c>
    </row>
    <row r="13455" spans="39:41" ht="12" customHeight="1" x14ac:dyDescent="0.2">
      <c r="AM13455" t="str">
        <f t="shared" si="210"/>
        <v>Salo [FISAL]</v>
      </c>
      <c r="AN13455" t="s">
        <v>10534</v>
      </c>
      <c r="AO13455" t="s">
        <v>10535</v>
      </c>
    </row>
    <row r="13456" spans="39:41" ht="12" customHeight="1" x14ac:dyDescent="0.2">
      <c r="AM13456" t="str">
        <f t="shared" si="210"/>
        <v>Salomague [PHSLM]</v>
      </c>
      <c r="AN13456" t="s">
        <v>26108</v>
      </c>
      <c r="AO13456" t="s">
        <v>26109</v>
      </c>
    </row>
    <row r="13457" spans="39:41" ht="12" customHeight="1" x14ac:dyDescent="0.2">
      <c r="AM13457" t="str">
        <f t="shared" si="210"/>
        <v>Salonika [GRSNK]</v>
      </c>
      <c r="AN13457" t="s">
        <v>15500</v>
      </c>
      <c r="AO13457" t="s">
        <v>15501</v>
      </c>
    </row>
    <row r="13458" spans="39:41" ht="12" customHeight="1" x14ac:dyDescent="0.2">
      <c r="AM13458" t="str">
        <f t="shared" si="210"/>
        <v>Salsbruket [NOSBU]</v>
      </c>
      <c r="AN13458" t="s">
        <v>24679</v>
      </c>
      <c r="AO13458" t="s">
        <v>24680</v>
      </c>
    </row>
    <row r="13459" spans="39:41" ht="12" customHeight="1" x14ac:dyDescent="0.2">
      <c r="AM13459" t="str">
        <f t="shared" si="210"/>
        <v>Salt Cay [TCSLX]</v>
      </c>
      <c r="AN13459" t="s">
        <v>28190</v>
      </c>
      <c r="AO13459" t="s">
        <v>28191</v>
      </c>
    </row>
    <row r="13460" spans="39:41" ht="12" customHeight="1" x14ac:dyDescent="0.2">
      <c r="AM13460" t="str">
        <f t="shared" si="210"/>
        <v>Salt End [GBSED]</v>
      </c>
      <c r="AN13460" t="s">
        <v>14368</v>
      </c>
      <c r="AO13460" t="s">
        <v>14369</v>
      </c>
    </row>
    <row r="13461" spans="39:41" ht="12" customHeight="1" x14ac:dyDescent="0.2">
      <c r="AM13461" t="str">
        <f t="shared" si="210"/>
        <v>Salt River [JMSRI]</v>
      </c>
      <c r="AN13461" t="s">
        <v>18455</v>
      </c>
      <c r="AO13461" t="s">
        <v>18456</v>
      </c>
    </row>
    <row r="13462" spans="39:41" ht="12" customHeight="1" x14ac:dyDescent="0.2">
      <c r="AM13462" t="str">
        <f t="shared" si="210"/>
        <v>Saltcoats [GBSLC]</v>
      </c>
      <c r="AN13462" t="s">
        <v>14370</v>
      </c>
      <c r="AO13462" t="s">
        <v>14371</v>
      </c>
    </row>
    <row r="13463" spans="39:41" ht="12" customHeight="1" x14ac:dyDescent="0.2">
      <c r="AM13463" t="str">
        <f t="shared" si="210"/>
        <v>Saltdal [NOSDL]</v>
      </c>
      <c r="AN13463" t="s">
        <v>24681</v>
      </c>
      <c r="AO13463" t="s">
        <v>24682</v>
      </c>
    </row>
    <row r="13464" spans="39:41" ht="12" customHeight="1" x14ac:dyDescent="0.2">
      <c r="AM13464" t="str">
        <f t="shared" si="210"/>
        <v>Salten [NOSAT]</v>
      </c>
      <c r="AN13464" t="s">
        <v>24683</v>
      </c>
      <c r="AO13464" t="s">
        <v>24684</v>
      </c>
    </row>
    <row r="13465" spans="39:41" ht="12" customHeight="1" x14ac:dyDescent="0.2">
      <c r="AM13465" t="str">
        <f t="shared" si="210"/>
        <v>Salthella [NOSLH]</v>
      </c>
      <c r="AN13465" t="s">
        <v>24685</v>
      </c>
      <c r="AO13465" t="s">
        <v>24686</v>
      </c>
    </row>
    <row r="13466" spans="39:41" ht="12" customHeight="1" x14ac:dyDescent="0.2">
      <c r="AM13466" t="str">
        <f t="shared" si="210"/>
        <v>Salthouse [GBSTH]</v>
      </c>
      <c r="AN13466" t="s">
        <v>14372</v>
      </c>
      <c r="AO13466" t="s">
        <v>14373</v>
      </c>
    </row>
    <row r="13467" spans="39:41" ht="12" customHeight="1" x14ac:dyDescent="0.2">
      <c r="AM13467" t="str">
        <f t="shared" si="210"/>
        <v>Saltkallan [SESTL]</v>
      </c>
      <c r="AN13467" t="s">
        <v>27824</v>
      </c>
      <c r="AO13467" t="s">
        <v>36510</v>
      </c>
    </row>
    <row r="13468" spans="39:41" ht="12" customHeight="1" x14ac:dyDescent="0.2">
      <c r="AM13468" t="str">
        <f t="shared" si="210"/>
        <v>Salto [ARSAL]</v>
      </c>
      <c r="AN13468" t="s">
        <v>1109</v>
      </c>
      <c r="AO13468" t="s">
        <v>1110</v>
      </c>
    </row>
    <row r="13469" spans="39:41" ht="12" customHeight="1" x14ac:dyDescent="0.2">
      <c r="AM13469" t="str">
        <f t="shared" si="210"/>
        <v>Salto [UYSTY]</v>
      </c>
      <c r="AN13469" t="s">
        <v>32128</v>
      </c>
      <c r="AO13469" t="s">
        <v>1110</v>
      </c>
    </row>
    <row r="13470" spans="39:41" ht="12" customHeight="1" x14ac:dyDescent="0.2">
      <c r="AM13470" t="str">
        <f t="shared" si="210"/>
        <v>Salto Grande [BRSAL]</v>
      </c>
      <c r="AN13470" t="s">
        <v>3387</v>
      </c>
      <c r="AO13470" t="s">
        <v>3388</v>
      </c>
    </row>
    <row r="13471" spans="39:41" ht="12" customHeight="1" x14ac:dyDescent="0.2">
      <c r="AM13471" t="str">
        <f t="shared" si="210"/>
        <v>Saltpond [GHSPD]</v>
      </c>
      <c r="AN13471" t="s">
        <v>14962</v>
      </c>
      <c r="AO13471" t="s">
        <v>14963</v>
      </c>
    </row>
    <row r="13472" spans="39:41" ht="12" customHeight="1" x14ac:dyDescent="0.2">
      <c r="AM13472" t="str">
        <f t="shared" si="210"/>
        <v>Saltsjobaden [SESBN]</v>
      </c>
      <c r="AN13472" t="s">
        <v>27825</v>
      </c>
      <c r="AO13472" t="s">
        <v>36511</v>
      </c>
    </row>
    <row r="13473" spans="39:41" ht="12" customHeight="1" x14ac:dyDescent="0.2">
      <c r="AM13473" t="str">
        <f t="shared" si="210"/>
        <v>Saltsjo-Boo [SESBB]</v>
      </c>
      <c r="AN13473" t="s">
        <v>27826</v>
      </c>
      <c r="AO13473" t="s">
        <v>36512</v>
      </c>
    </row>
    <row r="13474" spans="39:41" ht="12" customHeight="1" x14ac:dyDescent="0.2">
      <c r="AM13474" t="str">
        <f t="shared" si="210"/>
        <v>Salvador [BRSSA]</v>
      </c>
      <c r="AN13474" t="s">
        <v>3389</v>
      </c>
      <c r="AO13474" t="s">
        <v>3390</v>
      </c>
    </row>
    <row r="13475" spans="39:41" ht="12" customHeight="1" x14ac:dyDescent="0.2">
      <c r="AM13475" t="str">
        <f t="shared" si="210"/>
        <v>Salvaterra [BRSLV]</v>
      </c>
      <c r="AN13475" t="s">
        <v>3391</v>
      </c>
      <c r="AO13475" t="s">
        <v>3392</v>
      </c>
    </row>
    <row r="13476" spans="39:41" ht="12" customHeight="1" x14ac:dyDescent="0.2">
      <c r="AM13476" t="str">
        <f t="shared" si="210"/>
        <v>Salvaterra de Mino [ESGDM]</v>
      </c>
      <c r="AN13476" t="s">
        <v>10129</v>
      </c>
      <c r="AO13476" t="s">
        <v>10130</v>
      </c>
    </row>
    <row r="13477" spans="39:41" ht="12" customHeight="1" x14ac:dyDescent="0.2">
      <c r="AM13477" t="str">
        <f t="shared" si="210"/>
        <v>Salvig Havn [DKSLV]</v>
      </c>
      <c r="AN13477" t="s">
        <v>8867</v>
      </c>
      <c r="AO13477" t="s">
        <v>35577</v>
      </c>
    </row>
    <row r="13478" spans="39:41" ht="12" customHeight="1" x14ac:dyDescent="0.2">
      <c r="AM13478" t="str">
        <f t="shared" si="210"/>
        <v>Salzgitter [DESAR]</v>
      </c>
      <c r="AN13478" t="s">
        <v>8215</v>
      </c>
      <c r="AO13478" t="s">
        <v>8216</v>
      </c>
    </row>
    <row r="13479" spans="39:41" ht="12" customHeight="1" x14ac:dyDescent="0.2">
      <c r="AM13479" t="str">
        <f t="shared" si="210"/>
        <v>Salzmunde [DEZMU]</v>
      </c>
      <c r="AN13479" t="s">
        <v>8217</v>
      </c>
      <c r="AO13479" t="s">
        <v>35494</v>
      </c>
    </row>
    <row r="13480" spans="39:41" ht="12" customHeight="1" x14ac:dyDescent="0.2">
      <c r="AM13480" t="str">
        <f t="shared" si="210"/>
        <v>Samalkot [INSAM]</v>
      </c>
      <c r="AN13480" t="s">
        <v>17437</v>
      </c>
      <c r="AO13480" t="s">
        <v>17438</v>
      </c>
    </row>
    <row r="13481" spans="39:41" ht="12" customHeight="1" x14ac:dyDescent="0.2">
      <c r="AM13481" t="str">
        <f t="shared" si="210"/>
        <v>Samanga [TZSAM]</v>
      </c>
      <c r="AN13481" t="s">
        <v>28735</v>
      </c>
      <c r="AO13481" t="s">
        <v>28736</v>
      </c>
    </row>
    <row r="13482" spans="39:41" ht="12" customHeight="1" x14ac:dyDescent="0.2">
      <c r="AM13482" t="str">
        <f t="shared" si="210"/>
        <v>Samani [JPSAM]</v>
      </c>
      <c r="AN13482" t="s">
        <v>20655</v>
      </c>
      <c r="AO13482" t="s">
        <v>20656</v>
      </c>
    </row>
    <row r="13483" spans="39:41" ht="12" customHeight="1" x14ac:dyDescent="0.2">
      <c r="AM13483" t="str">
        <f t="shared" si="210"/>
        <v>Samara [CRSAM]</v>
      </c>
      <c r="AN13483" t="s">
        <v>6639</v>
      </c>
      <c r="AO13483" t="s">
        <v>27219</v>
      </c>
    </row>
    <row r="13484" spans="39:41" ht="12" customHeight="1" x14ac:dyDescent="0.2">
      <c r="AM13484" t="str">
        <f t="shared" ref="AM13484:AM13547" si="211">AO13484 &amp; " [" &amp; AN13484 &amp; "]"</f>
        <v>Samara [RUKUF]</v>
      </c>
      <c r="AN13484" t="s">
        <v>27218</v>
      </c>
      <c r="AO13484" t="s">
        <v>27219</v>
      </c>
    </row>
    <row r="13485" spans="39:41" ht="12" customHeight="1" x14ac:dyDescent="0.2">
      <c r="AM13485" t="str">
        <f t="shared" si="211"/>
        <v>Samarai [PGSQT]</v>
      </c>
      <c r="AN13485" t="s">
        <v>25464</v>
      </c>
      <c r="AO13485" t="s">
        <v>25465</v>
      </c>
    </row>
    <row r="13486" spans="39:41" ht="12" customHeight="1" x14ac:dyDescent="0.2">
      <c r="AM13486" t="str">
        <f t="shared" si="211"/>
        <v>Samarinda, Kalimantan [IDSRI]</v>
      </c>
      <c r="AN13486" t="s">
        <v>16555</v>
      </c>
      <c r="AO13486" t="s">
        <v>16556</v>
      </c>
    </row>
    <row r="13487" spans="39:41" ht="12" customHeight="1" x14ac:dyDescent="0.2">
      <c r="AM13487" t="str">
        <f t="shared" si="211"/>
        <v>Samarra' [IQSAM]</v>
      </c>
      <c r="AN13487" t="s">
        <v>17582</v>
      </c>
      <c r="AO13487" t="s">
        <v>17583</v>
      </c>
    </row>
    <row r="13488" spans="39:41" ht="12" customHeight="1" x14ac:dyDescent="0.2">
      <c r="AM13488" t="str">
        <f t="shared" si="211"/>
        <v>Sambas, Kalimantan [IDSBS]</v>
      </c>
      <c r="AN13488" t="s">
        <v>16557</v>
      </c>
      <c r="AO13488" t="s">
        <v>16558</v>
      </c>
    </row>
    <row r="13489" spans="39:41" ht="12" customHeight="1" x14ac:dyDescent="0.2">
      <c r="AM13489" t="str">
        <f t="shared" si="211"/>
        <v>Sambava [MGSVB]</v>
      </c>
      <c r="AN13489" t="s">
        <v>22150</v>
      </c>
      <c r="AO13489" t="s">
        <v>22151</v>
      </c>
    </row>
    <row r="13490" spans="39:41" ht="12" customHeight="1" x14ac:dyDescent="0.2">
      <c r="AM13490" t="str">
        <f t="shared" si="211"/>
        <v>Samcha do [KPSAM]</v>
      </c>
      <c r="AN13490" t="s">
        <v>21592</v>
      </c>
      <c r="AO13490" t="s">
        <v>21593</v>
      </c>
    </row>
    <row r="13491" spans="39:41" ht="12" customHeight="1" x14ac:dyDescent="0.2">
      <c r="AM13491" t="str">
        <f t="shared" si="211"/>
        <v>Samcheok [KRSUK]</v>
      </c>
      <c r="AN13491" t="s">
        <v>21708</v>
      </c>
      <c r="AO13491" t="s">
        <v>21709</v>
      </c>
    </row>
    <row r="13492" spans="39:41" ht="12" customHeight="1" x14ac:dyDescent="0.2">
      <c r="AM13492" t="str">
        <f t="shared" si="211"/>
        <v>Samcheonpo/Sacheon [KRSCP]</v>
      </c>
      <c r="AN13492" t="s">
        <v>21710</v>
      </c>
      <c r="AO13492" t="s">
        <v>21711</v>
      </c>
    </row>
    <row r="13493" spans="39:41" ht="12" customHeight="1" x14ac:dyDescent="0.2">
      <c r="AM13493" t="str">
        <f t="shared" si="211"/>
        <v>Same [JPSME]</v>
      </c>
      <c r="AN13493" t="s">
        <v>20657</v>
      </c>
      <c r="AO13493" t="s">
        <v>20658</v>
      </c>
    </row>
    <row r="13494" spans="39:41" ht="12" customHeight="1" x14ac:dyDescent="0.2">
      <c r="AM13494" t="str">
        <f t="shared" si="211"/>
        <v>Sami [GRSAI]</v>
      </c>
      <c r="AN13494" t="s">
        <v>15502</v>
      </c>
      <c r="AO13494" t="s">
        <v>35973</v>
      </c>
    </row>
    <row r="13495" spans="39:41" ht="12" customHeight="1" x14ac:dyDescent="0.2">
      <c r="AM13495" t="str">
        <f t="shared" si="211"/>
        <v>Samnanger [NOSAM]</v>
      </c>
      <c r="AN13495" t="s">
        <v>24687</v>
      </c>
      <c r="AO13495" t="s">
        <v>24688</v>
      </c>
    </row>
    <row r="13496" spans="39:41" ht="12" customHeight="1" x14ac:dyDescent="0.2">
      <c r="AM13496" t="str">
        <f t="shared" si="211"/>
        <v>Samoa [USIOR]</v>
      </c>
      <c r="AN13496" t="s">
        <v>31389</v>
      </c>
      <c r="AO13496" t="s">
        <v>31390</v>
      </c>
    </row>
    <row r="13497" spans="39:41" ht="12" customHeight="1" x14ac:dyDescent="0.2">
      <c r="AM13497" t="str">
        <f t="shared" si="211"/>
        <v>Samois-sur-Seine [FRQSO]</v>
      </c>
      <c r="AN13497" t="s">
        <v>12073</v>
      </c>
      <c r="AO13497" t="s">
        <v>12074</v>
      </c>
    </row>
    <row r="13498" spans="39:41" ht="12" customHeight="1" x14ac:dyDescent="0.2">
      <c r="AM13498" t="str">
        <f t="shared" si="211"/>
        <v>Samoreau [FRSMW]</v>
      </c>
      <c r="AN13498" t="s">
        <v>12075</v>
      </c>
      <c r="AO13498" t="s">
        <v>12076</v>
      </c>
    </row>
    <row r="13499" spans="39:41" ht="12" customHeight="1" x14ac:dyDescent="0.2">
      <c r="AM13499" t="str">
        <f t="shared" si="211"/>
        <v>Samos [GRSMI]</v>
      </c>
      <c r="AN13499" t="s">
        <v>15503</v>
      </c>
      <c r="AO13499" t="s">
        <v>15504</v>
      </c>
    </row>
    <row r="13500" spans="39:41" ht="12" customHeight="1" x14ac:dyDescent="0.2">
      <c r="AM13500" t="str">
        <f t="shared" si="211"/>
        <v>Samothraki [GRSAM]</v>
      </c>
      <c r="AN13500" t="s">
        <v>15505</v>
      </c>
      <c r="AO13500" t="s">
        <v>35974</v>
      </c>
    </row>
    <row r="13501" spans="39:41" ht="12" customHeight="1" x14ac:dyDescent="0.2">
      <c r="AM13501" t="str">
        <f t="shared" si="211"/>
        <v>Sampit, Kalimantan [IDSMQ]</v>
      </c>
      <c r="AN13501" t="s">
        <v>16559</v>
      </c>
      <c r="AO13501" t="s">
        <v>16560</v>
      </c>
    </row>
    <row r="13502" spans="39:41" ht="12" customHeight="1" x14ac:dyDescent="0.2">
      <c r="AM13502" t="str">
        <f t="shared" si="211"/>
        <v>Samson [BESSO]</v>
      </c>
      <c r="AN13502" t="s">
        <v>2911</v>
      </c>
      <c r="AO13502" t="s">
        <v>2912</v>
      </c>
    </row>
    <row r="13503" spans="39:41" ht="12" customHeight="1" x14ac:dyDescent="0.2">
      <c r="AM13503" t="str">
        <f t="shared" si="211"/>
        <v>Samsun [TRSSX]</v>
      </c>
      <c r="AN13503" t="s">
        <v>28576</v>
      </c>
      <c r="AO13503" t="s">
        <v>28577</v>
      </c>
    </row>
    <row r="13504" spans="39:41" ht="12" customHeight="1" x14ac:dyDescent="0.2">
      <c r="AM13504" t="str">
        <f t="shared" si="211"/>
        <v>Samu [MYSAM]</v>
      </c>
      <c r="AN13504" t="s">
        <v>22725</v>
      </c>
      <c r="AO13504" t="s">
        <v>22726</v>
      </c>
    </row>
    <row r="13505" spans="39:41" ht="12" customHeight="1" x14ac:dyDescent="0.2">
      <c r="AM13505" t="str">
        <f t="shared" si="211"/>
        <v>San Acacio [USZSI]</v>
      </c>
      <c r="AN13505" t="s">
        <v>31391</v>
      </c>
      <c r="AO13505" t="s">
        <v>31392</v>
      </c>
    </row>
    <row r="13506" spans="39:41" ht="12" customHeight="1" x14ac:dyDescent="0.2">
      <c r="AM13506" t="str">
        <f t="shared" si="211"/>
        <v>San Agustin [ESSGT]</v>
      </c>
      <c r="AN13506" t="s">
        <v>10131</v>
      </c>
      <c r="AO13506" t="s">
        <v>10132</v>
      </c>
    </row>
    <row r="13507" spans="39:41" ht="12" customHeight="1" x14ac:dyDescent="0.2">
      <c r="AM13507" t="str">
        <f t="shared" si="211"/>
        <v>San Andros [BSSAQ]</v>
      </c>
      <c r="AN13507" t="s">
        <v>3470</v>
      </c>
      <c r="AO13507" t="s">
        <v>3471</v>
      </c>
    </row>
    <row r="13508" spans="39:41" ht="12" customHeight="1" x14ac:dyDescent="0.2">
      <c r="AM13508" t="str">
        <f t="shared" si="211"/>
        <v>San Antonio [CLSAI]</v>
      </c>
      <c r="AN13508" t="s">
        <v>4968</v>
      </c>
      <c r="AO13508" t="s">
        <v>4969</v>
      </c>
    </row>
    <row r="13509" spans="39:41" ht="12" customHeight="1" x14ac:dyDescent="0.2">
      <c r="AM13509" t="str">
        <f t="shared" si="211"/>
        <v>San Antonio [ESSAA]</v>
      </c>
      <c r="AN13509" t="s">
        <v>10133</v>
      </c>
      <c r="AO13509" t="s">
        <v>4969</v>
      </c>
    </row>
    <row r="13510" spans="39:41" ht="12" customHeight="1" x14ac:dyDescent="0.2">
      <c r="AM13510" t="str">
        <f t="shared" si="211"/>
        <v>San Antonio [PYSAN]</v>
      </c>
      <c r="AN13510" t="s">
        <v>26682</v>
      </c>
      <c r="AO13510" t="s">
        <v>4969</v>
      </c>
    </row>
    <row r="13511" spans="39:41" ht="12" customHeight="1" x14ac:dyDescent="0.2">
      <c r="AM13511" t="str">
        <f t="shared" si="211"/>
        <v>San Antonio [CRSAB]</v>
      </c>
      <c r="AN13511" t="s">
        <v>6640</v>
      </c>
      <c r="AO13511" t="s">
        <v>4969</v>
      </c>
    </row>
    <row r="13512" spans="39:41" ht="12" customHeight="1" x14ac:dyDescent="0.2">
      <c r="AM13512" t="str">
        <f t="shared" si="211"/>
        <v>San Antonio Este [ARSAE]</v>
      </c>
      <c r="AN13512" t="s">
        <v>1111</v>
      </c>
      <c r="AO13512" t="s">
        <v>1112</v>
      </c>
    </row>
    <row r="13513" spans="39:41" ht="12" customHeight="1" x14ac:dyDescent="0.2">
      <c r="AM13513" t="str">
        <f t="shared" si="211"/>
        <v>San Asensio [ESSAS]</v>
      </c>
      <c r="AN13513" t="s">
        <v>10134</v>
      </c>
      <c r="AO13513" t="s">
        <v>10135</v>
      </c>
    </row>
    <row r="13514" spans="39:41" ht="12" customHeight="1" x14ac:dyDescent="0.2">
      <c r="AM13514" t="str">
        <f t="shared" si="211"/>
        <v>San Bartolo [PEBAR]</v>
      </c>
      <c r="AN13514" t="s">
        <v>25297</v>
      </c>
      <c r="AO13514" t="s">
        <v>25298</v>
      </c>
    </row>
    <row r="13515" spans="39:41" ht="12" customHeight="1" x14ac:dyDescent="0.2">
      <c r="AM13515" t="str">
        <f t="shared" si="211"/>
        <v>San Bartolome de Tirajana [ESSBT]</v>
      </c>
      <c r="AN13515" t="s">
        <v>10136</v>
      </c>
      <c r="AO13515" t="s">
        <v>35693</v>
      </c>
    </row>
    <row r="13516" spans="39:41" ht="12" customHeight="1" x14ac:dyDescent="0.2">
      <c r="AM13516" t="str">
        <f t="shared" si="211"/>
        <v>San Benedetto del Tronto [ITSDB]</v>
      </c>
      <c r="AN13516" t="s">
        <v>18272</v>
      </c>
      <c r="AO13516" t="s">
        <v>18273</v>
      </c>
    </row>
    <row r="13517" spans="39:41" ht="12" customHeight="1" x14ac:dyDescent="0.2">
      <c r="AM13517" t="str">
        <f t="shared" si="211"/>
        <v>San Blas [MXSBS]</v>
      </c>
      <c r="AN13517" t="s">
        <v>22437</v>
      </c>
      <c r="AO13517" t="s">
        <v>22438</v>
      </c>
    </row>
    <row r="13518" spans="39:41" ht="12" customHeight="1" x14ac:dyDescent="0.2">
      <c r="AM13518" t="str">
        <f t="shared" si="211"/>
        <v>San Carlos [ARSCA]</v>
      </c>
      <c r="AN13518" t="s">
        <v>1113</v>
      </c>
      <c r="AO13518" t="s">
        <v>1114</v>
      </c>
    </row>
    <row r="13519" spans="39:41" ht="12" customHeight="1" x14ac:dyDescent="0.2">
      <c r="AM13519" t="str">
        <f t="shared" si="211"/>
        <v>San Carlos [MXSCR]</v>
      </c>
      <c r="AN13519" t="s">
        <v>22439</v>
      </c>
      <c r="AO13519" t="s">
        <v>1114</v>
      </c>
    </row>
    <row r="13520" spans="39:41" ht="12" customHeight="1" x14ac:dyDescent="0.2">
      <c r="AM13520" t="str">
        <f t="shared" si="211"/>
        <v>San Carlos de la Rapita [ESSCR]</v>
      </c>
      <c r="AN13520" t="s">
        <v>10137</v>
      </c>
      <c r="AO13520" t="s">
        <v>35694</v>
      </c>
    </row>
    <row r="13521" spans="39:41" ht="12" customHeight="1" x14ac:dyDescent="0.2">
      <c r="AM13521" t="str">
        <f t="shared" si="211"/>
        <v>San Carlos/Dumaguete [PHSCA]</v>
      </c>
      <c r="AN13521" t="s">
        <v>26110</v>
      </c>
      <c r="AO13521" t="s">
        <v>26111</v>
      </c>
    </row>
    <row r="13522" spans="39:41" ht="12" customHeight="1" x14ac:dyDescent="0.2">
      <c r="AM13522" t="str">
        <f t="shared" si="211"/>
        <v>San Cataldo [ITNCT]</v>
      </c>
      <c r="AN13522" t="s">
        <v>18274</v>
      </c>
      <c r="AO13522" t="s">
        <v>18275</v>
      </c>
    </row>
    <row r="13523" spans="39:41" ht="12" customHeight="1" x14ac:dyDescent="0.2">
      <c r="AM13523" t="str">
        <f t="shared" si="211"/>
        <v>San Ciprian [ESSCI]</v>
      </c>
      <c r="AN13523" t="s">
        <v>10138</v>
      </c>
      <c r="AO13523" t="s">
        <v>10139</v>
      </c>
    </row>
    <row r="13524" spans="39:41" ht="12" customHeight="1" x14ac:dyDescent="0.2">
      <c r="AM13524" t="str">
        <f t="shared" si="211"/>
        <v>San Diego [USSAN]</v>
      </c>
      <c r="AN13524" t="s">
        <v>31393</v>
      </c>
      <c r="AO13524" t="s">
        <v>31394</v>
      </c>
    </row>
    <row r="13525" spans="39:41" ht="12" customHeight="1" x14ac:dyDescent="0.2">
      <c r="AM13525" t="str">
        <f t="shared" si="211"/>
        <v>San Esteban de Pravia [ESSEO]</v>
      </c>
      <c r="AN13525" t="s">
        <v>10140</v>
      </c>
      <c r="AO13525" t="s">
        <v>10141</v>
      </c>
    </row>
    <row r="13526" spans="39:41" ht="12" customHeight="1" x14ac:dyDescent="0.2">
      <c r="AM13526" t="str">
        <f t="shared" si="211"/>
        <v>San Felice Circeo [ITSFE]</v>
      </c>
      <c r="AN13526" t="s">
        <v>18276</v>
      </c>
      <c r="AO13526" t="s">
        <v>18277</v>
      </c>
    </row>
    <row r="13527" spans="39:41" ht="12" customHeight="1" x14ac:dyDescent="0.2">
      <c r="AM13527" t="str">
        <f t="shared" si="211"/>
        <v>San Feliu de Buxalleu [ESLIU]</v>
      </c>
      <c r="AN13527" t="s">
        <v>10142</v>
      </c>
      <c r="AO13527" t="s">
        <v>35695</v>
      </c>
    </row>
    <row r="13528" spans="39:41" ht="12" customHeight="1" x14ac:dyDescent="0.2">
      <c r="AM13528" t="str">
        <f t="shared" si="211"/>
        <v>San Feliu de Guixols [ESSFU]</v>
      </c>
      <c r="AN13528" t="s">
        <v>10143</v>
      </c>
      <c r="AO13528" t="s">
        <v>10144</v>
      </c>
    </row>
    <row r="13529" spans="39:41" ht="12" customHeight="1" x14ac:dyDescent="0.2">
      <c r="AM13529" t="str">
        <f t="shared" si="211"/>
        <v>San Felix [VESFX]</v>
      </c>
      <c r="AN13529" t="s">
        <v>32254</v>
      </c>
      <c r="AO13529" t="s">
        <v>36590</v>
      </c>
    </row>
    <row r="13530" spans="39:41" ht="12" customHeight="1" x14ac:dyDescent="0.2">
      <c r="AM13530" t="str">
        <f t="shared" si="211"/>
        <v>San Fernando [ARSFE]</v>
      </c>
      <c r="AN13530" t="s">
        <v>1115</v>
      </c>
      <c r="AO13530" t="s">
        <v>1116</v>
      </c>
    </row>
    <row r="13531" spans="39:41" ht="12" customHeight="1" x14ac:dyDescent="0.2">
      <c r="AM13531" t="str">
        <f t="shared" si="211"/>
        <v>San Fernando [ESSFO]</v>
      </c>
      <c r="AN13531" t="s">
        <v>10145</v>
      </c>
      <c r="AO13531" t="s">
        <v>1116</v>
      </c>
    </row>
    <row r="13532" spans="39:41" ht="12" customHeight="1" x14ac:dyDescent="0.2">
      <c r="AM13532" t="str">
        <f t="shared" si="211"/>
        <v>San Fernando [TTSFE]</v>
      </c>
      <c r="AN13532" t="s">
        <v>28655</v>
      </c>
      <c r="AO13532" t="s">
        <v>1116</v>
      </c>
    </row>
    <row r="13533" spans="39:41" ht="12" customHeight="1" x14ac:dyDescent="0.2">
      <c r="AM13533" t="str">
        <f t="shared" si="211"/>
        <v>San Fernando de Apure [VESFD]</v>
      </c>
      <c r="AN13533" t="s">
        <v>32255</v>
      </c>
      <c r="AO13533" t="s">
        <v>32256</v>
      </c>
    </row>
    <row r="13534" spans="39:41" ht="12" customHeight="1" x14ac:dyDescent="0.2">
      <c r="AM13534" t="str">
        <f t="shared" si="211"/>
        <v>San Fernando, Luzon [PHSFE]</v>
      </c>
      <c r="AN13534" t="s">
        <v>26112</v>
      </c>
      <c r="AO13534" t="s">
        <v>26113</v>
      </c>
    </row>
    <row r="13535" spans="39:41" ht="12" customHeight="1" x14ac:dyDescent="0.2">
      <c r="AM13535" t="str">
        <f t="shared" si="211"/>
        <v>San Francisco [USSFO]</v>
      </c>
      <c r="AN13535" t="s">
        <v>31395</v>
      </c>
      <c r="AO13535" t="s">
        <v>31396</v>
      </c>
    </row>
    <row r="13536" spans="39:41" ht="12" customHeight="1" x14ac:dyDescent="0.2">
      <c r="AM13536" t="str">
        <f t="shared" si="211"/>
        <v>San Francisco de Macoris [DOSFN]</v>
      </c>
      <c r="AN13536" t="s">
        <v>9024</v>
      </c>
      <c r="AO13536" t="s">
        <v>35605</v>
      </c>
    </row>
    <row r="13537" spans="39:41" ht="12" customHeight="1" x14ac:dyDescent="0.2">
      <c r="AM13537" t="str">
        <f t="shared" si="211"/>
        <v>San Ignacio [ARSIG]</v>
      </c>
      <c r="AN13537" t="s">
        <v>1117</v>
      </c>
      <c r="AO13537" t="s">
        <v>1118</v>
      </c>
    </row>
    <row r="13538" spans="39:41" ht="12" customHeight="1" x14ac:dyDescent="0.2">
      <c r="AM13538" t="str">
        <f t="shared" si="211"/>
        <v>San Ignacio de Acosta [CRSAN]</v>
      </c>
      <c r="AN13538" t="s">
        <v>6641</v>
      </c>
      <c r="AO13538" t="s">
        <v>6642</v>
      </c>
    </row>
    <row r="13539" spans="39:41" ht="12" customHeight="1" x14ac:dyDescent="0.2">
      <c r="AM13539" t="str">
        <f t="shared" si="211"/>
        <v>San Ignacio/Mati [PHSIO]</v>
      </c>
      <c r="AN13539" t="s">
        <v>26114</v>
      </c>
      <c r="AO13539" t="s">
        <v>26115</v>
      </c>
    </row>
    <row r="13540" spans="39:41" ht="12" customHeight="1" x14ac:dyDescent="0.2">
      <c r="AM13540" t="str">
        <f t="shared" si="211"/>
        <v>San Isidro de Duenas [ESSID]</v>
      </c>
      <c r="AN13540" t="s">
        <v>10146</v>
      </c>
      <c r="AO13540" t="s">
        <v>35696</v>
      </c>
    </row>
    <row r="13541" spans="39:41" ht="12" customHeight="1" x14ac:dyDescent="0.2">
      <c r="AM13541" t="str">
        <f t="shared" si="211"/>
        <v>San Isidro/Sanjose [PHSIS]</v>
      </c>
      <c r="AN13541" t="s">
        <v>26116</v>
      </c>
      <c r="AO13541" t="s">
        <v>26117</v>
      </c>
    </row>
    <row r="13542" spans="39:41" ht="12" customHeight="1" x14ac:dyDescent="0.2">
      <c r="AM13542" t="str">
        <f t="shared" si="211"/>
        <v>San Jose [CRSJO]</v>
      </c>
      <c r="AN13542" t="s">
        <v>6643</v>
      </c>
      <c r="AO13542" t="s">
        <v>15606</v>
      </c>
    </row>
    <row r="13543" spans="39:41" ht="12" customHeight="1" x14ac:dyDescent="0.2">
      <c r="AM13543" t="str">
        <f t="shared" si="211"/>
        <v>San Jose [GTSNJ]</v>
      </c>
      <c r="AN13543" t="s">
        <v>15605</v>
      </c>
      <c r="AO13543" t="s">
        <v>15606</v>
      </c>
    </row>
    <row r="13544" spans="39:41" ht="12" customHeight="1" x14ac:dyDescent="0.2">
      <c r="AM13544" t="str">
        <f t="shared" si="211"/>
        <v>San Jose [USSJC]</v>
      </c>
      <c r="AN13544" t="s">
        <v>31397</v>
      </c>
      <c r="AO13544" t="s">
        <v>15606</v>
      </c>
    </row>
    <row r="13545" spans="39:41" ht="12" customHeight="1" x14ac:dyDescent="0.2">
      <c r="AM13545" t="str">
        <f t="shared" si="211"/>
        <v>San Jose Apt, Mindoro [PHSJI]</v>
      </c>
      <c r="AN13545" t="s">
        <v>26118</v>
      </c>
      <c r="AO13545" t="s">
        <v>26119</v>
      </c>
    </row>
    <row r="13546" spans="39:41" ht="12" customHeight="1" x14ac:dyDescent="0.2">
      <c r="AM13546" t="str">
        <f t="shared" si="211"/>
        <v>San Juan [PESJA]</v>
      </c>
      <c r="AN13546" t="s">
        <v>25299</v>
      </c>
      <c r="AO13546" t="s">
        <v>25300</v>
      </c>
    </row>
    <row r="13547" spans="39:41" ht="12" customHeight="1" x14ac:dyDescent="0.2">
      <c r="AM13547" t="str">
        <f t="shared" si="211"/>
        <v>San Juan [PRSJU]</v>
      </c>
      <c r="AN13547" t="s">
        <v>26435</v>
      </c>
      <c r="AO13547" t="s">
        <v>25300</v>
      </c>
    </row>
    <row r="13548" spans="39:41" ht="12" customHeight="1" x14ac:dyDescent="0.2">
      <c r="AM13548" t="str">
        <f t="shared" ref="AM13548:AM13611" si="212">AO13548 &amp; " [" &amp; AN13548 &amp; "]"</f>
        <v>San Juan de la Costa [MXSJC]</v>
      </c>
      <c r="AN13548" t="s">
        <v>22440</v>
      </c>
      <c r="AO13548" t="s">
        <v>22441</v>
      </c>
    </row>
    <row r="13549" spans="39:41" ht="12" customHeight="1" x14ac:dyDescent="0.2">
      <c r="AM13549" t="str">
        <f t="shared" si="212"/>
        <v>San Juan de Nivea [ESSJN]</v>
      </c>
      <c r="AN13549" t="s">
        <v>10147</v>
      </c>
      <c r="AO13549" t="s">
        <v>10148</v>
      </c>
    </row>
    <row r="13550" spans="39:41" ht="12" customHeight="1" x14ac:dyDescent="0.2">
      <c r="AM13550" t="str">
        <f t="shared" si="212"/>
        <v>San Juan del Sur [NISJS]</v>
      </c>
      <c r="AN13550" t="s">
        <v>23010</v>
      </c>
      <c r="AO13550" t="s">
        <v>23011</v>
      </c>
    </row>
    <row r="13551" spans="39:41" ht="12" customHeight="1" x14ac:dyDescent="0.2">
      <c r="AM13551" t="str">
        <f t="shared" si="212"/>
        <v>San Julian [ARULA]</v>
      </c>
      <c r="AN13551" t="s">
        <v>1119</v>
      </c>
      <c r="AO13551" t="s">
        <v>1120</v>
      </c>
    </row>
    <row r="13552" spans="39:41" ht="12" customHeight="1" x14ac:dyDescent="0.2">
      <c r="AM13552" t="str">
        <f t="shared" si="212"/>
        <v>San Julian de Ramis [ESJRM]</v>
      </c>
      <c r="AN13552" t="s">
        <v>10149</v>
      </c>
      <c r="AO13552" t="s">
        <v>35697</v>
      </c>
    </row>
    <row r="13553" spans="39:41" ht="12" customHeight="1" x14ac:dyDescent="0.2">
      <c r="AM13553" t="str">
        <f t="shared" si="212"/>
        <v>San Lorenzo [ARSLO]</v>
      </c>
      <c r="AN13553" t="s">
        <v>1121</v>
      </c>
      <c r="AO13553" t="s">
        <v>1122</v>
      </c>
    </row>
    <row r="13554" spans="39:41" ht="12" customHeight="1" x14ac:dyDescent="0.2">
      <c r="AM13554" t="str">
        <f t="shared" si="212"/>
        <v>San Lorenzo [ECSLR]</v>
      </c>
      <c r="AN13554" t="s">
        <v>9123</v>
      </c>
      <c r="AO13554" t="s">
        <v>1122</v>
      </c>
    </row>
    <row r="13555" spans="39:41" ht="12" customHeight="1" x14ac:dyDescent="0.2">
      <c r="AM13555" t="str">
        <f t="shared" si="212"/>
        <v>San Lorenzo [HNSLO]</v>
      </c>
      <c r="AN13555" t="s">
        <v>15683</v>
      </c>
      <c r="AO13555" t="s">
        <v>1122</v>
      </c>
    </row>
    <row r="13556" spans="39:41" ht="12" customHeight="1" x14ac:dyDescent="0.2">
      <c r="AM13556" t="str">
        <f t="shared" si="212"/>
        <v>San Lorenzo [MXSLO]</v>
      </c>
      <c r="AN13556" t="s">
        <v>22442</v>
      </c>
      <c r="AO13556" t="s">
        <v>1122</v>
      </c>
    </row>
    <row r="13557" spans="39:41" ht="12" customHeight="1" x14ac:dyDescent="0.2">
      <c r="AM13557" t="str">
        <f t="shared" si="212"/>
        <v>San Lorenzo/Maracaibo L [VESLV]</v>
      </c>
      <c r="AN13557" t="s">
        <v>32257</v>
      </c>
      <c r="AO13557" t="s">
        <v>32258</v>
      </c>
    </row>
    <row r="13558" spans="39:41" ht="12" customHeight="1" x14ac:dyDescent="0.2">
      <c r="AM13558" t="str">
        <f t="shared" si="212"/>
        <v>San Lucas [USZXZ]</v>
      </c>
      <c r="AN13558" t="s">
        <v>31398</v>
      </c>
      <c r="AO13558" t="s">
        <v>31399</v>
      </c>
    </row>
    <row r="13559" spans="39:41" ht="12" customHeight="1" x14ac:dyDescent="0.2">
      <c r="AM13559" t="str">
        <f t="shared" si="212"/>
        <v>San Marcos de Tarrazu [CRMTZ]</v>
      </c>
      <c r="AN13559" t="s">
        <v>6644</v>
      </c>
      <c r="AO13559" t="s">
        <v>6645</v>
      </c>
    </row>
    <row r="13560" spans="39:41" ht="12" customHeight="1" x14ac:dyDescent="0.2">
      <c r="AM13560" t="str">
        <f t="shared" si="212"/>
        <v>San Martin [AQSMT]</v>
      </c>
      <c r="AN13560" t="s">
        <v>964</v>
      </c>
      <c r="AO13560" t="s">
        <v>1124</v>
      </c>
    </row>
    <row r="13561" spans="39:41" ht="12" customHeight="1" x14ac:dyDescent="0.2">
      <c r="AM13561" t="str">
        <f t="shared" si="212"/>
        <v>San Martin [ARSMR]</v>
      </c>
      <c r="AN13561" t="s">
        <v>1123</v>
      </c>
      <c r="AO13561" t="s">
        <v>1124</v>
      </c>
    </row>
    <row r="13562" spans="39:41" ht="12" customHeight="1" x14ac:dyDescent="0.2">
      <c r="AM13562" t="str">
        <f t="shared" si="212"/>
        <v>San Martin [ARSMA]</v>
      </c>
      <c r="AN13562" t="s">
        <v>1125</v>
      </c>
      <c r="AO13562" t="s">
        <v>1124</v>
      </c>
    </row>
    <row r="13563" spans="39:41" ht="12" customHeight="1" x14ac:dyDescent="0.2">
      <c r="AM13563" t="str">
        <f t="shared" si="212"/>
        <v>San Mateo [USSXF]</v>
      </c>
      <c r="AN13563" t="s">
        <v>31400</v>
      </c>
      <c r="AO13563" t="s">
        <v>31401</v>
      </c>
    </row>
    <row r="13564" spans="39:41" ht="12" customHeight="1" x14ac:dyDescent="0.2">
      <c r="AM13564" t="str">
        <f t="shared" si="212"/>
        <v>San Miguel Xoxtla [MXSGX]</v>
      </c>
      <c r="AN13564" t="s">
        <v>22443</v>
      </c>
      <c r="AO13564" t="s">
        <v>22444</v>
      </c>
    </row>
    <row r="13565" spans="39:41" ht="12" customHeight="1" x14ac:dyDescent="0.2">
      <c r="AM13565" t="str">
        <f t="shared" si="212"/>
        <v>San Nicolas [PESNX]</v>
      </c>
      <c r="AN13565" t="s">
        <v>25301</v>
      </c>
      <c r="AO13565" t="s">
        <v>25302</v>
      </c>
    </row>
    <row r="13566" spans="39:41" ht="12" customHeight="1" x14ac:dyDescent="0.2">
      <c r="AM13566" t="str">
        <f t="shared" si="212"/>
        <v>San Nicolas de los Arroyos [ARSNS]</v>
      </c>
      <c r="AN13566" t="s">
        <v>1126</v>
      </c>
      <c r="AO13566" t="s">
        <v>35250</v>
      </c>
    </row>
    <row r="13567" spans="39:41" ht="12" customHeight="1" x14ac:dyDescent="0.2">
      <c r="AM13567" t="str">
        <f t="shared" si="212"/>
        <v>San Pedro [ARSPD]</v>
      </c>
      <c r="AN13567" t="s">
        <v>1127</v>
      </c>
      <c r="AO13567" t="s">
        <v>1128</v>
      </c>
    </row>
    <row r="13568" spans="39:41" ht="12" customHeight="1" x14ac:dyDescent="0.2">
      <c r="AM13568" t="str">
        <f t="shared" si="212"/>
        <v>San Pedro [ARXPD]</v>
      </c>
      <c r="AN13568" t="s">
        <v>1129</v>
      </c>
      <c r="AO13568" t="s">
        <v>1128</v>
      </c>
    </row>
    <row r="13569" spans="39:41" ht="12" customHeight="1" x14ac:dyDescent="0.2">
      <c r="AM13569" t="str">
        <f t="shared" si="212"/>
        <v>San Pedro [USSPQ]</v>
      </c>
      <c r="AN13569" t="s">
        <v>31402</v>
      </c>
      <c r="AO13569" t="s">
        <v>1128</v>
      </c>
    </row>
    <row r="13570" spans="39:41" ht="12" customHeight="1" x14ac:dyDescent="0.2">
      <c r="AM13570" t="str">
        <f t="shared" si="212"/>
        <v>San Pedro Ceque [ESSPQ]</v>
      </c>
      <c r="AN13570" t="s">
        <v>10150</v>
      </c>
      <c r="AO13570" t="s">
        <v>10151</v>
      </c>
    </row>
    <row r="13571" spans="39:41" ht="12" customHeight="1" x14ac:dyDescent="0.2">
      <c r="AM13571" t="str">
        <f t="shared" si="212"/>
        <v>San Pedro de Macoris [DOSPM]</v>
      </c>
      <c r="AN13571" t="s">
        <v>9025</v>
      </c>
      <c r="AO13571" t="s">
        <v>35606</v>
      </c>
    </row>
    <row r="13572" spans="39:41" ht="12" customHeight="1" x14ac:dyDescent="0.2">
      <c r="AM13572" t="str">
        <f t="shared" si="212"/>
        <v>San Pedro de Poas [CRSSP]</v>
      </c>
      <c r="AN13572" t="s">
        <v>6646</v>
      </c>
      <c r="AO13572" t="s">
        <v>6647</v>
      </c>
    </row>
    <row r="13573" spans="39:41" ht="12" customHeight="1" x14ac:dyDescent="0.2">
      <c r="AM13573" t="str">
        <f t="shared" si="212"/>
        <v>San Pedro del Pinatar [ESSPP]</v>
      </c>
      <c r="AN13573" t="s">
        <v>10152</v>
      </c>
      <c r="AO13573" t="s">
        <v>10153</v>
      </c>
    </row>
    <row r="13574" spans="39:41" ht="12" customHeight="1" x14ac:dyDescent="0.2">
      <c r="AM13574" t="str">
        <f t="shared" si="212"/>
        <v>San Pedro Pescador [ESSAP]</v>
      </c>
      <c r="AN13574" t="s">
        <v>10154</v>
      </c>
      <c r="AO13574" t="s">
        <v>10155</v>
      </c>
    </row>
    <row r="13575" spans="39:41" ht="12" customHeight="1" x14ac:dyDescent="0.2">
      <c r="AM13575" t="str">
        <f t="shared" si="212"/>
        <v>San Pedro Sula [HNSAP]</v>
      </c>
      <c r="AN13575" t="s">
        <v>15684</v>
      </c>
      <c r="AO13575" t="s">
        <v>15685</v>
      </c>
    </row>
    <row r="13576" spans="39:41" ht="12" customHeight="1" x14ac:dyDescent="0.2">
      <c r="AM13576" t="str">
        <f t="shared" si="212"/>
        <v>San Pio Quinto/Aparri [PHSPQ]</v>
      </c>
      <c r="AN13576" t="s">
        <v>26120</v>
      </c>
      <c r="AO13576" t="s">
        <v>26121</v>
      </c>
    </row>
    <row r="13577" spans="39:41" ht="12" customHeight="1" x14ac:dyDescent="0.2">
      <c r="AM13577" t="str">
        <f t="shared" si="212"/>
        <v>San Rafael Guatuso [CRSRG]</v>
      </c>
      <c r="AN13577" t="s">
        <v>6648</v>
      </c>
      <c r="AO13577" t="s">
        <v>6649</v>
      </c>
    </row>
    <row r="13578" spans="39:41" ht="12" customHeight="1" x14ac:dyDescent="0.2">
      <c r="AM13578" t="str">
        <f t="shared" si="212"/>
        <v>San Remo [ITSRE]</v>
      </c>
      <c r="AN13578" t="s">
        <v>18278</v>
      </c>
      <c r="AO13578" t="s">
        <v>18279</v>
      </c>
    </row>
    <row r="13579" spans="39:41" ht="12" customHeight="1" x14ac:dyDescent="0.2">
      <c r="AM13579" t="str">
        <f t="shared" si="212"/>
        <v>San Roman de Hornija [ESSRH]</v>
      </c>
      <c r="AN13579" t="s">
        <v>10156</v>
      </c>
      <c r="AO13579" t="s">
        <v>35698</v>
      </c>
    </row>
    <row r="13580" spans="39:41" ht="12" customHeight="1" x14ac:dyDescent="0.2">
      <c r="AM13580" t="str">
        <f t="shared" si="212"/>
        <v>San Salvador [SVSAL]</v>
      </c>
      <c r="AN13580" t="s">
        <v>28154</v>
      </c>
      <c r="AO13580" t="s">
        <v>28155</v>
      </c>
    </row>
    <row r="13581" spans="39:41" ht="12" customHeight="1" x14ac:dyDescent="0.2">
      <c r="AM13581" t="str">
        <f t="shared" si="212"/>
        <v>San Salvador de Jujuy [ARSSJ]</v>
      </c>
      <c r="AN13581" t="s">
        <v>1130</v>
      </c>
      <c r="AO13581" t="s">
        <v>1131</v>
      </c>
    </row>
    <row r="13582" spans="39:41" ht="12" customHeight="1" x14ac:dyDescent="0.2">
      <c r="AM13582" t="str">
        <f t="shared" si="212"/>
        <v>San Salvador Island [BSZSA]</v>
      </c>
      <c r="AN13582" t="s">
        <v>3472</v>
      </c>
      <c r="AO13582" t="s">
        <v>3473</v>
      </c>
    </row>
    <row r="13583" spans="39:41" ht="12" customHeight="1" x14ac:dyDescent="0.2">
      <c r="AM13583" t="str">
        <f t="shared" si="212"/>
        <v>San Sebastian [ARSSN]</v>
      </c>
      <c r="AN13583" t="s">
        <v>1132</v>
      </c>
      <c r="AO13583" t="s">
        <v>10158</v>
      </c>
    </row>
    <row r="13584" spans="39:41" ht="12" customHeight="1" x14ac:dyDescent="0.2">
      <c r="AM13584" t="str">
        <f t="shared" si="212"/>
        <v>San Sebastian [ESEAS]</v>
      </c>
      <c r="AN13584" t="s">
        <v>10157</v>
      </c>
      <c r="AO13584" t="s">
        <v>10158</v>
      </c>
    </row>
    <row r="13585" spans="39:41" ht="12" customHeight="1" x14ac:dyDescent="0.2">
      <c r="AM13585" t="str">
        <f t="shared" si="212"/>
        <v>San Sebastian [PRSBS]</v>
      </c>
      <c r="AN13585" t="s">
        <v>26436</v>
      </c>
      <c r="AO13585" t="s">
        <v>10158</v>
      </c>
    </row>
    <row r="13586" spans="39:41" ht="12" customHeight="1" x14ac:dyDescent="0.2">
      <c r="AM13586" t="str">
        <f t="shared" si="212"/>
        <v>San Sebastian de la Gomera [ESSSG]</v>
      </c>
      <c r="AN13586" t="s">
        <v>10159</v>
      </c>
      <c r="AO13586" t="s">
        <v>10160</v>
      </c>
    </row>
    <row r="13587" spans="39:41" ht="12" customHeight="1" x14ac:dyDescent="0.2">
      <c r="AM13587" t="str">
        <f t="shared" si="212"/>
        <v>San Teodoro/Batangas [PHSTE]</v>
      </c>
      <c r="AN13587" t="s">
        <v>26122</v>
      </c>
      <c r="AO13587" t="s">
        <v>26123</v>
      </c>
    </row>
    <row r="13588" spans="39:41" ht="12" customHeight="1" x14ac:dyDescent="0.2">
      <c r="AM13588" t="str">
        <f t="shared" si="212"/>
        <v>San Vicente [CLSVE]</v>
      </c>
      <c r="AN13588" t="s">
        <v>4970</v>
      </c>
      <c r="AO13588" t="s">
        <v>4971</v>
      </c>
    </row>
    <row r="13589" spans="39:41" ht="12" customHeight="1" x14ac:dyDescent="0.2">
      <c r="AM13589" t="str">
        <f t="shared" si="212"/>
        <v>San Vicente [ESSVI]</v>
      </c>
      <c r="AN13589" t="s">
        <v>10161</v>
      </c>
      <c r="AO13589" t="s">
        <v>4971</v>
      </c>
    </row>
    <row r="13590" spans="39:41" ht="12" customHeight="1" x14ac:dyDescent="0.2">
      <c r="AM13590" t="str">
        <f t="shared" si="212"/>
        <v>San Vicente de la Barquera [ESSVB]</v>
      </c>
      <c r="AN13590" t="s">
        <v>10162</v>
      </c>
      <c r="AO13590" t="s">
        <v>10163</v>
      </c>
    </row>
    <row r="13591" spans="39:41" ht="12" customHeight="1" x14ac:dyDescent="0.2">
      <c r="AM13591" t="str">
        <f t="shared" si="212"/>
        <v>San Vito lo Capo [ITSVC]</v>
      </c>
      <c r="AN13591" t="s">
        <v>18280</v>
      </c>
      <c r="AO13591" t="s">
        <v>18281</v>
      </c>
    </row>
    <row r="13592" spans="39:41" ht="12" customHeight="1" x14ac:dyDescent="0.2">
      <c r="AM13592" t="str">
        <f t="shared" si="212"/>
        <v>Sanagi [JPSNX]</v>
      </c>
      <c r="AN13592" t="s">
        <v>20659</v>
      </c>
      <c r="AO13592" t="s">
        <v>20660</v>
      </c>
    </row>
    <row r="13593" spans="39:41" ht="12" customHeight="1" x14ac:dyDescent="0.2">
      <c r="AM13593" t="str">
        <f t="shared" si="212"/>
        <v>Sanami [JPSNM]</v>
      </c>
      <c r="AN13593" t="s">
        <v>20661</v>
      </c>
      <c r="AO13593" t="s">
        <v>20662</v>
      </c>
    </row>
    <row r="13594" spans="39:41" ht="12" customHeight="1" x14ac:dyDescent="0.2">
      <c r="AM13594" t="str">
        <f t="shared" si="212"/>
        <v>Sanang, Celebes [IDSAN]</v>
      </c>
      <c r="AN13594" t="s">
        <v>16561</v>
      </c>
      <c r="AO13594" t="s">
        <v>16562</v>
      </c>
    </row>
    <row r="13595" spans="39:41" ht="12" customHeight="1" x14ac:dyDescent="0.2">
      <c r="AM13595" t="str">
        <f t="shared" si="212"/>
        <v>Sanathnagar [INSAD]</v>
      </c>
      <c r="AN13595" t="s">
        <v>17439</v>
      </c>
      <c r="AO13595" t="s">
        <v>17440</v>
      </c>
    </row>
    <row r="13596" spans="39:41" ht="12" customHeight="1" x14ac:dyDescent="0.2">
      <c r="AM13596" t="str">
        <f t="shared" si="212"/>
        <v>Sanbaimen [CNSBM]</v>
      </c>
      <c r="AN13596" t="s">
        <v>5945</v>
      </c>
      <c r="AO13596" t="s">
        <v>5946</v>
      </c>
    </row>
    <row r="13597" spans="39:41" ht="12" customHeight="1" x14ac:dyDescent="0.2">
      <c r="AM13597" t="str">
        <f t="shared" si="212"/>
        <v>Sanbonmatsu [JPSAN]</v>
      </c>
      <c r="AN13597" t="s">
        <v>20663</v>
      </c>
      <c r="AO13597" t="s">
        <v>20664</v>
      </c>
    </row>
    <row r="13598" spans="39:41" ht="12" customHeight="1" x14ac:dyDescent="0.2">
      <c r="AM13598" t="str">
        <f t="shared" si="212"/>
        <v>Sanbu Pt [CNSBU]</v>
      </c>
      <c r="AN13598" t="s">
        <v>5947</v>
      </c>
      <c r="AO13598" t="s">
        <v>5948</v>
      </c>
    </row>
    <row r="13599" spans="39:41" ht="12" customHeight="1" x14ac:dyDescent="0.2">
      <c r="AM13599" t="str">
        <f t="shared" si="212"/>
        <v>Sance [FRSNQ]</v>
      </c>
      <c r="AN13599" t="s">
        <v>12077</v>
      </c>
      <c r="AO13599" t="s">
        <v>35853</v>
      </c>
    </row>
    <row r="13600" spans="39:41" ht="12" customHeight="1" x14ac:dyDescent="0.2">
      <c r="AM13600" t="str">
        <f t="shared" si="212"/>
        <v>Sanchez [DOSNZ]</v>
      </c>
      <c r="AN13600" t="s">
        <v>9026</v>
      </c>
      <c r="AO13600" t="s">
        <v>35607</v>
      </c>
    </row>
    <row r="13601" spans="39:41" ht="12" customHeight="1" x14ac:dyDescent="0.2">
      <c r="AM13601" t="str">
        <f t="shared" si="212"/>
        <v>Sand [GBSNJ]</v>
      </c>
      <c r="AN13601" t="s">
        <v>14374</v>
      </c>
      <c r="AO13601" t="s">
        <v>14375</v>
      </c>
    </row>
    <row r="13602" spans="39:41" ht="12" customHeight="1" x14ac:dyDescent="0.2">
      <c r="AM13602" t="str">
        <f t="shared" si="212"/>
        <v>Sand [NOSAX]</v>
      </c>
      <c r="AN13602" t="s">
        <v>24689</v>
      </c>
      <c r="AO13602" t="s">
        <v>14375</v>
      </c>
    </row>
    <row r="13603" spans="39:41" ht="12" customHeight="1" x14ac:dyDescent="0.2">
      <c r="AM13603" t="str">
        <f t="shared" si="212"/>
        <v>Sandakan, Sabah [MYSDK]</v>
      </c>
      <c r="AN13603" t="s">
        <v>22727</v>
      </c>
      <c r="AO13603" t="s">
        <v>22728</v>
      </c>
    </row>
    <row r="13604" spans="39:41" ht="12" customHeight="1" x14ac:dyDescent="0.2">
      <c r="AM13604" t="str">
        <f t="shared" si="212"/>
        <v>Sandane [NOSDN]</v>
      </c>
      <c r="AN13604" t="s">
        <v>37102</v>
      </c>
      <c r="AO13604" t="s">
        <v>37103</v>
      </c>
    </row>
    <row r="13605" spans="39:41" ht="12" customHeight="1" x14ac:dyDescent="0.2">
      <c r="AM13605" t="str">
        <f t="shared" si="212"/>
        <v>Sandarne [SESAE]</v>
      </c>
      <c r="AN13605" t="s">
        <v>27827</v>
      </c>
      <c r="AO13605" t="s">
        <v>27828</v>
      </c>
    </row>
    <row r="13606" spans="39:41" ht="12" customHeight="1" x14ac:dyDescent="0.2">
      <c r="AM13606" t="str">
        <f t="shared" si="212"/>
        <v>Sanday [GBNDY]</v>
      </c>
      <c r="AN13606" t="s">
        <v>14376</v>
      </c>
      <c r="AO13606" t="s">
        <v>14377</v>
      </c>
    </row>
    <row r="13607" spans="39:41" ht="12" customHeight="1" x14ac:dyDescent="0.2">
      <c r="AM13607" t="str">
        <f t="shared" si="212"/>
        <v>Sande, Friesland [DESDE]</v>
      </c>
      <c r="AN13607" t="s">
        <v>8218</v>
      </c>
      <c r="AO13607" t="s">
        <v>8219</v>
      </c>
    </row>
    <row r="13608" spans="39:41" ht="12" customHeight="1" x14ac:dyDescent="0.2">
      <c r="AM13608" t="str">
        <f t="shared" si="212"/>
        <v>Sandefjord [NOTRF]</v>
      </c>
      <c r="AN13608" t="s">
        <v>37110</v>
      </c>
      <c r="AO13608" t="s">
        <v>37111</v>
      </c>
    </row>
    <row r="13609" spans="39:41" ht="12" customHeight="1" x14ac:dyDescent="0.2">
      <c r="AM13609" t="str">
        <f t="shared" si="212"/>
        <v>Sandeid [NOSAF]</v>
      </c>
      <c r="AN13609" t="s">
        <v>24690</v>
      </c>
      <c r="AO13609" t="s">
        <v>24691</v>
      </c>
    </row>
    <row r="13610" spans="39:41" ht="12" customHeight="1" x14ac:dyDescent="0.2">
      <c r="AM13610" t="str">
        <f t="shared" si="212"/>
        <v>Sandford [GBSAD]</v>
      </c>
      <c r="AN13610" t="s">
        <v>14378</v>
      </c>
      <c r="AO13610" t="s">
        <v>14379</v>
      </c>
    </row>
    <row r="13611" spans="39:41" ht="12" customHeight="1" x14ac:dyDescent="0.2">
      <c r="AM13611" t="str">
        <f t="shared" si="212"/>
        <v>Sandgate [AUSGT]</v>
      </c>
      <c r="AN13611" t="s">
        <v>2008</v>
      </c>
      <c r="AO13611" t="s">
        <v>2009</v>
      </c>
    </row>
    <row r="13612" spans="39:41" ht="12" customHeight="1" x14ac:dyDescent="0.2">
      <c r="AM13612" t="str">
        <f t="shared" ref="AM13612:AM13675" si="213">AO13612 &amp; " [" &amp; AN13612 &amp; "]"</f>
        <v>Sandgerdi [ISSAN]</v>
      </c>
      <c r="AN13612" t="s">
        <v>17756</v>
      </c>
      <c r="AO13612" t="s">
        <v>17757</v>
      </c>
    </row>
    <row r="13613" spans="39:41" ht="12" customHeight="1" x14ac:dyDescent="0.2">
      <c r="AM13613" t="str">
        <f t="shared" si="213"/>
        <v>Sandhaven and Pitullie [GBSPI]</v>
      </c>
      <c r="AN13613" t="s">
        <v>14380</v>
      </c>
      <c r="AO13613" t="s">
        <v>14381</v>
      </c>
    </row>
    <row r="13614" spans="39:41" ht="12" customHeight="1" x14ac:dyDescent="0.2">
      <c r="AM13614" t="str">
        <f t="shared" si="213"/>
        <v>Sandim [PTDFZ]</v>
      </c>
      <c r="AN13614" t="s">
        <v>26593</v>
      </c>
      <c r="AO13614" t="s">
        <v>26594</v>
      </c>
    </row>
    <row r="13615" spans="39:41" ht="12" customHeight="1" x14ac:dyDescent="0.2">
      <c r="AM13615" t="str">
        <f t="shared" si="213"/>
        <v>Sandnes [NOSAS]</v>
      </c>
      <c r="AN13615" t="s">
        <v>24692</v>
      </c>
      <c r="AO13615" t="s">
        <v>24693</v>
      </c>
    </row>
    <row r="13616" spans="39:41" ht="12" customHeight="1" x14ac:dyDescent="0.2">
      <c r="AM13616" t="str">
        <f t="shared" si="213"/>
        <v>Sandness [GBSNK]</v>
      </c>
      <c r="AN13616" t="s">
        <v>14382</v>
      </c>
      <c r="AO13616" t="s">
        <v>14383</v>
      </c>
    </row>
    <row r="13617" spans="39:41" ht="12" customHeight="1" x14ac:dyDescent="0.2">
      <c r="AM13617" t="str">
        <f t="shared" si="213"/>
        <v>Sandnessjoen [NOSSJ]</v>
      </c>
      <c r="AN13617" t="s">
        <v>24694</v>
      </c>
      <c r="AO13617" t="s">
        <v>36282</v>
      </c>
    </row>
    <row r="13618" spans="39:41" ht="12" customHeight="1" x14ac:dyDescent="0.2">
      <c r="AM13618" t="str">
        <f t="shared" si="213"/>
        <v>Sando (Santasaari) [FISAN]</v>
      </c>
      <c r="AN13618" t="s">
        <v>10536</v>
      </c>
      <c r="AO13618" t="s">
        <v>35748</v>
      </c>
    </row>
    <row r="13619" spans="39:41" ht="12" customHeight="1" x14ac:dyDescent="0.2">
      <c r="AM13619" t="str">
        <f t="shared" si="213"/>
        <v>Sandouping [CNSDP]</v>
      </c>
      <c r="AN13619" t="s">
        <v>5949</v>
      </c>
      <c r="AO13619" t="s">
        <v>5950</v>
      </c>
    </row>
    <row r="13620" spans="39:41" ht="12" customHeight="1" x14ac:dyDescent="0.2">
      <c r="AM13620" t="str">
        <f t="shared" si="213"/>
        <v>Sandoval [USBMH]</v>
      </c>
      <c r="AN13620" t="s">
        <v>31403</v>
      </c>
      <c r="AO13620" t="s">
        <v>31404</v>
      </c>
    </row>
    <row r="13621" spans="39:41" ht="12" customHeight="1" x14ac:dyDescent="0.2">
      <c r="AM13621" t="str">
        <f t="shared" si="213"/>
        <v>Sandown [GBSDO]</v>
      </c>
      <c r="AN13621" t="s">
        <v>14384</v>
      </c>
      <c r="AO13621" t="s">
        <v>14385</v>
      </c>
    </row>
    <row r="13622" spans="39:41" ht="12" customHeight="1" x14ac:dyDescent="0.2">
      <c r="AM13622" t="str">
        <f t="shared" si="213"/>
        <v>Sandoya [NOSAY]</v>
      </c>
      <c r="AN13622" t="s">
        <v>24695</v>
      </c>
      <c r="AO13622" t="s">
        <v>36283</v>
      </c>
    </row>
    <row r="13623" spans="39:41" ht="12" customHeight="1" x14ac:dyDescent="0.2">
      <c r="AM13623" t="str">
        <f t="shared" si="213"/>
        <v>Sandrancourt [FRSQV]</v>
      </c>
      <c r="AN13623" t="s">
        <v>12078</v>
      </c>
      <c r="AO13623" t="s">
        <v>12079</v>
      </c>
    </row>
    <row r="13624" spans="39:41" ht="12" customHeight="1" x14ac:dyDescent="0.2">
      <c r="AM13624" t="str">
        <f t="shared" si="213"/>
        <v>Sands Point [USZDS]</v>
      </c>
      <c r="AN13624" t="s">
        <v>31405</v>
      </c>
      <c r="AO13624" t="s">
        <v>31406</v>
      </c>
    </row>
    <row r="13625" spans="39:41" ht="12" customHeight="1" x14ac:dyDescent="0.2">
      <c r="AM13625" t="str">
        <f t="shared" si="213"/>
        <v>Sandside [GBSDS]</v>
      </c>
      <c r="AN13625" t="s">
        <v>14386</v>
      </c>
      <c r="AO13625" t="s">
        <v>14387</v>
      </c>
    </row>
    <row r="13626" spans="39:41" ht="12" customHeight="1" x14ac:dyDescent="0.2">
      <c r="AM13626" t="str">
        <f t="shared" si="213"/>
        <v>Sandspit [CASSP]</v>
      </c>
      <c r="AN13626" t="s">
        <v>4422</v>
      </c>
      <c r="AO13626" t="s">
        <v>4423</v>
      </c>
    </row>
    <row r="13627" spans="39:41" ht="12" customHeight="1" x14ac:dyDescent="0.2">
      <c r="AM13627" t="str">
        <f t="shared" si="213"/>
        <v>Sandusky, Erie [USSKY]</v>
      </c>
      <c r="AN13627" t="s">
        <v>31407</v>
      </c>
      <c r="AO13627" t="s">
        <v>31408</v>
      </c>
    </row>
    <row r="13628" spans="39:41" ht="12" customHeight="1" x14ac:dyDescent="0.2">
      <c r="AM13628" t="str">
        <f t="shared" si="213"/>
        <v>Sandved [DKSD7]</v>
      </c>
      <c r="AN13628" t="s">
        <v>8871</v>
      </c>
      <c r="AO13628" t="s">
        <v>8872</v>
      </c>
    </row>
    <row r="13629" spans="39:41" ht="12" customHeight="1" x14ac:dyDescent="0.2">
      <c r="AM13629" t="str">
        <f t="shared" si="213"/>
        <v>Sandvig [DKSVG]</v>
      </c>
      <c r="AN13629" t="s">
        <v>8873</v>
      </c>
      <c r="AO13629" t="s">
        <v>8874</v>
      </c>
    </row>
    <row r="13630" spans="39:41" ht="12" customHeight="1" x14ac:dyDescent="0.2">
      <c r="AM13630" t="str">
        <f t="shared" si="213"/>
        <v>Sandvik [SESAK]</v>
      </c>
      <c r="AN13630" t="s">
        <v>27829</v>
      </c>
      <c r="AO13630" t="s">
        <v>27830</v>
      </c>
    </row>
    <row r="13631" spans="39:41" ht="12" customHeight="1" x14ac:dyDescent="0.2">
      <c r="AM13631" t="str">
        <f t="shared" si="213"/>
        <v>Sandvik, Styrso [SESTR]</v>
      </c>
      <c r="AN13631" t="s">
        <v>27831</v>
      </c>
      <c r="AO13631" t="s">
        <v>36513</v>
      </c>
    </row>
    <row r="13632" spans="39:41" ht="12" customHeight="1" x14ac:dyDescent="0.2">
      <c r="AM13632" t="str">
        <f t="shared" si="213"/>
        <v>Sandvika [NOSDI]</v>
      </c>
      <c r="AN13632" t="s">
        <v>24696</v>
      </c>
      <c r="AO13632" t="s">
        <v>24697</v>
      </c>
    </row>
    <row r="13633" spans="39:41" ht="12" customHeight="1" x14ac:dyDescent="0.2">
      <c r="AM13633" t="str">
        <f t="shared" si="213"/>
        <v>Sandviken [SESAN]</v>
      </c>
      <c r="AN13633" t="s">
        <v>37156</v>
      </c>
      <c r="AO13633" t="s">
        <v>37157</v>
      </c>
    </row>
    <row r="13634" spans="39:41" ht="12" customHeight="1" x14ac:dyDescent="0.2">
      <c r="AM13634" t="str">
        <f t="shared" si="213"/>
        <v>Sandviksberget [NOSAI]</v>
      </c>
      <c r="AN13634" t="s">
        <v>24698</v>
      </c>
      <c r="AO13634" t="s">
        <v>24699</v>
      </c>
    </row>
    <row r="13635" spans="39:41" ht="12" customHeight="1" x14ac:dyDescent="0.2">
      <c r="AM13635" t="str">
        <f t="shared" si="213"/>
        <v>Sandwich [GBSDW]</v>
      </c>
      <c r="AN13635" t="s">
        <v>14388</v>
      </c>
      <c r="AO13635" t="s">
        <v>14389</v>
      </c>
    </row>
    <row r="13636" spans="39:41" ht="12" customHeight="1" x14ac:dyDescent="0.2">
      <c r="AM13636" t="str">
        <f t="shared" si="213"/>
        <v>Sandwick [GBSWC]</v>
      </c>
      <c r="AN13636" t="s">
        <v>14390</v>
      </c>
      <c r="AO13636" t="s">
        <v>14391</v>
      </c>
    </row>
    <row r="13637" spans="39:41" ht="12" customHeight="1" x14ac:dyDescent="0.2">
      <c r="AM13637" t="str">
        <f t="shared" si="213"/>
        <v>Sandy Beach [CASBH]</v>
      </c>
      <c r="AN13637" t="s">
        <v>4424</v>
      </c>
      <c r="AO13637" t="s">
        <v>4425</v>
      </c>
    </row>
    <row r="13638" spans="39:41" ht="12" customHeight="1" x14ac:dyDescent="0.2">
      <c r="AM13638" t="str">
        <f t="shared" si="213"/>
        <v>Sandy Point [USSYP]</v>
      </c>
      <c r="AN13638" t="s">
        <v>31409</v>
      </c>
      <c r="AO13638" t="s">
        <v>31410</v>
      </c>
    </row>
    <row r="13639" spans="39:41" ht="12" customHeight="1" x14ac:dyDescent="0.2">
      <c r="AM13639" t="str">
        <f t="shared" si="213"/>
        <v>Sandy Springs [USYSG]</v>
      </c>
      <c r="AN13639" t="s">
        <v>31411</v>
      </c>
      <c r="AO13639" t="s">
        <v>31412</v>
      </c>
    </row>
    <row r="13640" spans="39:41" ht="12" customHeight="1" x14ac:dyDescent="0.2">
      <c r="AM13640" t="str">
        <f t="shared" si="213"/>
        <v>Sandys [BMSAN]</v>
      </c>
      <c r="AN13640" t="s">
        <v>36657</v>
      </c>
      <c r="AO13640" t="s">
        <v>36658</v>
      </c>
    </row>
    <row r="13641" spans="39:41" ht="12" customHeight="1" x14ac:dyDescent="0.2">
      <c r="AM13641" t="str">
        <f t="shared" si="213"/>
        <v>Sanford [CASF2]</v>
      </c>
      <c r="AN13641" t="s">
        <v>4426</v>
      </c>
      <c r="AO13641" t="s">
        <v>4427</v>
      </c>
    </row>
    <row r="13642" spans="39:41" ht="12" customHeight="1" x14ac:dyDescent="0.2">
      <c r="AM13642" t="str">
        <f t="shared" si="213"/>
        <v>Sanford [USFU7]</v>
      </c>
      <c r="AN13642" t="s">
        <v>31413</v>
      </c>
      <c r="AO13642" t="s">
        <v>4427</v>
      </c>
    </row>
    <row r="13643" spans="39:41" ht="12" customHeight="1" x14ac:dyDescent="0.2">
      <c r="AM13643" t="str">
        <f t="shared" si="213"/>
        <v>Sangenjo [ESSXX]</v>
      </c>
      <c r="AN13643" t="s">
        <v>10164</v>
      </c>
      <c r="AO13643" t="s">
        <v>10165</v>
      </c>
    </row>
    <row r="13644" spans="39:41" ht="12" customHeight="1" x14ac:dyDescent="0.2">
      <c r="AM13644" t="str">
        <f t="shared" si="213"/>
        <v>Sanggau [IDSGU]</v>
      </c>
      <c r="AN13644" t="s">
        <v>16563</v>
      </c>
      <c r="AO13644" t="s">
        <v>16564</v>
      </c>
    </row>
    <row r="13645" spans="39:41" ht="12" customHeight="1" x14ac:dyDescent="0.2">
      <c r="AM13645" t="str">
        <f t="shared" si="213"/>
        <v>Sangi/Cebu [PHSNG]</v>
      </c>
      <c r="AN13645" t="s">
        <v>26124</v>
      </c>
      <c r="AO13645" t="s">
        <v>26125</v>
      </c>
    </row>
    <row r="13646" spans="39:41" ht="12" customHeight="1" x14ac:dyDescent="0.2">
      <c r="AM13646" t="str">
        <f t="shared" si="213"/>
        <v>Sangkulirang, Kalimantan [IDSKI]</v>
      </c>
      <c r="AN13646" t="s">
        <v>16565</v>
      </c>
      <c r="AO13646" t="s">
        <v>16566</v>
      </c>
    </row>
    <row r="13647" spans="39:41" ht="12" customHeight="1" x14ac:dyDescent="0.2">
      <c r="AM13647" t="str">
        <f t="shared" si="213"/>
        <v>Sango Otta [NGSOT]</v>
      </c>
      <c r="AN13647" t="s">
        <v>22976</v>
      </c>
      <c r="AO13647" t="s">
        <v>22977</v>
      </c>
    </row>
    <row r="13648" spans="39:41" ht="12" customHeight="1" x14ac:dyDescent="0.2">
      <c r="AM13648" t="str">
        <f t="shared" si="213"/>
        <v>Sanguineda [ESSP4]</v>
      </c>
      <c r="AN13648" t="s">
        <v>10166</v>
      </c>
      <c r="AO13648" t="s">
        <v>10167</v>
      </c>
    </row>
    <row r="13649" spans="39:41" ht="12" customHeight="1" x14ac:dyDescent="0.2">
      <c r="AM13649" t="str">
        <f t="shared" si="213"/>
        <v>Sangwangdeungdo [KRSWD]</v>
      </c>
      <c r="AN13649" t="s">
        <v>21712</v>
      </c>
      <c r="AO13649" t="s">
        <v>21713</v>
      </c>
    </row>
    <row r="13650" spans="39:41" ht="12" customHeight="1" x14ac:dyDescent="0.2">
      <c r="AM13650" t="str">
        <f t="shared" si="213"/>
        <v>Sanhua [CNSAA]</v>
      </c>
      <c r="AN13650" t="s">
        <v>5951</v>
      </c>
      <c r="AO13650" t="s">
        <v>5952</v>
      </c>
    </row>
    <row r="13651" spans="39:41" ht="12" customHeight="1" x14ac:dyDescent="0.2">
      <c r="AM13651" t="str">
        <f t="shared" si="213"/>
        <v>Sanjiang [CNSIG]</v>
      </c>
      <c r="AN13651" t="s">
        <v>5953</v>
      </c>
      <c r="AO13651" t="s">
        <v>5954</v>
      </c>
    </row>
    <row r="13652" spans="39:41" ht="12" customHeight="1" x14ac:dyDescent="0.2">
      <c r="AM13652" t="str">
        <f t="shared" si="213"/>
        <v>Sanjiangkou [CNPTS]</v>
      </c>
      <c r="AN13652" t="s">
        <v>5955</v>
      </c>
      <c r="AO13652" t="s">
        <v>5956</v>
      </c>
    </row>
    <row r="13653" spans="39:41" ht="12" customHeight="1" x14ac:dyDescent="0.2">
      <c r="AM13653" t="str">
        <f t="shared" si="213"/>
        <v>Sankt Aegidi [ATSAK]</v>
      </c>
      <c r="AN13653" t="s">
        <v>1321</v>
      </c>
      <c r="AO13653" t="s">
        <v>1322</v>
      </c>
    </row>
    <row r="13654" spans="39:41" ht="12" customHeight="1" x14ac:dyDescent="0.2">
      <c r="AM13654" t="str">
        <f t="shared" si="213"/>
        <v>Sankt Georgen bei Salzburg [ATSGS]</v>
      </c>
      <c r="AN13654" t="s">
        <v>1323</v>
      </c>
      <c r="AO13654" t="s">
        <v>1324</v>
      </c>
    </row>
    <row r="13655" spans="39:41" ht="12" customHeight="1" x14ac:dyDescent="0.2">
      <c r="AM13655" t="str">
        <f t="shared" si="213"/>
        <v>Sankt Margarethen [DESMA]</v>
      </c>
      <c r="AN13655" t="s">
        <v>8220</v>
      </c>
      <c r="AO13655" t="s">
        <v>8221</v>
      </c>
    </row>
    <row r="13656" spans="39:41" ht="12" customHeight="1" x14ac:dyDescent="0.2">
      <c r="AM13656" t="str">
        <f t="shared" si="213"/>
        <v>Sankt Margarethen an der Raab [ATSMR]</v>
      </c>
      <c r="AN13656" t="s">
        <v>1325</v>
      </c>
      <c r="AO13656" t="s">
        <v>1326</v>
      </c>
    </row>
    <row r="13657" spans="39:41" ht="12" customHeight="1" x14ac:dyDescent="0.2">
      <c r="AM13657" t="str">
        <f t="shared" si="213"/>
        <v>Sankt Margrethen [ATSK3]</v>
      </c>
      <c r="AN13657" t="s">
        <v>1327</v>
      </c>
      <c r="AO13657" t="s">
        <v>1328</v>
      </c>
    </row>
    <row r="13658" spans="39:41" ht="12" customHeight="1" x14ac:dyDescent="0.2">
      <c r="AM13658" t="str">
        <f t="shared" si="213"/>
        <v>Sankt Peter-Ording [DEPSH]</v>
      </c>
      <c r="AN13658" t="s">
        <v>8222</v>
      </c>
      <c r="AO13658" t="s">
        <v>8223</v>
      </c>
    </row>
    <row r="13659" spans="39:41" ht="12" customHeight="1" x14ac:dyDescent="0.2">
      <c r="AM13659" t="str">
        <f t="shared" si="213"/>
        <v>Sankt Stefan ob Stainz [ATFBZ]</v>
      </c>
      <c r="AN13659" t="s">
        <v>1329</v>
      </c>
      <c r="AO13659" t="s">
        <v>1330</v>
      </c>
    </row>
    <row r="13660" spans="39:41" ht="12" customHeight="1" x14ac:dyDescent="0.2">
      <c r="AM13660" t="str">
        <f t="shared" si="213"/>
        <v>Sankt Ulrich [ATSUH]</v>
      </c>
      <c r="AN13660" t="s">
        <v>1331</v>
      </c>
      <c r="AO13660" t="s">
        <v>1332</v>
      </c>
    </row>
    <row r="13661" spans="39:41" ht="12" customHeight="1" x14ac:dyDescent="0.2">
      <c r="AM13661" t="str">
        <f t="shared" si="213"/>
        <v>Sankt Veit im Muhlkreis [ATSVM]</v>
      </c>
      <c r="AN13661" t="s">
        <v>1333</v>
      </c>
      <c r="AO13661" t="s">
        <v>35259</v>
      </c>
    </row>
    <row r="13662" spans="39:41" ht="12" customHeight="1" x14ac:dyDescent="0.2">
      <c r="AM13662" t="str">
        <f t="shared" si="213"/>
        <v>Sankt Vith [BEVIT]</v>
      </c>
      <c r="AN13662" t="s">
        <v>2913</v>
      </c>
      <c r="AO13662" t="s">
        <v>2914</v>
      </c>
    </row>
    <row r="13663" spans="39:41" ht="12" customHeight="1" x14ac:dyDescent="0.2">
      <c r="AM13663" t="str">
        <f t="shared" si="213"/>
        <v>Sanming / Shanming Shi [CNSAM]</v>
      </c>
      <c r="AN13663" t="s">
        <v>5957</v>
      </c>
      <c r="AO13663" t="s">
        <v>5958</v>
      </c>
    </row>
    <row r="13664" spans="39:41" ht="12" customHeight="1" x14ac:dyDescent="0.2">
      <c r="AM13664" t="str">
        <f t="shared" si="213"/>
        <v>Sannidal [NOANN]</v>
      </c>
      <c r="AN13664" t="s">
        <v>24700</v>
      </c>
      <c r="AO13664" t="s">
        <v>24701</v>
      </c>
    </row>
    <row r="13665" spans="39:41" ht="12" customHeight="1" x14ac:dyDescent="0.2">
      <c r="AM13665" t="str">
        <f t="shared" si="213"/>
        <v>San-Pedro [CISPY]</v>
      </c>
      <c r="AN13665" t="s">
        <v>4794</v>
      </c>
      <c r="AO13665" t="s">
        <v>35347</v>
      </c>
    </row>
    <row r="13666" spans="39:41" ht="12" customHeight="1" x14ac:dyDescent="0.2">
      <c r="AM13666" t="str">
        <f t="shared" si="213"/>
        <v>Sanrong [CNSRG]</v>
      </c>
      <c r="AN13666" t="s">
        <v>5959</v>
      </c>
      <c r="AO13666" t="s">
        <v>5960</v>
      </c>
    </row>
    <row r="13667" spans="39:41" ht="12" customHeight="1" x14ac:dyDescent="0.2">
      <c r="AM13667" t="str">
        <f t="shared" si="213"/>
        <v>Sansha [CNSNS]</v>
      </c>
      <c r="AN13667" t="s">
        <v>5961</v>
      </c>
      <c r="AO13667" t="s">
        <v>5962</v>
      </c>
    </row>
    <row r="13668" spans="39:41" ht="12" customHeight="1" x14ac:dyDescent="0.2">
      <c r="AM13668" t="str">
        <f t="shared" si="213"/>
        <v>Sanshan pt [CNNHS]</v>
      </c>
      <c r="AN13668" t="s">
        <v>5963</v>
      </c>
      <c r="AO13668" t="s">
        <v>5964</v>
      </c>
    </row>
    <row r="13669" spans="39:41" ht="12" customHeight="1" x14ac:dyDescent="0.2">
      <c r="AM13669" t="str">
        <f t="shared" si="213"/>
        <v>Sanshui [CNSJQ]</v>
      </c>
      <c r="AN13669" t="s">
        <v>5965</v>
      </c>
      <c r="AO13669" t="s">
        <v>5966</v>
      </c>
    </row>
    <row r="13670" spans="39:41" ht="12" customHeight="1" x14ac:dyDescent="0.2">
      <c r="AM13670" t="str">
        <f t="shared" si="213"/>
        <v>Sanski Most [BASMT]</v>
      </c>
      <c r="AN13670" t="s">
        <v>2178</v>
      </c>
      <c r="AO13670" t="s">
        <v>2179</v>
      </c>
    </row>
    <row r="13671" spans="39:41" ht="12" customHeight="1" x14ac:dyDescent="0.2">
      <c r="AM13671" t="str">
        <f t="shared" si="213"/>
        <v>Sant' Antioco [ITSAT]</v>
      </c>
      <c r="AN13671" t="s">
        <v>18282</v>
      </c>
      <c r="AO13671" t="s">
        <v>18283</v>
      </c>
    </row>
    <row r="13672" spans="39:41" ht="12" customHeight="1" x14ac:dyDescent="0.2">
      <c r="AM13672" t="str">
        <f t="shared" si="213"/>
        <v>Sant Antoni de Portmany [ESPNY]</v>
      </c>
      <c r="AN13672" t="s">
        <v>10168</v>
      </c>
      <c r="AO13672" t="s">
        <v>10169</v>
      </c>
    </row>
    <row r="13673" spans="39:41" ht="12" customHeight="1" x14ac:dyDescent="0.2">
      <c r="AM13673" t="str">
        <f t="shared" si="213"/>
        <v>Sant Feliu de Llobregat [ESSFL]</v>
      </c>
      <c r="AN13673" t="s">
        <v>10170</v>
      </c>
      <c r="AO13673" t="s">
        <v>10171</v>
      </c>
    </row>
    <row r="13674" spans="39:41" ht="12" customHeight="1" x14ac:dyDescent="0.2">
      <c r="AM13674" t="str">
        <f t="shared" si="213"/>
        <v>Sant Joan Despi [ESSJO]</v>
      </c>
      <c r="AN13674" t="s">
        <v>10172</v>
      </c>
      <c r="AO13674" t="s">
        <v>35699</v>
      </c>
    </row>
    <row r="13675" spans="39:41" ht="12" customHeight="1" x14ac:dyDescent="0.2">
      <c r="AM13675" t="str">
        <f t="shared" si="213"/>
        <v>Sant Lluis [ESSL4]</v>
      </c>
      <c r="AN13675" t="s">
        <v>10173</v>
      </c>
      <c r="AO13675" t="s">
        <v>35700</v>
      </c>
    </row>
    <row r="13676" spans="39:41" ht="12" customHeight="1" x14ac:dyDescent="0.2">
      <c r="AM13676" t="str">
        <f t="shared" ref="AM13676:AM13739" si="214">AO13676 &amp; " [" &amp; AN13676 &amp; "]"</f>
        <v>Sant Miquel de Fluvia [ESSMD]</v>
      </c>
      <c r="AN13676" t="s">
        <v>10174</v>
      </c>
      <c r="AO13676" t="s">
        <v>35701</v>
      </c>
    </row>
    <row r="13677" spans="39:41" ht="12" customHeight="1" x14ac:dyDescent="0.2">
      <c r="AM13677" t="str">
        <f t="shared" si="214"/>
        <v>Santa Agueda [ESSGD]</v>
      </c>
      <c r="AN13677" t="s">
        <v>10175</v>
      </c>
      <c r="AO13677" t="s">
        <v>10176</v>
      </c>
    </row>
    <row r="13678" spans="39:41" ht="12" customHeight="1" x14ac:dyDescent="0.2">
      <c r="AM13678" t="str">
        <f t="shared" si="214"/>
        <v>Santa Ana [ARSAN]</v>
      </c>
      <c r="AN13678" t="s">
        <v>1133</v>
      </c>
      <c r="AO13678" t="s">
        <v>1134</v>
      </c>
    </row>
    <row r="13679" spans="39:41" ht="12" customHeight="1" x14ac:dyDescent="0.2">
      <c r="AM13679" t="str">
        <f t="shared" si="214"/>
        <v>Santa Ana [MXSN2]</v>
      </c>
      <c r="AN13679" t="s">
        <v>22445</v>
      </c>
      <c r="AO13679" t="s">
        <v>1134</v>
      </c>
    </row>
    <row r="13680" spans="39:41" ht="12" customHeight="1" x14ac:dyDescent="0.2">
      <c r="AM13680" t="str">
        <f t="shared" si="214"/>
        <v>Santa Ana/Aparri [PHSAN]</v>
      </c>
      <c r="AN13680" t="s">
        <v>26126</v>
      </c>
      <c r="AO13680" t="s">
        <v>26127</v>
      </c>
    </row>
    <row r="13681" spans="39:41" ht="12" customHeight="1" x14ac:dyDescent="0.2">
      <c r="AM13681" t="str">
        <f t="shared" si="214"/>
        <v>Santa Barbara [USSBA]</v>
      </c>
      <c r="AN13681" t="s">
        <v>31414</v>
      </c>
      <c r="AO13681" t="s">
        <v>31415</v>
      </c>
    </row>
    <row r="13682" spans="39:41" ht="12" customHeight="1" x14ac:dyDescent="0.2">
      <c r="AM13682" t="str">
        <f t="shared" si="214"/>
        <v>Santa Catalina/Dumaguete [PHSCT]</v>
      </c>
      <c r="AN13682" t="s">
        <v>26128</v>
      </c>
      <c r="AO13682" t="s">
        <v>26129</v>
      </c>
    </row>
    <row r="13683" spans="39:41" ht="12" customHeight="1" x14ac:dyDescent="0.2">
      <c r="AM13683" t="str">
        <f t="shared" si="214"/>
        <v>Santa Clara [CUSNU]</v>
      </c>
      <c r="AN13683" t="s">
        <v>6725</v>
      </c>
      <c r="AO13683" t="s">
        <v>6726</v>
      </c>
    </row>
    <row r="13684" spans="39:41" ht="12" customHeight="1" x14ac:dyDescent="0.2">
      <c r="AM13684" t="str">
        <f t="shared" si="214"/>
        <v>Santa Clara [PASCL]</v>
      </c>
      <c r="AN13684" t="s">
        <v>25226</v>
      </c>
      <c r="AO13684" t="s">
        <v>6726</v>
      </c>
    </row>
    <row r="13685" spans="39:41" ht="12" customHeight="1" x14ac:dyDescent="0.2">
      <c r="AM13685" t="str">
        <f t="shared" si="214"/>
        <v>Santa Cruz [ARRZA]</v>
      </c>
      <c r="AN13685" t="s">
        <v>1135</v>
      </c>
      <c r="AO13685" t="s">
        <v>1136</v>
      </c>
    </row>
    <row r="13686" spans="39:41" ht="12" customHeight="1" x14ac:dyDescent="0.2">
      <c r="AM13686" t="str">
        <f t="shared" si="214"/>
        <v>Santa Cruz [USSRU]</v>
      </c>
      <c r="AN13686" t="s">
        <v>31416</v>
      </c>
      <c r="AO13686" t="s">
        <v>1136</v>
      </c>
    </row>
    <row r="13687" spans="39:41" ht="12" customHeight="1" x14ac:dyDescent="0.2">
      <c r="AM13687" t="str">
        <f t="shared" si="214"/>
        <v>Santa Cruz da Graciosa [PTSCG]</v>
      </c>
      <c r="AN13687" t="s">
        <v>26595</v>
      </c>
      <c r="AO13687" t="s">
        <v>26596</v>
      </c>
    </row>
    <row r="13688" spans="39:41" ht="12" customHeight="1" x14ac:dyDescent="0.2">
      <c r="AM13688" t="str">
        <f t="shared" si="214"/>
        <v>Santa Cruz das Flores [PTSCF]</v>
      </c>
      <c r="AN13688" t="s">
        <v>26597</v>
      </c>
      <c r="AO13688" t="s">
        <v>26598</v>
      </c>
    </row>
    <row r="13689" spans="39:41" ht="12" customHeight="1" x14ac:dyDescent="0.2">
      <c r="AM13689" t="str">
        <f t="shared" si="214"/>
        <v>Santa Cruz de La Palma [ESSPC]</v>
      </c>
      <c r="AN13689" t="s">
        <v>10177</v>
      </c>
      <c r="AO13689" t="s">
        <v>10178</v>
      </c>
    </row>
    <row r="13690" spans="39:41" ht="12" customHeight="1" x14ac:dyDescent="0.2">
      <c r="AM13690" t="str">
        <f t="shared" si="214"/>
        <v>Santa Cruz de Tenerife [ESSCT]</v>
      </c>
      <c r="AN13690" t="s">
        <v>10179</v>
      </c>
      <c r="AO13690" t="s">
        <v>10180</v>
      </c>
    </row>
    <row r="13691" spans="39:41" ht="12" customHeight="1" x14ac:dyDescent="0.2">
      <c r="AM13691" t="str">
        <f t="shared" si="214"/>
        <v>Santa Cruz del Sur [CUSCS]</v>
      </c>
      <c r="AN13691" t="s">
        <v>6727</v>
      </c>
      <c r="AO13691" t="s">
        <v>6728</v>
      </c>
    </row>
    <row r="13692" spans="39:41" ht="12" customHeight="1" x14ac:dyDescent="0.2">
      <c r="AM13692" t="str">
        <f t="shared" si="214"/>
        <v>Santa Cruz Is [SBSCZ]</v>
      </c>
      <c r="AN13692" t="s">
        <v>27457</v>
      </c>
      <c r="AO13692" t="s">
        <v>27458</v>
      </c>
    </row>
    <row r="13693" spans="39:41" ht="12" customHeight="1" x14ac:dyDescent="0.2">
      <c r="AM13693" t="str">
        <f t="shared" si="214"/>
        <v>Santa Cruz Tepexpan [MXTPX]</v>
      </c>
      <c r="AN13693" t="s">
        <v>22446</v>
      </c>
      <c r="AO13693" t="s">
        <v>22447</v>
      </c>
    </row>
    <row r="13694" spans="39:41" ht="12" customHeight="1" x14ac:dyDescent="0.2">
      <c r="AM13694" t="str">
        <f t="shared" si="214"/>
        <v>Santa Cruz/Sual [PHSCR]</v>
      </c>
      <c r="AN13694" t="s">
        <v>26130</v>
      </c>
      <c r="AO13694" t="s">
        <v>26131</v>
      </c>
    </row>
    <row r="13695" spans="39:41" ht="12" customHeight="1" x14ac:dyDescent="0.2">
      <c r="AM13695" t="str">
        <f t="shared" si="214"/>
        <v>Santa Eugenia [ESEUG]</v>
      </c>
      <c r="AN13695" t="s">
        <v>10181</v>
      </c>
      <c r="AO13695" t="s">
        <v>10182</v>
      </c>
    </row>
    <row r="13696" spans="39:41" ht="12" customHeight="1" x14ac:dyDescent="0.2">
      <c r="AM13696" t="str">
        <f t="shared" si="214"/>
        <v>Santa Eulalia del Rio [ESSTE]</v>
      </c>
      <c r="AN13696" t="s">
        <v>10183</v>
      </c>
      <c r="AO13696" t="s">
        <v>35702</v>
      </c>
    </row>
    <row r="13697" spans="39:41" ht="12" customHeight="1" x14ac:dyDescent="0.2">
      <c r="AM13697" t="str">
        <f t="shared" si="214"/>
        <v>Santa Fe [ARSFN]</v>
      </c>
      <c r="AN13697" t="s">
        <v>1137</v>
      </c>
      <c r="AO13697" t="s">
        <v>1138</v>
      </c>
    </row>
    <row r="13698" spans="39:41" ht="12" customHeight="1" x14ac:dyDescent="0.2">
      <c r="AM13698" t="str">
        <f t="shared" si="214"/>
        <v>Santa Foca di Melendugno [ITSFM]</v>
      </c>
      <c r="AN13698" t="s">
        <v>18284</v>
      </c>
      <c r="AO13698" t="s">
        <v>18285</v>
      </c>
    </row>
    <row r="13699" spans="39:41" ht="12" customHeight="1" x14ac:dyDescent="0.2">
      <c r="AM13699" t="str">
        <f t="shared" si="214"/>
        <v>Santa Lucia/Puerto Princesa [PHSLU]</v>
      </c>
      <c r="AN13699" t="s">
        <v>26132</v>
      </c>
      <c r="AO13699" t="s">
        <v>26133</v>
      </c>
    </row>
    <row r="13700" spans="39:41" ht="12" customHeight="1" x14ac:dyDescent="0.2">
      <c r="AM13700" t="str">
        <f t="shared" si="214"/>
        <v>Santa Luzia [PTSLZ]</v>
      </c>
      <c r="AN13700" t="s">
        <v>26599</v>
      </c>
      <c r="AO13700" t="s">
        <v>26600</v>
      </c>
    </row>
    <row r="13701" spans="39:41" ht="12" customHeight="1" x14ac:dyDescent="0.2">
      <c r="AM13701" t="str">
        <f t="shared" si="214"/>
        <v>Santa Margherita Ligure [ITSML]</v>
      </c>
      <c r="AN13701" t="s">
        <v>18286</v>
      </c>
      <c r="AO13701" t="s">
        <v>18287</v>
      </c>
    </row>
    <row r="13702" spans="39:41" ht="12" customHeight="1" x14ac:dyDescent="0.2">
      <c r="AM13702" t="str">
        <f t="shared" si="214"/>
        <v>Santa Maria de Guia de Gran Canaria [ESGCR]</v>
      </c>
      <c r="AN13702" t="s">
        <v>10184</v>
      </c>
      <c r="AO13702" t="s">
        <v>10185</v>
      </c>
    </row>
    <row r="13703" spans="39:41" ht="12" customHeight="1" x14ac:dyDescent="0.2">
      <c r="AM13703" t="str">
        <f t="shared" si="214"/>
        <v>Santa Maria de Sardoura [PTSMS]</v>
      </c>
      <c r="AN13703" t="s">
        <v>26601</v>
      </c>
      <c r="AO13703" t="s">
        <v>26602</v>
      </c>
    </row>
    <row r="13704" spans="39:41" ht="12" customHeight="1" x14ac:dyDescent="0.2">
      <c r="AM13704" t="str">
        <f t="shared" si="214"/>
        <v>Santa Maria di Castellabate [ITSMK]</v>
      </c>
      <c r="AN13704" t="s">
        <v>18288</v>
      </c>
      <c r="AO13704" t="s">
        <v>18289</v>
      </c>
    </row>
    <row r="13705" spans="39:41" ht="12" customHeight="1" x14ac:dyDescent="0.2">
      <c r="AM13705" t="str">
        <f t="shared" si="214"/>
        <v>Santa Maria Island Apt [PTSMA]</v>
      </c>
      <c r="AN13705" t="s">
        <v>37134</v>
      </c>
      <c r="AO13705" t="s">
        <v>37135</v>
      </c>
    </row>
    <row r="13706" spans="39:41" ht="12" customHeight="1" x14ac:dyDescent="0.2">
      <c r="AM13706" t="str">
        <f t="shared" si="214"/>
        <v>Santa Maria Navarrese [ITAMN]</v>
      </c>
      <c r="AN13706" t="s">
        <v>18290</v>
      </c>
      <c r="AO13706" t="s">
        <v>18291</v>
      </c>
    </row>
    <row r="13707" spans="39:41" ht="12" customHeight="1" x14ac:dyDescent="0.2">
      <c r="AM13707" t="str">
        <f t="shared" si="214"/>
        <v>Santa Maria/Pocosol [CRSMP]</v>
      </c>
      <c r="AN13707" t="s">
        <v>6650</v>
      </c>
      <c r="AO13707" t="s">
        <v>6651</v>
      </c>
    </row>
    <row r="13708" spans="39:41" ht="12" customHeight="1" x14ac:dyDescent="0.2">
      <c r="AM13708" t="str">
        <f t="shared" si="214"/>
        <v>Santa Maria/Zamboanga [PHSMA]</v>
      </c>
      <c r="AN13708" t="s">
        <v>26134</v>
      </c>
      <c r="AO13708" t="s">
        <v>26135</v>
      </c>
    </row>
    <row r="13709" spans="39:41" ht="12" customHeight="1" x14ac:dyDescent="0.2">
      <c r="AM13709" t="str">
        <f t="shared" si="214"/>
        <v>Santa Marina Salina [ITSLA]</v>
      </c>
      <c r="AN13709" t="s">
        <v>18292</v>
      </c>
      <c r="AO13709" t="s">
        <v>18293</v>
      </c>
    </row>
    <row r="13710" spans="39:41" ht="12" customHeight="1" x14ac:dyDescent="0.2">
      <c r="AM13710" t="str">
        <f t="shared" si="214"/>
        <v>Santa Marinella [ITSMA]</v>
      </c>
      <c r="AN13710" t="s">
        <v>18294</v>
      </c>
      <c r="AO13710" t="s">
        <v>18295</v>
      </c>
    </row>
    <row r="13711" spans="39:41" ht="12" customHeight="1" x14ac:dyDescent="0.2">
      <c r="AM13711" t="str">
        <f t="shared" si="214"/>
        <v>Santa Marta [COSMR]</v>
      </c>
      <c r="AN13711" t="s">
        <v>6543</v>
      </c>
      <c r="AO13711" t="s">
        <v>6544</v>
      </c>
    </row>
    <row r="13712" spans="39:41" ht="12" customHeight="1" x14ac:dyDescent="0.2">
      <c r="AM13712" t="str">
        <f t="shared" si="214"/>
        <v>Santa Nino [PHSNI]</v>
      </c>
      <c r="AN13712" t="s">
        <v>26136</v>
      </c>
      <c r="AO13712" t="s">
        <v>26137</v>
      </c>
    </row>
    <row r="13713" spans="39:41" ht="12" customHeight="1" x14ac:dyDescent="0.2">
      <c r="AM13713" t="str">
        <f t="shared" si="214"/>
        <v>Santa Olalla [ESNLL]</v>
      </c>
      <c r="AN13713" t="s">
        <v>10186</v>
      </c>
      <c r="AO13713" t="s">
        <v>10187</v>
      </c>
    </row>
    <row r="13714" spans="39:41" ht="12" customHeight="1" x14ac:dyDescent="0.2">
      <c r="AM13714" t="str">
        <f t="shared" si="214"/>
        <v>Santa Panagia [ITSPA]</v>
      </c>
      <c r="AN13714" t="s">
        <v>18296</v>
      </c>
      <c r="AO13714" t="s">
        <v>18297</v>
      </c>
    </row>
    <row r="13715" spans="39:41" ht="12" customHeight="1" x14ac:dyDescent="0.2">
      <c r="AM13715" t="str">
        <f t="shared" si="214"/>
        <v>Santa Pola [ESSPO]</v>
      </c>
      <c r="AN13715" t="s">
        <v>10188</v>
      </c>
      <c r="AO13715" t="s">
        <v>10189</v>
      </c>
    </row>
    <row r="13716" spans="39:41" ht="12" customHeight="1" x14ac:dyDescent="0.2">
      <c r="AM13716" t="str">
        <f t="shared" si="214"/>
        <v>Santa Rosa [ARSTA]</v>
      </c>
      <c r="AN13716" t="s">
        <v>1139</v>
      </c>
      <c r="AO13716" t="s">
        <v>1140</v>
      </c>
    </row>
    <row r="13717" spans="39:41" ht="12" customHeight="1" x14ac:dyDescent="0.2">
      <c r="AM13717" t="str">
        <f t="shared" si="214"/>
        <v>Santa Rosa Beach [USJQJ]</v>
      </c>
      <c r="AN13717" t="s">
        <v>31417</v>
      </c>
      <c r="AO13717" t="s">
        <v>31418</v>
      </c>
    </row>
    <row r="13718" spans="39:41" ht="12" customHeight="1" x14ac:dyDescent="0.2">
      <c r="AM13718" t="str">
        <f t="shared" si="214"/>
        <v>Santa Rosa Island [USRO2]</v>
      </c>
      <c r="AN13718" t="s">
        <v>31419</v>
      </c>
      <c r="AO13718" t="s">
        <v>31420</v>
      </c>
    </row>
    <row r="13719" spans="39:41" ht="12" customHeight="1" x14ac:dyDescent="0.2">
      <c r="AM13719" t="str">
        <f t="shared" si="214"/>
        <v>Santa Rosa/Pocosol [CRSRP]</v>
      </c>
      <c r="AN13719" t="s">
        <v>6652</v>
      </c>
      <c r="AO13719" t="s">
        <v>6653</v>
      </c>
    </row>
    <row r="13720" spans="39:41" ht="12" customHeight="1" x14ac:dyDescent="0.2">
      <c r="AM13720" t="str">
        <f t="shared" si="214"/>
        <v>Santa Rosalia [MXSRL]</v>
      </c>
      <c r="AN13720" t="s">
        <v>22448</v>
      </c>
      <c r="AO13720" t="s">
        <v>22449</v>
      </c>
    </row>
    <row r="13721" spans="39:41" ht="12" customHeight="1" x14ac:dyDescent="0.2">
      <c r="AM13721" t="str">
        <f t="shared" si="214"/>
        <v>Santa Teresa [MXSTT]</v>
      </c>
      <c r="AN13721" t="s">
        <v>22450</v>
      </c>
      <c r="AO13721" t="s">
        <v>22451</v>
      </c>
    </row>
    <row r="13722" spans="39:41" ht="12" customHeight="1" x14ac:dyDescent="0.2">
      <c r="AM13722" t="str">
        <f t="shared" si="214"/>
        <v>Santa Teresa di Gallura [ITSTE]</v>
      </c>
      <c r="AN13722" t="s">
        <v>18298</v>
      </c>
      <c r="AO13722" t="s">
        <v>18299</v>
      </c>
    </row>
    <row r="13723" spans="39:41" ht="12" customHeight="1" x14ac:dyDescent="0.2">
      <c r="AM13723" t="str">
        <f t="shared" si="214"/>
        <v>Santa Ursula [ESSUR]</v>
      </c>
      <c r="AN13723" t="s">
        <v>10190</v>
      </c>
      <c r="AO13723" t="s">
        <v>35703</v>
      </c>
    </row>
    <row r="13724" spans="39:41" ht="12" customHeight="1" x14ac:dyDescent="0.2">
      <c r="AM13724" t="str">
        <f t="shared" si="214"/>
        <v>Santan Terminal, Kl [IDSAT]</v>
      </c>
      <c r="AN13724" t="s">
        <v>16567</v>
      </c>
      <c r="AO13724" t="s">
        <v>16568</v>
      </c>
    </row>
    <row r="13725" spans="39:41" ht="12" customHeight="1" x14ac:dyDescent="0.2">
      <c r="AM13725" t="str">
        <f t="shared" si="214"/>
        <v>Santander [ESSDR]</v>
      </c>
      <c r="AN13725" t="s">
        <v>10191</v>
      </c>
      <c r="AO13725" t="s">
        <v>10192</v>
      </c>
    </row>
    <row r="13726" spans="39:41" ht="12" customHeight="1" x14ac:dyDescent="0.2">
      <c r="AM13726" t="str">
        <f t="shared" si="214"/>
        <v>Sant'Antioco [ITNTA]</v>
      </c>
      <c r="AN13726" t="s">
        <v>18300</v>
      </c>
      <c r="AO13726" t="s">
        <v>18301</v>
      </c>
    </row>
    <row r="13727" spans="39:41" ht="12" customHeight="1" x14ac:dyDescent="0.2">
      <c r="AM13727" t="str">
        <f t="shared" si="214"/>
        <v>Santarem [BRSTM]</v>
      </c>
      <c r="AN13727" t="s">
        <v>36828</v>
      </c>
      <c r="AO13727" t="s">
        <v>36829</v>
      </c>
    </row>
    <row r="13728" spans="39:41" ht="12" customHeight="1" x14ac:dyDescent="0.2">
      <c r="AM13728" t="str">
        <f t="shared" si="214"/>
        <v>Santee [USSA6]</v>
      </c>
      <c r="AN13728" t="s">
        <v>31421</v>
      </c>
      <c r="AO13728" t="s">
        <v>31422</v>
      </c>
    </row>
    <row r="13729" spans="39:41" ht="12" customHeight="1" x14ac:dyDescent="0.2">
      <c r="AM13729" t="str">
        <f t="shared" si="214"/>
        <v>Santervas De Campos [ESS8C]</v>
      </c>
      <c r="AN13729" t="s">
        <v>10193</v>
      </c>
      <c r="AO13729" t="s">
        <v>10194</v>
      </c>
    </row>
    <row r="13730" spans="39:41" ht="12" customHeight="1" x14ac:dyDescent="0.2">
      <c r="AM13730" t="str">
        <f t="shared" si="214"/>
        <v>Santiago de Cuba [CUSCU]</v>
      </c>
      <c r="AN13730" t="s">
        <v>6729</v>
      </c>
      <c r="AO13730" t="s">
        <v>6730</v>
      </c>
    </row>
    <row r="13731" spans="39:41" ht="12" customHeight="1" x14ac:dyDescent="0.2">
      <c r="AM13731" t="str">
        <f t="shared" si="214"/>
        <v>Santiago de los Caballeros [DOSTI]</v>
      </c>
      <c r="AN13731" t="s">
        <v>9027</v>
      </c>
      <c r="AO13731" t="s">
        <v>9028</v>
      </c>
    </row>
    <row r="13732" spans="39:41" ht="12" customHeight="1" x14ac:dyDescent="0.2">
      <c r="AM13732" t="str">
        <f t="shared" si="214"/>
        <v>Santiago del Campo [ESAAQ]</v>
      </c>
      <c r="AN13732" t="s">
        <v>10195</v>
      </c>
      <c r="AO13732" t="s">
        <v>10196</v>
      </c>
    </row>
    <row r="13733" spans="39:41" ht="12" customHeight="1" x14ac:dyDescent="0.2">
      <c r="AM13733" t="str">
        <f t="shared" si="214"/>
        <v>Santo [VUSAN]</v>
      </c>
      <c r="AN13733" t="s">
        <v>32534</v>
      </c>
      <c r="AO13733" t="s">
        <v>32535</v>
      </c>
    </row>
    <row r="13734" spans="39:41" ht="12" customHeight="1" x14ac:dyDescent="0.2">
      <c r="AM13734" t="str">
        <f t="shared" si="214"/>
        <v>Santo Angel [ESRUM]</v>
      </c>
      <c r="AN13734" t="s">
        <v>10197</v>
      </c>
      <c r="AO13734" t="s">
        <v>10198</v>
      </c>
    </row>
    <row r="13735" spans="39:41" ht="12" customHeight="1" x14ac:dyDescent="0.2">
      <c r="AM13735" t="str">
        <f t="shared" si="214"/>
        <v>Santo Antonio [STSAA]</v>
      </c>
      <c r="AN13735" t="s">
        <v>28131</v>
      </c>
      <c r="AO13735" t="s">
        <v>28132</v>
      </c>
    </row>
    <row r="13736" spans="39:41" ht="12" customHeight="1" x14ac:dyDescent="0.2">
      <c r="AM13736" t="str">
        <f t="shared" si="214"/>
        <v>Santo Antonio de Padua [BRSTA]</v>
      </c>
      <c r="AN13736" t="s">
        <v>3393</v>
      </c>
      <c r="AO13736" t="s">
        <v>35307</v>
      </c>
    </row>
    <row r="13737" spans="39:41" ht="12" customHeight="1" x14ac:dyDescent="0.2">
      <c r="AM13737" t="str">
        <f t="shared" si="214"/>
        <v>Santo Domingo [DOSDQ]</v>
      </c>
      <c r="AN13737" t="s">
        <v>9029</v>
      </c>
      <c r="AO13737" t="s">
        <v>9030</v>
      </c>
    </row>
    <row r="13738" spans="39:41" ht="12" customHeight="1" x14ac:dyDescent="0.2">
      <c r="AM13738" t="str">
        <f t="shared" si="214"/>
        <v>Santo Stefano al Mare [ITSSF]</v>
      </c>
      <c r="AN13738" t="s">
        <v>18302</v>
      </c>
      <c r="AO13738" t="s">
        <v>18303</v>
      </c>
    </row>
    <row r="13739" spans="39:41" ht="12" customHeight="1" x14ac:dyDescent="0.2">
      <c r="AM13739" t="str">
        <f t="shared" si="214"/>
        <v>Santo Stefano di Camastra [ITTEF]</v>
      </c>
      <c r="AN13739" t="s">
        <v>18304</v>
      </c>
      <c r="AO13739" t="s">
        <v>18305</v>
      </c>
    </row>
    <row r="13740" spans="39:41" ht="12" customHeight="1" x14ac:dyDescent="0.2">
      <c r="AM13740" t="str">
        <f t="shared" ref="AM13740:AM13803" si="215">AO13740 &amp; " [" &amp; AN13740 &amp; "]"</f>
        <v>Santoche [FRQTS]</v>
      </c>
      <c r="AN13740" t="s">
        <v>12080</v>
      </c>
      <c r="AO13740" t="s">
        <v>12081</v>
      </c>
    </row>
    <row r="13741" spans="39:41" ht="12" customHeight="1" x14ac:dyDescent="0.2">
      <c r="AM13741" t="str">
        <f t="shared" si="215"/>
        <v>Santon [IMSAN]</v>
      </c>
      <c r="AN13741" t="s">
        <v>16992</v>
      </c>
      <c r="AO13741" t="s">
        <v>16993</v>
      </c>
    </row>
    <row r="13742" spans="39:41" ht="12" customHeight="1" x14ac:dyDescent="0.2">
      <c r="AM13742" t="str">
        <f t="shared" si="215"/>
        <v>Santos [BRSSZ]</v>
      </c>
      <c r="AN13742" t="s">
        <v>3394</v>
      </c>
      <c r="AO13742" t="s">
        <v>3395</v>
      </c>
    </row>
    <row r="13743" spans="39:41" ht="12" customHeight="1" x14ac:dyDescent="0.2">
      <c r="AM13743" t="str">
        <f t="shared" si="215"/>
        <v>Santurce [ESSNR]</v>
      </c>
      <c r="AN13743" t="s">
        <v>10199</v>
      </c>
      <c r="AO13743" t="s">
        <v>10200</v>
      </c>
    </row>
    <row r="13744" spans="39:41" ht="12" customHeight="1" x14ac:dyDescent="0.2">
      <c r="AM13744" t="str">
        <f t="shared" si="215"/>
        <v>Santurtz [ES4SS]</v>
      </c>
      <c r="AN13744" t="s">
        <v>10201</v>
      </c>
      <c r="AO13744" t="s">
        <v>10202</v>
      </c>
    </row>
    <row r="13745" spans="39:41" ht="12" customHeight="1" x14ac:dyDescent="0.2">
      <c r="AM13745" t="str">
        <f t="shared" si="215"/>
        <v>Sanxenxo [ESHVC]</v>
      </c>
      <c r="AN13745" t="s">
        <v>10203</v>
      </c>
      <c r="AO13745" t="s">
        <v>10204</v>
      </c>
    </row>
    <row r="13746" spans="39:41" ht="12" customHeight="1" x14ac:dyDescent="0.2">
      <c r="AM13746" t="str">
        <f t="shared" si="215"/>
        <v>Sanya Pt [CNSYA]</v>
      </c>
      <c r="AN13746" t="s">
        <v>5967</v>
      </c>
      <c r="AO13746" t="s">
        <v>5968</v>
      </c>
    </row>
    <row r="13747" spans="39:41" ht="12" customHeight="1" x14ac:dyDescent="0.2">
      <c r="AM13747" t="str">
        <f t="shared" si="215"/>
        <v>Sanyang [CNSNA]</v>
      </c>
      <c r="AN13747" t="s">
        <v>5969</v>
      </c>
      <c r="AO13747" t="s">
        <v>5970</v>
      </c>
    </row>
    <row r="13748" spans="39:41" ht="12" customHeight="1" x14ac:dyDescent="0.2">
      <c r="AM13748" t="str">
        <f t="shared" si="215"/>
        <v>Sanyo Onoda Yamaguchi [JPSYD]</v>
      </c>
      <c r="AN13748" t="s">
        <v>36693</v>
      </c>
      <c r="AO13748" t="s">
        <v>36694</v>
      </c>
    </row>
    <row r="13749" spans="39:41" ht="12" customHeight="1" x14ac:dyDescent="0.2">
      <c r="AM13749" t="str">
        <f t="shared" si="215"/>
        <v>Sanzao [CNSZA]</v>
      </c>
      <c r="AN13749" t="s">
        <v>5971</v>
      </c>
      <c r="AO13749" t="s">
        <v>5972</v>
      </c>
    </row>
    <row r="13750" spans="39:41" ht="12" customHeight="1" x14ac:dyDescent="0.2">
      <c r="AM13750" t="str">
        <f t="shared" si="215"/>
        <v>Sanzhou [CNSZO]</v>
      </c>
      <c r="AN13750" t="s">
        <v>5973</v>
      </c>
      <c r="AO13750" t="s">
        <v>5974</v>
      </c>
    </row>
    <row r="13751" spans="39:41" ht="12" customHeight="1" x14ac:dyDescent="0.2">
      <c r="AM13751" t="str">
        <f t="shared" si="215"/>
        <v>Sao Francisco do Sul [BRSFS]</v>
      </c>
      <c r="AN13751" t="s">
        <v>3396</v>
      </c>
      <c r="AO13751" t="s">
        <v>35308</v>
      </c>
    </row>
    <row r="13752" spans="39:41" ht="12" customHeight="1" x14ac:dyDescent="0.2">
      <c r="AM13752" t="str">
        <f t="shared" si="215"/>
        <v>Sao Luis [BRSLZ]</v>
      </c>
      <c r="AN13752" t="s">
        <v>3397</v>
      </c>
      <c r="AO13752" t="s">
        <v>35309</v>
      </c>
    </row>
    <row r="13753" spans="39:41" ht="12" customHeight="1" x14ac:dyDescent="0.2">
      <c r="AM13753" t="str">
        <f t="shared" si="215"/>
        <v>Sao Mateus [PTSMT]</v>
      </c>
      <c r="AN13753" t="s">
        <v>26603</v>
      </c>
      <c r="AO13753" t="s">
        <v>36394</v>
      </c>
    </row>
    <row r="13754" spans="39:41" ht="12" customHeight="1" x14ac:dyDescent="0.2">
      <c r="AM13754" t="str">
        <f t="shared" si="215"/>
        <v>Sao Mateus [BRSBJ]</v>
      </c>
      <c r="AN13754" t="s">
        <v>36830</v>
      </c>
      <c r="AO13754" t="s">
        <v>36394</v>
      </c>
    </row>
    <row r="13755" spans="39:41" ht="12" customHeight="1" x14ac:dyDescent="0.2">
      <c r="AM13755" t="str">
        <f t="shared" si="215"/>
        <v>Sao Miguel [PTSMI]</v>
      </c>
      <c r="AN13755" t="s">
        <v>26604</v>
      </c>
      <c r="AO13755" t="s">
        <v>36395</v>
      </c>
    </row>
    <row r="13756" spans="39:41" ht="12" customHeight="1" x14ac:dyDescent="0.2">
      <c r="AM13756" t="str">
        <f t="shared" si="215"/>
        <v>Sao Pedro da Afurada [PTAFR]</v>
      </c>
      <c r="AN13756" t="s">
        <v>26605</v>
      </c>
      <c r="AO13756" t="s">
        <v>36396</v>
      </c>
    </row>
    <row r="13757" spans="39:41" ht="12" customHeight="1" x14ac:dyDescent="0.2">
      <c r="AM13757" t="str">
        <f t="shared" si="215"/>
        <v>Sao Roque do Pico [PTSRP]</v>
      </c>
      <c r="AN13757" t="s">
        <v>37136</v>
      </c>
      <c r="AO13757" t="s">
        <v>37137</v>
      </c>
    </row>
    <row r="13758" spans="39:41" ht="12" customHeight="1" x14ac:dyDescent="0.2">
      <c r="AM13758" t="str">
        <f t="shared" si="215"/>
        <v>Sao Sebastiao [BRSSO]</v>
      </c>
      <c r="AN13758" t="s">
        <v>3398</v>
      </c>
      <c r="AO13758" t="s">
        <v>35310</v>
      </c>
    </row>
    <row r="13759" spans="39:41" ht="12" customHeight="1" x14ac:dyDescent="0.2">
      <c r="AM13759" t="str">
        <f t="shared" si="215"/>
        <v>Sao Tome [BRSOM]</v>
      </c>
      <c r="AN13759" t="s">
        <v>3399</v>
      </c>
      <c r="AO13759" t="s">
        <v>35311</v>
      </c>
    </row>
    <row r="13760" spans="39:41" ht="12" customHeight="1" x14ac:dyDescent="0.2">
      <c r="AM13760" t="str">
        <f t="shared" si="215"/>
        <v>Sao Tome Island [STTMS]</v>
      </c>
      <c r="AN13760" t="s">
        <v>28133</v>
      </c>
      <c r="AO13760" t="s">
        <v>28134</v>
      </c>
    </row>
    <row r="13761" spans="39:41" ht="12" customHeight="1" x14ac:dyDescent="0.2">
      <c r="AM13761" t="str">
        <f t="shared" si="215"/>
        <v>Sao Vicente [BRSVT]</v>
      </c>
      <c r="AN13761" t="s">
        <v>3400</v>
      </c>
      <c r="AO13761" t="s">
        <v>6740</v>
      </c>
    </row>
    <row r="13762" spans="39:41" ht="12" customHeight="1" x14ac:dyDescent="0.2">
      <c r="AM13762" t="str">
        <f t="shared" si="215"/>
        <v>Sao Vicente [CVVXE]</v>
      </c>
      <c r="AN13762" t="s">
        <v>6739</v>
      </c>
      <c r="AO13762" t="s">
        <v>6740</v>
      </c>
    </row>
    <row r="13763" spans="39:41" ht="12" customHeight="1" x14ac:dyDescent="0.2">
      <c r="AM13763" t="str">
        <f t="shared" si="215"/>
        <v>Sape [IDSAP]</v>
      </c>
      <c r="AN13763" t="s">
        <v>16569</v>
      </c>
      <c r="AO13763" t="s">
        <v>16570</v>
      </c>
    </row>
    <row r="13764" spans="39:41" ht="12" customHeight="1" x14ac:dyDescent="0.2">
      <c r="AM13764" t="str">
        <f t="shared" si="215"/>
        <v>Sapele [NGSPL]</v>
      </c>
      <c r="AN13764" t="s">
        <v>22978</v>
      </c>
      <c r="AO13764" t="s">
        <v>22979</v>
      </c>
    </row>
    <row r="13765" spans="39:41" ht="12" customHeight="1" x14ac:dyDescent="0.2">
      <c r="AM13765" t="str">
        <f t="shared" si="215"/>
        <v>Sapri [ITPRH]</v>
      </c>
      <c r="AN13765" t="s">
        <v>18306</v>
      </c>
      <c r="AO13765" t="s">
        <v>18307</v>
      </c>
    </row>
    <row r="13766" spans="39:41" ht="12" customHeight="1" x14ac:dyDescent="0.2">
      <c r="AM13766" t="str">
        <f t="shared" si="215"/>
        <v>Saranac [USSRN]</v>
      </c>
      <c r="AN13766" t="s">
        <v>31423</v>
      </c>
      <c r="AO13766" t="s">
        <v>31424</v>
      </c>
    </row>
    <row r="13767" spans="39:41" ht="12" customHeight="1" x14ac:dyDescent="0.2">
      <c r="AM13767" t="str">
        <f t="shared" si="215"/>
        <v>Sarande [ALSAR]</v>
      </c>
      <c r="AN13767" t="s">
        <v>821</v>
      </c>
      <c r="AO13767" t="s">
        <v>35235</v>
      </c>
    </row>
    <row r="13768" spans="39:41" ht="12" customHeight="1" x14ac:dyDescent="0.2">
      <c r="AM13768" t="str">
        <f t="shared" si="215"/>
        <v>Sarapiqui [CRSPI]</v>
      </c>
      <c r="AN13768" t="s">
        <v>6654</v>
      </c>
      <c r="AO13768" t="s">
        <v>35381</v>
      </c>
    </row>
    <row r="13769" spans="39:41" ht="12" customHeight="1" x14ac:dyDescent="0.2">
      <c r="AM13769" t="str">
        <f t="shared" si="215"/>
        <v>Sarasota [USZOR]</v>
      </c>
      <c r="AN13769" t="s">
        <v>31425</v>
      </c>
      <c r="AO13769" t="s">
        <v>31426</v>
      </c>
    </row>
    <row r="13770" spans="39:41" ht="12" customHeight="1" x14ac:dyDescent="0.2">
      <c r="AM13770" t="str">
        <f t="shared" si="215"/>
        <v>Saratov [RURTW]</v>
      </c>
      <c r="AN13770" t="s">
        <v>27220</v>
      </c>
      <c r="AO13770" t="s">
        <v>27221</v>
      </c>
    </row>
    <row r="13771" spans="39:41" ht="12" customHeight="1" x14ac:dyDescent="0.2">
      <c r="AM13771" t="str">
        <f t="shared" si="215"/>
        <v>Saraylar [TRSRL]</v>
      </c>
      <c r="AN13771" t="s">
        <v>28578</v>
      </c>
      <c r="AO13771" t="s">
        <v>28579</v>
      </c>
    </row>
    <row r="13772" spans="39:41" ht="12" customHeight="1" x14ac:dyDescent="0.2">
      <c r="AM13772" t="str">
        <f t="shared" si="215"/>
        <v>Sarchi [CRSRI]</v>
      </c>
      <c r="AN13772" t="s">
        <v>6655</v>
      </c>
      <c r="AO13772" t="s">
        <v>35382</v>
      </c>
    </row>
    <row r="13773" spans="39:41" ht="12" customHeight="1" x14ac:dyDescent="0.2">
      <c r="AM13773" t="str">
        <f t="shared" si="215"/>
        <v>Sarengrad [HRSRG]</v>
      </c>
      <c r="AN13773" t="s">
        <v>15907</v>
      </c>
      <c r="AO13773" t="s">
        <v>15908</v>
      </c>
    </row>
    <row r="13774" spans="39:41" ht="12" customHeight="1" x14ac:dyDescent="0.2">
      <c r="AM13774" t="str">
        <f t="shared" si="215"/>
        <v>Sari [IRSIX]</v>
      </c>
      <c r="AN13774" t="s">
        <v>17649</v>
      </c>
      <c r="AO13774" t="s">
        <v>17650</v>
      </c>
    </row>
    <row r="13775" spans="39:41" ht="12" customHeight="1" x14ac:dyDescent="0.2">
      <c r="AM13775" t="str">
        <f t="shared" si="215"/>
        <v>Sarikei [MYSAR]</v>
      </c>
      <c r="AN13775" t="s">
        <v>22729</v>
      </c>
      <c r="AO13775" t="s">
        <v>22730</v>
      </c>
    </row>
    <row r="13776" spans="39:41" ht="12" customHeight="1" x14ac:dyDescent="0.2">
      <c r="AM13776" t="str">
        <f t="shared" si="215"/>
        <v>Sarioe Bay [LRSAB]</v>
      </c>
      <c r="AN13776" t="s">
        <v>21883</v>
      </c>
      <c r="AO13776" t="s">
        <v>21884</v>
      </c>
    </row>
    <row r="13777" spans="39:41" ht="12" customHeight="1" x14ac:dyDescent="0.2">
      <c r="AM13777" t="str">
        <f t="shared" si="215"/>
        <v>Sariseki [TRSRS]</v>
      </c>
      <c r="AN13777" t="s">
        <v>28580</v>
      </c>
      <c r="AO13777" t="s">
        <v>28581</v>
      </c>
    </row>
    <row r="13778" spans="39:41" ht="12" customHeight="1" x14ac:dyDescent="0.2">
      <c r="AM13778" t="str">
        <f t="shared" si="215"/>
        <v>Sarita [USS4Y]</v>
      </c>
      <c r="AN13778" t="s">
        <v>31427</v>
      </c>
      <c r="AO13778" t="s">
        <v>31428</v>
      </c>
    </row>
    <row r="13779" spans="39:41" ht="12" customHeight="1" x14ac:dyDescent="0.2">
      <c r="AM13779" t="str">
        <f t="shared" si="215"/>
        <v>Sark [GBSRX]</v>
      </c>
      <c r="AN13779" t="s">
        <v>14392</v>
      </c>
      <c r="AO13779" t="s">
        <v>14393</v>
      </c>
    </row>
    <row r="13780" spans="39:41" ht="12" customHeight="1" x14ac:dyDescent="0.2">
      <c r="AM13780" t="str">
        <f t="shared" si="215"/>
        <v>Sarkisalmi [FISSI]</v>
      </c>
      <c r="AN13780" t="s">
        <v>10537</v>
      </c>
      <c r="AO13780" t="s">
        <v>35749</v>
      </c>
    </row>
    <row r="13781" spans="39:41" ht="12" customHeight="1" x14ac:dyDescent="0.2">
      <c r="AM13781" t="str">
        <f t="shared" si="215"/>
        <v>Sarnia [CASNI]</v>
      </c>
      <c r="AN13781" t="s">
        <v>4428</v>
      </c>
      <c r="AO13781" t="s">
        <v>4429</v>
      </c>
    </row>
    <row r="13782" spans="39:41" ht="12" customHeight="1" x14ac:dyDescent="0.2">
      <c r="AM13782" t="str">
        <f t="shared" si="215"/>
        <v>Sarooj Anchorage [IRSRA]</v>
      </c>
      <c r="AN13782" t="s">
        <v>17651</v>
      </c>
      <c r="AO13782" t="s">
        <v>17652</v>
      </c>
    </row>
    <row r="13783" spans="39:41" ht="12" customHeight="1" x14ac:dyDescent="0.2">
      <c r="AM13783" t="str">
        <f t="shared" si="215"/>
        <v>Sarospatak [HURSP]</v>
      </c>
      <c r="AN13783" t="s">
        <v>16122</v>
      </c>
      <c r="AO13783" t="s">
        <v>36027</v>
      </c>
    </row>
    <row r="13784" spans="39:41" ht="12" customHeight="1" x14ac:dyDescent="0.2">
      <c r="AM13784" t="str">
        <f t="shared" si="215"/>
        <v>Sarpsborg [NOSPG]</v>
      </c>
      <c r="AN13784" t="s">
        <v>24702</v>
      </c>
      <c r="AO13784" t="s">
        <v>24703</v>
      </c>
    </row>
    <row r="13785" spans="39:41" ht="12" customHeight="1" x14ac:dyDescent="0.2">
      <c r="AM13785" t="str">
        <f t="shared" si="215"/>
        <v>Sarral [ESRAL]</v>
      </c>
      <c r="AN13785" t="s">
        <v>10205</v>
      </c>
      <c r="AO13785" t="s">
        <v>10206</v>
      </c>
    </row>
    <row r="13786" spans="39:41" ht="12" customHeight="1" x14ac:dyDescent="0.2">
      <c r="AM13786" t="str">
        <f t="shared" si="215"/>
        <v>Sarralbe [FRRRB]</v>
      </c>
      <c r="AN13786" t="s">
        <v>12082</v>
      </c>
      <c r="AO13786" t="s">
        <v>12083</v>
      </c>
    </row>
    <row r="13787" spans="39:41" ht="12" customHeight="1" x14ac:dyDescent="0.2">
      <c r="AM13787" t="str">
        <f t="shared" si="215"/>
        <v>Sarreguemines [FRSAR]</v>
      </c>
      <c r="AN13787" t="s">
        <v>12084</v>
      </c>
      <c r="AO13787" t="s">
        <v>12085</v>
      </c>
    </row>
    <row r="13788" spans="39:41" ht="12" customHeight="1" x14ac:dyDescent="0.2">
      <c r="AM13788" t="str">
        <f t="shared" si="215"/>
        <v>Sas van Gent [NLSVG]</v>
      </c>
      <c r="AN13788" t="s">
        <v>23566</v>
      </c>
      <c r="AO13788" t="s">
        <v>23567</v>
      </c>
    </row>
    <row r="13789" spans="39:41" ht="12" customHeight="1" x14ac:dyDescent="0.2">
      <c r="AM13789" t="str">
        <f t="shared" si="215"/>
        <v>Sasa/Davao [PHSAS]</v>
      </c>
      <c r="AN13789" t="s">
        <v>26138</v>
      </c>
      <c r="AO13789" t="s">
        <v>26139</v>
      </c>
    </row>
    <row r="13790" spans="39:41" ht="12" customHeight="1" x14ac:dyDescent="0.2">
      <c r="AM13790" t="str">
        <f t="shared" si="215"/>
        <v>Sasago [JPSAS]</v>
      </c>
      <c r="AN13790" t="s">
        <v>20665</v>
      </c>
      <c r="AO13790" t="s">
        <v>20666</v>
      </c>
    </row>
    <row r="13791" spans="39:41" ht="12" customHeight="1" x14ac:dyDescent="0.2">
      <c r="AM13791" t="str">
        <f t="shared" si="215"/>
        <v>Sasayap [IDSAS]</v>
      </c>
      <c r="AN13791" t="s">
        <v>16571</v>
      </c>
      <c r="AO13791" t="s">
        <v>16572</v>
      </c>
    </row>
    <row r="13792" spans="39:41" ht="12" customHeight="1" x14ac:dyDescent="0.2">
      <c r="AM13792" t="str">
        <f t="shared" si="215"/>
        <v>Sasebo [JPSSB]</v>
      </c>
      <c r="AN13792" t="s">
        <v>20667</v>
      </c>
      <c r="AO13792" t="s">
        <v>20668</v>
      </c>
    </row>
    <row r="13793" spans="39:41" ht="12" customHeight="1" x14ac:dyDescent="0.2">
      <c r="AM13793" t="str">
        <f t="shared" si="215"/>
        <v>Sashiki [JPSSI]</v>
      </c>
      <c r="AN13793" t="s">
        <v>20669</v>
      </c>
      <c r="AO13793" t="s">
        <v>20670</v>
      </c>
    </row>
    <row r="13794" spans="39:41" ht="12" customHeight="1" x14ac:dyDescent="0.2">
      <c r="AM13794" t="str">
        <f t="shared" si="215"/>
        <v>Sassandra [CIZSS]</v>
      </c>
      <c r="AN13794" t="s">
        <v>4795</v>
      </c>
      <c r="AO13794" t="s">
        <v>4796</v>
      </c>
    </row>
    <row r="13795" spans="39:41" ht="12" customHeight="1" x14ac:dyDescent="0.2">
      <c r="AM13795" t="str">
        <f t="shared" si="215"/>
        <v>Sas-Slijkens [BESLJ]</v>
      </c>
      <c r="AN13795" t="s">
        <v>2915</v>
      </c>
      <c r="AO13795" t="s">
        <v>2916</v>
      </c>
    </row>
    <row r="13796" spans="39:41" ht="12" customHeight="1" x14ac:dyDescent="0.2">
      <c r="AM13796" t="str">
        <f t="shared" si="215"/>
        <v>Sassnitz [DESAS]</v>
      </c>
      <c r="AN13796" t="s">
        <v>8224</v>
      </c>
      <c r="AO13796" t="s">
        <v>8225</v>
      </c>
    </row>
    <row r="13797" spans="39:41" ht="12" customHeight="1" x14ac:dyDescent="0.2">
      <c r="AM13797" t="str">
        <f t="shared" si="215"/>
        <v>Sasstown [LRSAZ]</v>
      </c>
      <c r="AN13797" t="s">
        <v>21885</v>
      </c>
      <c r="AO13797" t="s">
        <v>21886</v>
      </c>
    </row>
    <row r="13798" spans="39:41" ht="12" customHeight="1" x14ac:dyDescent="0.2">
      <c r="AM13798" t="str">
        <f t="shared" si="215"/>
        <v>Sassukvere [EESAS]</v>
      </c>
      <c r="AN13798" t="s">
        <v>9355</v>
      </c>
      <c r="AO13798" t="s">
        <v>9356</v>
      </c>
    </row>
    <row r="13799" spans="39:41" ht="12" customHeight="1" x14ac:dyDescent="0.2">
      <c r="AM13799" t="str">
        <f t="shared" si="215"/>
        <v>Sasue [JPSSE]</v>
      </c>
      <c r="AN13799" t="s">
        <v>20671</v>
      </c>
      <c r="AO13799" t="s">
        <v>20672</v>
      </c>
    </row>
    <row r="13800" spans="39:41" ht="12" customHeight="1" x14ac:dyDescent="0.2">
      <c r="AM13800" t="str">
        <f t="shared" si="215"/>
        <v>Sasuna [JPSSN]</v>
      </c>
      <c r="AN13800" t="s">
        <v>20673</v>
      </c>
      <c r="AO13800" t="s">
        <v>20674</v>
      </c>
    </row>
    <row r="13801" spans="39:41" ht="12" customHeight="1" x14ac:dyDescent="0.2">
      <c r="AM13801" t="str">
        <f t="shared" si="215"/>
        <v>Sata [JPSTA]</v>
      </c>
      <c r="AN13801" t="s">
        <v>20675</v>
      </c>
      <c r="AO13801" t="s">
        <v>20676</v>
      </c>
    </row>
    <row r="13802" spans="39:41" ht="12" customHeight="1" x14ac:dyDescent="0.2">
      <c r="AM13802" t="str">
        <f t="shared" si="215"/>
        <v>Satawal [FMSAT]</v>
      </c>
      <c r="AN13802" t="s">
        <v>10663</v>
      </c>
      <c r="AO13802" t="s">
        <v>10664</v>
      </c>
    </row>
    <row r="13803" spans="39:41" ht="12" customHeight="1" x14ac:dyDescent="0.2">
      <c r="AM13803" t="str">
        <f t="shared" si="215"/>
        <v>Sathun [THSTH]</v>
      </c>
      <c r="AN13803" t="s">
        <v>28280</v>
      </c>
      <c r="AO13803" t="s">
        <v>28281</v>
      </c>
    </row>
    <row r="13804" spans="39:41" ht="12" customHeight="1" x14ac:dyDescent="0.2">
      <c r="AM13804" t="str">
        <f t="shared" ref="AM13804:AM13867" si="216">AO13804 &amp; " [" &amp; AN13804 &amp; "]"</f>
        <v>Sato [JPSAO]</v>
      </c>
      <c r="AN13804" t="s">
        <v>20677</v>
      </c>
      <c r="AO13804" t="s">
        <v>20678</v>
      </c>
    </row>
    <row r="13805" spans="39:41" ht="12" customHeight="1" x14ac:dyDescent="0.2">
      <c r="AM13805" t="str">
        <f t="shared" si="216"/>
        <v>Satoura [JPSTE]</v>
      </c>
      <c r="AN13805" t="s">
        <v>20679</v>
      </c>
      <c r="AO13805" t="s">
        <v>20680</v>
      </c>
    </row>
    <row r="13806" spans="39:41" ht="12" customHeight="1" x14ac:dyDescent="0.2">
      <c r="AM13806" t="str">
        <f t="shared" si="216"/>
        <v>Satpati [INSTP]</v>
      </c>
      <c r="AN13806" t="s">
        <v>17441</v>
      </c>
      <c r="AO13806" t="s">
        <v>17442</v>
      </c>
    </row>
    <row r="13807" spans="39:41" ht="12" customHeight="1" x14ac:dyDescent="0.2">
      <c r="AM13807" t="str">
        <f t="shared" si="216"/>
        <v>Satsop [USZOP]</v>
      </c>
      <c r="AN13807" t="s">
        <v>31429</v>
      </c>
      <c r="AO13807" t="s">
        <v>31430</v>
      </c>
    </row>
    <row r="13808" spans="39:41" ht="12" customHeight="1" x14ac:dyDescent="0.2">
      <c r="AM13808" t="str">
        <f t="shared" si="216"/>
        <v>Satsukawawan [JPSTW]</v>
      </c>
      <c r="AN13808" t="s">
        <v>20681</v>
      </c>
      <c r="AO13808" t="s">
        <v>20682</v>
      </c>
    </row>
    <row r="13809" spans="39:41" ht="12" customHeight="1" x14ac:dyDescent="0.2">
      <c r="AM13809" t="str">
        <f t="shared" si="216"/>
        <v>Satsumasendai [JPSEN]</v>
      </c>
      <c r="AN13809" t="s">
        <v>20683</v>
      </c>
      <c r="AO13809" t="s">
        <v>20684</v>
      </c>
    </row>
    <row r="13810" spans="39:41" ht="12" customHeight="1" x14ac:dyDescent="0.2">
      <c r="AM13810" t="str">
        <f t="shared" si="216"/>
        <v>Sattahip [THSAT]</v>
      </c>
      <c r="AN13810" t="s">
        <v>28282</v>
      </c>
      <c r="AO13810" t="s">
        <v>28283</v>
      </c>
    </row>
    <row r="13811" spans="39:41" ht="12" customHeight="1" x14ac:dyDescent="0.2">
      <c r="AM13811" t="str">
        <f t="shared" si="216"/>
        <v>Satui [IDSTU]</v>
      </c>
      <c r="AN13811" t="s">
        <v>16573</v>
      </c>
      <c r="AO13811" t="s">
        <v>16574</v>
      </c>
    </row>
    <row r="13812" spans="39:41" ht="12" customHeight="1" x14ac:dyDescent="0.2">
      <c r="AM13812" t="str">
        <f t="shared" si="216"/>
        <v>Saubusse [FRUBS]</v>
      </c>
      <c r="AN13812" t="s">
        <v>12086</v>
      </c>
      <c r="AO13812" t="s">
        <v>12087</v>
      </c>
    </row>
    <row r="13813" spans="39:41" ht="12" customHeight="1" x14ac:dyDescent="0.2">
      <c r="AM13813" t="str">
        <f t="shared" si="216"/>
        <v>Sauda [NOSAU]</v>
      </c>
      <c r="AN13813" t="s">
        <v>24704</v>
      </c>
      <c r="AO13813" t="s">
        <v>24705</v>
      </c>
    </row>
    <row r="13814" spans="39:41" ht="12" customHeight="1" x14ac:dyDescent="0.2">
      <c r="AM13814" t="str">
        <f t="shared" si="216"/>
        <v>Saudarkrokur - hofn [ISSAU]</v>
      </c>
      <c r="AN13814" t="s">
        <v>17758</v>
      </c>
      <c r="AO13814" t="s">
        <v>36064</v>
      </c>
    </row>
    <row r="13815" spans="39:41" ht="12" customHeight="1" x14ac:dyDescent="0.2">
      <c r="AM13815" t="str">
        <f t="shared" si="216"/>
        <v>Saudoy [FROYY]</v>
      </c>
      <c r="AN13815" t="s">
        <v>12088</v>
      </c>
      <c r="AO13815" t="s">
        <v>12089</v>
      </c>
    </row>
    <row r="13816" spans="39:41" ht="12" customHeight="1" x14ac:dyDescent="0.2">
      <c r="AM13816" t="str">
        <f t="shared" si="216"/>
        <v>Sault Sainte Marie [USSSM]</v>
      </c>
      <c r="AN13816" t="s">
        <v>31431</v>
      </c>
      <c r="AO13816" t="s">
        <v>31432</v>
      </c>
    </row>
    <row r="13817" spans="39:41" ht="12" customHeight="1" x14ac:dyDescent="0.2">
      <c r="AM13817" t="str">
        <f t="shared" si="216"/>
        <v>Sault-Sainte-Marie [CASSM]</v>
      </c>
      <c r="AN13817" t="s">
        <v>4430</v>
      </c>
      <c r="AO13817" t="s">
        <v>4431</v>
      </c>
    </row>
    <row r="13818" spans="39:41" ht="12" customHeight="1" x14ac:dyDescent="0.2">
      <c r="AM13818" t="str">
        <f t="shared" si="216"/>
        <v>Saundersfoot [GBSAU]</v>
      </c>
      <c r="AN13818" t="s">
        <v>14394</v>
      </c>
      <c r="AO13818" t="s">
        <v>14395</v>
      </c>
    </row>
    <row r="13819" spans="39:41" ht="12" customHeight="1" x14ac:dyDescent="0.2">
      <c r="AM13819" t="str">
        <f t="shared" si="216"/>
        <v>Sausalito [USJMC]</v>
      </c>
      <c r="AN13819" t="s">
        <v>31433</v>
      </c>
      <c r="AO13819" t="s">
        <v>31434</v>
      </c>
    </row>
    <row r="13820" spans="39:41" ht="12" customHeight="1" x14ac:dyDescent="0.2">
      <c r="AM13820" t="str">
        <f t="shared" si="216"/>
        <v>Sauvoy [FRSYQ]</v>
      </c>
      <c r="AN13820" t="s">
        <v>12090</v>
      </c>
      <c r="AO13820" t="s">
        <v>12091</v>
      </c>
    </row>
    <row r="13821" spans="39:41" ht="12" customHeight="1" x14ac:dyDescent="0.2">
      <c r="AM13821" t="str">
        <f t="shared" si="216"/>
        <v>Sauzal [ESZMF]</v>
      </c>
      <c r="AN13821" t="s">
        <v>10207</v>
      </c>
      <c r="AO13821" t="s">
        <v>10208</v>
      </c>
    </row>
    <row r="13822" spans="39:41" ht="12" customHeight="1" x14ac:dyDescent="0.2">
      <c r="AM13822" t="str">
        <f t="shared" si="216"/>
        <v>Savannah [USSAV]</v>
      </c>
      <c r="AN13822" t="s">
        <v>31435</v>
      </c>
      <c r="AO13822" t="s">
        <v>31436</v>
      </c>
    </row>
    <row r="13823" spans="39:41" ht="12" customHeight="1" x14ac:dyDescent="0.2">
      <c r="AM13823" t="str">
        <f t="shared" si="216"/>
        <v>Savannah [USTSA]</v>
      </c>
      <c r="AN13823" t="s">
        <v>31437</v>
      </c>
      <c r="AO13823" t="s">
        <v>31436</v>
      </c>
    </row>
    <row r="13824" spans="39:41" ht="12" customHeight="1" x14ac:dyDescent="0.2">
      <c r="AM13824" t="str">
        <f t="shared" si="216"/>
        <v>Savanna-la-Mar [JMSLM]</v>
      </c>
      <c r="AN13824" t="s">
        <v>18457</v>
      </c>
      <c r="AO13824" t="s">
        <v>18458</v>
      </c>
    </row>
    <row r="13825" spans="39:41" ht="12" customHeight="1" x14ac:dyDescent="0.2">
      <c r="AM13825" t="str">
        <f t="shared" si="216"/>
        <v>Savareid [NOSID]</v>
      </c>
      <c r="AN13825" t="s">
        <v>24706</v>
      </c>
      <c r="AO13825" t="s">
        <v>36284</v>
      </c>
    </row>
    <row r="13826" spans="39:41" ht="12" customHeight="1" x14ac:dyDescent="0.2">
      <c r="AM13826" t="str">
        <f t="shared" si="216"/>
        <v>Savelletri [ITLLT]</v>
      </c>
      <c r="AN13826" t="s">
        <v>18308</v>
      </c>
      <c r="AO13826" t="s">
        <v>18309</v>
      </c>
    </row>
    <row r="13827" spans="39:41" ht="12" customHeight="1" x14ac:dyDescent="0.2">
      <c r="AM13827" t="str">
        <f t="shared" si="216"/>
        <v>Savitaipale [FISPE]</v>
      </c>
      <c r="AN13827" t="s">
        <v>36936</v>
      </c>
      <c r="AO13827" t="s">
        <v>36937</v>
      </c>
    </row>
    <row r="13828" spans="39:41" ht="12" customHeight="1" x14ac:dyDescent="0.2">
      <c r="AM13828" t="str">
        <f t="shared" si="216"/>
        <v>Savlandsvik [NOSVL]</v>
      </c>
      <c r="AN13828" t="s">
        <v>24707</v>
      </c>
      <c r="AO13828" t="s">
        <v>36285</v>
      </c>
    </row>
    <row r="13829" spans="39:41" ht="12" customHeight="1" x14ac:dyDescent="0.2">
      <c r="AM13829" t="str">
        <f t="shared" si="216"/>
        <v>Savona [ITSVN]</v>
      </c>
      <c r="AN13829" t="s">
        <v>18310</v>
      </c>
      <c r="AO13829" t="s">
        <v>18311</v>
      </c>
    </row>
    <row r="13830" spans="39:41" ht="12" customHeight="1" x14ac:dyDescent="0.2">
      <c r="AM13830" t="str">
        <f t="shared" si="216"/>
        <v>Savusavu [FJSVU]</v>
      </c>
      <c r="AN13830" t="s">
        <v>10626</v>
      </c>
      <c r="AO13830" t="s">
        <v>10627</v>
      </c>
    </row>
    <row r="13831" spans="39:41" ht="12" customHeight="1" x14ac:dyDescent="0.2">
      <c r="AM13831" t="str">
        <f t="shared" si="216"/>
        <v>Saxi Batuque FPSO [AOSBT]</v>
      </c>
      <c r="AN13831" t="s">
        <v>892</v>
      </c>
      <c r="AO13831" t="s">
        <v>893</v>
      </c>
    </row>
    <row r="13832" spans="39:41" ht="12" customHeight="1" x14ac:dyDescent="0.2">
      <c r="AM13832" t="str">
        <f t="shared" si="216"/>
        <v>Sayao/Batangas [PHSAY]</v>
      </c>
      <c r="AN13832" t="s">
        <v>26140</v>
      </c>
      <c r="AO13832" t="s">
        <v>26141</v>
      </c>
    </row>
    <row r="13833" spans="39:41" ht="12" customHeight="1" x14ac:dyDescent="0.2">
      <c r="AM13833" t="str">
        <f t="shared" si="216"/>
        <v>Sayda [LBSAY]</v>
      </c>
      <c r="AN13833" t="s">
        <v>21800</v>
      </c>
      <c r="AO13833" t="s">
        <v>36079</v>
      </c>
    </row>
    <row r="13834" spans="39:41" ht="12" customHeight="1" x14ac:dyDescent="0.2">
      <c r="AM13834" t="str">
        <f t="shared" si="216"/>
        <v>Sayreville [USXNA]</v>
      </c>
      <c r="AN13834" t="s">
        <v>31438</v>
      </c>
      <c r="AO13834" t="s">
        <v>31439</v>
      </c>
    </row>
    <row r="13835" spans="39:41" ht="12" customHeight="1" x14ac:dyDescent="0.2">
      <c r="AM13835" t="str">
        <f t="shared" si="216"/>
        <v>Sayward [CASYW]</v>
      </c>
      <c r="AN13835" t="s">
        <v>4432</v>
      </c>
      <c r="AO13835" t="s">
        <v>4433</v>
      </c>
    </row>
    <row r="13836" spans="39:41" ht="12" customHeight="1" x14ac:dyDescent="0.2">
      <c r="AM13836" t="str">
        <f t="shared" si="216"/>
        <v>Saza [JPSAZ]</v>
      </c>
      <c r="AN13836" t="s">
        <v>20685</v>
      </c>
      <c r="AO13836" t="s">
        <v>20686</v>
      </c>
    </row>
    <row r="13837" spans="39:41" ht="12" customHeight="1" x14ac:dyDescent="0.2">
      <c r="AM13837" t="str">
        <f t="shared" si="216"/>
        <v>Sazaire Terminal [AOSTL]</v>
      </c>
      <c r="AN13837" t="s">
        <v>894</v>
      </c>
      <c r="AO13837" t="s">
        <v>895</v>
      </c>
    </row>
    <row r="13838" spans="39:41" ht="12" customHeight="1" x14ac:dyDescent="0.2">
      <c r="AM13838" t="str">
        <f t="shared" si="216"/>
        <v>Scalasaig, Colonsay [GBSCG]</v>
      </c>
      <c r="AN13838" t="s">
        <v>14396</v>
      </c>
      <c r="AO13838" t="s">
        <v>14397</v>
      </c>
    </row>
    <row r="13839" spans="39:41" ht="12" customHeight="1" x14ac:dyDescent="0.2">
      <c r="AM13839" t="str">
        <f t="shared" si="216"/>
        <v>Scalea [ITLEA]</v>
      </c>
      <c r="AN13839" t="s">
        <v>18312</v>
      </c>
      <c r="AO13839" t="s">
        <v>18313</v>
      </c>
    </row>
    <row r="13840" spans="39:41" ht="12" customHeight="1" x14ac:dyDescent="0.2">
      <c r="AM13840" t="str">
        <f t="shared" si="216"/>
        <v>Scales Mound [USQJZ]</v>
      </c>
      <c r="AN13840" t="s">
        <v>31440</v>
      </c>
      <c r="AO13840" t="s">
        <v>31441</v>
      </c>
    </row>
    <row r="13841" spans="39:41" ht="12" customHeight="1" x14ac:dyDescent="0.2">
      <c r="AM13841" t="str">
        <f t="shared" si="216"/>
        <v>Scalloway [GBSWY]</v>
      </c>
      <c r="AN13841" t="s">
        <v>14398</v>
      </c>
      <c r="AO13841" t="s">
        <v>14399</v>
      </c>
    </row>
    <row r="13842" spans="39:41" ht="12" customHeight="1" x14ac:dyDescent="0.2">
      <c r="AM13842" t="str">
        <f t="shared" si="216"/>
        <v>Scalpay, Outer Hebridies [GBSCC]</v>
      </c>
      <c r="AN13842" t="s">
        <v>14400</v>
      </c>
      <c r="AO13842" t="s">
        <v>14401</v>
      </c>
    </row>
    <row r="13843" spans="39:41" ht="12" customHeight="1" x14ac:dyDescent="0.2">
      <c r="AM13843" t="str">
        <f t="shared" si="216"/>
        <v>Scapa [GBSCF]</v>
      </c>
      <c r="AN13843" t="s">
        <v>14402</v>
      </c>
      <c r="AO13843" t="s">
        <v>14403</v>
      </c>
    </row>
    <row r="13844" spans="39:41" ht="12" customHeight="1" x14ac:dyDescent="0.2">
      <c r="AM13844" t="str">
        <f t="shared" si="216"/>
        <v>Scapa Flow [GBSFW]</v>
      </c>
      <c r="AN13844" t="s">
        <v>14404</v>
      </c>
      <c r="AO13844" t="s">
        <v>14405</v>
      </c>
    </row>
    <row r="13845" spans="39:41" ht="12" customHeight="1" x14ac:dyDescent="0.2">
      <c r="AM13845" t="str">
        <f t="shared" si="216"/>
        <v>Scarborough [GBSCA]</v>
      </c>
      <c r="AN13845" t="s">
        <v>14406</v>
      </c>
      <c r="AO13845" t="s">
        <v>14407</v>
      </c>
    </row>
    <row r="13846" spans="39:41" ht="12" customHeight="1" x14ac:dyDescent="0.2">
      <c r="AM13846" t="str">
        <f t="shared" si="216"/>
        <v>Scarborough/Tobago [TTSCA]</v>
      </c>
      <c r="AN13846" t="s">
        <v>28656</v>
      </c>
      <c r="AO13846" t="s">
        <v>28657</v>
      </c>
    </row>
    <row r="13847" spans="39:41" ht="12" customHeight="1" x14ac:dyDescent="0.2">
      <c r="AM13847" t="str">
        <f t="shared" si="216"/>
        <v>Scarcliffe [GBSF5]</v>
      </c>
      <c r="AN13847" t="s">
        <v>14408</v>
      </c>
      <c r="AO13847" t="s">
        <v>14409</v>
      </c>
    </row>
    <row r="13848" spans="39:41" ht="12" customHeight="1" x14ac:dyDescent="0.2">
      <c r="AM13848" t="str">
        <f t="shared" si="216"/>
        <v>Scarfskerry [GBSFK]</v>
      </c>
      <c r="AN13848" t="s">
        <v>14410</v>
      </c>
      <c r="AO13848" t="s">
        <v>14411</v>
      </c>
    </row>
    <row r="13849" spans="39:41" ht="12" customHeight="1" x14ac:dyDescent="0.2">
      <c r="AM13849" t="str">
        <f t="shared" si="216"/>
        <v>Scarinish, Tiree [GBSCN]</v>
      </c>
      <c r="AN13849" t="s">
        <v>14412</v>
      </c>
      <c r="AO13849" t="s">
        <v>14413</v>
      </c>
    </row>
    <row r="13850" spans="39:41" ht="12" customHeight="1" x14ac:dyDescent="0.2">
      <c r="AM13850" t="str">
        <f t="shared" si="216"/>
        <v>Scario [ITSRH]</v>
      </c>
      <c r="AN13850" t="s">
        <v>18314</v>
      </c>
      <c r="AO13850" t="s">
        <v>18315</v>
      </c>
    </row>
    <row r="13851" spans="39:41" ht="12" customHeight="1" x14ac:dyDescent="0.2">
      <c r="AM13851" t="str">
        <f t="shared" si="216"/>
        <v>Scauri [ITURI]</v>
      </c>
      <c r="AN13851" t="s">
        <v>18316</v>
      </c>
      <c r="AO13851" t="s">
        <v>18317</v>
      </c>
    </row>
    <row r="13852" spans="39:41" ht="12" customHeight="1" x14ac:dyDescent="0.2">
      <c r="AM13852" t="str">
        <f t="shared" si="216"/>
        <v>Schacht-Audorf [DESAU]</v>
      </c>
      <c r="AN13852" t="s">
        <v>8226</v>
      </c>
      <c r="AO13852" t="s">
        <v>8227</v>
      </c>
    </row>
    <row r="13853" spans="39:41" ht="12" customHeight="1" x14ac:dyDescent="0.2">
      <c r="AM13853" t="str">
        <f t="shared" si="216"/>
        <v>Schagen [NLSCH]</v>
      </c>
      <c r="AN13853" t="s">
        <v>34110</v>
      </c>
      <c r="AO13853" t="s">
        <v>34156</v>
      </c>
    </row>
    <row r="13854" spans="39:41" ht="12" customHeight="1" x14ac:dyDescent="0.2">
      <c r="AM13854" t="str">
        <f t="shared" si="216"/>
        <v>Schagerbrug [NLSBU]</v>
      </c>
      <c r="AN13854" t="s">
        <v>23568</v>
      </c>
      <c r="AO13854" t="s">
        <v>23569</v>
      </c>
    </row>
    <row r="13855" spans="39:41" ht="12" customHeight="1" x14ac:dyDescent="0.2">
      <c r="AM13855" t="str">
        <f t="shared" si="216"/>
        <v>Schalding [DESDI]</v>
      </c>
      <c r="AN13855" t="s">
        <v>8228</v>
      </c>
      <c r="AO13855" t="s">
        <v>8229</v>
      </c>
    </row>
    <row r="13856" spans="39:41" ht="12" customHeight="1" x14ac:dyDescent="0.2">
      <c r="AM13856" t="str">
        <f t="shared" si="216"/>
        <v>Schalkwijk [NLSKW]</v>
      </c>
      <c r="AN13856" t="s">
        <v>23570</v>
      </c>
      <c r="AO13856" t="s">
        <v>23571</v>
      </c>
    </row>
    <row r="13857" spans="39:41" ht="12" customHeight="1" x14ac:dyDescent="0.2">
      <c r="AM13857" t="str">
        <f t="shared" si="216"/>
        <v>Scharendijke [NLSRD]</v>
      </c>
      <c r="AN13857" t="s">
        <v>23572</v>
      </c>
      <c r="AO13857" t="s">
        <v>23573</v>
      </c>
    </row>
    <row r="13858" spans="39:41" ht="12" customHeight="1" x14ac:dyDescent="0.2">
      <c r="AM13858" t="str">
        <f t="shared" si="216"/>
        <v>Scharrachbergheim [FRGHT]</v>
      </c>
      <c r="AN13858" t="s">
        <v>12092</v>
      </c>
      <c r="AO13858" t="s">
        <v>12093</v>
      </c>
    </row>
    <row r="13859" spans="39:41" ht="12" customHeight="1" x14ac:dyDescent="0.2">
      <c r="AM13859" t="str">
        <f t="shared" si="216"/>
        <v>Schauten [PGSCH]</v>
      </c>
      <c r="AN13859" t="s">
        <v>25466</v>
      </c>
      <c r="AO13859" t="s">
        <v>25467</v>
      </c>
    </row>
    <row r="13860" spans="39:41" ht="12" customHeight="1" x14ac:dyDescent="0.2">
      <c r="AM13860" t="str">
        <f t="shared" si="216"/>
        <v>Schechingen [DES3B]</v>
      </c>
      <c r="AN13860" t="s">
        <v>8230</v>
      </c>
      <c r="AO13860" t="s">
        <v>8231</v>
      </c>
    </row>
    <row r="13861" spans="39:41" ht="12" customHeight="1" x14ac:dyDescent="0.2">
      <c r="AM13861" t="str">
        <f t="shared" si="216"/>
        <v>Scheemda [NLSMD]</v>
      </c>
      <c r="AN13861" t="s">
        <v>37059</v>
      </c>
      <c r="AO13861" t="s">
        <v>37060</v>
      </c>
    </row>
    <row r="13862" spans="39:41" ht="12" customHeight="1" x14ac:dyDescent="0.2">
      <c r="AM13862" t="str">
        <f t="shared" si="216"/>
        <v>Scheemderzwaag [NLSMZ]</v>
      </c>
      <c r="AN13862" t="s">
        <v>23574</v>
      </c>
      <c r="AO13862" t="s">
        <v>23575</v>
      </c>
    </row>
    <row r="13863" spans="39:41" ht="12" customHeight="1" x14ac:dyDescent="0.2">
      <c r="AM13863" t="str">
        <f t="shared" si="216"/>
        <v>Scheepsdale [BESPE]</v>
      </c>
      <c r="AN13863" t="s">
        <v>2917</v>
      </c>
      <c r="AO13863" t="s">
        <v>2918</v>
      </c>
    </row>
    <row r="13864" spans="39:41" ht="12" customHeight="1" x14ac:dyDescent="0.2">
      <c r="AM13864" t="str">
        <f t="shared" si="216"/>
        <v>Schelderode [BESHR]</v>
      </c>
      <c r="AN13864" t="s">
        <v>2919</v>
      </c>
      <c r="AO13864" t="s">
        <v>2920</v>
      </c>
    </row>
    <row r="13865" spans="39:41" ht="12" customHeight="1" x14ac:dyDescent="0.2">
      <c r="AM13865" t="str">
        <f t="shared" si="216"/>
        <v>Schelldorf [DESEF]</v>
      </c>
      <c r="AN13865" t="s">
        <v>8232</v>
      </c>
      <c r="AO13865" t="s">
        <v>8233</v>
      </c>
    </row>
    <row r="13866" spans="39:41" ht="12" customHeight="1" x14ac:dyDescent="0.2">
      <c r="AM13866" t="str">
        <f t="shared" si="216"/>
        <v>Schelle [BESHL]</v>
      </c>
      <c r="AN13866" t="s">
        <v>2921</v>
      </c>
      <c r="AO13866" t="s">
        <v>2922</v>
      </c>
    </row>
    <row r="13867" spans="39:41" ht="12" customHeight="1" x14ac:dyDescent="0.2">
      <c r="AM13867" t="str">
        <f t="shared" si="216"/>
        <v>Schellebelle [BESHB]</v>
      </c>
      <c r="AN13867" t="s">
        <v>2923</v>
      </c>
      <c r="AO13867" t="s">
        <v>2924</v>
      </c>
    </row>
    <row r="13868" spans="39:41" ht="12" customHeight="1" x14ac:dyDescent="0.2">
      <c r="AM13868" t="str">
        <f t="shared" ref="AM13868:AM13931" si="217">AO13868 &amp; " [" &amp; AN13868 &amp; "]"</f>
        <v>Schenkon [CHSEN]</v>
      </c>
      <c r="AN13868" t="s">
        <v>4748</v>
      </c>
      <c r="AO13868" t="s">
        <v>4749</v>
      </c>
    </row>
    <row r="13869" spans="39:41" ht="12" customHeight="1" x14ac:dyDescent="0.2">
      <c r="AM13869" t="str">
        <f t="shared" si="217"/>
        <v>Schermerhorn [NLSHO]</v>
      </c>
      <c r="AN13869" t="s">
        <v>23576</v>
      </c>
      <c r="AO13869" t="s">
        <v>23577</v>
      </c>
    </row>
    <row r="13870" spans="39:41" ht="12" customHeight="1" x14ac:dyDescent="0.2">
      <c r="AM13870" t="str">
        <f t="shared" si="217"/>
        <v>Scherpenisse [NLZE5]</v>
      </c>
      <c r="AN13870" t="s">
        <v>23578</v>
      </c>
      <c r="AO13870" t="s">
        <v>23579</v>
      </c>
    </row>
    <row r="13871" spans="39:41" ht="12" customHeight="1" x14ac:dyDescent="0.2">
      <c r="AM13871" t="str">
        <f t="shared" si="217"/>
        <v>Scheveningen [NLSCE]</v>
      </c>
      <c r="AN13871" t="s">
        <v>23580</v>
      </c>
      <c r="AO13871" t="s">
        <v>23581</v>
      </c>
    </row>
    <row r="13872" spans="39:41" ht="12" customHeight="1" x14ac:dyDescent="0.2">
      <c r="AM13872" t="str">
        <f t="shared" si="217"/>
        <v>Schiedam [NLSCI]</v>
      </c>
      <c r="AN13872" t="s">
        <v>23582</v>
      </c>
      <c r="AO13872" t="s">
        <v>23583</v>
      </c>
    </row>
    <row r="13873" spans="39:41" ht="12" customHeight="1" x14ac:dyDescent="0.2">
      <c r="AM13873" t="str">
        <f t="shared" si="217"/>
        <v>Schiermonnikoog [NLSMO]</v>
      </c>
      <c r="AN13873" t="s">
        <v>23584</v>
      </c>
      <c r="AO13873" t="s">
        <v>23585</v>
      </c>
    </row>
    <row r="13874" spans="39:41" ht="12" customHeight="1" x14ac:dyDescent="0.2">
      <c r="AM13874" t="str">
        <f t="shared" si="217"/>
        <v>Schijndel [NLSND]</v>
      </c>
      <c r="AN13874" t="s">
        <v>33922</v>
      </c>
      <c r="AO13874" t="s">
        <v>34044</v>
      </c>
    </row>
    <row r="13875" spans="39:41" ht="12" customHeight="1" x14ac:dyDescent="0.2">
      <c r="AM13875" t="str">
        <f t="shared" si="217"/>
        <v>Schilde [BESCE]</v>
      </c>
      <c r="AN13875" t="s">
        <v>2925</v>
      </c>
      <c r="AO13875" t="s">
        <v>2926</v>
      </c>
    </row>
    <row r="13876" spans="39:41" ht="12" customHeight="1" x14ac:dyDescent="0.2">
      <c r="AM13876" t="str">
        <f t="shared" si="217"/>
        <v>Schildwolde [NLSDW]</v>
      </c>
      <c r="AN13876" t="s">
        <v>23586</v>
      </c>
      <c r="AO13876" t="s">
        <v>23587</v>
      </c>
    </row>
    <row r="13877" spans="39:41" ht="12" customHeight="1" x14ac:dyDescent="0.2">
      <c r="AM13877" t="str">
        <f t="shared" si="217"/>
        <v>Schinousa Kykladon [GRSHC]</v>
      </c>
      <c r="AN13877" t="s">
        <v>15506</v>
      </c>
      <c r="AO13877" t="s">
        <v>15507</v>
      </c>
    </row>
    <row r="13878" spans="39:41" ht="12" customHeight="1" x14ac:dyDescent="0.2">
      <c r="AM13878" t="str">
        <f t="shared" si="217"/>
        <v>Schleiden [DESCV]</v>
      </c>
      <c r="AN13878" t="s">
        <v>8234</v>
      </c>
      <c r="AO13878" t="s">
        <v>8235</v>
      </c>
    </row>
    <row r="13879" spans="39:41" ht="12" customHeight="1" x14ac:dyDescent="0.2">
      <c r="AM13879" t="str">
        <f t="shared" si="217"/>
        <v>Schleswig [DESLS]</v>
      </c>
      <c r="AN13879" t="s">
        <v>8236</v>
      </c>
      <c r="AO13879" t="s">
        <v>8237</v>
      </c>
    </row>
    <row r="13880" spans="39:41" ht="12" customHeight="1" x14ac:dyDescent="0.2">
      <c r="AM13880" t="str">
        <f t="shared" si="217"/>
        <v>Schmedehausen [DEMHA]</v>
      </c>
      <c r="AN13880" t="s">
        <v>8238</v>
      </c>
      <c r="AO13880" t="s">
        <v>8239</v>
      </c>
    </row>
    <row r="13881" spans="39:41" ht="12" customHeight="1" x14ac:dyDescent="0.2">
      <c r="AM13881" t="str">
        <f t="shared" si="217"/>
        <v>Schmerikon [CHSMK]</v>
      </c>
      <c r="AN13881" t="s">
        <v>4750</v>
      </c>
      <c r="AO13881" t="s">
        <v>4751</v>
      </c>
    </row>
    <row r="13882" spans="39:41" ht="12" customHeight="1" x14ac:dyDescent="0.2">
      <c r="AM13882" t="str">
        <f t="shared" si="217"/>
        <v>Schnackenburg [DESNR]</v>
      </c>
      <c r="AN13882" t="s">
        <v>8240</v>
      </c>
      <c r="AO13882" t="s">
        <v>8241</v>
      </c>
    </row>
    <row r="13883" spans="39:41" ht="12" customHeight="1" x14ac:dyDescent="0.2">
      <c r="AM13883" t="str">
        <f t="shared" si="217"/>
        <v>Schonau im Muhlkreis [ATSMK]</v>
      </c>
      <c r="AN13883" t="s">
        <v>1334</v>
      </c>
      <c r="AO13883" t="s">
        <v>35260</v>
      </c>
    </row>
    <row r="13884" spans="39:41" ht="12" customHeight="1" x14ac:dyDescent="0.2">
      <c r="AM13884" t="str">
        <f t="shared" si="217"/>
        <v>Schonebeck [DEOKE]</v>
      </c>
      <c r="AN13884" t="s">
        <v>8242</v>
      </c>
      <c r="AO13884" t="s">
        <v>35495</v>
      </c>
    </row>
    <row r="13885" spans="39:41" ht="12" customHeight="1" x14ac:dyDescent="0.2">
      <c r="AM13885" t="str">
        <f t="shared" si="217"/>
        <v>Schonfeld [DESFL]</v>
      </c>
      <c r="AN13885" t="s">
        <v>8243</v>
      </c>
      <c r="AO13885" t="s">
        <v>35496</v>
      </c>
    </row>
    <row r="13886" spans="39:41" ht="12" customHeight="1" x14ac:dyDescent="0.2">
      <c r="AM13886" t="str">
        <f t="shared" si="217"/>
        <v>Schoonaarde [BESNE]</v>
      </c>
      <c r="AN13886" t="s">
        <v>2927</v>
      </c>
      <c r="AO13886" t="s">
        <v>2928</v>
      </c>
    </row>
    <row r="13887" spans="39:41" ht="12" customHeight="1" x14ac:dyDescent="0.2">
      <c r="AM13887" t="str">
        <f t="shared" si="217"/>
        <v>Schoonhoven [NLSHH]</v>
      </c>
      <c r="AN13887" t="s">
        <v>33923</v>
      </c>
      <c r="AO13887" t="s">
        <v>34045</v>
      </c>
    </row>
    <row r="13888" spans="39:41" ht="12" customHeight="1" x14ac:dyDescent="0.2">
      <c r="AM13888" t="str">
        <f t="shared" si="217"/>
        <v>Schoorl [NLSRL]</v>
      </c>
      <c r="AN13888" t="s">
        <v>23588</v>
      </c>
      <c r="AO13888" t="s">
        <v>23589</v>
      </c>
    </row>
    <row r="13889" spans="39:41" ht="12" customHeight="1" x14ac:dyDescent="0.2">
      <c r="AM13889" t="str">
        <f t="shared" si="217"/>
        <v>Schopsdorf [DESPD]</v>
      </c>
      <c r="AN13889" t="s">
        <v>8244</v>
      </c>
      <c r="AO13889" t="s">
        <v>8245</v>
      </c>
    </row>
    <row r="13890" spans="39:41" ht="12" customHeight="1" x14ac:dyDescent="0.2">
      <c r="AM13890" t="str">
        <f t="shared" si="217"/>
        <v>Schoten [BESCT]</v>
      </c>
      <c r="AN13890" t="s">
        <v>2929</v>
      </c>
      <c r="AO13890" t="s">
        <v>2930</v>
      </c>
    </row>
    <row r="13891" spans="39:41" ht="12" customHeight="1" x14ac:dyDescent="0.2">
      <c r="AM13891" t="str">
        <f t="shared" si="217"/>
        <v>Schoterzijl [NLSZL]</v>
      </c>
      <c r="AN13891" t="s">
        <v>23590</v>
      </c>
      <c r="AO13891" t="s">
        <v>23591</v>
      </c>
    </row>
    <row r="13892" spans="39:41" ht="12" customHeight="1" x14ac:dyDescent="0.2">
      <c r="AM13892" t="str">
        <f t="shared" si="217"/>
        <v>Schouwerzijl [NLSWL]</v>
      </c>
      <c r="AN13892" t="s">
        <v>23592</v>
      </c>
      <c r="AO13892" t="s">
        <v>23593</v>
      </c>
    </row>
    <row r="13893" spans="39:41" ht="12" customHeight="1" x14ac:dyDescent="0.2">
      <c r="AM13893" t="str">
        <f t="shared" si="217"/>
        <v>Schozach [DESZ8]</v>
      </c>
      <c r="AN13893" t="s">
        <v>8246</v>
      </c>
      <c r="AO13893" t="s">
        <v>8247</v>
      </c>
    </row>
    <row r="13894" spans="39:41" ht="12" customHeight="1" x14ac:dyDescent="0.2">
      <c r="AM13894" t="str">
        <f t="shared" si="217"/>
        <v>Schrattenthal [ATTTL]</v>
      </c>
      <c r="AN13894" t="s">
        <v>1335</v>
      </c>
      <c r="AO13894" t="s">
        <v>1336</v>
      </c>
    </row>
    <row r="13895" spans="39:41" ht="12" customHeight="1" x14ac:dyDescent="0.2">
      <c r="AM13895" t="str">
        <f t="shared" si="217"/>
        <v>Schulau [DECHL]</v>
      </c>
      <c r="AN13895" t="s">
        <v>8248</v>
      </c>
      <c r="AO13895" t="s">
        <v>8249</v>
      </c>
    </row>
    <row r="13896" spans="39:41" ht="12" customHeight="1" x14ac:dyDescent="0.2">
      <c r="AM13896" t="str">
        <f t="shared" si="217"/>
        <v>Schulper Neuensiel [DESPS]</v>
      </c>
      <c r="AN13896" t="s">
        <v>8250</v>
      </c>
      <c r="AO13896" t="s">
        <v>35497</v>
      </c>
    </row>
    <row r="13897" spans="39:41" ht="12" customHeight="1" x14ac:dyDescent="0.2">
      <c r="AM13897" t="str">
        <f t="shared" si="217"/>
        <v>Schuttertal [DEUTT]</v>
      </c>
      <c r="AN13897" t="s">
        <v>8251</v>
      </c>
      <c r="AO13897" t="s">
        <v>8252</v>
      </c>
    </row>
    <row r="13898" spans="39:41" ht="12" customHeight="1" x14ac:dyDescent="0.2">
      <c r="AM13898" t="str">
        <f t="shared" si="217"/>
        <v>Schutzen am Gebirge [ATSAG]</v>
      </c>
      <c r="AN13898" t="s">
        <v>1337</v>
      </c>
      <c r="AO13898" t="s">
        <v>1338</v>
      </c>
    </row>
    <row r="13899" spans="39:41" ht="12" customHeight="1" x14ac:dyDescent="0.2">
      <c r="AM13899" t="str">
        <f t="shared" si="217"/>
        <v>Schwaan [DECWN]</v>
      </c>
      <c r="AN13899" t="s">
        <v>8253</v>
      </c>
      <c r="AO13899" t="s">
        <v>8254</v>
      </c>
    </row>
    <row r="13900" spans="39:41" ht="12" customHeight="1" x14ac:dyDescent="0.2">
      <c r="AM13900" t="str">
        <f t="shared" si="217"/>
        <v>Schwaigern [DESWF]</v>
      </c>
      <c r="AN13900" t="s">
        <v>8255</v>
      </c>
      <c r="AO13900" t="s">
        <v>8256</v>
      </c>
    </row>
    <row r="13901" spans="39:41" ht="12" customHeight="1" x14ac:dyDescent="0.2">
      <c r="AM13901" t="str">
        <f t="shared" si="217"/>
        <v>Schwanfeld [DESWQ]</v>
      </c>
      <c r="AN13901" t="s">
        <v>8257</v>
      </c>
      <c r="AO13901" t="s">
        <v>8258</v>
      </c>
    </row>
    <row r="13902" spans="39:41" ht="12" customHeight="1" x14ac:dyDescent="0.2">
      <c r="AM13902" t="str">
        <f t="shared" si="217"/>
        <v>Schwarzenbruck [DESWZ]</v>
      </c>
      <c r="AN13902" t="s">
        <v>8259</v>
      </c>
      <c r="AO13902" t="s">
        <v>8260</v>
      </c>
    </row>
    <row r="13903" spans="39:41" ht="12" customHeight="1" x14ac:dyDescent="0.2">
      <c r="AM13903" t="str">
        <f t="shared" si="217"/>
        <v>Schwedt [DESDT]</v>
      </c>
      <c r="AN13903" t="s">
        <v>8261</v>
      </c>
      <c r="AO13903" t="s">
        <v>8262</v>
      </c>
    </row>
    <row r="13904" spans="39:41" ht="12" customHeight="1" x14ac:dyDescent="0.2">
      <c r="AM13904" t="str">
        <f t="shared" si="217"/>
        <v>Schweinfurt [DESCW]</v>
      </c>
      <c r="AN13904" t="s">
        <v>8263</v>
      </c>
      <c r="AO13904" t="s">
        <v>8264</v>
      </c>
    </row>
    <row r="13905" spans="39:41" ht="12" customHeight="1" x14ac:dyDescent="0.2">
      <c r="AM13905" t="str">
        <f t="shared" si="217"/>
        <v>Schwelgern [DESGW]</v>
      </c>
      <c r="AN13905" t="s">
        <v>8265</v>
      </c>
      <c r="AO13905" t="s">
        <v>8266</v>
      </c>
    </row>
    <row r="13906" spans="39:41" ht="12" customHeight="1" x14ac:dyDescent="0.2">
      <c r="AM13906" t="str">
        <f t="shared" si="217"/>
        <v>Schwentinental [DESWT]</v>
      </c>
      <c r="AN13906" t="s">
        <v>8267</v>
      </c>
      <c r="AO13906" t="s">
        <v>8268</v>
      </c>
    </row>
    <row r="13907" spans="39:41" ht="12" customHeight="1" x14ac:dyDescent="0.2">
      <c r="AM13907" t="str">
        <f t="shared" si="217"/>
        <v>Schweringen [DESRI]</v>
      </c>
      <c r="AN13907" t="s">
        <v>8269</v>
      </c>
      <c r="AO13907" t="s">
        <v>8270</v>
      </c>
    </row>
    <row r="13908" spans="39:41" ht="12" customHeight="1" x14ac:dyDescent="0.2">
      <c r="AM13908" t="str">
        <f t="shared" si="217"/>
        <v>Schwielowsee [DEIEW]</v>
      </c>
      <c r="AN13908" t="s">
        <v>8271</v>
      </c>
      <c r="AO13908" t="s">
        <v>8272</v>
      </c>
    </row>
    <row r="13909" spans="39:41" ht="12" customHeight="1" x14ac:dyDescent="0.2">
      <c r="AM13909" t="str">
        <f t="shared" si="217"/>
        <v>Schwindegg [DEB85]</v>
      </c>
      <c r="AN13909" t="s">
        <v>8273</v>
      </c>
      <c r="AO13909" t="s">
        <v>8274</v>
      </c>
    </row>
    <row r="13910" spans="39:41" ht="12" customHeight="1" x14ac:dyDescent="0.2">
      <c r="AM13910" t="str">
        <f t="shared" si="217"/>
        <v>Sciacca [ITSCK]</v>
      </c>
      <c r="AN13910" t="s">
        <v>18318</v>
      </c>
      <c r="AO13910" t="s">
        <v>18319</v>
      </c>
    </row>
    <row r="13911" spans="39:41" ht="12" customHeight="1" x14ac:dyDescent="0.2">
      <c r="AM13911" t="str">
        <f t="shared" si="217"/>
        <v>Scilla [ITSLL]</v>
      </c>
      <c r="AN13911" t="s">
        <v>18320</v>
      </c>
      <c r="AO13911" t="s">
        <v>18321</v>
      </c>
    </row>
    <row r="13912" spans="39:41" ht="12" customHeight="1" x14ac:dyDescent="0.2">
      <c r="AM13912" t="str">
        <f t="shared" si="217"/>
        <v>Scio [USS44]</v>
      </c>
      <c r="AN13912" t="s">
        <v>31442</v>
      </c>
      <c r="AO13912" t="s">
        <v>31443</v>
      </c>
    </row>
    <row r="13913" spans="39:41" ht="12" customHeight="1" x14ac:dyDescent="0.2">
      <c r="AM13913" t="str">
        <f t="shared" si="217"/>
        <v>Sclaigneaux [BESGX]</v>
      </c>
      <c r="AN13913" t="s">
        <v>2931</v>
      </c>
      <c r="AO13913" t="s">
        <v>2932</v>
      </c>
    </row>
    <row r="13914" spans="39:41" ht="12" customHeight="1" x14ac:dyDescent="0.2">
      <c r="AM13914" t="str">
        <f t="shared" si="217"/>
        <v>Sclayn [BESLY]</v>
      </c>
      <c r="AN13914" t="s">
        <v>2933</v>
      </c>
      <c r="AO13914" t="s">
        <v>2934</v>
      </c>
    </row>
    <row r="13915" spans="39:41" ht="12" customHeight="1" x14ac:dyDescent="0.2">
      <c r="AM13915" t="str">
        <f t="shared" si="217"/>
        <v>Sclessin [BESSN]</v>
      </c>
      <c r="AN13915" t="s">
        <v>2935</v>
      </c>
      <c r="AO13915" t="s">
        <v>2936</v>
      </c>
    </row>
    <row r="13916" spans="39:41" ht="12" customHeight="1" x14ac:dyDescent="0.2">
      <c r="AM13916" t="str">
        <f t="shared" si="217"/>
        <v>Scoglitti [ITSCO]</v>
      </c>
      <c r="AN13916" t="s">
        <v>18322</v>
      </c>
      <c r="AO13916" t="s">
        <v>18323</v>
      </c>
    </row>
    <row r="13917" spans="39:41" ht="12" customHeight="1" x14ac:dyDescent="0.2">
      <c r="AM13917" t="str">
        <f t="shared" si="217"/>
        <v>Sconser, Isle of Skye [GBSCO]</v>
      </c>
      <c r="AN13917" t="s">
        <v>14414</v>
      </c>
      <c r="AO13917" t="s">
        <v>14415</v>
      </c>
    </row>
    <row r="13918" spans="39:41" ht="12" customHeight="1" x14ac:dyDescent="0.2">
      <c r="AM13918" t="str">
        <f t="shared" si="217"/>
        <v>Scoresby [AUSCY]</v>
      </c>
      <c r="AN13918" t="s">
        <v>2010</v>
      </c>
      <c r="AO13918" t="s">
        <v>2011</v>
      </c>
    </row>
    <row r="13919" spans="39:41" ht="12" customHeight="1" x14ac:dyDescent="0.2">
      <c r="AM13919" t="str">
        <f t="shared" si="217"/>
        <v>Scott [USXOT]</v>
      </c>
      <c r="AN13919" t="s">
        <v>31444</v>
      </c>
      <c r="AO13919" t="s">
        <v>31445</v>
      </c>
    </row>
    <row r="13920" spans="39:41" ht="12" customHeight="1" x14ac:dyDescent="0.2">
      <c r="AM13920" t="str">
        <f t="shared" si="217"/>
        <v>Scottsdale [USSTZ]</v>
      </c>
      <c r="AN13920" t="s">
        <v>31446</v>
      </c>
      <c r="AO13920" t="s">
        <v>31447</v>
      </c>
    </row>
    <row r="13921" spans="39:41" ht="12" customHeight="1" x14ac:dyDescent="0.2">
      <c r="AM13921" t="str">
        <f t="shared" si="217"/>
        <v>Scottsville [USTTS]</v>
      </c>
      <c r="AN13921" t="s">
        <v>31448</v>
      </c>
      <c r="AO13921" t="s">
        <v>31449</v>
      </c>
    </row>
    <row r="13922" spans="39:41" ht="12" customHeight="1" x14ac:dyDescent="0.2">
      <c r="AM13922" t="str">
        <f t="shared" si="217"/>
        <v>Scourie [GBRIE]</v>
      </c>
      <c r="AN13922" t="s">
        <v>14416</v>
      </c>
      <c r="AO13922" t="s">
        <v>14417</v>
      </c>
    </row>
    <row r="13923" spans="39:41" ht="12" customHeight="1" x14ac:dyDescent="0.2">
      <c r="AM13923" t="str">
        <f t="shared" si="217"/>
        <v>Scrabster [GBSCR]</v>
      </c>
      <c r="AN13923" t="s">
        <v>14418</v>
      </c>
      <c r="AO13923" t="s">
        <v>14419</v>
      </c>
    </row>
    <row r="13924" spans="39:41" ht="12" customHeight="1" x14ac:dyDescent="0.2">
      <c r="AM13924" t="str">
        <f t="shared" si="217"/>
        <v>Scunthorpe [GBSCP]</v>
      </c>
      <c r="AN13924" t="s">
        <v>14420</v>
      </c>
      <c r="AO13924" t="s">
        <v>14421</v>
      </c>
    </row>
    <row r="13925" spans="39:41" ht="12" customHeight="1" x14ac:dyDescent="0.2">
      <c r="AM13925" t="str">
        <f t="shared" si="217"/>
        <v>Se/Izuhara [JPSEQ]</v>
      </c>
      <c r="AN13925" t="s">
        <v>20687</v>
      </c>
      <c r="AO13925" t="s">
        <v>20688</v>
      </c>
    </row>
    <row r="13926" spans="39:41" ht="12" customHeight="1" x14ac:dyDescent="0.2">
      <c r="AM13926" t="str">
        <f t="shared" si="217"/>
        <v>Sea Cliff [US7OL]</v>
      </c>
      <c r="AN13926" t="s">
        <v>31450</v>
      </c>
      <c r="AO13926" t="s">
        <v>31451</v>
      </c>
    </row>
    <row r="13927" spans="39:41" ht="12" customHeight="1" x14ac:dyDescent="0.2">
      <c r="AM13927" t="str">
        <f t="shared" si="217"/>
        <v>Seaford [GBSFR]</v>
      </c>
      <c r="AN13927" t="s">
        <v>14422</v>
      </c>
      <c r="AO13927" t="s">
        <v>14423</v>
      </c>
    </row>
    <row r="13928" spans="39:41" ht="12" customHeight="1" x14ac:dyDescent="0.2">
      <c r="AM13928" t="str">
        <f t="shared" si="217"/>
        <v>Seaforth [GBSEF]</v>
      </c>
      <c r="AN13928" t="s">
        <v>14424</v>
      </c>
      <c r="AO13928" t="s">
        <v>14425</v>
      </c>
    </row>
    <row r="13929" spans="39:41" ht="12" customHeight="1" x14ac:dyDescent="0.2">
      <c r="AM13929" t="str">
        <f t="shared" si="217"/>
        <v>Seaham [GBSEA]</v>
      </c>
      <c r="AN13929" t="s">
        <v>14426</v>
      </c>
      <c r="AO13929" t="s">
        <v>14427</v>
      </c>
    </row>
    <row r="13930" spans="39:41" ht="12" customHeight="1" x14ac:dyDescent="0.2">
      <c r="AM13930" t="str">
        <f t="shared" si="217"/>
        <v>Seahouses [GBSHU]</v>
      </c>
      <c r="AN13930" t="s">
        <v>14428</v>
      </c>
      <c r="AO13930" t="s">
        <v>14429</v>
      </c>
    </row>
    <row r="13931" spans="39:41" ht="12" customHeight="1" x14ac:dyDescent="0.2">
      <c r="AM13931" t="str">
        <f t="shared" si="217"/>
        <v>Seal Sands [GBXSS]</v>
      </c>
      <c r="AN13931" t="s">
        <v>14430</v>
      </c>
      <c r="AO13931" t="s">
        <v>14431</v>
      </c>
    </row>
    <row r="13932" spans="39:41" ht="12" customHeight="1" x14ac:dyDescent="0.2">
      <c r="AM13932" t="str">
        <f t="shared" ref="AM13932:AM13995" si="218">AO13932 &amp; " [" &amp; AN13932 &amp; "]"</f>
        <v>Searsport [USSRP]</v>
      </c>
      <c r="AN13932" t="s">
        <v>31452</v>
      </c>
      <c r="AO13932" t="s">
        <v>31453</v>
      </c>
    </row>
    <row r="13933" spans="39:41" ht="12" customHeight="1" x14ac:dyDescent="0.2">
      <c r="AM13933" t="str">
        <f t="shared" si="218"/>
        <v>Seaton [GBEON]</v>
      </c>
      <c r="AN13933" t="s">
        <v>14432</v>
      </c>
      <c r="AO13933" t="s">
        <v>14433</v>
      </c>
    </row>
    <row r="13934" spans="39:41" ht="12" customHeight="1" x14ac:dyDescent="0.2">
      <c r="AM13934" t="str">
        <f t="shared" si="218"/>
        <v>Seattle [USSEA]</v>
      </c>
      <c r="AN13934" t="s">
        <v>31454</v>
      </c>
      <c r="AO13934" t="s">
        <v>31455</v>
      </c>
    </row>
    <row r="13935" spans="39:41" ht="12" customHeight="1" x14ac:dyDescent="0.2">
      <c r="AM13935" t="str">
        <f t="shared" si="218"/>
        <v>Seaview [GBSVW]</v>
      </c>
      <c r="AN13935" t="s">
        <v>14434</v>
      </c>
      <c r="AO13935" t="s">
        <v>14435</v>
      </c>
    </row>
    <row r="13936" spans="39:41" ht="12" customHeight="1" x14ac:dyDescent="0.2">
      <c r="AM13936" t="str">
        <f t="shared" si="218"/>
        <v>Seaview [NZSEA]</v>
      </c>
      <c r="AN13936" t="s">
        <v>25108</v>
      </c>
      <c r="AO13936" t="s">
        <v>14435</v>
      </c>
    </row>
    <row r="13937" spans="39:41" ht="12" customHeight="1" x14ac:dyDescent="0.2">
      <c r="AM13937" t="str">
        <f t="shared" si="218"/>
        <v>Sebangan Bay, Kalimantan [IDSEB]</v>
      </c>
      <c r="AN13937" t="s">
        <v>16575</v>
      </c>
      <c r="AO13937" t="s">
        <v>16576</v>
      </c>
    </row>
    <row r="13938" spans="39:41" ht="12" customHeight="1" x14ac:dyDescent="0.2">
      <c r="AM13938" t="str">
        <f t="shared" si="218"/>
        <v>Sebree [USYSB]</v>
      </c>
      <c r="AN13938" t="s">
        <v>31456</v>
      </c>
      <c r="AO13938" t="s">
        <v>31457</v>
      </c>
    </row>
    <row r="13939" spans="39:41" ht="12" customHeight="1" x14ac:dyDescent="0.2">
      <c r="AM13939" t="str">
        <f t="shared" si="218"/>
        <v>Secovlje [SISEC]</v>
      </c>
      <c r="AN13939" t="s">
        <v>28018</v>
      </c>
      <c r="AO13939" t="s">
        <v>28019</v>
      </c>
    </row>
    <row r="13940" spans="39:41" ht="12" customHeight="1" x14ac:dyDescent="0.2">
      <c r="AM13940" t="str">
        <f t="shared" si="218"/>
        <v>Sedan [USSE4]</v>
      </c>
      <c r="AN13940" t="s">
        <v>31458</v>
      </c>
      <c r="AO13940" t="s">
        <v>31459</v>
      </c>
    </row>
    <row r="13941" spans="39:41" ht="12" customHeight="1" x14ac:dyDescent="0.2">
      <c r="AM13941" t="str">
        <f t="shared" si="218"/>
        <v>Sedgewick [CASED]</v>
      </c>
      <c r="AN13941" t="s">
        <v>4434</v>
      </c>
      <c r="AO13941" t="s">
        <v>4435</v>
      </c>
    </row>
    <row r="13942" spans="39:41" ht="12" customHeight="1" x14ac:dyDescent="0.2">
      <c r="AM13942" t="str">
        <f t="shared" si="218"/>
        <v>Sedlec [CZNKN]</v>
      </c>
      <c r="AN13942" t="s">
        <v>6931</v>
      </c>
      <c r="AO13942" t="s">
        <v>6932</v>
      </c>
    </row>
    <row r="13943" spans="39:41" ht="12" customHeight="1" x14ac:dyDescent="0.2">
      <c r="AM13943" t="str">
        <f t="shared" si="218"/>
        <v>Seelbach [DESXE]</v>
      </c>
      <c r="AN13943" t="s">
        <v>8275</v>
      </c>
      <c r="AO13943" t="s">
        <v>8276</v>
      </c>
    </row>
    <row r="13944" spans="39:41" ht="12" customHeight="1" x14ac:dyDescent="0.2">
      <c r="AM13944" t="str">
        <f t="shared" si="218"/>
        <v>Seeshaupt [DESE8]</v>
      </c>
      <c r="AN13944" t="s">
        <v>8277</v>
      </c>
      <c r="AO13944" t="s">
        <v>8278</v>
      </c>
    </row>
    <row r="13945" spans="39:41" ht="12" customHeight="1" x14ac:dyDescent="0.2">
      <c r="AM13945" t="str">
        <f t="shared" si="218"/>
        <v>Segamat [MYSGM]</v>
      </c>
      <c r="AN13945" t="s">
        <v>22731</v>
      </c>
      <c r="AO13945" t="s">
        <v>22732</v>
      </c>
    </row>
    <row r="13946" spans="39:41" ht="12" customHeight="1" x14ac:dyDescent="0.2">
      <c r="AM13946" t="str">
        <f t="shared" si="218"/>
        <v>Segawa [JPSGW]</v>
      </c>
      <c r="AN13946" t="s">
        <v>20689</v>
      </c>
      <c r="AO13946" t="s">
        <v>20690</v>
      </c>
    </row>
    <row r="13947" spans="39:41" ht="12" customHeight="1" x14ac:dyDescent="0.2">
      <c r="AM13947" t="str">
        <f t="shared" si="218"/>
        <v>Segezha [RUSEG]</v>
      </c>
      <c r="AN13947" t="s">
        <v>27222</v>
      </c>
      <c r="AO13947" t="s">
        <v>27223</v>
      </c>
    </row>
    <row r="13948" spans="39:41" ht="12" customHeight="1" x14ac:dyDescent="0.2">
      <c r="AM13948" t="str">
        <f t="shared" si="218"/>
        <v>Segnitz [DEKFT]</v>
      </c>
      <c r="AN13948" t="s">
        <v>8279</v>
      </c>
      <c r="AO13948" t="s">
        <v>8280</v>
      </c>
    </row>
    <row r="13949" spans="39:41" ht="12" customHeight="1" x14ac:dyDescent="0.2">
      <c r="AM13949" t="str">
        <f t="shared" si="218"/>
        <v>Segre [FREGR]</v>
      </c>
      <c r="AN13949" t="s">
        <v>12094</v>
      </c>
      <c r="AO13949" t="s">
        <v>35854</v>
      </c>
    </row>
    <row r="13950" spans="39:41" ht="12" customHeight="1" x14ac:dyDescent="0.2">
      <c r="AM13950" t="str">
        <f t="shared" si="218"/>
        <v>Seguret [FRIKR]</v>
      </c>
      <c r="AN13950" t="s">
        <v>12095</v>
      </c>
      <c r="AO13950" t="s">
        <v>12096</v>
      </c>
    </row>
    <row r="13951" spans="39:41" ht="12" customHeight="1" x14ac:dyDescent="0.2">
      <c r="AM13951" t="str">
        <f t="shared" si="218"/>
        <v>Sehestedt/Eider [DESEH]</v>
      </c>
      <c r="AN13951" t="s">
        <v>8281</v>
      </c>
      <c r="AO13951" t="s">
        <v>8282</v>
      </c>
    </row>
    <row r="13952" spans="39:41" ht="12" customHeight="1" x14ac:dyDescent="0.2">
      <c r="AM13952" t="str">
        <f t="shared" si="218"/>
        <v>Sehnde [DESNE]</v>
      </c>
      <c r="AN13952" t="s">
        <v>8283</v>
      </c>
      <c r="AO13952" t="s">
        <v>8284</v>
      </c>
    </row>
    <row r="13953" spans="39:41" ht="12" customHeight="1" x14ac:dyDescent="0.2">
      <c r="AM13953" t="str">
        <f t="shared" si="218"/>
        <v>Seibu [JPSEB]</v>
      </c>
      <c r="AN13953" t="s">
        <v>20691</v>
      </c>
      <c r="AO13953" t="s">
        <v>20692</v>
      </c>
    </row>
    <row r="13954" spans="39:41" ht="12" customHeight="1" x14ac:dyDescent="0.2">
      <c r="AM13954" t="str">
        <f t="shared" si="218"/>
        <v>Seifhennersdorf [DEYSF]</v>
      </c>
      <c r="AN13954" t="s">
        <v>8285</v>
      </c>
      <c r="AO13954" t="s">
        <v>8286</v>
      </c>
    </row>
    <row r="13955" spans="39:41" ht="12" customHeight="1" x14ac:dyDescent="0.2">
      <c r="AM13955" t="str">
        <f t="shared" si="218"/>
        <v>Seigaura [JPSEG]</v>
      </c>
      <c r="AN13955" t="s">
        <v>20693</v>
      </c>
      <c r="AO13955" t="s">
        <v>20694</v>
      </c>
    </row>
    <row r="13956" spans="39:41" ht="12" customHeight="1" x14ac:dyDescent="0.2">
      <c r="AM13956" t="str">
        <f t="shared" si="218"/>
        <v>Seilles [BESES]</v>
      </c>
      <c r="AN13956" t="s">
        <v>2937</v>
      </c>
      <c r="AO13956" t="s">
        <v>2938</v>
      </c>
    </row>
    <row r="13957" spans="39:41" ht="12" customHeight="1" x14ac:dyDescent="0.2">
      <c r="AM13957" t="str">
        <f t="shared" si="218"/>
        <v>Sejero [DKSEO]</v>
      </c>
      <c r="AN13957" t="s">
        <v>8875</v>
      </c>
      <c r="AO13957" t="s">
        <v>35579</v>
      </c>
    </row>
    <row r="13958" spans="39:41" ht="12" customHeight="1" x14ac:dyDescent="0.2">
      <c r="AM13958" t="str">
        <f t="shared" si="218"/>
        <v>Sejingkat, Sarawak [MYSEJ]</v>
      </c>
      <c r="AN13958" t="s">
        <v>22733</v>
      </c>
      <c r="AO13958" t="s">
        <v>22734</v>
      </c>
    </row>
    <row r="13959" spans="39:41" ht="12" customHeight="1" x14ac:dyDescent="0.2">
      <c r="AM13959" t="str">
        <f t="shared" si="218"/>
        <v>Sekinehama [JPSEK]</v>
      </c>
      <c r="AN13959" t="s">
        <v>20695</v>
      </c>
      <c r="AO13959" t="s">
        <v>20696</v>
      </c>
    </row>
    <row r="13960" spans="39:41" ht="12" customHeight="1" x14ac:dyDescent="0.2">
      <c r="AM13960" t="str">
        <f t="shared" si="218"/>
        <v>Sekiya [JPSKY]</v>
      </c>
      <c r="AN13960" t="s">
        <v>20697</v>
      </c>
      <c r="AO13960" t="s">
        <v>20698</v>
      </c>
    </row>
    <row r="13961" spans="39:41" ht="12" customHeight="1" x14ac:dyDescent="0.2">
      <c r="AM13961" t="str">
        <f t="shared" si="218"/>
        <v>Sekondi [GHSEK]</v>
      </c>
      <c r="AN13961" t="s">
        <v>14964</v>
      </c>
      <c r="AO13961" t="s">
        <v>14965</v>
      </c>
    </row>
    <row r="13962" spans="39:41" ht="12" customHeight="1" x14ac:dyDescent="0.2">
      <c r="AM13962" t="str">
        <f t="shared" si="218"/>
        <v>Sekupang [IDSKP]</v>
      </c>
      <c r="AN13962" t="s">
        <v>16577</v>
      </c>
      <c r="AO13962" t="s">
        <v>16578</v>
      </c>
    </row>
    <row r="13963" spans="39:41" ht="12" customHeight="1" x14ac:dyDescent="0.2">
      <c r="AM13963" t="str">
        <f t="shared" si="218"/>
        <v>Selaata [LBSEL]</v>
      </c>
      <c r="AN13963" t="s">
        <v>21801</v>
      </c>
      <c r="AO13963" t="s">
        <v>21802</v>
      </c>
    </row>
    <row r="13964" spans="39:41" ht="12" customHeight="1" x14ac:dyDescent="0.2">
      <c r="AM13964" t="str">
        <f t="shared" si="218"/>
        <v>Selalang, Sarawak [MYSEL]</v>
      </c>
      <c r="AN13964" t="s">
        <v>22735</v>
      </c>
      <c r="AO13964" t="s">
        <v>22736</v>
      </c>
    </row>
    <row r="13965" spans="39:41" ht="12" customHeight="1" x14ac:dyDescent="0.2">
      <c r="AM13965" t="str">
        <f t="shared" si="218"/>
        <v>Selat Pandjang, Sumatra [IDSPA]</v>
      </c>
      <c r="AN13965" t="s">
        <v>16579</v>
      </c>
      <c r="AO13965" t="s">
        <v>16580</v>
      </c>
    </row>
    <row r="13966" spans="39:41" ht="12" customHeight="1" x14ac:dyDescent="0.2">
      <c r="AM13966" t="str">
        <f t="shared" si="218"/>
        <v>Selby [GBSLB]</v>
      </c>
      <c r="AN13966" t="s">
        <v>14436</v>
      </c>
      <c r="AO13966" t="s">
        <v>14437</v>
      </c>
    </row>
    <row r="13967" spans="39:41" ht="12" customHeight="1" x14ac:dyDescent="0.2">
      <c r="AM13967" t="str">
        <f t="shared" si="218"/>
        <v>Selby [AU5CI]</v>
      </c>
      <c r="AN13967" t="s">
        <v>34169</v>
      </c>
      <c r="AO13967" t="s">
        <v>14437</v>
      </c>
    </row>
    <row r="13968" spans="39:41" ht="12" customHeight="1" x14ac:dyDescent="0.2">
      <c r="AM13968" t="str">
        <f t="shared" si="218"/>
        <v>Selca [SIS8L]</v>
      </c>
      <c r="AN13968" t="s">
        <v>28020</v>
      </c>
      <c r="AO13968" t="s">
        <v>28021</v>
      </c>
    </row>
    <row r="13969" spans="39:41" ht="12" customHeight="1" x14ac:dyDescent="0.2">
      <c r="AM13969" t="str">
        <f t="shared" si="218"/>
        <v>Selce [HRSLC]</v>
      </c>
      <c r="AN13969" t="s">
        <v>15909</v>
      </c>
      <c r="AO13969" t="s">
        <v>15910</v>
      </c>
    </row>
    <row r="13970" spans="39:41" ht="12" customHeight="1" x14ac:dyDescent="0.2">
      <c r="AM13970" t="str">
        <f t="shared" si="218"/>
        <v>Seldom [CASEM]</v>
      </c>
      <c r="AN13970" t="s">
        <v>4436</v>
      </c>
      <c r="AO13970" t="s">
        <v>4437</v>
      </c>
    </row>
    <row r="13971" spans="39:41" ht="12" customHeight="1" x14ac:dyDescent="0.2">
      <c r="AM13971" t="str">
        <f t="shared" si="218"/>
        <v>Seletar [SGSLT]</v>
      </c>
      <c r="AN13971" t="s">
        <v>27975</v>
      </c>
      <c r="AO13971" t="s">
        <v>27976</v>
      </c>
    </row>
    <row r="13972" spans="39:41" ht="12" customHeight="1" x14ac:dyDescent="0.2">
      <c r="AM13972" t="str">
        <f t="shared" si="218"/>
        <v>Selje [NOSJE]</v>
      </c>
      <c r="AN13972" t="s">
        <v>24708</v>
      </c>
      <c r="AO13972" t="s">
        <v>24709</v>
      </c>
    </row>
    <row r="13973" spans="39:41" ht="12" customHeight="1" x14ac:dyDescent="0.2">
      <c r="AM13973" t="str">
        <f t="shared" si="218"/>
        <v>Seljeli [NOSEJ]</v>
      </c>
      <c r="AN13973" t="s">
        <v>24710</v>
      </c>
      <c r="AO13973" t="s">
        <v>24711</v>
      </c>
    </row>
    <row r="13974" spans="39:41" ht="12" customHeight="1" x14ac:dyDescent="0.2">
      <c r="AM13974" t="str">
        <f t="shared" si="218"/>
        <v>Selkirk [CASEL]</v>
      </c>
      <c r="AN13974" t="s">
        <v>4438</v>
      </c>
      <c r="AO13974" t="s">
        <v>4439</v>
      </c>
    </row>
    <row r="13975" spans="39:41" ht="12" customHeight="1" x14ac:dyDescent="0.2">
      <c r="AM13975" t="str">
        <f t="shared" si="218"/>
        <v>Sellebakk [NOSEK]</v>
      </c>
      <c r="AN13975" t="s">
        <v>37104</v>
      </c>
      <c r="AO13975" t="s">
        <v>37105</v>
      </c>
    </row>
    <row r="13976" spans="39:41" ht="12" customHeight="1" x14ac:dyDescent="0.2">
      <c r="AM13976" t="str">
        <f t="shared" si="218"/>
        <v>Sellicks Hill [AUSSH]</v>
      </c>
      <c r="AN13976" t="s">
        <v>2012</v>
      </c>
      <c r="AO13976" t="s">
        <v>2013</v>
      </c>
    </row>
    <row r="13977" spans="39:41" ht="12" customHeight="1" x14ac:dyDescent="0.2">
      <c r="AM13977" t="str">
        <f t="shared" si="218"/>
        <v>Selma [USOSM]</v>
      </c>
      <c r="AN13977" t="s">
        <v>31460</v>
      </c>
      <c r="AO13977" t="s">
        <v>31461</v>
      </c>
    </row>
    <row r="13978" spans="39:41" ht="12" customHeight="1" x14ac:dyDescent="0.2">
      <c r="AM13978" t="str">
        <f t="shared" si="218"/>
        <v>Selsey [GBSSY]</v>
      </c>
      <c r="AN13978" t="s">
        <v>14438</v>
      </c>
      <c r="AO13978" t="s">
        <v>14439</v>
      </c>
    </row>
    <row r="13979" spans="39:41" ht="12" customHeight="1" x14ac:dyDescent="0.2">
      <c r="AM13979" t="str">
        <f t="shared" si="218"/>
        <v>Selva [NOSEV]</v>
      </c>
      <c r="AN13979" t="s">
        <v>24712</v>
      </c>
      <c r="AO13979" t="s">
        <v>24713</v>
      </c>
    </row>
    <row r="13980" spans="39:41" ht="12" customHeight="1" x14ac:dyDescent="0.2">
      <c r="AM13980" t="str">
        <f t="shared" si="218"/>
        <v>Semangka Bay, St [IDSMB]</v>
      </c>
      <c r="AN13980" t="s">
        <v>16581</v>
      </c>
      <c r="AO13980" t="s">
        <v>16582</v>
      </c>
    </row>
    <row r="13981" spans="39:41" ht="12" customHeight="1" x14ac:dyDescent="0.2">
      <c r="AM13981" t="str">
        <f t="shared" si="218"/>
        <v>Semarang [IDSRG]</v>
      </c>
      <c r="AN13981" t="s">
        <v>16583</v>
      </c>
      <c r="AO13981" t="s">
        <v>16584</v>
      </c>
    </row>
    <row r="13982" spans="39:41" ht="12" customHeight="1" x14ac:dyDescent="0.2">
      <c r="AM13982" t="str">
        <f t="shared" si="218"/>
        <v>Sematan, Sarawak [MYBSE]</v>
      </c>
      <c r="AN13982" t="s">
        <v>22737</v>
      </c>
      <c r="AO13982" t="s">
        <v>22738</v>
      </c>
    </row>
    <row r="13983" spans="39:41" ht="12" customHeight="1" x14ac:dyDescent="0.2">
      <c r="AM13983" t="str">
        <f t="shared" si="218"/>
        <v>Sembawang Port [SGSEM]</v>
      </c>
      <c r="AN13983" t="s">
        <v>27977</v>
      </c>
      <c r="AO13983" t="s">
        <v>27978</v>
      </c>
    </row>
    <row r="13984" spans="39:41" ht="12" customHeight="1" x14ac:dyDescent="0.2">
      <c r="AM13984" t="str">
        <f t="shared" si="218"/>
        <v>Semcice [CZSEM]</v>
      </c>
      <c r="AN13984" t="s">
        <v>6933</v>
      </c>
      <c r="AO13984" t="s">
        <v>6934</v>
      </c>
    </row>
    <row r="13985" spans="39:41" ht="12" customHeight="1" x14ac:dyDescent="0.2">
      <c r="AM13985" t="str">
        <f t="shared" si="218"/>
        <v>Seme Terminal [BJSEM]</v>
      </c>
      <c r="AN13985" t="s">
        <v>3193</v>
      </c>
      <c r="AO13985" t="s">
        <v>3194</v>
      </c>
    </row>
    <row r="13986" spans="39:41" ht="12" customHeight="1" x14ac:dyDescent="0.2">
      <c r="AM13986" t="str">
        <f t="shared" si="218"/>
        <v>Semirara [PHSMR]</v>
      </c>
      <c r="AN13986" t="s">
        <v>26142</v>
      </c>
      <c r="AO13986" t="s">
        <v>26143</v>
      </c>
    </row>
    <row r="13987" spans="39:41" ht="12" customHeight="1" x14ac:dyDescent="0.2">
      <c r="AM13987" t="str">
        <f t="shared" si="218"/>
        <v>Semporna, Sabah [MYSMM]</v>
      </c>
      <c r="AN13987" t="s">
        <v>22739</v>
      </c>
      <c r="AO13987" t="s">
        <v>22740</v>
      </c>
    </row>
    <row r="13988" spans="39:41" ht="12" customHeight="1" x14ac:dyDescent="0.2">
      <c r="AM13988" t="str">
        <f t="shared" si="218"/>
        <v>Sena [ESSEW]</v>
      </c>
      <c r="AN13988" t="s">
        <v>10209</v>
      </c>
      <c r="AO13988" t="s">
        <v>35704</v>
      </c>
    </row>
    <row r="13989" spans="39:41" ht="12" customHeight="1" x14ac:dyDescent="0.2">
      <c r="AM13989" t="str">
        <f t="shared" si="218"/>
        <v>Senari - Sarawak [MYSNR]</v>
      </c>
      <c r="AN13989" t="s">
        <v>22741</v>
      </c>
      <c r="AO13989" t="s">
        <v>22742</v>
      </c>
    </row>
    <row r="13990" spans="39:41" ht="12" customHeight="1" x14ac:dyDescent="0.2">
      <c r="AM13990" t="str">
        <f t="shared" si="218"/>
        <v>Sendai, Miyagi [JPSDJ]</v>
      </c>
      <c r="AN13990" t="s">
        <v>20699</v>
      </c>
      <c r="AO13990" t="s">
        <v>20700</v>
      </c>
    </row>
    <row r="13991" spans="39:41" ht="12" customHeight="1" x14ac:dyDescent="0.2">
      <c r="AM13991" t="str">
        <f t="shared" si="218"/>
        <v>Sendaishinko [JPSDS]</v>
      </c>
      <c r="AN13991" t="s">
        <v>20701</v>
      </c>
      <c r="AO13991" t="s">
        <v>20702</v>
      </c>
    </row>
    <row r="13992" spans="39:41" ht="12" customHeight="1" x14ac:dyDescent="0.2">
      <c r="AM13992" t="str">
        <f t="shared" si="218"/>
        <v>Sendaishiogama [JPSGM]</v>
      </c>
      <c r="AN13992" t="s">
        <v>20703</v>
      </c>
      <c r="AO13992" t="s">
        <v>20704</v>
      </c>
    </row>
    <row r="13993" spans="39:41" ht="12" customHeight="1" x14ac:dyDescent="0.2">
      <c r="AM13993" t="str">
        <f t="shared" si="218"/>
        <v>Senden [DEDEE]</v>
      </c>
      <c r="AN13993" t="s">
        <v>8287</v>
      </c>
      <c r="AO13993" t="s">
        <v>8288</v>
      </c>
    </row>
    <row r="13994" spans="39:41" ht="12" customHeight="1" x14ac:dyDescent="0.2">
      <c r="AM13994" t="str">
        <f t="shared" si="218"/>
        <v>Sene [FRM56]</v>
      </c>
      <c r="AN13994" t="s">
        <v>12097</v>
      </c>
      <c r="AO13994" t="s">
        <v>35855</v>
      </c>
    </row>
    <row r="13995" spans="39:41" ht="12" customHeight="1" x14ac:dyDescent="0.2">
      <c r="AM13995" t="str">
        <f t="shared" si="218"/>
        <v>Seneffe [BESEN]</v>
      </c>
      <c r="AN13995" t="s">
        <v>2939</v>
      </c>
      <c r="AO13995" t="s">
        <v>2940</v>
      </c>
    </row>
    <row r="13996" spans="39:41" ht="12" customHeight="1" x14ac:dyDescent="0.2">
      <c r="AM13996" t="str">
        <f t="shared" ref="AM13996:AM14059" si="219">AO13996 &amp; " [" &amp; AN13996 &amp; "]"</f>
        <v>Senftenberg [ATSFT]</v>
      </c>
      <c r="AN13996" t="s">
        <v>1339</v>
      </c>
      <c r="AO13996" t="s">
        <v>1340</v>
      </c>
    </row>
    <row r="13997" spans="39:41" ht="12" customHeight="1" x14ac:dyDescent="0.2">
      <c r="AM13997" t="str">
        <f t="shared" si="219"/>
        <v>Senheim [DEEHM]</v>
      </c>
      <c r="AN13997" t="s">
        <v>8289</v>
      </c>
      <c r="AO13997" t="s">
        <v>8290</v>
      </c>
    </row>
    <row r="13998" spans="39:41" ht="12" customHeight="1" x14ac:dyDescent="0.2">
      <c r="AM13998" t="str">
        <f t="shared" si="219"/>
        <v>Senhora da Hora [PTSHA]</v>
      </c>
      <c r="AN13998" t="s">
        <v>26606</v>
      </c>
      <c r="AO13998" t="s">
        <v>26607</v>
      </c>
    </row>
    <row r="13999" spans="39:41" ht="12" customHeight="1" x14ac:dyDescent="0.2">
      <c r="AM13999" t="str">
        <f t="shared" si="219"/>
        <v>Senigallia [ITSEG]</v>
      </c>
      <c r="AN13999" t="s">
        <v>18324</v>
      </c>
      <c r="AO13999" t="s">
        <v>18325</v>
      </c>
    </row>
    <row r="14000" spans="39:41" ht="12" customHeight="1" x14ac:dyDescent="0.2">
      <c r="AM14000" t="str">
        <f t="shared" si="219"/>
        <v>Senipah [IDSZH]</v>
      </c>
      <c r="AN14000" t="s">
        <v>16585</v>
      </c>
      <c r="AO14000" t="s">
        <v>16586</v>
      </c>
    </row>
    <row r="14001" spans="39:41" ht="12" customHeight="1" x14ac:dyDescent="0.2">
      <c r="AM14001" t="str">
        <f t="shared" si="219"/>
        <v>Senipah Terminal [IDSPH]</v>
      </c>
      <c r="AN14001" t="s">
        <v>16587</v>
      </c>
      <c r="AO14001" t="s">
        <v>16588</v>
      </c>
    </row>
    <row r="14002" spans="39:41" ht="12" customHeight="1" x14ac:dyDescent="0.2">
      <c r="AM14002" t="str">
        <f t="shared" si="219"/>
        <v>Senj [HRSEN]</v>
      </c>
      <c r="AN14002" t="s">
        <v>15911</v>
      </c>
      <c r="AO14002" t="s">
        <v>15912</v>
      </c>
    </row>
    <row r="14003" spans="39:41" ht="12" customHeight="1" x14ac:dyDescent="0.2">
      <c r="AM14003" t="str">
        <f t="shared" si="219"/>
        <v>Senjahopen [NOSJH]</v>
      </c>
      <c r="AN14003" t="s">
        <v>24714</v>
      </c>
      <c r="AO14003" t="s">
        <v>24715</v>
      </c>
    </row>
    <row r="14004" spans="39:41" ht="12" customHeight="1" x14ac:dyDescent="0.2">
      <c r="AM14004" t="str">
        <f t="shared" si="219"/>
        <v>Sennen Cove [GBSNC]</v>
      </c>
      <c r="AN14004" t="s">
        <v>14440</v>
      </c>
      <c r="AO14004" t="s">
        <v>14441</v>
      </c>
    </row>
    <row r="14005" spans="39:41" ht="12" customHeight="1" x14ac:dyDescent="0.2">
      <c r="AM14005" t="str">
        <f t="shared" si="219"/>
        <v>Sensyu [JPSSU]</v>
      </c>
      <c r="AN14005" t="s">
        <v>20705</v>
      </c>
      <c r="AO14005" t="s">
        <v>20706</v>
      </c>
    </row>
    <row r="14006" spans="39:41" ht="12" customHeight="1" x14ac:dyDescent="0.2">
      <c r="AM14006" t="str">
        <f t="shared" si="219"/>
        <v>Sento Se [BRSTS]</v>
      </c>
      <c r="AN14006" t="s">
        <v>3401</v>
      </c>
      <c r="AO14006" t="s">
        <v>35312</v>
      </c>
    </row>
    <row r="14007" spans="39:41" ht="12" customHeight="1" x14ac:dyDescent="0.2">
      <c r="AM14007" t="str">
        <f t="shared" si="219"/>
        <v>Senzaki [JPSZK]</v>
      </c>
      <c r="AN14007" t="s">
        <v>20707</v>
      </c>
      <c r="AO14007" t="s">
        <v>20708</v>
      </c>
    </row>
    <row r="14008" spans="39:41" ht="12" customHeight="1" x14ac:dyDescent="0.2">
      <c r="AM14008" t="str">
        <f t="shared" si="219"/>
        <v>Seogwipo [KRSPO]</v>
      </c>
      <c r="AN14008" t="s">
        <v>21714</v>
      </c>
      <c r="AO14008" t="s">
        <v>21715</v>
      </c>
    </row>
    <row r="14009" spans="39:41" ht="12" customHeight="1" x14ac:dyDescent="0.2">
      <c r="AM14009" t="str">
        <f t="shared" si="219"/>
        <v>Seongsan-po [KRSSP]</v>
      </c>
      <c r="AN14009" t="s">
        <v>21716</v>
      </c>
      <c r="AO14009" t="s">
        <v>21717</v>
      </c>
    </row>
    <row r="14010" spans="39:41" ht="12" customHeight="1" x14ac:dyDescent="0.2">
      <c r="AM14010" t="str">
        <f t="shared" si="219"/>
        <v>Seoul [KRSEL]</v>
      </c>
      <c r="AN14010" t="s">
        <v>21718</v>
      </c>
      <c r="AO14010" t="s">
        <v>21719</v>
      </c>
    </row>
    <row r="14011" spans="39:41" ht="12" customHeight="1" x14ac:dyDescent="0.2">
      <c r="AM14011" t="str">
        <f t="shared" si="219"/>
        <v>Sepang, Selangor [MYSEP]</v>
      </c>
      <c r="AN14011" t="s">
        <v>22743</v>
      </c>
      <c r="AO14011" t="s">
        <v>22744</v>
      </c>
    </row>
    <row r="14012" spans="39:41" ht="12" customHeight="1" x14ac:dyDescent="0.2">
      <c r="AM14012" t="str">
        <f t="shared" si="219"/>
        <v>Sepanjang Terminal [IDSEP]</v>
      </c>
      <c r="AN14012" t="s">
        <v>16589</v>
      </c>
      <c r="AO14012" t="s">
        <v>16590</v>
      </c>
    </row>
    <row r="14013" spans="39:41" ht="12" customHeight="1" x14ac:dyDescent="0.2">
      <c r="AM14013" t="str">
        <f t="shared" si="219"/>
        <v>Sept-Iles [CASEI]</v>
      </c>
      <c r="AN14013" t="s">
        <v>4440</v>
      </c>
      <c r="AO14013" t="s">
        <v>4441</v>
      </c>
    </row>
    <row r="14014" spans="39:41" ht="12" customHeight="1" x14ac:dyDescent="0.2">
      <c r="AM14014" t="str">
        <f t="shared" si="219"/>
        <v>Seqi Olivine Mine [GLSEQ]</v>
      </c>
      <c r="AN14014" t="s">
        <v>15023</v>
      </c>
      <c r="AO14014" t="s">
        <v>15024</v>
      </c>
    </row>
    <row r="14015" spans="39:41" ht="12" customHeight="1" x14ac:dyDescent="0.2">
      <c r="AM14015" t="str">
        <f t="shared" si="219"/>
        <v>Seraing [BEZER]</v>
      </c>
      <c r="AN14015" t="s">
        <v>2941</v>
      </c>
      <c r="AO14015" t="s">
        <v>2942</v>
      </c>
    </row>
    <row r="14016" spans="39:41" ht="12" customHeight="1" x14ac:dyDescent="0.2">
      <c r="AM14016" t="str">
        <f t="shared" si="219"/>
        <v>Sercus [FRS8C]</v>
      </c>
      <c r="AN14016" t="s">
        <v>12098</v>
      </c>
      <c r="AO14016" t="s">
        <v>12099</v>
      </c>
    </row>
    <row r="14017" spans="39:41" ht="12" customHeight="1" x14ac:dyDescent="0.2">
      <c r="AM14017" t="str">
        <f t="shared" si="219"/>
        <v>Seria [BNSER]</v>
      </c>
      <c r="AN14017" t="s">
        <v>3218</v>
      </c>
      <c r="AO14017" t="s">
        <v>3219</v>
      </c>
    </row>
    <row r="14018" spans="39:41" ht="12" customHeight="1" x14ac:dyDescent="0.2">
      <c r="AM14018" t="str">
        <f t="shared" si="219"/>
        <v>Serifos [GRZAQ]</v>
      </c>
      <c r="AN14018" t="s">
        <v>15508</v>
      </c>
      <c r="AO14018" t="s">
        <v>35975</v>
      </c>
    </row>
    <row r="14019" spans="39:41" ht="12" customHeight="1" x14ac:dyDescent="0.2">
      <c r="AM14019" t="str">
        <f t="shared" si="219"/>
        <v>Seriphos [GRSER]</v>
      </c>
      <c r="AN14019" t="s">
        <v>15509</v>
      </c>
      <c r="AO14019" t="s">
        <v>35976</v>
      </c>
    </row>
    <row r="14020" spans="39:41" ht="12" customHeight="1" x14ac:dyDescent="0.2">
      <c r="AM14020" t="str">
        <f t="shared" si="219"/>
        <v>Serpentina Terminal [GQSER]</v>
      </c>
      <c r="AN14020" t="s">
        <v>15075</v>
      </c>
      <c r="AO14020" t="s">
        <v>15076</v>
      </c>
    </row>
    <row r="14021" spans="39:41" ht="12" customHeight="1" x14ac:dyDescent="0.2">
      <c r="AM14021" t="str">
        <f t="shared" si="219"/>
        <v>Serra [ESSER]</v>
      </c>
      <c r="AN14021" t="s">
        <v>10210</v>
      </c>
      <c r="AO14021" t="s">
        <v>10211</v>
      </c>
    </row>
    <row r="14022" spans="39:41" ht="12" customHeight="1" x14ac:dyDescent="0.2">
      <c r="AM14022" t="str">
        <f t="shared" si="219"/>
        <v>Serrig [DESRA]</v>
      </c>
      <c r="AN14022" t="s">
        <v>8291</v>
      </c>
      <c r="AO14022" t="s">
        <v>8292</v>
      </c>
    </row>
    <row r="14023" spans="39:41" ht="12" customHeight="1" x14ac:dyDescent="0.2">
      <c r="AM14023" t="str">
        <f t="shared" si="219"/>
        <v>Serviburun [TRSER]</v>
      </c>
      <c r="AN14023" t="s">
        <v>28582</v>
      </c>
      <c r="AO14023" t="s">
        <v>28583</v>
      </c>
    </row>
    <row r="14024" spans="39:41" ht="12" customHeight="1" x14ac:dyDescent="0.2">
      <c r="AM14024" t="str">
        <f t="shared" si="219"/>
        <v>Sesimbra [PTSSB]</v>
      </c>
      <c r="AN14024" t="s">
        <v>26608</v>
      </c>
      <c r="AO14024" t="s">
        <v>26609</v>
      </c>
    </row>
    <row r="14025" spans="39:41" ht="12" customHeight="1" x14ac:dyDescent="0.2">
      <c r="AM14025" t="str">
        <f t="shared" si="219"/>
        <v>Seskaro [SESES]</v>
      </c>
      <c r="AN14025" t="s">
        <v>27832</v>
      </c>
      <c r="AO14025" t="s">
        <v>36514</v>
      </c>
    </row>
    <row r="14026" spans="39:41" ht="12" customHeight="1" x14ac:dyDescent="0.2">
      <c r="AM14026" t="str">
        <f t="shared" si="219"/>
        <v>Sesoko [JPSES]</v>
      </c>
      <c r="AN14026" t="s">
        <v>20709</v>
      </c>
      <c r="AO14026" t="s">
        <v>20710</v>
      </c>
    </row>
    <row r="14027" spans="39:41" ht="12" customHeight="1" x14ac:dyDescent="0.2">
      <c r="AM14027" t="str">
        <f t="shared" si="219"/>
        <v>Sesslach [DESQJ]</v>
      </c>
      <c r="AN14027" t="s">
        <v>8293</v>
      </c>
      <c r="AO14027" t="s">
        <v>8294</v>
      </c>
    </row>
    <row r="14028" spans="39:41" ht="12" customHeight="1" x14ac:dyDescent="0.2">
      <c r="AM14028" t="str">
        <f t="shared" si="219"/>
        <v>Sestao/Bilbao [ESSST]</v>
      </c>
      <c r="AN14028" t="s">
        <v>36924</v>
      </c>
      <c r="AO14028" t="s">
        <v>36925</v>
      </c>
    </row>
    <row r="14029" spans="39:41" ht="12" customHeight="1" x14ac:dyDescent="0.2">
      <c r="AM14029" t="str">
        <f t="shared" si="219"/>
        <v>Sestri Levante [ITNTE]</v>
      </c>
      <c r="AN14029" t="s">
        <v>18326</v>
      </c>
      <c r="AO14029" t="s">
        <v>18327</v>
      </c>
    </row>
    <row r="14030" spans="39:41" ht="12" customHeight="1" x14ac:dyDescent="0.2">
      <c r="AM14030" t="str">
        <f t="shared" si="219"/>
        <v>Sestroretsk [RUSZZ]</v>
      </c>
      <c r="AN14030" t="s">
        <v>27224</v>
      </c>
      <c r="AO14030" t="s">
        <v>27225</v>
      </c>
    </row>
    <row r="14031" spans="39:41" ht="12" customHeight="1" x14ac:dyDescent="0.2">
      <c r="AM14031" t="str">
        <f t="shared" si="219"/>
        <v>Setagin [IDSTN]</v>
      </c>
      <c r="AN14031" t="s">
        <v>16591</v>
      </c>
      <c r="AO14031" t="s">
        <v>16592</v>
      </c>
    </row>
    <row r="14032" spans="39:41" ht="12" customHeight="1" x14ac:dyDescent="0.2">
      <c r="AM14032" t="str">
        <f t="shared" si="219"/>
        <v>Setana [JPSTN]</v>
      </c>
      <c r="AN14032" t="s">
        <v>20711</v>
      </c>
      <c r="AO14032" t="s">
        <v>20712</v>
      </c>
    </row>
    <row r="14033" spans="39:41" ht="12" customHeight="1" x14ac:dyDescent="0.2">
      <c r="AM14033" t="str">
        <f t="shared" si="219"/>
        <v>Sete [FRSET]</v>
      </c>
      <c r="AN14033" t="s">
        <v>12100</v>
      </c>
      <c r="AO14033" t="s">
        <v>35856</v>
      </c>
    </row>
    <row r="14034" spans="39:41" ht="12" customHeight="1" x14ac:dyDescent="0.2">
      <c r="AM14034" t="str">
        <f t="shared" si="219"/>
        <v>Seto [JPSET]</v>
      </c>
      <c r="AN14034" t="s">
        <v>20713</v>
      </c>
      <c r="AO14034" t="s">
        <v>20714</v>
      </c>
    </row>
    <row r="14035" spans="39:41" ht="12" customHeight="1" x14ac:dyDescent="0.2">
      <c r="AM14035" t="str">
        <f t="shared" si="219"/>
        <v>Seto, Kagawa [JPSXT]</v>
      </c>
      <c r="AN14035" t="s">
        <v>20715</v>
      </c>
      <c r="AO14035" t="s">
        <v>20716</v>
      </c>
    </row>
    <row r="14036" spans="39:41" ht="12" customHeight="1" x14ac:dyDescent="0.2">
      <c r="AM14036" t="str">
        <f t="shared" si="219"/>
        <v>Seto, Kagoshima [JPSTT]</v>
      </c>
      <c r="AN14036" t="s">
        <v>20717</v>
      </c>
      <c r="AO14036" t="s">
        <v>20718</v>
      </c>
    </row>
    <row r="14037" spans="39:41" ht="12" customHeight="1" x14ac:dyDescent="0.2">
      <c r="AM14037" t="str">
        <f t="shared" si="219"/>
        <v>Setoda [JPSTD]</v>
      </c>
      <c r="AN14037" t="s">
        <v>20719</v>
      </c>
      <c r="AO14037" t="s">
        <v>20720</v>
      </c>
    </row>
    <row r="14038" spans="39:41" ht="12" customHeight="1" x14ac:dyDescent="0.2">
      <c r="AM14038" t="str">
        <f t="shared" si="219"/>
        <v>Setubal [PTSET]</v>
      </c>
      <c r="AN14038" t="s">
        <v>26610</v>
      </c>
      <c r="AO14038" t="s">
        <v>36397</v>
      </c>
    </row>
    <row r="14039" spans="39:41" ht="12" customHeight="1" x14ac:dyDescent="0.2">
      <c r="AM14039" t="str">
        <f t="shared" si="219"/>
        <v>Seurre [FRSUP]</v>
      </c>
      <c r="AN14039" t="s">
        <v>12101</v>
      </c>
      <c r="AO14039" t="s">
        <v>12102</v>
      </c>
    </row>
    <row r="14040" spans="39:41" ht="12" customHeight="1" x14ac:dyDescent="0.2">
      <c r="AM14040" t="str">
        <f t="shared" si="219"/>
        <v>Seven Islands Bay [CASEB]</v>
      </c>
      <c r="AN14040" t="s">
        <v>4442</v>
      </c>
      <c r="AO14040" t="s">
        <v>4443</v>
      </c>
    </row>
    <row r="14041" spans="39:41" ht="12" customHeight="1" x14ac:dyDescent="0.2">
      <c r="AM14041" t="str">
        <f t="shared" si="219"/>
        <v>Seventeen Mile Rocks/Brisbane [AUSMR]</v>
      </c>
      <c r="AN14041" t="s">
        <v>2014</v>
      </c>
      <c r="AO14041" t="s">
        <v>2015</v>
      </c>
    </row>
    <row r="14042" spans="39:41" ht="12" customHeight="1" x14ac:dyDescent="0.2">
      <c r="AM14042" t="str">
        <f t="shared" si="219"/>
        <v>Severodvinsk [RUSEW]</v>
      </c>
      <c r="AN14042" t="s">
        <v>27226</v>
      </c>
      <c r="AO14042" t="s">
        <v>27227</v>
      </c>
    </row>
    <row r="14043" spans="39:41" ht="12" customHeight="1" x14ac:dyDescent="0.2">
      <c r="AM14043" t="str">
        <f t="shared" si="219"/>
        <v>Severo-Kurilsk [RUSVK]</v>
      </c>
      <c r="AN14043" t="s">
        <v>27228</v>
      </c>
      <c r="AO14043" t="s">
        <v>27229</v>
      </c>
    </row>
    <row r="14044" spans="39:41" ht="12" customHeight="1" x14ac:dyDescent="0.2">
      <c r="AM14044" t="str">
        <f t="shared" si="219"/>
        <v>Severomorsk [RUSRM]</v>
      </c>
      <c r="AN14044" t="s">
        <v>27230</v>
      </c>
      <c r="AO14044" t="s">
        <v>27231</v>
      </c>
    </row>
    <row r="14045" spans="39:41" ht="12" customHeight="1" x14ac:dyDescent="0.2">
      <c r="AM14045" t="str">
        <f t="shared" si="219"/>
        <v>Sevilla [ESSVQ]</v>
      </c>
      <c r="AN14045" t="s">
        <v>10212</v>
      </c>
      <c r="AO14045" t="s">
        <v>10213</v>
      </c>
    </row>
    <row r="14046" spans="39:41" ht="12" customHeight="1" x14ac:dyDescent="0.2">
      <c r="AM14046" t="str">
        <f t="shared" si="219"/>
        <v>Sevington [GBSVI]</v>
      </c>
      <c r="AN14046" t="s">
        <v>14442</v>
      </c>
      <c r="AO14046" t="s">
        <v>14443</v>
      </c>
    </row>
    <row r="14047" spans="39:41" ht="12" customHeight="1" x14ac:dyDescent="0.2">
      <c r="AM14047" t="str">
        <f t="shared" si="219"/>
        <v>Seybaplaya [MXSEY]</v>
      </c>
      <c r="AN14047" t="s">
        <v>35023</v>
      </c>
      <c r="AO14047" t="s">
        <v>35024</v>
      </c>
    </row>
    <row r="14048" spans="39:41" ht="12" customHeight="1" x14ac:dyDescent="0.2">
      <c r="AM14048" t="str">
        <f t="shared" si="219"/>
        <v>Seydisfjordur [ISSEY]</v>
      </c>
      <c r="AN14048" t="s">
        <v>17759</v>
      </c>
      <c r="AO14048" t="s">
        <v>36065</v>
      </c>
    </row>
    <row r="14049" spans="39:41" ht="12" customHeight="1" x14ac:dyDescent="0.2">
      <c r="AM14049" t="str">
        <f t="shared" si="219"/>
        <v>Seymour [ECSYM]</v>
      </c>
      <c r="AN14049" t="s">
        <v>9124</v>
      </c>
      <c r="AO14049" t="s">
        <v>9125</v>
      </c>
    </row>
    <row r="14050" spans="39:41" ht="12" customHeight="1" x14ac:dyDescent="0.2">
      <c r="AM14050" t="str">
        <f t="shared" si="219"/>
        <v>Seyssuel [FRYSU]</v>
      </c>
      <c r="AN14050" t="s">
        <v>12103</v>
      </c>
      <c r="AO14050" t="s">
        <v>12104</v>
      </c>
    </row>
    <row r="14051" spans="39:41" ht="12" customHeight="1" x14ac:dyDescent="0.2">
      <c r="AM14051" t="str">
        <f t="shared" si="219"/>
        <v>Sezaki [JPSEZ]</v>
      </c>
      <c r="AN14051" t="s">
        <v>20721</v>
      </c>
      <c r="AO14051" t="s">
        <v>20722</v>
      </c>
    </row>
    <row r="14052" spans="39:41" ht="12" customHeight="1" x14ac:dyDescent="0.2">
      <c r="AM14052" t="str">
        <f t="shared" si="219"/>
        <v>Sezela [ZAZE4]</v>
      </c>
      <c r="AN14052" t="s">
        <v>32737</v>
      </c>
      <c r="AO14052" t="s">
        <v>32738</v>
      </c>
    </row>
    <row r="14053" spans="39:41" ht="12" customHeight="1" x14ac:dyDescent="0.2">
      <c r="AM14053" t="str">
        <f t="shared" si="219"/>
        <v>Sfax [TNSFA]</v>
      </c>
      <c r="AN14053" t="s">
        <v>28363</v>
      </c>
      <c r="AO14053" t="s">
        <v>28364</v>
      </c>
    </row>
    <row r="14054" spans="39:41" ht="12" customHeight="1" x14ac:dyDescent="0.2">
      <c r="AM14054" t="str">
        <f t="shared" si="219"/>
        <v>Sferracavallo [ITRRV]</v>
      </c>
      <c r="AN14054" t="s">
        <v>18328</v>
      </c>
      <c r="AO14054" t="s">
        <v>18329</v>
      </c>
    </row>
    <row r="14055" spans="39:41" ht="12" customHeight="1" x14ac:dyDescent="0.2">
      <c r="AM14055" t="str">
        <f t="shared" si="219"/>
        <v>'s-Gravendeel [NLGRA]</v>
      </c>
      <c r="AN14055" t="s">
        <v>23594</v>
      </c>
      <c r="AO14055" t="s">
        <v>23595</v>
      </c>
    </row>
    <row r="14056" spans="39:41" ht="12" customHeight="1" x14ac:dyDescent="0.2">
      <c r="AM14056" t="str">
        <f t="shared" si="219"/>
        <v>'s-Gravenhage (Den Haag) [NLHAG]</v>
      </c>
      <c r="AN14056" t="s">
        <v>37051</v>
      </c>
      <c r="AO14056" t="s">
        <v>37052</v>
      </c>
    </row>
    <row r="14057" spans="39:41" ht="12" customHeight="1" x14ac:dyDescent="0.2">
      <c r="AM14057" t="str">
        <f t="shared" si="219"/>
        <v>'s-Gravenzande [NLGRZ]</v>
      </c>
      <c r="AN14057" t="s">
        <v>23596</v>
      </c>
      <c r="AO14057" t="s">
        <v>23597</v>
      </c>
    </row>
    <row r="14058" spans="39:41" ht="12" customHeight="1" x14ac:dyDescent="0.2">
      <c r="AM14058" t="str">
        <f t="shared" si="219"/>
        <v>Shacheng [CNNDS]</v>
      </c>
      <c r="AN14058" t="s">
        <v>5975</v>
      </c>
      <c r="AO14058" t="s">
        <v>5976</v>
      </c>
    </row>
    <row r="14059" spans="39:41" ht="12" customHeight="1" x14ac:dyDescent="0.2">
      <c r="AM14059" t="str">
        <f t="shared" si="219"/>
        <v>Shadi [CNSAT]</v>
      </c>
      <c r="AN14059" t="s">
        <v>5977</v>
      </c>
      <c r="AO14059" t="s">
        <v>5978</v>
      </c>
    </row>
    <row r="14060" spans="39:41" ht="12" customHeight="1" x14ac:dyDescent="0.2">
      <c r="AM14060" t="str">
        <f t="shared" ref="AM14060:AM14123" si="220">AO14060 &amp; " [" &amp; AN14060 &amp; "]"</f>
        <v>Shah Alam [MYSHA]</v>
      </c>
      <c r="AN14060" t="s">
        <v>22745</v>
      </c>
      <c r="AO14060" t="s">
        <v>22746</v>
      </c>
    </row>
    <row r="14061" spans="39:41" ht="12" customHeight="1" x14ac:dyDescent="0.2">
      <c r="AM14061" t="str">
        <f t="shared" si="220"/>
        <v>Shahezi [CNSEZ]</v>
      </c>
      <c r="AN14061" t="s">
        <v>5979</v>
      </c>
      <c r="AO14061" t="s">
        <v>5980</v>
      </c>
    </row>
    <row r="14062" spans="39:41" ht="12" customHeight="1" x14ac:dyDescent="0.2">
      <c r="AM14062" t="str">
        <f t="shared" si="220"/>
        <v>Shahid Bahonar [IRSBR]</v>
      </c>
      <c r="AN14062" t="s">
        <v>17653</v>
      </c>
      <c r="AO14062" t="s">
        <v>17654</v>
      </c>
    </row>
    <row r="14063" spans="39:41" ht="12" customHeight="1" x14ac:dyDescent="0.2">
      <c r="AM14063" t="str">
        <f t="shared" si="220"/>
        <v>Shahid Rajaee Pt/Bandar Abbas [IRSRP]</v>
      </c>
      <c r="AN14063" t="s">
        <v>17655</v>
      </c>
      <c r="AO14063" t="s">
        <v>17656</v>
      </c>
    </row>
    <row r="14064" spans="39:41" ht="12" customHeight="1" x14ac:dyDescent="0.2">
      <c r="AM14064" t="str">
        <f t="shared" si="220"/>
        <v>Shajiao [CNSHO]</v>
      </c>
      <c r="AN14064" t="s">
        <v>5981</v>
      </c>
      <c r="AO14064" t="s">
        <v>5982</v>
      </c>
    </row>
    <row r="14065" spans="39:41" ht="12" customHeight="1" x14ac:dyDescent="0.2">
      <c r="AM14065" t="str">
        <f t="shared" si="220"/>
        <v>Shaker Heights [USXSK]</v>
      </c>
      <c r="AN14065" t="s">
        <v>31462</v>
      </c>
      <c r="AO14065" t="s">
        <v>31463</v>
      </c>
    </row>
    <row r="14066" spans="39:41" ht="12" customHeight="1" x14ac:dyDescent="0.2">
      <c r="AM14066" t="str">
        <f t="shared" si="220"/>
        <v>Shakhtersk [RUSHA]</v>
      </c>
      <c r="AN14066" t="s">
        <v>27232</v>
      </c>
      <c r="AO14066" t="s">
        <v>27233</v>
      </c>
    </row>
    <row r="14067" spans="39:41" ht="12" customHeight="1" x14ac:dyDescent="0.2">
      <c r="AM14067" t="str">
        <f t="shared" si="220"/>
        <v>Shalimar [USSR4]</v>
      </c>
      <c r="AN14067" t="s">
        <v>31464</v>
      </c>
      <c r="AO14067" t="s">
        <v>31465</v>
      </c>
    </row>
    <row r="14068" spans="39:41" ht="12" customHeight="1" x14ac:dyDescent="0.2">
      <c r="AM14068" t="str">
        <f t="shared" si="220"/>
        <v>Sha-lun [TWSHL]</v>
      </c>
      <c r="AN14068" t="s">
        <v>28683</v>
      </c>
      <c r="AO14068" t="s">
        <v>28684</v>
      </c>
    </row>
    <row r="14069" spans="39:41" ht="12" customHeight="1" x14ac:dyDescent="0.2">
      <c r="AM14069" t="str">
        <f t="shared" si="220"/>
        <v>Shama [GHSHA]</v>
      </c>
      <c r="AN14069" t="s">
        <v>14966</v>
      </c>
      <c r="AO14069" t="s">
        <v>14967</v>
      </c>
    </row>
    <row r="14070" spans="39:41" ht="12" customHeight="1" x14ac:dyDescent="0.2">
      <c r="AM14070" t="str">
        <f t="shared" si="220"/>
        <v>Shamokin [USYSH]</v>
      </c>
      <c r="AN14070" t="s">
        <v>31466</v>
      </c>
      <c r="AO14070" t="s">
        <v>31467</v>
      </c>
    </row>
    <row r="14071" spans="39:41" ht="12" customHeight="1" x14ac:dyDescent="0.2">
      <c r="AM14071" t="str">
        <f t="shared" si="220"/>
        <v>Shandon [GBSHN]</v>
      </c>
      <c r="AN14071" t="s">
        <v>14444</v>
      </c>
      <c r="AO14071" t="s">
        <v>14445</v>
      </c>
    </row>
    <row r="14072" spans="39:41" ht="12" customHeight="1" x14ac:dyDescent="0.2">
      <c r="AM14072" t="str">
        <f t="shared" si="220"/>
        <v>Shanghai [CNSGH]</v>
      </c>
      <c r="AN14072" t="s">
        <v>5983</v>
      </c>
      <c r="AO14072" t="s">
        <v>5984</v>
      </c>
    </row>
    <row r="14073" spans="39:41" ht="12" customHeight="1" x14ac:dyDescent="0.2">
      <c r="AM14073" t="str">
        <f t="shared" si="220"/>
        <v>Shanghai Pt [CNSHG]</v>
      </c>
      <c r="AN14073" t="s">
        <v>5985</v>
      </c>
      <c r="AO14073" t="s">
        <v>5986</v>
      </c>
    </row>
    <row r="14074" spans="39:41" ht="12" customHeight="1" x14ac:dyDescent="0.2">
      <c r="AM14074" t="str">
        <f t="shared" si="220"/>
        <v>Shangyu [CNSGU]</v>
      </c>
      <c r="AN14074" t="s">
        <v>5987</v>
      </c>
      <c r="AO14074" t="s">
        <v>5988</v>
      </c>
    </row>
    <row r="14075" spans="39:41" ht="12" customHeight="1" x14ac:dyDescent="0.2">
      <c r="AM14075" t="str">
        <f t="shared" si="220"/>
        <v>Shanklin [GBSAI]</v>
      </c>
      <c r="AN14075" t="s">
        <v>14446</v>
      </c>
      <c r="AO14075" t="s">
        <v>14447</v>
      </c>
    </row>
    <row r="14076" spans="39:41" ht="12" customHeight="1" x14ac:dyDescent="0.2">
      <c r="AM14076" t="str">
        <f t="shared" si="220"/>
        <v>Shannon [CANON]</v>
      </c>
      <c r="AN14076" t="s">
        <v>4444</v>
      </c>
      <c r="AO14076" t="s">
        <v>4445</v>
      </c>
    </row>
    <row r="14077" spans="39:41" ht="12" customHeight="1" x14ac:dyDescent="0.2">
      <c r="AM14077" t="str">
        <f t="shared" si="220"/>
        <v>Shannon [IESNN]</v>
      </c>
      <c r="AN14077" t="s">
        <v>16911</v>
      </c>
      <c r="AO14077" t="s">
        <v>4445</v>
      </c>
    </row>
    <row r="14078" spans="39:41" ht="12" customHeight="1" x14ac:dyDescent="0.2">
      <c r="AM14078" t="str">
        <f t="shared" si="220"/>
        <v>Shannonville [CASHV]</v>
      </c>
      <c r="AN14078" t="s">
        <v>4446</v>
      </c>
      <c r="AO14078" t="s">
        <v>4447</v>
      </c>
    </row>
    <row r="14079" spans="39:41" ht="12" customHeight="1" x14ac:dyDescent="0.2">
      <c r="AM14079" t="str">
        <f t="shared" si="220"/>
        <v>Shanshan [CNSXJ]</v>
      </c>
      <c r="AN14079" t="s">
        <v>5989</v>
      </c>
      <c r="AO14079" t="s">
        <v>5990</v>
      </c>
    </row>
    <row r="14080" spans="39:41" ht="12" customHeight="1" x14ac:dyDescent="0.2">
      <c r="AM14080" t="str">
        <f t="shared" si="220"/>
        <v>Shantou Pt [CNSTG]</v>
      </c>
      <c r="AN14080" t="s">
        <v>5991</v>
      </c>
      <c r="AO14080" t="s">
        <v>5992</v>
      </c>
    </row>
    <row r="14081" spans="39:41" ht="12" customHeight="1" x14ac:dyDescent="0.2">
      <c r="AM14081" t="str">
        <f t="shared" si="220"/>
        <v>Shanwai [CNSAW]</v>
      </c>
      <c r="AN14081" t="s">
        <v>5993</v>
      </c>
      <c r="AO14081" t="s">
        <v>5994</v>
      </c>
    </row>
    <row r="14082" spans="39:41" ht="12" customHeight="1" x14ac:dyDescent="0.2">
      <c r="AM14082" t="str">
        <f t="shared" si="220"/>
        <v>Shanwei Pt [CNSWE]</v>
      </c>
      <c r="AN14082" t="s">
        <v>5995</v>
      </c>
      <c r="AO14082" t="s">
        <v>5996</v>
      </c>
    </row>
    <row r="14083" spans="39:41" ht="12" customHeight="1" x14ac:dyDescent="0.2">
      <c r="AM14083" t="str">
        <f t="shared" si="220"/>
        <v>Shaoguan New Pt [CNHSC]</v>
      </c>
      <c r="AN14083" t="s">
        <v>5997</v>
      </c>
      <c r="AO14083" t="s">
        <v>5998</v>
      </c>
    </row>
    <row r="14084" spans="39:41" ht="12" customHeight="1" x14ac:dyDescent="0.2">
      <c r="AM14084" t="str">
        <f t="shared" si="220"/>
        <v>Shapa [CNSPA]</v>
      </c>
      <c r="AN14084" t="s">
        <v>5999</v>
      </c>
      <c r="AO14084" t="s">
        <v>6000</v>
      </c>
    </row>
    <row r="14085" spans="39:41" ht="12" customHeight="1" x14ac:dyDescent="0.2">
      <c r="AM14085" t="str">
        <f t="shared" si="220"/>
        <v>Shaping [CNSAP]</v>
      </c>
      <c r="AN14085" t="s">
        <v>6001</v>
      </c>
      <c r="AO14085" t="s">
        <v>6002</v>
      </c>
    </row>
    <row r="14086" spans="39:41" ht="12" customHeight="1" x14ac:dyDescent="0.2">
      <c r="AM14086" t="str">
        <f t="shared" si="220"/>
        <v>Shapinsay [GBSPY]</v>
      </c>
      <c r="AN14086" t="s">
        <v>14448</v>
      </c>
      <c r="AO14086" t="s">
        <v>14449</v>
      </c>
    </row>
    <row r="14087" spans="39:41" ht="12" customHeight="1" x14ac:dyDescent="0.2">
      <c r="AM14087" t="str">
        <f t="shared" si="220"/>
        <v>Shari [JPSHR]</v>
      </c>
      <c r="AN14087" t="s">
        <v>20723</v>
      </c>
      <c r="AO14087" t="s">
        <v>20724</v>
      </c>
    </row>
    <row r="14088" spans="39:41" ht="12" customHeight="1" x14ac:dyDescent="0.2">
      <c r="AM14088" t="str">
        <f t="shared" si="220"/>
        <v>Sharjah [AESHJ]</v>
      </c>
      <c r="AN14088" t="s">
        <v>776</v>
      </c>
      <c r="AO14088" t="s">
        <v>777</v>
      </c>
    </row>
    <row r="14089" spans="39:41" ht="12" customHeight="1" x14ac:dyDescent="0.2">
      <c r="AM14089" t="str">
        <f t="shared" si="220"/>
        <v>Shark Bay [AUSHB]</v>
      </c>
      <c r="AN14089" t="s">
        <v>2016</v>
      </c>
      <c r="AO14089" t="s">
        <v>2017</v>
      </c>
    </row>
    <row r="14090" spans="39:41" ht="12" customHeight="1" x14ac:dyDescent="0.2">
      <c r="AM14090" t="str">
        <f t="shared" si="220"/>
        <v>Sharm ash Shaykh [EGSSH]</v>
      </c>
      <c r="AN14090" t="s">
        <v>9530</v>
      </c>
      <c r="AO14090" t="s">
        <v>9531</v>
      </c>
    </row>
    <row r="14091" spans="39:41" ht="12" customHeight="1" x14ac:dyDescent="0.2">
      <c r="AM14091" t="str">
        <f t="shared" si="220"/>
        <v>Sharpness [GBSSS]</v>
      </c>
      <c r="AN14091" t="s">
        <v>14450</v>
      </c>
      <c r="AO14091" t="s">
        <v>14451</v>
      </c>
    </row>
    <row r="14092" spans="39:41" ht="12" customHeight="1" x14ac:dyDescent="0.2">
      <c r="AM14092" t="str">
        <f t="shared" si="220"/>
        <v>Shashan [CNSSN]</v>
      </c>
      <c r="AN14092" t="s">
        <v>6003</v>
      </c>
      <c r="AO14092" t="s">
        <v>6004</v>
      </c>
    </row>
    <row r="14093" spans="39:41" ht="12" customHeight="1" x14ac:dyDescent="0.2">
      <c r="AM14093" t="str">
        <f t="shared" si="220"/>
        <v>Shashangang [CNSSG]</v>
      </c>
      <c r="AN14093" t="s">
        <v>6005</v>
      </c>
      <c r="AO14093" t="s">
        <v>6006</v>
      </c>
    </row>
    <row r="14094" spans="39:41" ht="12" customHeight="1" x14ac:dyDescent="0.2">
      <c r="AM14094" t="str">
        <f t="shared" si="220"/>
        <v>Shatian [CNSTI]</v>
      </c>
      <c r="AN14094" t="s">
        <v>6007</v>
      </c>
      <c r="AO14094" t="s">
        <v>6008</v>
      </c>
    </row>
    <row r="14095" spans="39:41" ht="12" customHeight="1" x14ac:dyDescent="0.2">
      <c r="AM14095" t="str">
        <f t="shared" si="220"/>
        <v>Shating [CNSHT]</v>
      </c>
      <c r="AN14095" t="s">
        <v>6009</v>
      </c>
      <c r="AO14095" t="s">
        <v>6010</v>
      </c>
    </row>
    <row r="14096" spans="39:41" ht="12" customHeight="1" x14ac:dyDescent="0.2">
      <c r="AM14096" t="str">
        <f t="shared" si="220"/>
        <v>Shaunavon [CASNV]</v>
      </c>
      <c r="AN14096" t="s">
        <v>4448</v>
      </c>
      <c r="AO14096" t="s">
        <v>4449</v>
      </c>
    </row>
    <row r="14097" spans="39:41" ht="12" customHeight="1" x14ac:dyDescent="0.2">
      <c r="AM14097" t="str">
        <f t="shared" si="220"/>
        <v>Shayuchong [CNSYC]</v>
      </c>
      <c r="AN14097" t="s">
        <v>6011</v>
      </c>
      <c r="AO14097" t="s">
        <v>6012</v>
      </c>
    </row>
    <row r="14098" spans="39:41" ht="12" customHeight="1" x14ac:dyDescent="0.2">
      <c r="AM14098" t="str">
        <f t="shared" si="220"/>
        <v>Shea Oak Log [AUSOL]</v>
      </c>
      <c r="AN14098" t="s">
        <v>2018</v>
      </c>
      <c r="AO14098" t="s">
        <v>2019</v>
      </c>
    </row>
    <row r="14099" spans="39:41" ht="12" customHeight="1" x14ac:dyDescent="0.2">
      <c r="AM14099" t="str">
        <f t="shared" si="220"/>
        <v>Shebekino [RUB2L]</v>
      </c>
      <c r="AN14099" t="s">
        <v>27234</v>
      </c>
      <c r="AO14099" t="s">
        <v>27235</v>
      </c>
    </row>
    <row r="14100" spans="39:41" ht="12" customHeight="1" x14ac:dyDescent="0.2">
      <c r="AM14100" t="str">
        <f t="shared" si="220"/>
        <v>Shedd [USYSD]</v>
      </c>
      <c r="AN14100" t="s">
        <v>31468</v>
      </c>
      <c r="AO14100" t="s">
        <v>31469</v>
      </c>
    </row>
    <row r="14101" spans="39:41" ht="12" customHeight="1" x14ac:dyDescent="0.2">
      <c r="AM14101" t="str">
        <f t="shared" si="220"/>
        <v>Shediac [CASHE]</v>
      </c>
      <c r="AN14101" t="s">
        <v>4450</v>
      </c>
      <c r="AO14101" t="s">
        <v>4451</v>
      </c>
    </row>
    <row r="14102" spans="39:41" ht="12" customHeight="1" x14ac:dyDescent="0.2">
      <c r="AM14102" t="str">
        <f t="shared" si="220"/>
        <v>Sheen [GBSEZ]</v>
      </c>
      <c r="AN14102" t="s">
        <v>14452</v>
      </c>
      <c r="AO14102" t="s">
        <v>14453</v>
      </c>
    </row>
    <row r="14103" spans="39:41" ht="12" customHeight="1" x14ac:dyDescent="0.2">
      <c r="AM14103" t="str">
        <f t="shared" si="220"/>
        <v>Sheerness [GBSHS]</v>
      </c>
      <c r="AN14103" t="s">
        <v>14454</v>
      </c>
      <c r="AO14103" t="s">
        <v>14455</v>
      </c>
    </row>
    <row r="14104" spans="39:41" ht="12" customHeight="1" x14ac:dyDescent="0.2">
      <c r="AM14104" t="str">
        <f t="shared" si="220"/>
        <v>Sheet Harbour [CASHH]</v>
      </c>
      <c r="AN14104" t="s">
        <v>4452</v>
      </c>
      <c r="AO14104" t="s">
        <v>4453</v>
      </c>
    </row>
    <row r="14105" spans="39:41" ht="12" customHeight="1" x14ac:dyDescent="0.2">
      <c r="AM14105" t="str">
        <f t="shared" si="220"/>
        <v>Sheffield [GBSHE]</v>
      </c>
      <c r="AN14105" t="s">
        <v>14456</v>
      </c>
      <c r="AO14105" t="s">
        <v>14457</v>
      </c>
    </row>
    <row r="14106" spans="39:41" ht="12" customHeight="1" x14ac:dyDescent="0.2">
      <c r="AM14106" t="str">
        <f t="shared" si="220"/>
        <v>Sheildaig [GBEIL]</v>
      </c>
      <c r="AN14106" t="s">
        <v>14458</v>
      </c>
      <c r="AO14106" t="s">
        <v>14459</v>
      </c>
    </row>
    <row r="14107" spans="39:41" ht="12" customHeight="1" x14ac:dyDescent="0.2">
      <c r="AM14107" t="str">
        <f t="shared" si="220"/>
        <v>Shekou Pt [CNSHK]</v>
      </c>
      <c r="AN14107" t="s">
        <v>6013</v>
      </c>
      <c r="AO14107" t="s">
        <v>6014</v>
      </c>
    </row>
    <row r="14108" spans="39:41" ht="12" customHeight="1" x14ac:dyDescent="0.2">
      <c r="AM14108" t="str">
        <f t="shared" si="220"/>
        <v>Shelburne [CASBU]</v>
      </c>
      <c r="AN14108" t="s">
        <v>4454</v>
      </c>
      <c r="AO14108" t="s">
        <v>4455</v>
      </c>
    </row>
    <row r="14109" spans="39:41" ht="12" customHeight="1" x14ac:dyDescent="0.2">
      <c r="AM14109" t="str">
        <f t="shared" si="220"/>
        <v>Shelburne [CASLB]</v>
      </c>
      <c r="AN14109" t="s">
        <v>4456</v>
      </c>
      <c r="AO14109" t="s">
        <v>4455</v>
      </c>
    </row>
    <row r="14110" spans="39:41" ht="12" customHeight="1" x14ac:dyDescent="0.2">
      <c r="AM14110" t="str">
        <f t="shared" si="220"/>
        <v>Shelby [USNE5]</v>
      </c>
      <c r="AN14110" t="s">
        <v>31470</v>
      </c>
      <c r="AO14110" t="s">
        <v>31471</v>
      </c>
    </row>
    <row r="14111" spans="39:41" ht="12" customHeight="1" x14ac:dyDescent="0.2">
      <c r="AM14111" t="str">
        <f t="shared" si="220"/>
        <v>Sheldon [GBSDQ]</v>
      </c>
      <c r="AN14111" t="s">
        <v>14460</v>
      </c>
      <c r="AO14111" t="s">
        <v>14461</v>
      </c>
    </row>
    <row r="14112" spans="39:41" ht="12" customHeight="1" x14ac:dyDescent="0.2">
      <c r="AM14112" t="str">
        <f t="shared" si="220"/>
        <v>Sheldon [USZ4X]</v>
      </c>
      <c r="AN14112" t="s">
        <v>31472</v>
      </c>
      <c r="AO14112" t="s">
        <v>14461</v>
      </c>
    </row>
    <row r="14113" spans="39:41" ht="12" customHeight="1" x14ac:dyDescent="0.2">
      <c r="AM14113" t="str">
        <f t="shared" si="220"/>
        <v>Shell Haven [GBSHV]</v>
      </c>
      <c r="AN14113" t="s">
        <v>14462</v>
      </c>
      <c r="AO14113" t="s">
        <v>14463</v>
      </c>
    </row>
    <row r="14114" spans="39:41" ht="12" customHeight="1" x14ac:dyDescent="0.2">
      <c r="AM14114" t="str">
        <f t="shared" si="220"/>
        <v>Shelly Bay [NZSHB]</v>
      </c>
      <c r="AN14114" t="s">
        <v>25109</v>
      </c>
      <c r="AO14114" t="s">
        <v>25110</v>
      </c>
    </row>
    <row r="14115" spans="39:41" ht="12" customHeight="1" x14ac:dyDescent="0.2">
      <c r="AM14115" t="str">
        <f t="shared" si="220"/>
        <v>Shelter Island [USXSI]</v>
      </c>
      <c r="AN14115" t="s">
        <v>31473</v>
      </c>
      <c r="AO14115" t="s">
        <v>31474</v>
      </c>
    </row>
    <row r="14116" spans="39:41" ht="12" customHeight="1" x14ac:dyDescent="0.2">
      <c r="AM14116" t="str">
        <f t="shared" si="220"/>
        <v>Shengjin [ALSHG]</v>
      </c>
      <c r="AN14116" t="s">
        <v>822</v>
      </c>
      <c r="AO14116" t="s">
        <v>35236</v>
      </c>
    </row>
    <row r="14117" spans="39:41" ht="12" customHeight="1" x14ac:dyDescent="0.2">
      <c r="AM14117" t="str">
        <f t="shared" si="220"/>
        <v>Shenhu [CNSNH]</v>
      </c>
      <c r="AN14117" t="s">
        <v>6015</v>
      </c>
      <c r="AO14117" t="s">
        <v>6016</v>
      </c>
    </row>
    <row r="14118" spans="39:41" ht="12" customHeight="1" x14ac:dyDescent="0.2">
      <c r="AM14118" t="str">
        <f t="shared" si="220"/>
        <v>Shenquan [CNSQN]</v>
      </c>
      <c r="AN14118" t="s">
        <v>6017</v>
      </c>
      <c r="AO14118" t="s">
        <v>6018</v>
      </c>
    </row>
    <row r="14119" spans="39:41" ht="12" customHeight="1" x14ac:dyDescent="0.2">
      <c r="AM14119" t="str">
        <f t="shared" si="220"/>
        <v>Shenwan [CNSNW]</v>
      </c>
      <c r="AN14119" t="s">
        <v>6019</v>
      </c>
      <c r="AO14119" t="s">
        <v>6020</v>
      </c>
    </row>
    <row r="14120" spans="39:41" ht="12" customHeight="1" x14ac:dyDescent="0.2">
      <c r="AM14120" t="str">
        <f t="shared" si="220"/>
        <v>Shenzhen [CNSNZ]</v>
      </c>
      <c r="AN14120" t="s">
        <v>6021</v>
      </c>
      <c r="AO14120" t="s">
        <v>6022</v>
      </c>
    </row>
    <row r="14121" spans="39:41" ht="12" customHeight="1" x14ac:dyDescent="0.2">
      <c r="AM14121" t="str">
        <f t="shared" si="220"/>
        <v>Shenzhen Pt [CNSZP]</v>
      </c>
      <c r="AN14121" t="s">
        <v>6023</v>
      </c>
      <c r="AO14121" t="s">
        <v>6024</v>
      </c>
    </row>
    <row r="14122" spans="39:41" ht="12" customHeight="1" x14ac:dyDescent="0.2">
      <c r="AM14122" t="str">
        <f t="shared" si="220"/>
        <v>Sherborn [USZSO]</v>
      </c>
      <c r="AN14122" t="s">
        <v>31475</v>
      </c>
      <c r="AO14122" t="s">
        <v>31476</v>
      </c>
    </row>
    <row r="14123" spans="39:41" ht="12" customHeight="1" x14ac:dyDescent="0.2">
      <c r="AM14123" t="str">
        <f t="shared" si="220"/>
        <v>Sherbro [SLSBO]</v>
      </c>
      <c r="AN14123" t="s">
        <v>28086</v>
      </c>
      <c r="AO14123" t="s">
        <v>28087</v>
      </c>
    </row>
    <row r="14124" spans="39:41" ht="12" customHeight="1" x14ac:dyDescent="0.2">
      <c r="AM14124" t="str">
        <f t="shared" ref="AM14124:AM14187" si="221">AO14124 &amp; " [" &amp; AN14124 &amp; "]"</f>
        <v>Sheringham [GBSGM]</v>
      </c>
      <c r="AN14124" t="s">
        <v>14464</v>
      </c>
      <c r="AO14124" t="s">
        <v>14465</v>
      </c>
    </row>
    <row r="14125" spans="39:41" ht="12" customHeight="1" x14ac:dyDescent="0.2">
      <c r="AM14125" t="str">
        <f t="shared" si="221"/>
        <v>'s-Hertogenbosch [NLHTB]</v>
      </c>
      <c r="AN14125" t="s">
        <v>23598</v>
      </c>
      <c r="AO14125" t="s">
        <v>23599</v>
      </c>
    </row>
    <row r="14126" spans="39:41" ht="12" customHeight="1" x14ac:dyDescent="0.2">
      <c r="AM14126" t="str">
        <f t="shared" si="221"/>
        <v>Shetland [GBTLD]</v>
      </c>
      <c r="AN14126" t="s">
        <v>14466</v>
      </c>
      <c r="AO14126" t="s">
        <v>14467</v>
      </c>
    </row>
    <row r="14127" spans="39:41" ht="12" customHeight="1" x14ac:dyDescent="0.2">
      <c r="AM14127" t="str">
        <f t="shared" si="221"/>
        <v>Sheyang [CNSEY]</v>
      </c>
      <c r="AN14127" t="s">
        <v>6025</v>
      </c>
      <c r="AO14127" t="s">
        <v>6026</v>
      </c>
    </row>
    <row r="14128" spans="39:41" ht="12" customHeight="1" x14ac:dyDescent="0.2">
      <c r="AM14128" t="str">
        <f t="shared" si="221"/>
        <v>Shibahe [CNSBH]</v>
      </c>
      <c r="AN14128" t="s">
        <v>6027</v>
      </c>
      <c r="AO14128" t="s">
        <v>6028</v>
      </c>
    </row>
    <row r="14129" spans="39:41" ht="12" customHeight="1" x14ac:dyDescent="0.2">
      <c r="AM14129" t="str">
        <f t="shared" si="221"/>
        <v>Shibaura [JPSBU]</v>
      </c>
      <c r="AN14129" t="s">
        <v>20725</v>
      </c>
      <c r="AO14129" t="s">
        <v>20726</v>
      </c>
    </row>
    <row r="14130" spans="39:41" ht="12" customHeight="1" x14ac:dyDescent="0.2">
      <c r="AM14130" t="str">
        <f t="shared" si="221"/>
        <v>Shibayama [JPSBY]</v>
      </c>
      <c r="AN14130" t="s">
        <v>20727</v>
      </c>
      <c r="AO14130" t="s">
        <v>20728</v>
      </c>
    </row>
    <row r="14131" spans="39:41" ht="12" customHeight="1" x14ac:dyDescent="0.2">
      <c r="AM14131" t="str">
        <f t="shared" si="221"/>
        <v>Shibukawa [JPBKW]</v>
      </c>
      <c r="AN14131" t="s">
        <v>20729</v>
      </c>
      <c r="AO14131" t="s">
        <v>20730</v>
      </c>
    </row>
    <row r="14132" spans="39:41" ht="12" customHeight="1" x14ac:dyDescent="0.2">
      <c r="AM14132" t="str">
        <f t="shared" si="221"/>
        <v>Shibukawa [JPSKB]</v>
      </c>
      <c r="AN14132" t="s">
        <v>20731</v>
      </c>
      <c r="AO14132" t="s">
        <v>20730</v>
      </c>
    </row>
    <row r="14133" spans="39:41" ht="12" customHeight="1" x14ac:dyDescent="0.2">
      <c r="AM14133" t="str">
        <f t="shared" si="221"/>
        <v>Shibushi [JPSBS]</v>
      </c>
      <c r="AN14133" t="s">
        <v>20732</v>
      </c>
      <c r="AO14133" t="s">
        <v>20733</v>
      </c>
    </row>
    <row r="14134" spans="39:41" ht="12" customHeight="1" x14ac:dyDescent="0.2">
      <c r="AM14134" t="str">
        <f t="shared" si="221"/>
        <v>Shichirinagahama [JPSCH]</v>
      </c>
      <c r="AN14134" t="s">
        <v>20734</v>
      </c>
      <c r="AO14134" t="s">
        <v>20735</v>
      </c>
    </row>
    <row r="14135" spans="39:41" ht="12" customHeight="1" x14ac:dyDescent="0.2">
      <c r="AM14135" t="str">
        <f t="shared" si="221"/>
        <v>Shichirui [JPSCR]</v>
      </c>
      <c r="AN14135" t="s">
        <v>20736</v>
      </c>
      <c r="AO14135" t="s">
        <v>20737</v>
      </c>
    </row>
    <row r="14136" spans="39:41" ht="12" customHeight="1" x14ac:dyDescent="0.2">
      <c r="AM14136" t="str">
        <f t="shared" si="221"/>
        <v>Shidao Pt [CNSHD]</v>
      </c>
      <c r="AN14136" t="s">
        <v>6029</v>
      </c>
      <c r="AO14136" t="s">
        <v>6030</v>
      </c>
    </row>
    <row r="14137" spans="39:41" ht="12" customHeight="1" x14ac:dyDescent="0.2">
      <c r="AM14137" t="str">
        <f t="shared" si="221"/>
        <v>Shido [JPSID]</v>
      </c>
      <c r="AN14137" t="s">
        <v>20738</v>
      </c>
      <c r="AO14137" t="s">
        <v>20739</v>
      </c>
    </row>
    <row r="14138" spans="39:41" ht="12" customHeight="1" x14ac:dyDescent="0.2">
      <c r="AM14138" t="str">
        <f t="shared" si="221"/>
        <v>Shieldaig [GBSHX]</v>
      </c>
      <c r="AN14138" t="s">
        <v>14468</v>
      </c>
      <c r="AO14138" t="s">
        <v>14469</v>
      </c>
    </row>
    <row r="14139" spans="39:41" ht="12" customHeight="1" x14ac:dyDescent="0.2">
      <c r="AM14139" t="str">
        <f t="shared" si="221"/>
        <v>Shifnal [GBIFN]</v>
      </c>
      <c r="AN14139" t="s">
        <v>14470</v>
      </c>
      <c r="AO14139" t="s">
        <v>14471</v>
      </c>
    </row>
    <row r="14140" spans="39:41" ht="12" customHeight="1" x14ac:dyDescent="0.2">
      <c r="AM14140" t="str">
        <f t="shared" si="221"/>
        <v>Shigei [JPSIG]</v>
      </c>
      <c r="AN14140" t="s">
        <v>20740</v>
      </c>
      <c r="AO14140" t="s">
        <v>20741</v>
      </c>
    </row>
    <row r="14141" spans="39:41" ht="12" customHeight="1" x14ac:dyDescent="0.2">
      <c r="AM14141" t="str">
        <f t="shared" si="221"/>
        <v>Shigetomi [JPSGI]</v>
      </c>
      <c r="AN14141" t="s">
        <v>20742</v>
      </c>
      <c r="AO14141" t="s">
        <v>20743</v>
      </c>
    </row>
    <row r="14142" spans="39:41" ht="12" customHeight="1" x14ac:dyDescent="0.2">
      <c r="AM14142" t="str">
        <f t="shared" si="221"/>
        <v>Shiinoki [JPSIN]</v>
      </c>
      <c r="AN14142" t="s">
        <v>20744</v>
      </c>
      <c r="AO14142" t="s">
        <v>20745</v>
      </c>
    </row>
    <row r="14143" spans="39:41" ht="12" customHeight="1" x14ac:dyDescent="0.2">
      <c r="AM14143" t="str">
        <f t="shared" si="221"/>
        <v>Shijing [CNSIJ]</v>
      </c>
      <c r="AN14143" t="s">
        <v>6031</v>
      </c>
      <c r="AO14143" t="s">
        <v>6032</v>
      </c>
    </row>
    <row r="14144" spans="39:41" ht="12" customHeight="1" x14ac:dyDescent="0.2">
      <c r="AM14144" t="str">
        <f t="shared" si="221"/>
        <v>Shijingjiaoxin [CNSJJ]</v>
      </c>
      <c r="AN14144" t="s">
        <v>6033</v>
      </c>
      <c r="AO14144" t="s">
        <v>6034</v>
      </c>
    </row>
    <row r="14145" spans="39:41" ht="12" customHeight="1" x14ac:dyDescent="0.2">
      <c r="AM14145" t="str">
        <f t="shared" si="221"/>
        <v>Shijitou [CNSJO]</v>
      </c>
      <c r="AN14145" t="s">
        <v>6035</v>
      </c>
      <c r="AO14145" t="s">
        <v>6036</v>
      </c>
    </row>
    <row r="14146" spans="39:41" ht="12" customHeight="1" x14ac:dyDescent="0.2">
      <c r="AM14146" t="str">
        <f t="shared" si="221"/>
        <v>Shijiu Pt [CNSJU]</v>
      </c>
      <c r="AN14146" t="s">
        <v>6037</v>
      </c>
      <c r="AO14146" t="s">
        <v>6038</v>
      </c>
    </row>
    <row r="14147" spans="39:41" ht="12" customHeight="1" x14ac:dyDescent="0.2">
      <c r="AM14147" t="str">
        <f t="shared" si="221"/>
        <v>Shikama [JPSKM]</v>
      </c>
      <c r="AN14147" t="s">
        <v>20746</v>
      </c>
      <c r="AO14147" t="s">
        <v>20747</v>
      </c>
    </row>
    <row r="14148" spans="39:41" ht="12" customHeight="1" x14ac:dyDescent="0.2">
      <c r="AM14148" t="str">
        <f t="shared" si="221"/>
        <v>Shikamachi [JPSIK]</v>
      </c>
      <c r="AN14148" t="s">
        <v>20748</v>
      </c>
      <c r="AO14148" t="s">
        <v>20749</v>
      </c>
    </row>
    <row r="14149" spans="39:41" ht="12" customHeight="1" x14ac:dyDescent="0.2">
      <c r="AM14149" t="str">
        <f t="shared" si="221"/>
        <v>Shikata [JPSTJ]</v>
      </c>
      <c r="AN14149" t="s">
        <v>20750</v>
      </c>
      <c r="AO14149" t="s">
        <v>20751</v>
      </c>
    </row>
    <row r="14150" spans="39:41" ht="12" customHeight="1" x14ac:dyDescent="0.2">
      <c r="AM14150" t="str">
        <f t="shared" si="221"/>
        <v>Shikaura [JPSAR]</v>
      </c>
      <c r="AN14150" t="s">
        <v>20752</v>
      </c>
      <c r="AO14150" t="s">
        <v>20753</v>
      </c>
    </row>
    <row r="14151" spans="39:41" ht="12" customHeight="1" x14ac:dyDescent="0.2">
      <c r="AM14151" t="str">
        <f t="shared" si="221"/>
        <v>Shikinejima [JPSKN]</v>
      </c>
      <c r="AN14151" t="s">
        <v>20754</v>
      </c>
      <c r="AO14151" t="s">
        <v>20755</v>
      </c>
    </row>
    <row r="14152" spans="39:41" ht="12" customHeight="1" x14ac:dyDescent="0.2">
      <c r="AM14152" t="str">
        <f t="shared" si="221"/>
        <v>Shiliugang [CNSLG]</v>
      </c>
      <c r="AN14152" t="s">
        <v>6039</v>
      </c>
      <c r="AO14152" t="s">
        <v>6040</v>
      </c>
    </row>
    <row r="14153" spans="39:41" ht="12" customHeight="1" x14ac:dyDescent="0.2">
      <c r="AM14153" t="str">
        <f t="shared" si="221"/>
        <v>Shilou [CNSLO]</v>
      </c>
      <c r="AN14153" t="s">
        <v>6041</v>
      </c>
      <c r="AO14153" t="s">
        <v>6042</v>
      </c>
    </row>
    <row r="14154" spans="39:41" ht="12" customHeight="1" x14ac:dyDescent="0.2">
      <c r="AM14154" t="str">
        <f t="shared" si="221"/>
        <v>Shima [CNZSM]</v>
      </c>
      <c r="AN14154" t="s">
        <v>6043</v>
      </c>
      <c r="AO14154" t="s">
        <v>6044</v>
      </c>
    </row>
    <row r="14155" spans="39:41" ht="12" customHeight="1" x14ac:dyDescent="0.2">
      <c r="AM14155" t="str">
        <f t="shared" si="221"/>
        <v>Shimabara [JPSMB]</v>
      </c>
      <c r="AN14155" t="s">
        <v>20756</v>
      </c>
      <c r="AO14155" t="s">
        <v>20757</v>
      </c>
    </row>
    <row r="14156" spans="39:41" ht="12" customHeight="1" x14ac:dyDescent="0.2">
      <c r="AM14156" t="str">
        <f t="shared" si="221"/>
        <v>Shimama [JPSIM]</v>
      </c>
      <c r="AN14156" t="s">
        <v>20758</v>
      </c>
      <c r="AO14156" t="s">
        <v>20759</v>
      </c>
    </row>
    <row r="14157" spans="39:41" ht="12" customHeight="1" x14ac:dyDescent="0.2">
      <c r="AM14157" t="str">
        <f t="shared" si="221"/>
        <v>Shimamaki [JPSMM]</v>
      </c>
      <c r="AN14157" t="s">
        <v>20760</v>
      </c>
      <c r="AO14157" t="s">
        <v>20761</v>
      </c>
    </row>
    <row r="14158" spans="39:41" ht="12" customHeight="1" x14ac:dyDescent="0.2">
      <c r="AM14158" t="str">
        <f t="shared" si="221"/>
        <v>Shimanoura [JPSNU]</v>
      </c>
      <c r="AN14158" t="s">
        <v>20762</v>
      </c>
      <c r="AO14158" t="s">
        <v>20763</v>
      </c>
    </row>
    <row r="14159" spans="39:41" ht="12" customHeight="1" x14ac:dyDescent="0.2">
      <c r="AM14159" t="str">
        <f t="shared" si="221"/>
        <v>Shimazuya [JPSHZ]</v>
      </c>
      <c r="AN14159" t="s">
        <v>20764</v>
      </c>
      <c r="AO14159" t="s">
        <v>20765</v>
      </c>
    </row>
    <row r="14160" spans="39:41" ht="12" customHeight="1" x14ac:dyDescent="0.2">
      <c r="AM14160" t="str">
        <f t="shared" si="221"/>
        <v>Shimizu [JPSMZ]</v>
      </c>
      <c r="AN14160" t="s">
        <v>20766</v>
      </c>
      <c r="AO14160" t="s">
        <v>20767</v>
      </c>
    </row>
    <row r="14161" spans="39:41" ht="12" customHeight="1" x14ac:dyDescent="0.2">
      <c r="AM14161" t="str">
        <f t="shared" si="221"/>
        <v>Shimoda, Kochi [JPSMO]</v>
      </c>
      <c r="AN14161" t="s">
        <v>20768</v>
      </c>
      <c r="AO14161" t="s">
        <v>20769</v>
      </c>
    </row>
    <row r="14162" spans="39:41" ht="12" customHeight="1" x14ac:dyDescent="0.2">
      <c r="AM14162" t="str">
        <f t="shared" si="221"/>
        <v>Shimoda, Kumamoto [JPSIA]</v>
      </c>
      <c r="AN14162" t="s">
        <v>20770</v>
      </c>
      <c r="AO14162" t="s">
        <v>20771</v>
      </c>
    </row>
    <row r="14163" spans="39:41" ht="12" customHeight="1" x14ac:dyDescent="0.2">
      <c r="AM14163" t="str">
        <f t="shared" si="221"/>
        <v>Shimoda, Nagasaki [JPSDA]</v>
      </c>
      <c r="AN14163" t="s">
        <v>20772</v>
      </c>
      <c r="AO14163" t="s">
        <v>20773</v>
      </c>
    </row>
    <row r="14164" spans="39:41" ht="12" customHeight="1" x14ac:dyDescent="0.2">
      <c r="AM14164" t="str">
        <f t="shared" si="221"/>
        <v>Shimoda, Shizuoka [JPSMD]</v>
      </c>
      <c r="AN14164" t="s">
        <v>20774</v>
      </c>
      <c r="AO14164" t="s">
        <v>20775</v>
      </c>
    </row>
    <row r="14165" spans="39:41" ht="12" customHeight="1" x14ac:dyDescent="0.2">
      <c r="AM14165" t="str">
        <f t="shared" si="221"/>
        <v>Shimodomari/Mikame [JPSMR]</v>
      </c>
      <c r="AN14165" t="s">
        <v>20776</v>
      </c>
      <c r="AO14165" t="s">
        <v>20777</v>
      </c>
    </row>
    <row r="14166" spans="39:41" ht="12" customHeight="1" x14ac:dyDescent="0.2">
      <c r="AM14166" t="str">
        <f t="shared" si="221"/>
        <v>Shimohisage [JPSMH]</v>
      </c>
      <c r="AN14166" t="s">
        <v>20778</v>
      </c>
      <c r="AO14166" t="s">
        <v>20779</v>
      </c>
    </row>
    <row r="14167" spans="39:41" ht="12" customHeight="1" x14ac:dyDescent="0.2">
      <c r="AM14167" t="str">
        <f t="shared" si="221"/>
        <v>Shimokawaguchi [JPSWA]</v>
      </c>
      <c r="AN14167" t="s">
        <v>20780</v>
      </c>
      <c r="AO14167" t="s">
        <v>20781</v>
      </c>
    </row>
    <row r="14168" spans="39:41" ht="12" customHeight="1" x14ac:dyDescent="0.2">
      <c r="AM14168" t="str">
        <f t="shared" si="221"/>
        <v>Shimoni [KESMN]</v>
      </c>
      <c r="AN14168" t="s">
        <v>34180</v>
      </c>
      <c r="AO14168" t="s">
        <v>34254</v>
      </c>
    </row>
    <row r="14169" spans="39:41" ht="12" customHeight="1" x14ac:dyDescent="0.2">
      <c r="AM14169" t="str">
        <f t="shared" si="221"/>
        <v>Shimonokae [JPSOO]</v>
      </c>
      <c r="AN14169" t="s">
        <v>20782</v>
      </c>
      <c r="AO14169" t="s">
        <v>20783</v>
      </c>
    </row>
    <row r="14170" spans="39:41" ht="12" customHeight="1" x14ac:dyDescent="0.2">
      <c r="AM14170" t="str">
        <f t="shared" si="221"/>
        <v>Shimonoseki [JPSHS]</v>
      </c>
      <c r="AN14170" t="s">
        <v>20784</v>
      </c>
      <c r="AO14170" t="s">
        <v>20785</v>
      </c>
    </row>
    <row r="14171" spans="39:41" ht="12" customHeight="1" x14ac:dyDescent="0.2">
      <c r="AM14171" t="str">
        <f t="shared" si="221"/>
        <v>Shimotsu [JPSMT]</v>
      </c>
      <c r="AN14171" t="s">
        <v>20786</v>
      </c>
      <c r="AO14171" t="s">
        <v>20787</v>
      </c>
    </row>
    <row r="14172" spans="39:41" ht="12" customHeight="1" x14ac:dyDescent="0.2">
      <c r="AM14172" t="str">
        <f t="shared" si="221"/>
        <v>Shimotsui [JPSTI]</v>
      </c>
      <c r="AN14172" t="s">
        <v>20788</v>
      </c>
      <c r="AO14172" t="s">
        <v>20789</v>
      </c>
    </row>
    <row r="14173" spans="39:41" ht="12" customHeight="1" x14ac:dyDescent="0.2">
      <c r="AM14173" t="str">
        <f t="shared" si="221"/>
        <v>Shimotsuura [JPSSA]</v>
      </c>
      <c r="AN14173" t="s">
        <v>20790</v>
      </c>
      <c r="AO14173" t="s">
        <v>20791</v>
      </c>
    </row>
    <row r="14174" spans="39:41" ht="12" customHeight="1" x14ac:dyDescent="0.2">
      <c r="AM14174" t="str">
        <f t="shared" si="221"/>
        <v>Shinagawa, Tokyo [JPSHG]</v>
      </c>
      <c r="AN14174" t="s">
        <v>20792</v>
      </c>
      <c r="AO14174" t="s">
        <v>20793</v>
      </c>
    </row>
    <row r="14175" spans="39:41" ht="12" customHeight="1" x14ac:dyDescent="0.2">
      <c r="AM14175" t="str">
        <f t="shared" si="221"/>
        <v>Shinari Zakynthou [GRSHI]</v>
      </c>
      <c r="AN14175" t="s">
        <v>15510</v>
      </c>
      <c r="AO14175" t="s">
        <v>15511</v>
      </c>
    </row>
    <row r="14176" spans="39:41" ht="12" customHeight="1" x14ac:dyDescent="0.2">
      <c r="AM14176" t="str">
        <f t="shared" si="221"/>
        <v>Shingle Springs [USXSH]</v>
      </c>
      <c r="AN14176" t="s">
        <v>31477</v>
      </c>
      <c r="AO14176" t="s">
        <v>31478</v>
      </c>
    </row>
    <row r="14177" spans="39:41" ht="12" customHeight="1" x14ac:dyDescent="0.2">
      <c r="AM14177" t="str">
        <f t="shared" si="221"/>
        <v>Shingu [JPSHN]</v>
      </c>
      <c r="AN14177" t="s">
        <v>20794</v>
      </c>
      <c r="AO14177" t="s">
        <v>20795</v>
      </c>
    </row>
    <row r="14178" spans="39:41" ht="12" customHeight="1" x14ac:dyDescent="0.2">
      <c r="AM14178" t="str">
        <f t="shared" si="221"/>
        <v>Shinjima [JPSZI]</v>
      </c>
      <c r="AN14178" t="s">
        <v>20796</v>
      </c>
      <c r="AO14178" t="s">
        <v>20797</v>
      </c>
    </row>
    <row r="14179" spans="39:41" ht="12" customHeight="1" x14ac:dyDescent="0.2">
      <c r="AM14179" t="str">
        <f t="shared" si="221"/>
        <v>Shinkawa, Aichi [JPSKW]</v>
      </c>
      <c r="AN14179" t="s">
        <v>20798</v>
      </c>
      <c r="AO14179" t="s">
        <v>20799</v>
      </c>
    </row>
    <row r="14180" spans="39:41" ht="12" customHeight="1" x14ac:dyDescent="0.2">
      <c r="AM14180" t="str">
        <f t="shared" si="221"/>
        <v>Shinkawa, Kagoshima [JPSNK]</v>
      </c>
      <c r="AN14180" t="s">
        <v>20800</v>
      </c>
      <c r="AO14180" t="s">
        <v>20801</v>
      </c>
    </row>
    <row r="14181" spans="39:41" ht="12" customHeight="1" x14ac:dyDescent="0.2">
      <c r="AM14181" t="str">
        <f t="shared" si="221"/>
        <v>Shinkiba [JPSHK]</v>
      </c>
      <c r="AN14181" t="s">
        <v>20802</v>
      </c>
      <c r="AO14181" t="s">
        <v>20803</v>
      </c>
    </row>
    <row r="14182" spans="39:41" ht="12" customHeight="1" x14ac:dyDescent="0.2">
      <c r="AM14182" t="str">
        <f t="shared" si="221"/>
        <v>Shinko [JPSHJ]</v>
      </c>
      <c r="AN14182" t="s">
        <v>20804</v>
      </c>
      <c r="AO14182" t="s">
        <v>20805</v>
      </c>
    </row>
    <row r="14183" spans="39:41" ht="12" customHeight="1" x14ac:dyDescent="0.2">
      <c r="AM14183" t="str">
        <f t="shared" si="221"/>
        <v>Shinma [KRSMA]</v>
      </c>
      <c r="AN14183" t="s">
        <v>21720</v>
      </c>
      <c r="AO14183" t="s">
        <v>21721</v>
      </c>
    </row>
    <row r="14184" spans="39:41" ht="12" customHeight="1" x14ac:dyDescent="0.2">
      <c r="AM14184" t="str">
        <f t="shared" si="221"/>
        <v>Shinmoji [JPSMJ]</v>
      </c>
      <c r="AN14184" t="s">
        <v>20806</v>
      </c>
      <c r="AO14184" t="s">
        <v>20807</v>
      </c>
    </row>
    <row r="14185" spans="39:41" ht="12" customHeight="1" x14ac:dyDescent="0.2">
      <c r="AM14185" t="str">
        <f t="shared" si="221"/>
        <v>Shinness [GBSYL]</v>
      </c>
      <c r="AN14185" t="s">
        <v>14472</v>
      </c>
      <c r="AO14185" t="s">
        <v>14473</v>
      </c>
    </row>
    <row r="14186" spans="39:41" ht="12" customHeight="1" x14ac:dyDescent="0.2">
      <c r="AM14186" t="str">
        <f t="shared" si="221"/>
        <v>Shinojima [JPSNJ]</v>
      </c>
      <c r="AN14186" t="s">
        <v>20808</v>
      </c>
      <c r="AO14186" t="s">
        <v>20809</v>
      </c>
    </row>
    <row r="14187" spans="39:41" ht="12" customHeight="1" x14ac:dyDescent="0.2">
      <c r="AM14187" t="str">
        <f t="shared" si="221"/>
        <v>Shinokawa [JPSNW]</v>
      </c>
      <c r="AN14187" t="s">
        <v>20810</v>
      </c>
      <c r="AO14187" t="s">
        <v>20811</v>
      </c>
    </row>
    <row r="14188" spans="39:41" ht="12" customHeight="1" x14ac:dyDescent="0.2">
      <c r="AM14188" t="str">
        <f t="shared" ref="AM14188:AM14251" si="222">AO14188 &amp; " [" &amp; AN14188 &amp; "]"</f>
        <v>Shinzaike [JPSNZ]</v>
      </c>
      <c r="AN14188" t="s">
        <v>20812</v>
      </c>
      <c r="AO14188" t="s">
        <v>20813</v>
      </c>
    </row>
    <row r="14189" spans="39:41" ht="12" customHeight="1" x14ac:dyDescent="0.2">
      <c r="AM14189" t="str">
        <f t="shared" si="222"/>
        <v>Shiogatani [JPSGT]</v>
      </c>
      <c r="AN14189" t="s">
        <v>20814</v>
      </c>
      <c r="AO14189" t="s">
        <v>20815</v>
      </c>
    </row>
    <row r="14190" spans="39:41" ht="12" customHeight="1" x14ac:dyDescent="0.2">
      <c r="AM14190" t="str">
        <f t="shared" si="222"/>
        <v>Shiohama [JPSOH]</v>
      </c>
      <c r="AN14190" t="s">
        <v>20816</v>
      </c>
      <c r="AO14190" t="s">
        <v>20817</v>
      </c>
    </row>
    <row r="14191" spans="39:41" ht="12" customHeight="1" x14ac:dyDescent="0.2">
      <c r="AM14191" t="str">
        <f t="shared" si="222"/>
        <v>Shioya, Ishikawa [JPSIO]</v>
      </c>
      <c r="AN14191" t="s">
        <v>20818</v>
      </c>
      <c r="AO14191" t="s">
        <v>20819</v>
      </c>
    </row>
    <row r="14192" spans="39:41" ht="12" customHeight="1" x14ac:dyDescent="0.2">
      <c r="AM14192" t="str">
        <f t="shared" si="222"/>
        <v>Shioya, Okinawa [JPSYA]</v>
      </c>
      <c r="AN14192" t="s">
        <v>20820</v>
      </c>
      <c r="AO14192" t="s">
        <v>20821</v>
      </c>
    </row>
    <row r="14193" spans="39:41" ht="12" customHeight="1" x14ac:dyDescent="0.2">
      <c r="AM14193" t="str">
        <f t="shared" si="222"/>
        <v>Shioyagamoto [JPSYG]</v>
      </c>
      <c r="AN14193" t="s">
        <v>20822</v>
      </c>
      <c r="AO14193" t="s">
        <v>20823</v>
      </c>
    </row>
    <row r="14194" spans="39:41" ht="12" customHeight="1" x14ac:dyDescent="0.2">
      <c r="AM14194" t="str">
        <f t="shared" si="222"/>
        <v>Ship Bottom [USSBQ]</v>
      </c>
      <c r="AN14194" t="s">
        <v>31479</v>
      </c>
      <c r="AO14194" t="s">
        <v>31480</v>
      </c>
    </row>
    <row r="14195" spans="39:41" ht="12" customHeight="1" x14ac:dyDescent="0.2">
      <c r="AM14195" t="str">
        <f t="shared" si="222"/>
        <v>Ship Island [USIPX]</v>
      </c>
      <c r="AN14195" t="s">
        <v>31481</v>
      </c>
      <c r="AO14195" t="s">
        <v>31482</v>
      </c>
    </row>
    <row r="14196" spans="39:41" ht="12" customHeight="1" x14ac:dyDescent="0.2">
      <c r="AM14196" t="str">
        <f t="shared" si="222"/>
        <v>Shipai [CNSPI]</v>
      </c>
      <c r="AN14196" t="s">
        <v>6045</v>
      </c>
      <c r="AO14196" t="s">
        <v>6046</v>
      </c>
    </row>
    <row r="14197" spans="39:41" ht="12" customHeight="1" x14ac:dyDescent="0.2">
      <c r="AM14197" t="str">
        <f t="shared" si="222"/>
        <v>Shippegan [CASHP]</v>
      </c>
      <c r="AN14197" t="s">
        <v>4457</v>
      </c>
      <c r="AO14197" t="s">
        <v>4458</v>
      </c>
    </row>
    <row r="14198" spans="39:41" ht="12" customHeight="1" x14ac:dyDescent="0.2">
      <c r="AM14198" t="str">
        <f t="shared" si="222"/>
        <v>Shipu [CNXSP]</v>
      </c>
      <c r="AN14198" t="s">
        <v>6047</v>
      </c>
      <c r="AO14198" t="s">
        <v>6048</v>
      </c>
    </row>
    <row r="14199" spans="39:41" ht="12" customHeight="1" x14ac:dyDescent="0.2">
      <c r="AM14199" t="str">
        <f t="shared" si="222"/>
        <v>Shiqi [CNSHQ]</v>
      </c>
      <c r="AN14199" t="s">
        <v>6049</v>
      </c>
      <c r="AO14199" t="s">
        <v>6050</v>
      </c>
    </row>
    <row r="14200" spans="39:41" ht="12" customHeight="1" x14ac:dyDescent="0.2">
      <c r="AM14200" t="str">
        <f t="shared" si="222"/>
        <v>Shiqiao [CNPNY]</v>
      </c>
      <c r="AN14200" t="s">
        <v>6051</v>
      </c>
      <c r="AO14200" t="s">
        <v>6052</v>
      </c>
    </row>
    <row r="14201" spans="39:41" ht="12" customHeight="1" x14ac:dyDescent="0.2">
      <c r="AM14201" t="str">
        <f t="shared" si="222"/>
        <v>Shiqu Pt [CNSIP]</v>
      </c>
      <c r="AN14201" t="s">
        <v>6053</v>
      </c>
      <c r="AO14201" t="s">
        <v>6054</v>
      </c>
    </row>
    <row r="14202" spans="39:41" ht="12" customHeight="1" x14ac:dyDescent="0.2">
      <c r="AM14202" t="str">
        <f t="shared" si="222"/>
        <v>Shirahama, Chiba [JPSRX]</v>
      </c>
      <c r="AN14202" t="s">
        <v>20824</v>
      </c>
      <c r="AO14202" t="s">
        <v>20825</v>
      </c>
    </row>
    <row r="14203" spans="39:41" ht="12" customHeight="1" x14ac:dyDescent="0.2">
      <c r="AM14203" t="str">
        <f t="shared" si="222"/>
        <v>Shirahama, Kagawa [JPSRH]</v>
      </c>
      <c r="AN14203" t="s">
        <v>20826</v>
      </c>
      <c r="AO14203" t="s">
        <v>20827</v>
      </c>
    </row>
    <row r="14204" spans="39:41" ht="12" customHeight="1" x14ac:dyDescent="0.2">
      <c r="AM14204" t="str">
        <f t="shared" si="222"/>
        <v>Shirahama, Kagoshima [JPSHH]</v>
      </c>
      <c r="AN14204" t="s">
        <v>20828</v>
      </c>
      <c r="AO14204" t="s">
        <v>20829</v>
      </c>
    </row>
    <row r="14205" spans="39:41" ht="12" customHeight="1" x14ac:dyDescent="0.2">
      <c r="AM14205" t="str">
        <f t="shared" si="222"/>
        <v>Shirahama, Nagasaki [JPSIR]</v>
      </c>
      <c r="AN14205" t="s">
        <v>20830</v>
      </c>
      <c r="AO14205" t="s">
        <v>20831</v>
      </c>
    </row>
    <row r="14206" spans="39:41" ht="12" customHeight="1" x14ac:dyDescent="0.2">
      <c r="AM14206" t="str">
        <f t="shared" si="222"/>
        <v>Shirahama, Okinawa [JPSIH]</v>
      </c>
      <c r="AN14206" t="s">
        <v>20832</v>
      </c>
      <c r="AO14206" t="s">
        <v>20833</v>
      </c>
    </row>
    <row r="14207" spans="39:41" ht="12" customHeight="1" x14ac:dyDescent="0.2">
      <c r="AM14207" t="str">
        <f t="shared" si="222"/>
        <v>Shirakata [JPSRT]</v>
      </c>
      <c r="AN14207" t="s">
        <v>20834</v>
      </c>
      <c r="AO14207" t="s">
        <v>20835</v>
      </c>
    </row>
    <row r="14208" spans="39:41" ht="12" customHeight="1" x14ac:dyDescent="0.2">
      <c r="AM14208" t="str">
        <f t="shared" si="222"/>
        <v>Shiraki [JPSRA]</v>
      </c>
      <c r="AN14208" t="s">
        <v>20836</v>
      </c>
      <c r="AO14208" t="s">
        <v>20837</v>
      </c>
    </row>
    <row r="14209" spans="39:41" ht="12" customHeight="1" x14ac:dyDescent="0.2">
      <c r="AM14209" t="str">
        <f t="shared" si="222"/>
        <v>Shiraku [JPSKU]</v>
      </c>
      <c r="AN14209" t="s">
        <v>20838</v>
      </c>
      <c r="AO14209" t="s">
        <v>20839</v>
      </c>
    </row>
    <row r="14210" spans="39:41" ht="12" customHeight="1" x14ac:dyDescent="0.2">
      <c r="AM14210" t="str">
        <f t="shared" si="222"/>
        <v>Shiraoi [JPSRO]</v>
      </c>
      <c r="AN14210" t="s">
        <v>20840</v>
      </c>
      <c r="AO14210" t="s">
        <v>20841</v>
      </c>
    </row>
    <row r="14211" spans="39:41" ht="12" customHeight="1" x14ac:dyDescent="0.2">
      <c r="AM14211" t="str">
        <f t="shared" si="222"/>
        <v>Shiraz [IRSYZ]</v>
      </c>
      <c r="AN14211" t="s">
        <v>17657</v>
      </c>
      <c r="AO14211" t="s">
        <v>17658</v>
      </c>
    </row>
    <row r="14212" spans="39:41" ht="12" customHeight="1" x14ac:dyDescent="0.2">
      <c r="AM14212" t="str">
        <f t="shared" si="222"/>
        <v>Shiriyazaki [JPSYZ]</v>
      </c>
      <c r="AN14212" t="s">
        <v>20842</v>
      </c>
      <c r="AO14212" t="s">
        <v>20843</v>
      </c>
    </row>
    <row r="14213" spans="39:41" ht="12" customHeight="1" x14ac:dyDescent="0.2">
      <c r="AM14213" t="str">
        <f t="shared" si="222"/>
        <v>Shiro [JPSRJ]</v>
      </c>
      <c r="AN14213" t="s">
        <v>20844</v>
      </c>
      <c r="AO14213" t="s">
        <v>20845</v>
      </c>
    </row>
    <row r="14214" spans="39:41" ht="12" customHeight="1" x14ac:dyDescent="0.2">
      <c r="AM14214" t="str">
        <f t="shared" si="222"/>
        <v>Shiroko [JPSJR]</v>
      </c>
      <c r="AN14214" t="s">
        <v>20846</v>
      </c>
      <c r="AO14214" t="s">
        <v>20847</v>
      </c>
    </row>
    <row r="14215" spans="39:41" ht="12" customHeight="1" x14ac:dyDescent="0.2">
      <c r="AM14215" t="str">
        <f t="shared" si="222"/>
        <v>Shirola [INSHI]</v>
      </c>
      <c r="AN14215" t="s">
        <v>17443</v>
      </c>
      <c r="AO14215" t="s">
        <v>17444</v>
      </c>
    </row>
    <row r="14216" spans="39:41" ht="12" customHeight="1" x14ac:dyDescent="0.2">
      <c r="AM14216" t="str">
        <f t="shared" si="222"/>
        <v>Shirosaki [JPSRK]</v>
      </c>
      <c r="AN14216" t="s">
        <v>20848</v>
      </c>
      <c r="AO14216" t="s">
        <v>20849</v>
      </c>
    </row>
    <row r="14217" spans="39:41" ht="12" customHeight="1" x14ac:dyDescent="0.2">
      <c r="AM14217" t="str">
        <f t="shared" si="222"/>
        <v>Shirose [JPSRS]</v>
      </c>
      <c r="AN14217" t="s">
        <v>20850</v>
      </c>
      <c r="AO14217" t="s">
        <v>20851</v>
      </c>
    </row>
    <row r="14218" spans="39:41" ht="12" customHeight="1" x14ac:dyDescent="0.2">
      <c r="AM14218" t="str">
        <f t="shared" si="222"/>
        <v>Shirotori [JPSTR]</v>
      </c>
      <c r="AN14218" t="s">
        <v>20852</v>
      </c>
      <c r="AO14218" t="s">
        <v>20853</v>
      </c>
    </row>
    <row r="14219" spans="39:41" ht="12" customHeight="1" x14ac:dyDescent="0.2">
      <c r="AM14219" t="str">
        <f t="shared" si="222"/>
        <v>Shirvan [AZSHI]</v>
      </c>
      <c r="AN14219" t="s">
        <v>2160</v>
      </c>
      <c r="AO14219" t="s">
        <v>2161</v>
      </c>
    </row>
    <row r="14220" spans="39:41" ht="12" customHeight="1" x14ac:dyDescent="0.2">
      <c r="AM14220" t="str">
        <f t="shared" si="222"/>
        <v>Shisakajima [JPSSJ]</v>
      </c>
      <c r="AN14220" t="s">
        <v>20854</v>
      </c>
      <c r="AO14220" t="s">
        <v>20855</v>
      </c>
    </row>
    <row r="14221" spans="39:41" ht="12" customHeight="1" x14ac:dyDescent="0.2">
      <c r="AM14221" t="str">
        <f t="shared" si="222"/>
        <v>Shishi [CNSHH]</v>
      </c>
      <c r="AN14221" t="s">
        <v>6055</v>
      </c>
      <c r="AO14221" t="s">
        <v>6056</v>
      </c>
    </row>
    <row r="14222" spans="39:41" ht="12" customHeight="1" x14ac:dyDescent="0.2">
      <c r="AM14222" t="str">
        <f t="shared" si="222"/>
        <v>Shishiboe [JPSSH]</v>
      </c>
      <c r="AN14222" t="s">
        <v>20856</v>
      </c>
      <c r="AO14222" t="s">
        <v>20857</v>
      </c>
    </row>
    <row r="14223" spans="39:41" ht="12" customHeight="1" x14ac:dyDescent="0.2">
      <c r="AM14223" t="str">
        <f t="shared" si="222"/>
        <v>Shishijima, Kagawa [JPSJI]</v>
      </c>
      <c r="AN14223" t="s">
        <v>20858</v>
      </c>
      <c r="AO14223" t="s">
        <v>20859</v>
      </c>
    </row>
    <row r="14224" spans="39:41" ht="12" customHeight="1" x14ac:dyDescent="0.2">
      <c r="AM14224" t="str">
        <f t="shared" si="222"/>
        <v>Shishijima, Kagoshima [JPSJM]</v>
      </c>
      <c r="AN14224" t="s">
        <v>20860</v>
      </c>
      <c r="AO14224" t="s">
        <v>20861</v>
      </c>
    </row>
    <row r="14225" spans="39:41" ht="12" customHeight="1" x14ac:dyDescent="0.2">
      <c r="AM14225" t="str">
        <f t="shared" si="222"/>
        <v>Shishikui [JPSIS]</v>
      </c>
      <c r="AN14225" t="s">
        <v>20862</v>
      </c>
      <c r="AO14225" t="s">
        <v>20863</v>
      </c>
    </row>
    <row r="14226" spans="39:41" ht="12" customHeight="1" x14ac:dyDescent="0.2">
      <c r="AM14226" t="str">
        <f t="shared" si="222"/>
        <v>Shishimi [JPSSM]</v>
      </c>
      <c r="AN14226" t="s">
        <v>20864</v>
      </c>
      <c r="AO14226" t="s">
        <v>20865</v>
      </c>
    </row>
    <row r="14227" spans="39:41" ht="12" customHeight="1" x14ac:dyDescent="0.2">
      <c r="AM14227" t="str">
        <f t="shared" si="222"/>
        <v>Shiskine [GBSSK]</v>
      </c>
      <c r="AN14227" t="s">
        <v>14474</v>
      </c>
      <c r="AO14227" t="s">
        <v>14475</v>
      </c>
    </row>
    <row r="14228" spans="39:41" ht="12" customHeight="1" x14ac:dyDescent="0.2">
      <c r="AM14228" t="str">
        <f t="shared" si="222"/>
        <v>Shitaba [JPSTB]</v>
      </c>
      <c r="AN14228" t="s">
        <v>20866</v>
      </c>
      <c r="AO14228" t="s">
        <v>20867</v>
      </c>
    </row>
    <row r="14229" spans="39:41" ht="12" customHeight="1" x14ac:dyDescent="0.2">
      <c r="AM14229" t="str">
        <f t="shared" si="222"/>
        <v>Shitanoe [JPSNO]</v>
      </c>
      <c r="AN14229" t="s">
        <v>20868</v>
      </c>
      <c r="AO14229" t="s">
        <v>20869</v>
      </c>
    </row>
    <row r="14230" spans="39:41" ht="12" customHeight="1" x14ac:dyDescent="0.2">
      <c r="AM14230" t="str">
        <f t="shared" si="222"/>
        <v>Shitanoura [JPSIT]</v>
      </c>
      <c r="AN14230" t="s">
        <v>20870</v>
      </c>
      <c r="AO14230" t="s">
        <v>20871</v>
      </c>
    </row>
    <row r="14231" spans="39:41" ht="12" customHeight="1" x14ac:dyDescent="0.2">
      <c r="AM14231" t="str">
        <f t="shared" si="222"/>
        <v>Shitooke [JPSDK]</v>
      </c>
      <c r="AN14231" t="s">
        <v>20872</v>
      </c>
      <c r="AO14231" t="s">
        <v>20873</v>
      </c>
    </row>
    <row r="14232" spans="39:41" ht="12" customHeight="1" x14ac:dyDescent="0.2">
      <c r="AM14232" t="str">
        <f t="shared" si="222"/>
        <v>Shitoubu Pt [CNSTB]</v>
      </c>
      <c r="AN14232" t="s">
        <v>6057</v>
      </c>
      <c r="AO14232" t="s">
        <v>6058</v>
      </c>
    </row>
    <row r="14233" spans="39:41" ht="12" customHeight="1" x14ac:dyDescent="0.2">
      <c r="AM14233" t="str">
        <f t="shared" si="222"/>
        <v>Shiwan [CNSAN]</v>
      </c>
      <c r="AN14233" t="s">
        <v>6059</v>
      </c>
      <c r="AO14233" t="s">
        <v>6060</v>
      </c>
    </row>
    <row r="14234" spans="39:41" ht="12" customHeight="1" x14ac:dyDescent="0.2">
      <c r="AM14234" t="str">
        <f t="shared" si="222"/>
        <v>Shiwei [CNSWI]</v>
      </c>
      <c r="AN14234" t="s">
        <v>6061</v>
      </c>
      <c r="AO14234" t="s">
        <v>6062</v>
      </c>
    </row>
    <row r="14235" spans="39:41" ht="12" customHeight="1" x14ac:dyDescent="0.2">
      <c r="AM14235" t="str">
        <f t="shared" si="222"/>
        <v>Shiyang [CNSYG]</v>
      </c>
      <c r="AN14235" t="s">
        <v>6063</v>
      </c>
      <c r="AO14235" t="s">
        <v>6064</v>
      </c>
    </row>
    <row r="14236" spans="39:41" ht="12" customHeight="1" x14ac:dyDescent="0.2">
      <c r="AM14236" t="str">
        <f t="shared" si="222"/>
        <v>Shizhu [CNSIU]</v>
      </c>
      <c r="AN14236" t="s">
        <v>6065</v>
      </c>
      <c r="AO14236" t="s">
        <v>6066</v>
      </c>
    </row>
    <row r="14237" spans="39:41" ht="12" customHeight="1" x14ac:dyDescent="0.2">
      <c r="AM14237" t="str">
        <f t="shared" si="222"/>
        <v>Shizugawa [JPSZG]</v>
      </c>
      <c r="AN14237" t="s">
        <v>20874</v>
      </c>
      <c r="AO14237" t="s">
        <v>20875</v>
      </c>
    </row>
    <row r="14238" spans="39:41" ht="12" customHeight="1" x14ac:dyDescent="0.2">
      <c r="AM14238" t="str">
        <f t="shared" si="222"/>
        <v>Shizuura [JPSZU]</v>
      </c>
      <c r="AN14238" t="s">
        <v>20876</v>
      </c>
      <c r="AO14238" t="s">
        <v>20877</v>
      </c>
    </row>
    <row r="14239" spans="39:41" ht="12" customHeight="1" x14ac:dyDescent="0.2">
      <c r="AM14239" t="str">
        <f t="shared" si="222"/>
        <v>Shobdon [GBEEN]</v>
      </c>
      <c r="AN14239" t="s">
        <v>14476</v>
      </c>
      <c r="AO14239" t="s">
        <v>14477</v>
      </c>
    </row>
    <row r="14240" spans="39:41" ht="12" customHeight="1" x14ac:dyDescent="0.2">
      <c r="AM14240" t="str">
        <f t="shared" si="222"/>
        <v>Shonan [JPSNN]</v>
      </c>
      <c r="AN14240" t="s">
        <v>20878</v>
      </c>
      <c r="AO14240" t="s">
        <v>20879</v>
      </c>
    </row>
    <row r="14241" spans="39:41" ht="12" customHeight="1" x14ac:dyDescent="0.2">
      <c r="AM14241" t="str">
        <f t="shared" si="222"/>
        <v>Shoreham [GBSHO]</v>
      </c>
      <c r="AN14241" t="s">
        <v>14478</v>
      </c>
      <c r="AO14241" t="s">
        <v>14479</v>
      </c>
    </row>
    <row r="14242" spans="39:41" ht="12" customHeight="1" x14ac:dyDescent="0.2">
      <c r="AM14242" t="str">
        <f t="shared" si="222"/>
        <v>Shoreham-by-Sea [GBESH]</v>
      </c>
      <c r="AN14242" t="s">
        <v>14480</v>
      </c>
      <c r="AO14242" t="s">
        <v>14481</v>
      </c>
    </row>
    <row r="14243" spans="39:41" ht="12" customHeight="1" x14ac:dyDescent="0.2">
      <c r="AM14243" t="str">
        <f t="shared" si="222"/>
        <v>Short Hills [USXSY]</v>
      </c>
      <c r="AN14243" t="s">
        <v>31483</v>
      </c>
      <c r="AO14243" t="s">
        <v>31484</v>
      </c>
    </row>
    <row r="14244" spans="39:41" ht="12" customHeight="1" x14ac:dyDescent="0.2">
      <c r="AM14244" t="str">
        <f t="shared" si="222"/>
        <v>Shortland Harbour [SBSHH]</v>
      </c>
      <c r="AN14244" t="s">
        <v>27459</v>
      </c>
      <c r="AO14244" t="s">
        <v>27460</v>
      </c>
    </row>
    <row r="14245" spans="39:41" ht="12" customHeight="1" x14ac:dyDescent="0.2">
      <c r="AM14245" t="str">
        <f t="shared" si="222"/>
        <v>Shotton [GBSHT]</v>
      </c>
      <c r="AN14245" t="s">
        <v>14482</v>
      </c>
      <c r="AO14245" t="s">
        <v>14483</v>
      </c>
    </row>
    <row r="14246" spans="39:41" ht="12" customHeight="1" x14ac:dyDescent="0.2">
      <c r="AM14246" t="str">
        <f t="shared" si="222"/>
        <v>Shotts [GBOHT]</v>
      </c>
      <c r="AN14246" t="s">
        <v>14484</v>
      </c>
      <c r="AO14246" t="s">
        <v>14485</v>
      </c>
    </row>
    <row r="14247" spans="39:41" ht="12" customHeight="1" x14ac:dyDescent="0.2">
      <c r="AM14247" t="str">
        <f t="shared" si="222"/>
        <v>Shoura [JPSYO]</v>
      </c>
      <c r="AN14247" t="s">
        <v>20880</v>
      </c>
      <c r="AO14247" t="s">
        <v>20881</v>
      </c>
    </row>
    <row r="14248" spans="39:41" ht="12" customHeight="1" x14ac:dyDescent="0.2">
      <c r="AM14248" t="str">
        <f t="shared" si="222"/>
        <v>Shriwardhan [INSWD]</v>
      </c>
      <c r="AN14248" t="s">
        <v>17445</v>
      </c>
      <c r="AO14248" t="s">
        <v>17446</v>
      </c>
    </row>
    <row r="14249" spans="39:41" ht="12" customHeight="1" x14ac:dyDescent="0.2">
      <c r="AM14249" t="str">
        <f t="shared" si="222"/>
        <v>Shuaiba [KWSAA]</v>
      </c>
      <c r="AN14249" t="s">
        <v>21768</v>
      </c>
      <c r="AO14249" t="s">
        <v>21769</v>
      </c>
    </row>
    <row r="14250" spans="39:41" ht="12" customHeight="1" x14ac:dyDescent="0.2">
      <c r="AM14250" t="str">
        <f t="shared" si="222"/>
        <v>Shuangshui [CNSSP]</v>
      </c>
      <c r="AN14250" t="s">
        <v>6067</v>
      </c>
      <c r="AO14250" t="s">
        <v>6068</v>
      </c>
    </row>
    <row r="14251" spans="39:41" ht="12" customHeight="1" x14ac:dyDescent="0.2">
      <c r="AM14251" t="str">
        <f t="shared" si="222"/>
        <v>Shuidong Pt [CNSDG]</v>
      </c>
      <c r="AN14251" t="s">
        <v>6069</v>
      </c>
      <c r="AO14251" t="s">
        <v>6070</v>
      </c>
    </row>
    <row r="14252" spans="39:41" ht="12" customHeight="1" x14ac:dyDescent="0.2">
      <c r="AM14252" t="str">
        <f t="shared" ref="AM14252:AM14315" si="223">AO14252 &amp; " [" &amp; AN14252 &amp; "]"</f>
        <v>Shuikou [CNSIK]</v>
      </c>
      <c r="AN14252" t="s">
        <v>6071</v>
      </c>
      <c r="AO14252" t="s">
        <v>6072</v>
      </c>
    </row>
    <row r="14253" spans="39:41" ht="12" customHeight="1" x14ac:dyDescent="0.2">
      <c r="AM14253" t="str">
        <f t="shared" si="223"/>
        <v>Shukunoura [JPSNR]</v>
      </c>
      <c r="AN14253" t="s">
        <v>20882</v>
      </c>
      <c r="AO14253" t="s">
        <v>20883</v>
      </c>
    </row>
    <row r="14254" spans="39:41" ht="12" customHeight="1" x14ac:dyDescent="0.2">
      <c r="AM14254" t="str">
        <f t="shared" si="223"/>
        <v>Shunde Pt [CNSUD]</v>
      </c>
      <c r="AN14254" t="s">
        <v>6073</v>
      </c>
      <c r="AO14254" t="s">
        <v>6074</v>
      </c>
    </row>
    <row r="14255" spans="39:41" ht="12" customHeight="1" x14ac:dyDescent="0.2">
      <c r="AM14255" t="str">
        <f t="shared" si="223"/>
        <v>Shuolong [CNSHL]</v>
      </c>
      <c r="AN14255" t="s">
        <v>6075</v>
      </c>
      <c r="AO14255" t="s">
        <v>6076</v>
      </c>
    </row>
    <row r="14256" spans="39:41" ht="12" customHeight="1" x14ac:dyDescent="0.2">
      <c r="AM14256" t="str">
        <f t="shared" si="223"/>
        <v>Shushi [JPSHU]</v>
      </c>
      <c r="AN14256" t="s">
        <v>20884</v>
      </c>
      <c r="AO14256" t="s">
        <v>20885</v>
      </c>
    </row>
    <row r="14257" spans="39:41" ht="12" customHeight="1" x14ac:dyDescent="0.2">
      <c r="AM14257" t="str">
        <f t="shared" si="223"/>
        <v>Shuwaikh [KWSWK]</v>
      </c>
      <c r="AN14257" t="s">
        <v>21770</v>
      </c>
      <c r="AO14257" t="s">
        <v>21771</v>
      </c>
    </row>
    <row r="14258" spans="39:41" ht="12" customHeight="1" x14ac:dyDescent="0.2">
      <c r="AM14258" t="str">
        <f t="shared" si="223"/>
        <v>Si Racha [THSIR]</v>
      </c>
      <c r="AN14258" t="s">
        <v>28284</v>
      </c>
      <c r="AO14258" t="s">
        <v>28285</v>
      </c>
    </row>
    <row r="14259" spans="39:41" ht="12" customHeight="1" x14ac:dyDescent="0.2">
      <c r="AM14259" t="str">
        <f t="shared" si="223"/>
        <v>Siain, Luzon [PHSIN]</v>
      </c>
      <c r="AN14259" t="s">
        <v>26144</v>
      </c>
      <c r="AO14259" t="s">
        <v>26145</v>
      </c>
    </row>
    <row r="14260" spans="39:41" ht="12" customHeight="1" x14ac:dyDescent="0.2">
      <c r="AM14260" t="str">
        <f t="shared" si="223"/>
        <v>Siak Yechil, Riau [IDSIA]</v>
      </c>
      <c r="AN14260" t="s">
        <v>16593</v>
      </c>
      <c r="AO14260" t="s">
        <v>16594</v>
      </c>
    </row>
    <row r="14261" spans="39:41" ht="12" customHeight="1" x14ac:dyDescent="0.2">
      <c r="AM14261" t="str">
        <f t="shared" si="223"/>
        <v>Siam Bangkok Port [THSBP]</v>
      </c>
      <c r="AN14261" t="s">
        <v>28286</v>
      </c>
      <c r="AO14261" t="s">
        <v>28287</v>
      </c>
    </row>
    <row r="14262" spans="39:41" ht="12" customHeight="1" x14ac:dyDescent="0.2">
      <c r="AM14262" t="str">
        <f t="shared" si="223"/>
        <v>Siamgas and Petrochemicals [THSSW]</v>
      </c>
      <c r="AN14262" t="s">
        <v>33944</v>
      </c>
      <c r="AO14262" t="s">
        <v>34066</v>
      </c>
    </row>
    <row r="14263" spans="39:41" ht="12" customHeight="1" x14ac:dyDescent="0.2">
      <c r="AM14263" t="str">
        <f t="shared" si="223"/>
        <v>Siari/Ozamis [PHSIR]</v>
      </c>
      <c r="AN14263" t="s">
        <v>26146</v>
      </c>
      <c r="AO14263" t="s">
        <v>26147</v>
      </c>
    </row>
    <row r="14264" spans="39:41" ht="12" customHeight="1" x14ac:dyDescent="0.2">
      <c r="AM14264" t="str">
        <f t="shared" si="223"/>
        <v>Siavonga [ZMSIA]</v>
      </c>
      <c r="AN14264" t="s">
        <v>32752</v>
      </c>
      <c r="AO14264" t="s">
        <v>32753</v>
      </c>
    </row>
    <row r="14265" spans="39:41" ht="12" customHeight="1" x14ac:dyDescent="0.2">
      <c r="AM14265" t="str">
        <f t="shared" si="223"/>
        <v>Siay/Zamboanga [PHSIY]</v>
      </c>
      <c r="AN14265" t="s">
        <v>26148</v>
      </c>
      <c r="AO14265" t="s">
        <v>26149</v>
      </c>
    </row>
    <row r="14266" spans="39:41" ht="12" customHeight="1" x14ac:dyDescent="0.2">
      <c r="AM14266" t="str">
        <f t="shared" si="223"/>
        <v>Siaya [KESIA]</v>
      </c>
      <c r="AN14266" t="s">
        <v>21536</v>
      </c>
      <c r="AO14266" t="s">
        <v>21537</v>
      </c>
    </row>
    <row r="14267" spans="39:41" ht="12" customHeight="1" x14ac:dyDescent="0.2">
      <c r="AM14267" t="str">
        <f t="shared" si="223"/>
        <v>Sibbo (Sipoo) [FISIP]</v>
      </c>
      <c r="AN14267" t="s">
        <v>10538</v>
      </c>
      <c r="AO14267" t="s">
        <v>10539</v>
      </c>
    </row>
    <row r="14268" spans="39:41" ht="12" customHeight="1" x14ac:dyDescent="0.2">
      <c r="AM14268" t="str">
        <f t="shared" si="223"/>
        <v>Sibenik [HRSIB]</v>
      </c>
      <c r="AN14268" t="s">
        <v>15913</v>
      </c>
      <c r="AO14268" t="s">
        <v>15914</v>
      </c>
    </row>
    <row r="14269" spans="39:41" ht="12" customHeight="1" x14ac:dyDescent="0.2">
      <c r="AM14269" t="str">
        <f t="shared" si="223"/>
        <v>Sibolga, Sumatra [IDSLG]</v>
      </c>
      <c r="AN14269" t="s">
        <v>16595</v>
      </c>
      <c r="AO14269" t="s">
        <v>16596</v>
      </c>
    </row>
    <row r="14270" spans="39:41" ht="12" customHeight="1" x14ac:dyDescent="0.2">
      <c r="AM14270" t="str">
        <f t="shared" si="223"/>
        <v>Sibu, Sarawak [MYSBW]</v>
      </c>
      <c r="AN14270" t="s">
        <v>22747</v>
      </c>
      <c r="AO14270" t="s">
        <v>22748</v>
      </c>
    </row>
    <row r="14271" spans="39:41" ht="12" customHeight="1" x14ac:dyDescent="0.2">
      <c r="AM14271" t="str">
        <f t="shared" si="223"/>
        <v>Sibuko Bay [XZSBY]</v>
      </c>
      <c r="AN14271" t="s">
        <v>32595</v>
      </c>
      <c r="AO14271" t="s">
        <v>32596</v>
      </c>
    </row>
    <row r="14272" spans="39:41" ht="12" customHeight="1" x14ac:dyDescent="0.2">
      <c r="AM14272" t="str">
        <f t="shared" si="223"/>
        <v>Sicamous [CASIO]</v>
      </c>
      <c r="AN14272" t="s">
        <v>4459</v>
      </c>
      <c r="AO14272" t="s">
        <v>4460</v>
      </c>
    </row>
    <row r="14273" spans="39:41" ht="12" customHeight="1" x14ac:dyDescent="0.2">
      <c r="AM14273" t="str">
        <f t="shared" si="223"/>
        <v>Sichol [THSIC]</v>
      </c>
      <c r="AN14273" t="s">
        <v>28288</v>
      </c>
      <c r="AO14273" t="s">
        <v>28289</v>
      </c>
    </row>
    <row r="14274" spans="39:41" ht="12" customHeight="1" x14ac:dyDescent="0.2">
      <c r="AM14274" t="str">
        <f t="shared" si="223"/>
        <v>Sicily-Malta [XZSIM]</v>
      </c>
      <c r="AN14274" t="s">
        <v>36645</v>
      </c>
      <c r="AO14274" t="s">
        <v>36646</v>
      </c>
    </row>
    <row r="14275" spans="39:41" ht="12" customHeight="1" x14ac:dyDescent="0.2">
      <c r="AM14275" t="str">
        <f t="shared" si="223"/>
        <v>Sidangoli [IDSID]</v>
      </c>
      <c r="AN14275" t="s">
        <v>16597</v>
      </c>
      <c r="AO14275" t="s">
        <v>16598</v>
      </c>
    </row>
    <row r="14276" spans="39:41" ht="12" customHeight="1" x14ac:dyDescent="0.2">
      <c r="AM14276" t="str">
        <f t="shared" si="223"/>
        <v>Siderno Marina [ITSID]</v>
      </c>
      <c r="AN14276" t="s">
        <v>18330</v>
      </c>
      <c r="AO14276" t="s">
        <v>18331</v>
      </c>
    </row>
    <row r="14277" spans="39:41" ht="12" customHeight="1" x14ac:dyDescent="0.2">
      <c r="AM14277" t="str">
        <f t="shared" si="223"/>
        <v>Sidi Barrani [EGSBA]</v>
      </c>
      <c r="AN14277" t="s">
        <v>9532</v>
      </c>
      <c r="AO14277" t="s">
        <v>9533</v>
      </c>
    </row>
    <row r="14278" spans="39:41" ht="12" customHeight="1" x14ac:dyDescent="0.2">
      <c r="AM14278" t="str">
        <f t="shared" si="223"/>
        <v>Sidi Ifni [MASII]</v>
      </c>
      <c r="AN14278" t="s">
        <v>22059</v>
      </c>
      <c r="AO14278" t="s">
        <v>22060</v>
      </c>
    </row>
    <row r="14279" spans="39:41" ht="12" customHeight="1" x14ac:dyDescent="0.2">
      <c r="AM14279" t="str">
        <f t="shared" si="223"/>
        <v>Sidi Kerir Terminal [EGSKT]</v>
      </c>
      <c r="AN14279" t="s">
        <v>36890</v>
      </c>
      <c r="AO14279" t="s">
        <v>36891</v>
      </c>
    </row>
    <row r="14280" spans="39:41" ht="12" customHeight="1" x14ac:dyDescent="0.2">
      <c r="AM14280" t="str">
        <f t="shared" si="223"/>
        <v>Sidlesham [GBSES]</v>
      </c>
      <c r="AN14280" t="s">
        <v>14486</v>
      </c>
      <c r="AO14280" t="s">
        <v>14487</v>
      </c>
    </row>
    <row r="14281" spans="39:41" ht="12" customHeight="1" x14ac:dyDescent="0.2">
      <c r="AM14281" t="str">
        <f t="shared" si="223"/>
        <v>Sidmouth [GBSDM]</v>
      </c>
      <c r="AN14281" t="s">
        <v>14488</v>
      </c>
      <c r="AO14281" t="s">
        <v>14489</v>
      </c>
    </row>
    <row r="14282" spans="39:41" ht="12" customHeight="1" x14ac:dyDescent="0.2">
      <c r="AM14282" t="str">
        <f t="shared" si="223"/>
        <v>Sidney [CASDY]</v>
      </c>
      <c r="AN14282" t="s">
        <v>4461</v>
      </c>
      <c r="AO14282" t="s">
        <v>4462</v>
      </c>
    </row>
    <row r="14283" spans="39:41" ht="12" customHeight="1" x14ac:dyDescent="0.2">
      <c r="AM14283" t="str">
        <f t="shared" si="223"/>
        <v>Sidney [USS7I]</v>
      </c>
      <c r="AN14283" t="s">
        <v>31485</v>
      </c>
      <c r="AO14283" t="s">
        <v>4462</v>
      </c>
    </row>
    <row r="14284" spans="39:41" ht="12" customHeight="1" x14ac:dyDescent="0.2">
      <c r="AM14284" t="str">
        <f t="shared" si="223"/>
        <v>Sidoarjo [IDSDJ]</v>
      </c>
      <c r="AN14284" t="s">
        <v>16599</v>
      </c>
      <c r="AO14284" t="s">
        <v>16600</v>
      </c>
    </row>
    <row r="14285" spans="39:41" ht="12" customHeight="1" x14ac:dyDescent="0.2">
      <c r="AM14285" t="str">
        <f t="shared" si="223"/>
        <v>Sidvokodvo [SZ7DS]</v>
      </c>
      <c r="AN14285" t="s">
        <v>28182</v>
      </c>
      <c r="AO14285" t="s">
        <v>28183</v>
      </c>
    </row>
    <row r="14286" spans="39:41" ht="12" customHeight="1" x14ac:dyDescent="0.2">
      <c r="AM14286" t="str">
        <f t="shared" si="223"/>
        <v>Sidwell [ZASID]</v>
      </c>
      <c r="AN14286" t="s">
        <v>32739</v>
      </c>
      <c r="AO14286" t="s">
        <v>32740</v>
      </c>
    </row>
    <row r="14287" spans="39:41" ht="12" customHeight="1" x14ac:dyDescent="0.2">
      <c r="AM14287" t="str">
        <f t="shared" si="223"/>
        <v>Siennica Rozana [PLSCA]</v>
      </c>
      <c r="AN14287" t="s">
        <v>26376</v>
      </c>
      <c r="AO14287" t="s">
        <v>36373</v>
      </c>
    </row>
    <row r="14288" spans="39:41" ht="12" customHeight="1" x14ac:dyDescent="0.2">
      <c r="AM14288" t="str">
        <f t="shared" si="223"/>
        <v>Sierra Vista [USSI7]</v>
      </c>
      <c r="AN14288" t="s">
        <v>31486</v>
      </c>
      <c r="AO14288" t="s">
        <v>31487</v>
      </c>
    </row>
    <row r="14289" spans="39:41" ht="12" customHeight="1" x14ac:dyDescent="0.2">
      <c r="AM14289" t="str">
        <f t="shared" si="223"/>
        <v>Sigatsuaru Vaikesadam [EESIG]</v>
      </c>
      <c r="AN14289" t="s">
        <v>34173</v>
      </c>
      <c r="AO14289" t="s">
        <v>34247</v>
      </c>
    </row>
    <row r="14290" spans="39:41" ht="12" customHeight="1" x14ac:dyDescent="0.2">
      <c r="AM14290" t="str">
        <f t="shared" si="223"/>
        <v>Sigave [WFSIG]</v>
      </c>
      <c r="AN14290" t="s">
        <v>32537</v>
      </c>
      <c r="AO14290" t="s">
        <v>36604</v>
      </c>
    </row>
    <row r="14291" spans="39:41" ht="12" customHeight="1" x14ac:dyDescent="0.2">
      <c r="AM14291" t="str">
        <f t="shared" si="223"/>
        <v>Sigayan/Parang [PHSIG]</v>
      </c>
      <c r="AN14291" t="s">
        <v>26150</v>
      </c>
      <c r="AO14291" t="s">
        <v>26151</v>
      </c>
    </row>
    <row r="14292" spans="39:41" ht="12" customHeight="1" x14ac:dyDescent="0.2">
      <c r="AM14292" t="str">
        <f t="shared" si="223"/>
        <v>Sigerfjord [NOSRD]</v>
      </c>
      <c r="AN14292" t="s">
        <v>24716</v>
      </c>
      <c r="AO14292" t="s">
        <v>24717</v>
      </c>
    </row>
    <row r="14293" spans="39:41" ht="12" customHeight="1" x14ac:dyDescent="0.2">
      <c r="AM14293" t="str">
        <f t="shared" si="223"/>
        <v>Siglufjordur - hofn [ISSIG]</v>
      </c>
      <c r="AN14293" t="s">
        <v>17760</v>
      </c>
      <c r="AO14293" t="s">
        <v>36066</v>
      </c>
    </row>
    <row r="14294" spans="39:41" ht="12" customHeight="1" x14ac:dyDescent="0.2">
      <c r="AM14294" t="str">
        <f t="shared" si="223"/>
        <v>Signy [AQSGN]</v>
      </c>
      <c r="AN14294" t="s">
        <v>965</v>
      </c>
      <c r="AO14294" t="s">
        <v>966</v>
      </c>
    </row>
    <row r="14295" spans="39:41" ht="12" customHeight="1" x14ac:dyDescent="0.2">
      <c r="AM14295" t="str">
        <f t="shared" si="223"/>
        <v>Sigri Lesvou [GRSGR]</v>
      </c>
      <c r="AN14295" t="s">
        <v>15512</v>
      </c>
      <c r="AO14295" t="s">
        <v>15513</v>
      </c>
    </row>
    <row r="14296" spans="39:41" ht="12" customHeight="1" x14ac:dyDescent="0.2">
      <c r="AM14296" t="str">
        <f t="shared" si="223"/>
        <v>Sigrion [GRSGI]</v>
      </c>
      <c r="AN14296" t="s">
        <v>15514</v>
      </c>
      <c r="AO14296" t="s">
        <v>15515</v>
      </c>
    </row>
    <row r="14297" spans="39:41" ht="12" customHeight="1" x14ac:dyDescent="0.2">
      <c r="AM14297" t="str">
        <f t="shared" si="223"/>
        <v>Sigtuna [SESGT]</v>
      </c>
      <c r="AN14297" t="s">
        <v>27833</v>
      </c>
      <c r="AO14297" t="s">
        <v>27834</v>
      </c>
    </row>
    <row r="14298" spans="39:41" ht="12" customHeight="1" x14ac:dyDescent="0.2">
      <c r="AM14298" t="str">
        <f t="shared" si="223"/>
        <v>Siholmen [NOSIH]</v>
      </c>
      <c r="AN14298" t="s">
        <v>24718</v>
      </c>
      <c r="AO14298" t="s">
        <v>24719</v>
      </c>
    </row>
    <row r="14299" spans="39:41" ht="12" customHeight="1" x14ac:dyDescent="0.2">
      <c r="AM14299" t="str">
        <f t="shared" si="223"/>
        <v>Siilinjarvi [FISII]</v>
      </c>
      <c r="AN14299" t="s">
        <v>10540</v>
      </c>
      <c r="AO14299" t="s">
        <v>35750</v>
      </c>
    </row>
    <row r="14300" spans="39:41" ht="12" customHeight="1" x14ac:dyDescent="0.2">
      <c r="AM14300" t="str">
        <f t="shared" si="223"/>
        <v>Sijbrandahuis [NLSBS]</v>
      </c>
      <c r="AN14300" t="s">
        <v>23600</v>
      </c>
      <c r="AO14300" t="s">
        <v>23601</v>
      </c>
    </row>
    <row r="14301" spans="39:41" ht="12" customHeight="1" x14ac:dyDescent="0.2">
      <c r="AM14301" t="str">
        <f t="shared" si="223"/>
        <v>Sijingkat [MYSIJ]</v>
      </c>
      <c r="AN14301" t="s">
        <v>22749</v>
      </c>
      <c r="AO14301" t="s">
        <v>22750</v>
      </c>
    </row>
    <row r="14302" spans="39:41" ht="12" customHeight="1" x14ac:dyDescent="0.2">
      <c r="AM14302" t="str">
        <f t="shared" si="223"/>
        <v>Sijitun [CNSJT]</v>
      </c>
      <c r="AN14302" t="s">
        <v>6077</v>
      </c>
      <c r="AO14302" t="s">
        <v>6078</v>
      </c>
    </row>
    <row r="14303" spans="39:41" ht="12" customHeight="1" x14ac:dyDescent="0.2">
      <c r="AM14303" t="str">
        <f t="shared" si="223"/>
        <v>Sika [INSIK]</v>
      </c>
      <c r="AN14303" t="s">
        <v>17447</v>
      </c>
      <c r="AO14303" t="s">
        <v>17448</v>
      </c>
    </row>
    <row r="14304" spans="39:41" ht="12" customHeight="1" x14ac:dyDescent="0.2">
      <c r="AM14304" t="str">
        <f t="shared" si="223"/>
        <v>Sikea [SESIK]</v>
      </c>
      <c r="AN14304" t="s">
        <v>27835</v>
      </c>
      <c r="AO14304" t="s">
        <v>36515</v>
      </c>
    </row>
    <row r="14305" spans="39:41" ht="12" customHeight="1" x14ac:dyDescent="0.2">
      <c r="AM14305" t="str">
        <f t="shared" si="223"/>
        <v>Sikinos [GRSII]</v>
      </c>
      <c r="AN14305" t="s">
        <v>15516</v>
      </c>
      <c r="AO14305" t="s">
        <v>15517</v>
      </c>
    </row>
    <row r="14306" spans="39:41" ht="12" customHeight="1" x14ac:dyDescent="0.2">
      <c r="AM14306" t="str">
        <f t="shared" si="223"/>
        <v>Sikionia [GRSIK]</v>
      </c>
      <c r="AN14306" t="s">
        <v>15518</v>
      </c>
      <c r="AO14306" t="s">
        <v>15519</v>
      </c>
    </row>
    <row r="14307" spans="39:41" ht="12" customHeight="1" x14ac:dyDescent="0.2">
      <c r="AM14307" t="str">
        <f t="shared" si="223"/>
        <v>Sikkim [INSKK]</v>
      </c>
      <c r="AN14307" t="s">
        <v>17449</v>
      </c>
      <c r="AO14307" t="s">
        <v>17450</v>
      </c>
    </row>
    <row r="14308" spans="39:41" ht="12" customHeight="1" x14ac:dyDescent="0.2">
      <c r="AM14308" t="str">
        <f t="shared" si="223"/>
        <v>Sikuaishi [CNSKS]</v>
      </c>
      <c r="AN14308" t="s">
        <v>6079</v>
      </c>
      <c r="AO14308" t="s">
        <v>6080</v>
      </c>
    </row>
    <row r="14309" spans="39:41" ht="12" customHeight="1" x14ac:dyDescent="0.2">
      <c r="AM14309" t="str">
        <f t="shared" si="223"/>
        <v>Siladice [SKSLK]</v>
      </c>
      <c r="AN14309" t="s">
        <v>34214</v>
      </c>
      <c r="AO14309" t="s">
        <v>34286</v>
      </c>
    </row>
    <row r="14310" spans="39:41" ht="12" customHeight="1" x14ac:dyDescent="0.2">
      <c r="AM14310" t="str">
        <f t="shared" si="223"/>
        <v>Silay [MYSIL]</v>
      </c>
      <c r="AN14310" t="s">
        <v>22751</v>
      </c>
      <c r="AO14310" t="s">
        <v>22752</v>
      </c>
    </row>
    <row r="14311" spans="39:41" ht="12" customHeight="1" x14ac:dyDescent="0.2">
      <c r="AM14311" t="str">
        <f t="shared" si="223"/>
        <v>Silba [HRSIL]</v>
      </c>
      <c r="AN14311" t="s">
        <v>15915</v>
      </c>
      <c r="AO14311" t="s">
        <v>15916</v>
      </c>
    </row>
    <row r="14312" spans="39:41" ht="12" customHeight="1" x14ac:dyDescent="0.2">
      <c r="AM14312" t="str">
        <f t="shared" si="223"/>
        <v>Sile [TRSLE]</v>
      </c>
      <c r="AN14312" t="s">
        <v>28584</v>
      </c>
      <c r="AO14312" t="s">
        <v>28585</v>
      </c>
    </row>
    <row r="14313" spans="39:41" ht="12" customHeight="1" x14ac:dyDescent="0.2">
      <c r="AM14313" t="str">
        <f t="shared" si="223"/>
        <v>Siliguri [INSIL]</v>
      </c>
      <c r="AN14313" t="s">
        <v>17451</v>
      </c>
      <c r="AO14313" t="s">
        <v>17452</v>
      </c>
    </row>
    <row r="14314" spans="39:41" ht="12" customHeight="1" x14ac:dyDescent="0.2">
      <c r="AM14314" t="str">
        <f t="shared" si="223"/>
        <v>Silistra [BGSLS]</v>
      </c>
      <c r="AN14314" t="s">
        <v>3161</v>
      </c>
      <c r="AO14314" t="s">
        <v>3162</v>
      </c>
    </row>
    <row r="14315" spans="39:41" ht="12" customHeight="1" x14ac:dyDescent="0.2">
      <c r="AM14315" t="str">
        <f t="shared" si="223"/>
        <v>Silivri [TRSIL]</v>
      </c>
      <c r="AN14315" t="s">
        <v>37182</v>
      </c>
      <c r="AO14315" t="s">
        <v>37183</v>
      </c>
    </row>
    <row r="14316" spans="39:41" ht="12" customHeight="1" x14ac:dyDescent="0.2">
      <c r="AM14316" t="str">
        <f t="shared" ref="AM14316:AM14379" si="224">AO14316 &amp; " [" &amp; AN14316 &amp; "]"</f>
        <v>Silkeborg [DKSLB]</v>
      </c>
      <c r="AN14316" t="s">
        <v>8876</v>
      </c>
      <c r="AO14316" t="s">
        <v>8877</v>
      </c>
    </row>
    <row r="14317" spans="39:41" ht="12" customHeight="1" x14ac:dyDescent="0.2">
      <c r="AM14317" t="str">
        <f t="shared" si="224"/>
        <v>Sillamae [EESLM]</v>
      </c>
      <c r="AN14317" t="s">
        <v>9357</v>
      </c>
      <c r="AO14317" t="s">
        <v>35645</v>
      </c>
    </row>
    <row r="14318" spans="39:41" ht="12" customHeight="1" x14ac:dyDescent="0.2">
      <c r="AM14318" t="str">
        <f t="shared" si="224"/>
        <v>Silloth [GBSIL]</v>
      </c>
      <c r="AN14318" t="s">
        <v>14490</v>
      </c>
      <c r="AO14318" t="s">
        <v>14491</v>
      </c>
    </row>
    <row r="14319" spans="39:41" ht="12" customHeight="1" x14ac:dyDescent="0.2">
      <c r="AM14319" t="str">
        <f t="shared" si="224"/>
        <v>Silo [HRSLO]</v>
      </c>
      <c r="AN14319" t="s">
        <v>15917</v>
      </c>
      <c r="AO14319" t="s">
        <v>15918</v>
      </c>
    </row>
    <row r="14320" spans="39:41" ht="12" customHeight="1" x14ac:dyDescent="0.2">
      <c r="AM14320" t="str">
        <f t="shared" si="224"/>
        <v>Sils [ESSIS]</v>
      </c>
      <c r="AN14320" t="s">
        <v>10214</v>
      </c>
      <c r="AO14320" t="s">
        <v>10215</v>
      </c>
    </row>
    <row r="14321" spans="39:41" ht="12" customHeight="1" x14ac:dyDescent="0.2">
      <c r="AM14321" t="str">
        <f t="shared" si="224"/>
        <v>Siltakyla (Broby) [FISLY]</v>
      </c>
      <c r="AN14321" t="s">
        <v>10541</v>
      </c>
      <c r="AO14321" t="s">
        <v>35751</v>
      </c>
    </row>
    <row r="14322" spans="39:41" ht="12" customHeight="1" x14ac:dyDescent="0.2">
      <c r="AM14322" t="str">
        <f t="shared" si="224"/>
        <v>Silva [USZVA]</v>
      </c>
      <c r="AN14322" t="s">
        <v>31488</v>
      </c>
      <c r="AO14322" t="s">
        <v>31489</v>
      </c>
    </row>
    <row r="14323" spans="39:41" ht="12" customHeight="1" x14ac:dyDescent="0.2">
      <c r="AM14323" t="str">
        <f t="shared" si="224"/>
        <v>Silver Bay [USSIB]</v>
      </c>
      <c r="AN14323" t="s">
        <v>31490</v>
      </c>
      <c r="AO14323" t="s">
        <v>31491</v>
      </c>
    </row>
    <row r="14324" spans="39:41" ht="12" customHeight="1" x14ac:dyDescent="0.2">
      <c r="AM14324" t="str">
        <f t="shared" si="224"/>
        <v>Silver Grove [USVKY]</v>
      </c>
      <c r="AN14324" t="s">
        <v>31492</v>
      </c>
      <c r="AO14324" t="s">
        <v>31493</v>
      </c>
    </row>
    <row r="14325" spans="39:41" ht="12" customHeight="1" x14ac:dyDescent="0.2">
      <c r="AM14325" t="str">
        <f t="shared" si="224"/>
        <v>Silverton [USXVN]</v>
      </c>
      <c r="AN14325" t="s">
        <v>31494</v>
      </c>
      <c r="AO14325" t="s">
        <v>31495</v>
      </c>
    </row>
    <row r="14326" spans="39:41" ht="12" customHeight="1" x14ac:dyDescent="0.2">
      <c r="AM14326" t="str">
        <f t="shared" si="224"/>
        <v>Silvertown [GBSVT]</v>
      </c>
      <c r="AN14326" t="s">
        <v>14492</v>
      </c>
      <c r="AO14326" t="s">
        <v>14493</v>
      </c>
    </row>
    <row r="14327" spans="39:41" ht="12" customHeight="1" x14ac:dyDescent="0.2">
      <c r="AM14327" t="str">
        <f t="shared" si="224"/>
        <v>Silvi Marina [ITSLV]</v>
      </c>
      <c r="AN14327" t="s">
        <v>18332</v>
      </c>
      <c r="AO14327" t="s">
        <v>18333</v>
      </c>
    </row>
    <row r="14328" spans="39:41" ht="12" customHeight="1" x14ac:dyDescent="0.2">
      <c r="AM14328" t="str">
        <f t="shared" si="224"/>
        <v>Sima/Navabunder [INSIM]</v>
      </c>
      <c r="AN14328" t="s">
        <v>17453</v>
      </c>
      <c r="AO14328" t="s">
        <v>17454</v>
      </c>
    </row>
    <row r="14329" spans="39:41" ht="12" customHeight="1" x14ac:dyDescent="0.2">
      <c r="AM14329" t="str">
        <f t="shared" si="224"/>
        <v>Simanggang, Sarawak [MYSMG]</v>
      </c>
      <c r="AN14329" t="s">
        <v>22753</v>
      </c>
      <c r="AO14329" t="s">
        <v>22754</v>
      </c>
    </row>
    <row r="14330" spans="39:41" ht="12" customHeight="1" x14ac:dyDescent="0.2">
      <c r="AM14330" t="str">
        <f t="shared" si="224"/>
        <v>Simao [CNSYM]</v>
      </c>
      <c r="AN14330" t="s">
        <v>6081</v>
      </c>
      <c r="AO14330" t="s">
        <v>6082</v>
      </c>
    </row>
    <row r="14331" spans="39:41" ht="12" customHeight="1" x14ac:dyDescent="0.2">
      <c r="AM14331" t="str">
        <f t="shared" si="224"/>
        <v>Simbhour Port [INSHP]</v>
      </c>
      <c r="AN14331" t="s">
        <v>17455</v>
      </c>
      <c r="AO14331" t="s">
        <v>17456</v>
      </c>
    </row>
    <row r="14332" spans="39:41" ht="12" customHeight="1" x14ac:dyDescent="0.2">
      <c r="AM14332" t="str">
        <f t="shared" si="224"/>
        <v>Simcoe [CASIC]</v>
      </c>
      <c r="AN14332" t="s">
        <v>4463</v>
      </c>
      <c r="AO14332" t="s">
        <v>4464</v>
      </c>
    </row>
    <row r="14333" spans="39:41" ht="12" customHeight="1" x14ac:dyDescent="0.2">
      <c r="AM14333" t="str">
        <f t="shared" si="224"/>
        <v>Simon Bolivar [COPSB]</v>
      </c>
      <c r="AN14333" t="s">
        <v>6545</v>
      </c>
      <c r="AO14333" t="s">
        <v>6546</v>
      </c>
    </row>
    <row r="14334" spans="39:41" ht="12" customHeight="1" x14ac:dyDescent="0.2">
      <c r="AM14334" t="str">
        <f t="shared" si="224"/>
        <v>Simon's Town [ZASMN]</v>
      </c>
      <c r="AN14334" t="s">
        <v>32741</v>
      </c>
      <c r="AO14334" t="s">
        <v>32742</v>
      </c>
    </row>
    <row r="14335" spans="39:41" ht="12" customHeight="1" x14ac:dyDescent="0.2">
      <c r="AM14335" t="str">
        <f t="shared" si="224"/>
        <v>Simonswood [GBSMW]</v>
      </c>
      <c r="AN14335" t="s">
        <v>14494</v>
      </c>
      <c r="AO14335" t="s">
        <v>14495</v>
      </c>
    </row>
    <row r="14336" spans="39:41" ht="12" customHeight="1" x14ac:dyDescent="0.2">
      <c r="AM14336" t="str">
        <f t="shared" si="224"/>
        <v>Simor [INSMR]</v>
      </c>
      <c r="AN14336" t="s">
        <v>17457</v>
      </c>
      <c r="AO14336" t="s">
        <v>17458</v>
      </c>
    </row>
    <row r="14337" spans="39:41" ht="12" customHeight="1" x14ac:dyDescent="0.2">
      <c r="AM14337" t="str">
        <f t="shared" si="224"/>
        <v>Simpangan, Sabah [MYSPG]</v>
      </c>
      <c r="AN14337" t="s">
        <v>22755</v>
      </c>
      <c r="AO14337" t="s">
        <v>22756</v>
      </c>
    </row>
    <row r="14338" spans="39:41" ht="12" customHeight="1" x14ac:dyDescent="0.2">
      <c r="AM14338" t="str">
        <f t="shared" si="224"/>
        <v>Simpevarp [SESPP]</v>
      </c>
      <c r="AN14338" t="s">
        <v>27836</v>
      </c>
      <c r="AO14338" t="s">
        <v>27837</v>
      </c>
    </row>
    <row r="14339" spans="39:41" ht="12" customHeight="1" x14ac:dyDescent="0.2">
      <c r="AM14339" t="str">
        <f t="shared" si="224"/>
        <v>Simrishamn [SESIM]</v>
      </c>
      <c r="AN14339" t="s">
        <v>27838</v>
      </c>
      <c r="AO14339" t="s">
        <v>27839</v>
      </c>
    </row>
    <row r="14340" spans="39:41" ht="12" customHeight="1" x14ac:dyDescent="0.2">
      <c r="AM14340" t="str">
        <f t="shared" si="224"/>
        <v>Simunjan, Sarawak [MYSMJ]</v>
      </c>
      <c r="AN14340" t="s">
        <v>22757</v>
      </c>
      <c r="AO14340" t="s">
        <v>22758</v>
      </c>
    </row>
    <row r="14341" spans="39:41" ht="12" customHeight="1" x14ac:dyDescent="0.2">
      <c r="AM14341" t="str">
        <f t="shared" si="224"/>
        <v>Sinabang [IDSNG]</v>
      </c>
      <c r="AN14341" t="s">
        <v>16601</v>
      </c>
      <c r="AO14341" t="s">
        <v>16602</v>
      </c>
    </row>
    <row r="14342" spans="39:41" ht="12" customHeight="1" x14ac:dyDescent="0.2">
      <c r="AM14342" t="str">
        <f t="shared" si="224"/>
        <v>Sinbhour [INSBH]</v>
      </c>
      <c r="AN14342" t="s">
        <v>17459</v>
      </c>
      <c r="AO14342" t="s">
        <v>17460</v>
      </c>
    </row>
    <row r="14343" spans="39:41" ht="12" customHeight="1" x14ac:dyDescent="0.2">
      <c r="AM14343" t="str">
        <f t="shared" si="224"/>
        <v>Sindangan/Ozamis [PHSDG]</v>
      </c>
      <c r="AN14343" t="s">
        <v>26152</v>
      </c>
      <c r="AO14343" t="s">
        <v>26153</v>
      </c>
    </row>
    <row r="14344" spans="39:41" ht="12" customHeight="1" x14ac:dyDescent="0.2">
      <c r="AM14344" t="str">
        <f t="shared" si="224"/>
        <v>Sindumin [MYSDM]</v>
      </c>
      <c r="AN14344" t="s">
        <v>22759</v>
      </c>
      <c r="AO14344" t="s">
        <v>22760</v>
      </c>
    </row>
    <row r="14345" spans="39:41" ht="12" customHeight="1" x14ac:dyDescent="0.2">
      <c r="AM14345" t="str">
        <f t="shared" si="224"/>
        <v>Sines [PTSIE]</v>
      </c>
      <c r="AN14345" t="s">
        <v>26611</v>
      </c>
      <c r="AO14345" t="s">
        <v>26612</v>
      </c>
    </row>
    <row r="14346" spans="39:41" ht="12" customHeight="1" x14ac:dyDescent="0.2">
      <c r="AM14346" t="str">
        <f t="shared" si="224"/>
        <v>Singapore [SGSIN]</v>
      </c>
      <c r="AN14346" t="s">
        <v>27979</v>
      </c>
      <c r="AO14346" t="s">
        <v>27980</v>
      </c>
    </row>
    <row r="14347" spans="39:41" ht="12" customHeight="1" x14ac:dyDescent="0.2">
      <c r="AM14347" t="str">
        <f t="shared" si="224"/>
        <v>Singapore Container Terminal [SGSCT]</v>
      </c>
      <c r="AN14347" t="s">
        <v>27981</v>
      </c>
      <c r="AO14347" t="s">
        <v>27982</v>
      </c>
    </row>
    <row r="14348" spans="39:41" ht="12" customHeight="1" x14ac:dyDescent="0.2">
      <c r="AM14348" t="str">
        <f t="shared" si="224"/>
        <v>Singatoka [FJSIN]</v>
      </c>
      <c r="AN14348" t="s">
        <v>10628</v>
      </c>
      <c r="AO14348" t="s">
        <v>10629</v>
      </c>
    </row>
    <row r="14349" spans="39:41" ht="12" customHeight="1" x14ac:dyDescent="0.2">
      <c r="AM14349" t="str">
        <f t="shared" si="224"/>
        <v>Singkawang, Kalimantan [IDSKW]</v>
      </c>
      <c r="AN14349" t="s">
        <v>16603</v>
      </c>
      <c r="AO14349" t="s">
        <v>16604</v>
      </c>
    </row>
    <row r="14350" spans="39:41" ht="12" customHeight="1" x14ac:dyDescent="0.2">
      <c r="AM14350" t="str">
        <f t="shared" si="224"/>
        <v>Sinhang/Pohang [KRSHG]</v>
      </c>
      <c r="AN14350" t="s">
        <v>21722</v>
      </c>
      <c r="AO14350" t="s">
        <v>21723</v>
      </c>
    </row>
    <row r="14351" spans="39:41" ht="12" customHeight="1" x14ac:dyDescent="0.2">
      <c r="AM14351" t="str">
        <f t="shared" si="224"/>
        <v>Sinoe [LRSNI]</v>
      </c>
      <c r="AN14351" t="s">
        <v>21887</v>
      </c>
      <c r="AO14351" t="s">
        <v>21888</v>
      </c>
    </row>
    <row r="14352" spans="39:41" ht="12" customHeight="1" x14ac:dyDescent="0.2">
      <c r="AM14352" t="str">
        <f t="shared" si="224"/>
        <v>Sinop [TRSIC]</v>
      </c>
      <c r="AN14352" t="s">
        <v>28586</v>
      </c>
      <c r="AO14352" t="s">
        <v>28587</v>
      </c>
    </row>
    <row r="14353" spans="39:41" ht="12" customHeight="1" x14ac:dyDescent="0.2">
      <c r="AM14353" t="str">
        <f t="shared" si="224"/>
        <v>Sinpo [KPSIN]</v>
      </c>
      <c r="AN14353" t="s">
        <v>21594</v>
      </c>
      <c r="AO14353" t="s">
        <v>21595</v>
      </c>
    </row>
    <row r="14354" spans="39:41" ht="12" customHeight="1" x14ac:dyDescent="0.2">
      <c r="AM14354" t="str">
        <f t="shared" si="224"/>
        <v>Sint Andries [NLSAR]</v>
      </c>
      <c r="AN14354" t="s">
        <v>23602</v>
      </c>
      <c r="AO14354" t="s">
        <v>23603</v>
      </c>
    </row>
    <row r="14355" spans="39:41" ht="12" customHeight="1" x14ac:dyDescent="0.2">
      <c r="AM14355" t="str">
        <f t="shared" si="224"/>
        <v>Sint Eustatius [BQEUX]</v>
      </c>
      <c r="AN14355" t="s">
        <v>3246</v>
      </c>
      <c r="AO14355" t="s">
        <v>3247</v>
      </c>
    </row>
    <row r="14356" spans="39:41" ht="12" customHeight="1" x14ac:dyDescent="0.2">
      <c r="AM14356" t="str">
        <f t="shared" si="224"/>
        <v>Sint Katelijne Waver [BESKA]</v>
      </c>
      <c r="AN14356" t="s">
        <v>2943</v>
      </c>
      <c r="AO14356" t="s">
        <v>2944</v>
      </c>
    </row>
    <row r="14357" spans="39:41" ht="12" customHeight="1" x14ac:dyDescent="0.2">
      <c r="AM14357" t="str">
        <f t="shared" si="224"/>
        <v>Sint Maartensvlotbrug [NLSMV]</v>
      </c>
      <c r="AN14357" t="s">
        <v>23604</v>
      </c>
      <c r="AO14357" t="s">
        <v>23605</v>
      </c>
    </row>
    <row r="14358" spans="39:41" ht="12" customHeight="1" x14ac:dyDescent="0.2">
      <c r="AM14358" t="str">
        <f t="shared" si="224"/>
        <v>Sint Michielsbaai [CWSMB]</v>
      </c>
      <c r="AN14358" t="s">
        <v>6749</v>
      </c>
      <c r="AO14358" t="s">
        <v>6750</v>
      </c>
    </row>
    <row r="14359" spans="39:41" ht="12" customHeight="1" x14ac:dyDescent="0.2">
      <c r="AM14359" t="str">
        <f t="shared" si="224"/>
        <v>Sint Michielsgestel [NLSMG]</v>
      </c>
      <c r="AN14359" t="s">
        <v>33924</v>
      </c>
      <c r="AO14359" t="s">
        <v>34046</v>
      </c>
    </row>
    <row r="14360" spans="39:41" ht="12" customHeight="1" x14ac:dyDescent="0.2">
      <c r="AM14360" t="str">
        <f t="shared" si="224"/>
        <v>Sint Nicolaas [AWSNL]</v>
      </c>
      <c r="AN14360" t="s">
        <v>2150</v>
      </c>
      <c r="AO14360" t="s">
        <v>2151</v>
      </c>
    </row>
    <row r="14361" spans="39:41" ht="12" customHeight="1" x14ac:dyDescent="0.2">
      <c r="AM14361" t="str">
        <f t="shared" si="224"/>
        <v>Sint Pancras [NLANC]</v>
      </c>
      <c r="AN14361" t="s">
        <v>23606</v>
      </c>
      <c r="AO14361" t="s">
        <v>23607</v>
      </c>
    </row>
    <row r="14362" spans="39:41" ht="12" customHeight="1" x14ac:dyDescent="0.2">
      <c r="AM14362" t="str">
        <f t="shared" si="224"/>
        <v>Sint-Amands [BESAS]</v>
      </c>
      <c r="AN14362" t="s">
        <v>2945</v>
      </c>
      <c r="AO14362" t="s">
        <v>2946</v>
      </c>
    </row>
    <row r="14363" spans="39:41" ht="12" customHeight="1" x14ac:dyDescent="0.2">
      <c r="AM14363" t="str">
        <f t="shared" si="224"/>
        <v>Sint-Andries [BESAN]</v>
      </c>
      <c r="AN14363" t="s">
        <v>2947</v>
      </c>
      <c r="AO14363" t="s">
        <v>2948</v>
      </c>
    </row>
    <row r="14364" spans="39:41" ht="12" customHeight="1" x14ac:dyDescent="0.2">
      <c r="AM14364" t="str">
        <f t="shared" si="224"/>
        <v>Sint-Annaland [NLSNN]</v>
      </c>
      <c r="AN14364" t="s">
        <v>23608</v>
      </c>
      <c r="AO14364" t="s">
        <v>23609</v>
      </c>
    </row>
    <row r="14365" spans="39:41" ht="12" customHeight="1" x14ac:dyDescent="0.2">
      <c r="AM14365" t="str">
        <f t="shared" si="224"/>
        <v>Sint-Baafs-Vijve [BESTV]</v>
      </c>
      <c r="AN14365" t="s">
        <v>36803</v>
      </c>
      <c r="AO14365" t="s">
        <v>36804</v>
      </c>
    </row>
    <row r="14366" spans="39:41" ht="12" customHeight="1" x14ac:dyDescent="0.2">
      <c r="AM14366" t="str">
        <f t="shared" si="224"/>
        <v>Sint-Eloois-Vijve [BESEV]</v>
      </c>
      <c r="AN14366" t="s">
        <v>36805</v>
      </c>
      <c r="AO14366" t="s">
        <v>36806</v>
      </c>
    </row>
    <row r="14367" spans="39:41" ht="12" customHeight="1" x14ac:dyDescent="0.2">
      <c r="AM14367" t="str">
        <f t="shared" si="224"/>
        <v>Sint-Huibrechts-Lille [BEHSL]</v>
      </c>
      <c r="AN14367" t="s">
        <v>2949</v>
      </c>
      <c r="AO14367" t="s">
        <v>2950</v>
      </c>
    </row>
    <row r="14368" spans="39:41" ht="12" customHeight="1" x14ac:dyDescent="0.2">
      <c r="AM14368" t="str">
        <f t="shared" si="224"/>
        <v>Sint-Jacobs-Kapelle [BEJKP]</v>
      </c>
      <c r="AN14368" t="s">
        <v>2951</v>
      </c>
      <c r="AO14368" t="s">
        <v>2952</v>
      </c>
    </row>
    <row r="14369" spans="39:41" ht="12" customHeight="1" x14ac:dyDescent="0.2">
      <c r="AM14369" t="str">
        <f t="shared" si="224"/>
        <v>Sint-Job-in-'t-Goor [BESJG]</v>
      </c>
      <c r="AN14369" t="s">
        <v>2953</v>
      </c>
      <c r="AO14369" t="s">
        <v>2954</v>
      </c>
    </row>
    <row r="14370" spans="39:41" ht="12" customHeight="1" x14ac:dyDescent="0.2">
      <c r="AM14370" t="str">
        <f t="shared" si="224"/>
        <v>Sint-Joris [BESJR]</v>
      </c>
      <c r="AN14370" t="s">
        <v>2955</v>
      </c>
      <c r="AO14370" t="s">
        <v>2956</v>
      </c>
    </row>
    <row r="14371" spans="39:41" ht="12" customHeight="1" x14ac:dyDescent="0.2">
      <c r="AM14371" t="str">
        <f t="shared" si="224"/>
        <v>Sint-Jozef-Olen [BESJO]</v>
      </c>
      <c r="AN14371" t="s">
        <v>2957</v>
      </c>
      <c r="AO14371" t="s">
        <v>2958</v>
      </c>
    </row>
    <row r="14372" spans="39:41" ht="12" customHeight="1" x14ac:dyDescent="0.2">
      <c r="AM14372" t="str">
        <f t="shared" si="224"/>
        <v>Sint-Lenaarts [BESLN]</v>
      </c>
      <c r="AN14372" t="s">
        <v>2959</v>
      </c>
      <c r="AO14372" t="s">
        <v>2960</v>
      </c>
    </row>
    <row r="14373" spans="39:41" ht="12" customHeight="1" x14ac:dyDescent="0.2">
      <c r="AM14373" t="str">
        <f t="shared" si="224"/>
        <v>Sint-Maarten Apt [SXSXM]</v>
      </c>
      <c r="AN14373" t="s">
        <v>28160</v>
      </c>
      <c r="AO14373" t="s">
        <v>28161</v>
      </c>
    </row>
    <row r="14374" spans="39:41" ht="12" customHeight="1" x14ac:dyDescent="0.2">
      <c r="AM14374" t="str">
        <f t="shared" si="224"/>
        <v>Sint-Martens-Latem [BESML]</v>
      </c>
      <c r="AN14374" t="s">
        <v>2961</v>
      </c>
      <c r="AO14374" t="s">
        <v>2962</v>
      </c>
    </row>
    <row r="14375" spans="39:41" ht="12" customHeight="1" x14ac:dyDescent="0.2">
      <c r="AM14375" t="str">
        <f t="shared" si="224"/>
        <v>Sinton [US2SI]</v>
      </c>
      <c r="AN14375" t="s">
        <v>31496</v>
      </c>
      <c r="AO14375" t="s">
        <v>31497</v>
      </c>
    </row>
    <row r="14376" spans="39:41" ht="12" customHeight="1" x14ac:dyDescent="0.2">
      <c r="AM14376" t="str">
        <f t="shared" si="224"/>
        <v>Sint-Pieters-Leeuw [BESPT]</v>
      </c>
      <c r="AN14376" t="s">
        <v>36807</v>
      </c>
      <c r="AO14376" t="s">
        <v>36808</v>
      </c>
    </row>
    <row r="14377" spans="39:41" ht="12" customHeight="1" x14ac:dyDescent="0.2">
      <c r="AM14377" t="str">
        <f t="shared" si="224"/>
        <v>Siocon/Zamboanga [PHXSO]</v>
      </c>
      <c r="AN14377" t="s">
        <v>26154</v>
      </c>
      <c r="AO14377" t="s">
        <v>26155</v>
      </c>
    </row>
    <row r="14378" spans="39:41" ht="12" customHeight="1" x14ac:dyDescent="0.2">
      <c r="AM14378" t="str">
        <f t="shared" si="224"/>
        <v>Sioux City [USSUX]</v>
      </c>
      <c r="AN14378" t="s">
        <v>31498</v>
      </c>
      <c r="AO14378" t="s">
        <v>31499</v>
      </c>
    </row>
    <row r="14379" spans="39:41" ht="12" customHeight="1" x14ac:dyDescent="0.2">
      <c r="AM14379" t="str">
        <f t="shared" si="224"/>
        <v>Sipitang, Sabah [MYSPT]</v>
      </c>
      <c r="AN14379" t="s">
        <v>22761</v>
      </c>
      <c r="AO14379" t="s">
        <v>22762</v>
      </c>
    </row>
    <row r="14380" spans="39:41" ht="12" customHeight="1" x14ac:dyDescent="0.2">
      <c r="AM14380" t="str">
        <f t="shared" ref="AM14380:AM14443" si="225">AO14380 &amp; " [" &amp; AN14380 &amp; "]"</f>
        <v>Sipul [PGSPL]</v>
      </c>
      <c r="AN14380" t="s">
        <v>25468</v>
      </c>
      <c r="AO14380" t="s">
        <v>25469</v>
      </c>
    </row>
    <row r="14381" spans="39:41" ht="12" customHeight="1" x14ac:dyDescent="0.2">
      <c r="AM14381" t="str">
        <f t="shared" si="225"/>
        <v>Siracusa [ITSIR]</v>
      </c>
      <c r="AN14381" t="s">
        <v>18334</v>
      </c>
      <c r="AO14381" t="s">
        <v>18335</v>
      </c>
    </row>
    <row r="14382" spans="39:41" ht="12" customHeight="1" x14ac:dyDescent="0.2">
      <c r="AM14382" t="str">
        <f t="shared" si="225"/>
        <v>Siran [MYSIR]</v>
      </c>
      <c r="AN14382" t="s">
        <v>22763</v>
      </c>
      <c r="AO14382" t="s">
        <v>22764</v>
      </c>
    </row>
    <row r="14383" spans="39:41" ht="12" customHeight="1" x14ac:dyDescent="0.2">
      <c r="AM14383" t="str">
        <f t="shared" si="225"/>
        <v>Sirevag [NOSRV]</v>
      </c>
      <c r="AN14383" t="s">
        <v>24720</v>
      </c>
      <c r="AO14383" t="s">
        <v>36286</v>
      </c>
    </row>
    <row r="14384" spans="39:41" ht="12" customHeight="1" x14ac:dyDescent="0.2">
      <c r="AM14384" t="str">
        <f t="shared" si="225"/>
        <v>Sirikin, Sarawak [MYSRK]</v>
      </c>
      <c r="AN14384" t="s">
        <v>22765</v>
      </c>
      <c r="AO14384" t="s">
        <v>22766</v>
      </c>
    </row>
    <row r="14385" spans="39:41" ht="12" customHeight="1" x14ac:dyDescent="0.2">
      <c r="AM14385" t="str">
        <f t="shared" si="225"/>
        <v>Sirri Island [IRSXI]</v>
      </c>
      <c r="AN14385" t="s">
        <v>17659</v>
      </c>
      <c r="AO14385" t="s">
        <v>17660</v>
      </c>
    </row>
    <row r="14386" spans="39:41" ht="12" customHeight="1" x14ac:dyDescent="0.2">
      <c r="AM14386" t="str">
        <f t="shared" si="225"/>
        <v>Sirte (Surt) [LYSRT]</v>
      </c>
      <c r="AN14386" t="s">
        <v>22001</v>
      </c>
      <c r="AO14386" t="s">
        <v>22002</v>
      </c>
    </row>
    <row r="14387" spans="39:41" ht="12" customHeight="1" x14ac:dyDescent="0.2">
      <c r="AM14387" t="str">
        <f t="shared" si="225"/>
        <v>Sisak [HRSIS]</v>
      </c>
      <c r="AN14387" t="s">
        <v>15919</v>
      </c>
      <c r="AO14387" t="s">
        <v>15920</v>
      </c>
    </row>
    <row r="14388" spans="39:41" ht="12" customHeight="1" x14ac:dyDescent="0.2">
      <c r="AM14388" t="str">
        <f t="shared" si="225"/>
        <v>Sisimiut (Holsteinsborg) [GLJHS]</v>
      </c>
      <c r="AN14388" t="s">
        <v>15025</v>
      </c>
      <c r="AO14388" t="s">
        <v>15026</v>
      </c>
    </row>
    <row r="14389" spans="39:41" ht="12" customHeight="1" x14ac:dyDescent="0.2">
      <c r="AM14389" t="str">
        <f t="shared" si="225"/>
        <v>Sisters [USYER]</v>
      </c>
      <c r="AN14389" t="s">
        <v>31500</v>
      </c>
      <c r="AO14389" t="s">
        <v>31501</v>
      </c>
    </row>
    <row r="14390" spans="39:41" ht="12" customHeight="1" x14ac:dyDescent="0.2">
      <c r="AM14390" t="str">
        <f t="shared" si="225"/>
        <v>Sistranda [NOSSS]</v>
      </c>
      <c r="AN14390" t="s">
        <v>24721</v>
      </c>
      <c r="AO14390" t="s">
        <v>24722</v>
      </c>
    </row>
    <row r="14391" spans="39:41" ht="12" customHeight="1" x14ac:dyDescent="0.2">
      <c r="AM14391" t="str">
        <f t="shared" si="225"/>
        <v>Siteia [GRJSH]</v>
      </c>
      <c r="AN14391" t="s">
        <v>15520</v>
      </c>
      <c r="AO14391" t="s">
        <v>35977</v>
      </c>
    </row>
    <row r="14392" spans="39:41" ht="12" customHeight="1" x14ac:dyDescent="0.2">
      <c r="AM14392" t="str">
        <f t="shared" si="225"/>
        <v>Sitges [ESSIT]</v>
      </c>
      <c r="AN14392" t="s">
        <v>10216</v>
      </c>
      <c r="AO14392" t="s">
        <v>10217</v>
      </c>
    </row>
    <row r="14393" spans="39:41" ht="12" customHeight="1" x14ac:dyDescent="0.2">
      <c r="AM14393" t="str">
        <f t="shared" si="225"/>
        <v>Sitrah [BHSIT]</v>
      </c>
      <c r="AN14393" t="s">
        <v>3185</v>
      </c>
      <c r="AO14393" t="s">
        <v>3186</v>
      </c>
    </row>
    <row r="14394" spans="39:41" ht="12" customHeight="1" x14ac:dyDescent="0.2">
      <c r="AM14394" t="str">
        <f t="shared" si="225"/>
        <v>Sittard [NLSIT]</v>
      </c>
      <c r="AN14394" t="s">
        <v>37061</v>
      </c>
      <c r="AO14394" t="s">
        <v>37062</v>
      </c>
    </row>
    <row r="14395" spans="39:41" ht="12" customHeight="1" x14ac:dyDescent="0.2">
      <c r="AM14395" t="str">
        <f t="shared" si="225"/>
        <v>Sixaola/Talamanca [CRSIX]</v>
      </c>
      <c r="AN14395" t="s">
        <v>6656</v>
      </c>
      <c r="AO14395" t="s">
        <v>6657</v>
      </c>
    </row>
    <row r="14396" spans="39:41" ht="12" customHeight="1" x14ac:dyDescent="0.2">
      <c r="AM14396" t="str">
        <f t="shared" si="225"/>
        <v>Sizewell Beach [GBSZB]</v>
      </c>
      <c r="AN14396" t="s">
        <v>14496</v>
      </c>
      <c r="AO14396" t="s">
        <v>14497</v>
      </c>
    </row>
    <row r="14397" spans="39:41" ht="12" customHeight="1" x14ac:dyDescent="0.2">
      <c r="AM14397" t="str">
        <f t="shared" si="225"/>
        <v>Siziman [RUSIZ]</v>
      </c>
      <c r="AN14397" t="s">
        <v>27236</v>
      </c>
      <c r="AO14397" t="s">
        <v>27237</v>
      </c>
    </row>
    <row r="14398" spans="39:41" ht="12" customHeight="1" x14ac:dyDescent="0.2">
      <c r="AM14398" t="str">
        <f t="shared" si="225"/>
        <v>Sjallands Odde [DKSJO]</v>
      </c>
      <c r="AN14398" t="s">
        <v>36874</v>
      </c>
      <c r="AO14398" t="s">
        <v>36875</v>
      </c>
    </row>
    <row r="14399" spans="39:41" ht="12" customHeight="1" x14ac:dyDescent="0.2">
      <c r="AM14399" t="str">
        <f t="shared" si="225"/>
        <v>Sjoholt [NOSJO]</v>
      </c>
      <c r="AN14399" t="s">
        <v>24723</v>
      </c>
      <c r="AO14399" t="s">
        <v>36287</v>
      </c>
    </row>
    <row r="14400" spans="39:41" ht="12" customHeight="1" x14ac:dyDescent="0.2">
      <c r="AM14400" t="str">
        <f t="shared" si="225"/>
        <v>Sjovar havn [FOSJO]</v>
      </c>
      <c r="AN14400" t="s">
        <v>10686</v>
      </c>
      <c r="AO14400" t="s">
        <v>10687</v>
      </c>
    </row>
    <row r="14401" spans="39:41" ht="12" customHeight="1" x14ac:dyDescent="0.2">
      <c r="AM14401" t="str">
        <f t="shared" si="225"/>
        <v>Sjovegan [NOSJV]</v>
      </c>
      <c r="AN14401" t="s">
        <v>24724</v>
      </c>
      <c r="AO14401" t="s">
        <v>36288</v>
      </c>
    </row>
    <row r="14402" spans="39:41" ht="12" customHeight="1" x14ac:dyDescent="0.2">
      <c r="AM14402" t="str">
        <f t="shared" si="225"/>
        <v>Sjursoja/Oslo [NOSJU]</v>
      </c>
      <c r="AN14402" t="s">
        <v>24725</v>
      </c>
      <c r="AO14402" t="s">
        <v>36289</v>
      </c>
    </row>
    <row r="14403" spans="39:41" ht="12" customHeight="1" x14ac:dyDescent="0.2">
      <c r="AM14403" t="str">
        <f t="shared" si="225"/>
        <v>Skadovsk [UASKD]</v>
      </c>
      <c r="AN14403" t="s">
        <v>28763</v>
      </c>
      <c r="AO14403" t="s">
        <v>28764</v>
      </c>
    </row>
    <row r="14404" spans="39:41" ht="12" customHeight="1" x14ac:dyDescent="0.2">
      <c r="AM14404" t="str">
        <f t="shared" si="225"/>
        <v>Skafidia [GRSKD]</v>
      </c>
      <c r="AN14404" t="s">
        <v>15521</v>
      </c>
      <c r="AO14404" t="s">
        <v>15522</v>
      </c>
    </row>
    <row r="14405" spans="39:41" ht="12" customHeight="1" x14ac:dyDescent="0.2">
      <c r="AM14405" t="str">
        <f t="shared" si="225"/>
        <v>Skagastrond [ISSKA]</v>
      </c>
      <c r="AN14405" t="s">
        <v>17761</v>
      </c>
      <c r="AO14405" t="s">
        <v>36067</v>
      </c>
    </row>
    <row r="14406" spans="39:41" ht="12" customHeight="1" x14ac:dyDescent="0.2">
      <c r="AM14406" t="str">
        <f t="shared" si="225"/>
        <v>Skagen [DKSKA]</v>
      </c>
      <c r="AN14406" t="s">
        <v>8879</v>
      </c>
      <c r="AO14406" t="s">
        <v>8880</v>
      </c>
    </row>
    <row r="14407" spans="39:41" ht="12" customHeight="1" x14ac:dyDescent="0.2">
      <c r="AM14407" t="str">
        <f t="shared" si="225"/>
        <v>Skagerrak [XZSKA]</v>
      </c>
      <c r="AN14407" t="s">
        <v>36647</v>
      </c>
      <c r="AO14407" t="s">
        <v>36648</v>
      </c>
    </row>
    <row r="14408" spans="39:41" ht="12" customHeight="1" x14ac:dyDescent="0.2">
      <c r="AM14408" t="str">
        <f t="shared" si="225"/>
        <v>Skagshamn [SESGM]</v>
      </c>
      <c r="AN14408" t="s">
        <v>27840</v>
      </c>
      <c r="AO14408" t="s">
        <v>27841</v>
      </c>
    </row>
    <row r="14409" spans="39:41" ht="12" customHeight="1" x14ac:dyDescent="0.2">
      <c r="AM14409" t="str">
        <f t="shared" si="225"/>
        <v>Skagway [USSGY]</v>
      </c>
      <c r="AN14409" t="s">
        <v>31502</v>
      </c>
      <c r="AO14409" t="s">
        <v>31503</v>
      </c>
    </row>
    <row r="14410" spans="39:41" ht="12" customHeight="1" x14ac:dyDescent="0.2">
      <c r="AM14410" t="str">
        <f t="shared" si="225"/>
        <v>Skaland [NOSAA]</v>
      </c>
      <c r="AN14410" t="s">
        <v>24726</v>
      </c>
      <c r="AO14410" t="s">
        <v>24727</v>
      </c>
    </row>
    <row r="14411" spans="39:41" ht="12" customHeight="1" x14ac:dyDescent="0.2">
      <c r="AM14411" t="str">
        <f t="shared" si="225"/>
        <v>Skalevik [NOSKV]</v>
      </c>
      <c r="AN14411" t="s">
        <v>24728</v>
      </c>
      <c r="AO14411" t="s">
        <v>36290</v>
      </c>
    </row>
    <row r="14412" spans="39:41" ht="12" customHeight="1" x14ac:dyDescent="0.2">
      <c r="AM14412" t="str">
        <f t="shared" si="225"/>
        <v>Skalhamn [SESKL]</v>
      </c>
      <c r="AN14412" t="s">
        <v>27842</v>
      </c>
      <c r="AO14412" t="s">
        <v>27843</v>
      </c>
    </row>
    <row r="14413" spans="39:41" ht="12" customHeight="1" x14ac:dyDescent="0.2">
      <c r="AM14413" t="str">
        <f t="shared" si="225"/>
        <v>Skali [FOSKA]</v>
      </c>
      <c r="AN14413" t="s">
        <v>10688</v>
      </c>
      <c r="AO14413" t="s">
        <v>35767</v>
      </c>
    </row>
    <row r="14414" spans="39:41" ht="12" customHeight="1" x14ac:dyDescent="0.2">
      <c r="AM14414" t="str">
        <f t="shared" si="225"/>
        <v>Skaloma [GRSKM]</v>
      </c>
      <c r="AN14414" t="s">
        <v>15523</v>
      </c>
      <c r="AO14414" t="s">
        <v>35978</v>
      </c>
    </row>
    <row r="14415" spans="39:41" ht="12" customHeight="1" x14ac:dyDescent="0.2">
      <c r="AM14415" t="str">
        <f t="shared" si="225"/>
        <v>Skalskor [DKSSK]</v>
      </c>
      <c r="AN14415" t="s">
        <v>8878</v>
      </c>
      <c r="AO14415" t="s">
        <v>35580</v>
      </c>
    </row>
    <row r="14416" spans="39:41" ht="12" customHeight="1" x14ac:dyDescent="0.2">
      <c r="AM14416" t="str">
        <f t="shared" si="225"/>
        <v>Skanevik [NOSEI]</v>
      </c>
      <c r="AN14416" t="s">
        <v>24729</v>
      </c>
      <c r="AO14416" t="s">
        <v>36291</v>
      </c>
    </row>
    <row r="14417" spans="39:41" ht="12" customHeight="1" x14ac:dyDescent="0.2">
      <c r="AM14417" t="str">
        <f t="shared" si="225"/>
        <v>Skanland [NOSKL]</v>
      </c>
      <c r="AN14417" t="s">
        <v>24730</v>
      </c>
      <c r="AO14417" t="s">
        <v>36292</v>
      </c>
    </row>
    <row r="14418" spans="39:41" ht="12" customHeight="1" x14ac:dyDescent="0.2">
      <c r="AM14418" t="str">
        <f t="shared" si="225"/>
        <v>Skanor [SESNR]</v>
      </c>
      <c r="AN14418" t="s">
        <v>27844</v>
      </c>
      <c r="AO14418" t="s">
        <v>36516</v>
      </c>
    </row>
    <row r="14419" spans="39:41" ht="12" customHeight="1" x14ac:dyDescent="0.2">
      <c r="AM14419" t="str">
        <f t="shared" si="225"/>
        <v>Skaramangas [GRSKA]</v>
      </c>
      <c r="AN14419" t="s">
        <v>15524</v>
      </c>
      <c r="AO14419" t="s">
        <v>35979</v>
      </c>
    </row>
    <row r="14420" spans="39:41" ht="12" customHeight="1" x14ac:dyDescent="0.2">
      <c r="AM14420" t="str">
        <f t="shared" si="225"/>
        <v>Skarbak [DKSKB]</v>
      </c>
      <c r="AN14420" t="s">
        <v>36876</v>
      </c>
      <c r="AO14420" t="s">
        <v>36877</v>
      </c>
    </row>
    <row r="14421" spans="39:41" ht="12" customHeight="1" x14ac:dyDescent="0.2">
      <c r="AM14421" t="str">
        <f t="shared" si="225"/>
        <v>Skarblacka [SESKB]</v>
      </c>
      <c r="AN14421" t="s">
        <v>27845</v>
      </c>
      <c r="AO14421" t="s">
        <v>36517</v>
      </c>
    </row>
    <row r="14422" spans="39:41" ht="12" customHeight="1" x14ac:dyDescent="0.2">
      <c r="AM14422" t="str">
        <f t="shared" si="225"/>
        <v>Skardon River [AUSKA]</v>
      </c>
      <c r="AN14422" t="s">
        <v>2020</v>
      </c>
      <c r="AO14422" t="s">
        <v>2021</v>
      </c>
    </row>
    <row r="14423" spans="39:41" ht="12" customHeight="1" x14ac:dyDescent="0.2">
      <c r="AM14423" t="str">
        <f t="shared" si="225"/>
        <v>Skarhamn [SESKM]</v>
      </c>
      <c r="AN14423" t="s">
        <v>27846</v>
      </c>
      <c r="AO14423" t="s">
        <v>36518</v>
      </c>
    </row>
    <row r="14424" spans="39:41" ht="12" customHeight="1" x14ac:dyDescent="0.2">
      <c r="AM14424" t="str">
        <f t="shared" si="225"/>
        <v>Skarholmen [NOSRH]</v>
      </c>
      <c r="AN14424" t="s">
        <v>24731</v>
      </c>
      <c r="AO14424" t="s">
        <v>24732</v>
      </c>
    </row>
    <row r="14425" spans="39:41" ht="12" customHeight="1" x14ac:dyDescent="0.2">
      <c r="AM14425" t="str">
        <f t="shared" si="225"/>
        <v>Skaro/Drejo [DKSDO]</v>
      </c>
      <c r="AN14425" t="s">
        <v>8881</v>
      </c>
      <c r="AO14425" t="s">
        <v>35581</v>
      </c>
    </row>
    <row r="14426" spans="39:41" ht="12" customHeight="1" x14ac:dyDescent="0.2">
      <c r="AM14426" t="str">
        <f t="shared" si="225"/>
        <v>Skarsvag [NOSKZ]</v>
      </c>
      <c r="AN14426" t="s">
        <v>24733</v>
      </c>
      <c r="AO14426" t="s">
        <v>36293</v>
      </c>
    </row>
    <row r="14427" spans="39:41" ht="12" customHeight="1" x14ac:dyDescent="0.2">
      <c r="AM14427" t="str">
        <f t="shared" si="225"/>
        <v>Skattkarr [SESKT]</v>
      </c>
      <c r="AN14427" t="s">
        <v>27847</v>
      </c>
      <c r="AO14427" t="s">
        <v>36519</v>
      </c>
    </row>
    <row r="14428" spans="39:41" ht="12" customHeight="1" x14ac:dyDescent="0.2">
      <c r="AM14428" t="str">
        <f t="shared" si="225"/>
        <v>Skaun [NOSAN]</v>
      </c>
      <c r="AN14428" t="s">
        <v>24734</v>
      </c>
      <c r="AO14428" t="s">
        <v>24735</v>
      </c>
    </row>
    <row r="14429" spans="39:41" ht="12" customHeight="1" x14ac:dyDescent="0.2">
      <c r="AM14429" t="str">
        <f t="shared" si="225"/>
        <v>Skegness [GBSKE]</v>
      </c>
      <c r="AN14429" t="s">
        <v>14498</v>
      </c>
      <c r="AO14429" t="s">
        <v>14499</v>
      </c>
    </row>
    <row r="14430" spans="39:41" ht="12" customHeight="1" x14ac:dyDescent="0.2">
      <c r="AM14430" t="str">
        <f t="shared" si="225"/>
        <v>Skeld [GBSKZ]</v>
      </c>
      <c r="AN14430" t="s">
        <v>14500</v>
      </c>
      <c r="AO14430" t="s">
        <v>14501</v>
      </c>
    </row>
    <row r="14431" spans="39:41" ht="12" customHeight="1" x14ac:dyDescent="0.2">
      <c r="AM14431" t="str">
        <f t="shared" si="225"/>
        <v>Skelleftea [SESFT]</v>
      </c>
      <c r="AN14431" t="s">
        <v>27848</v>
      </c>
      <c r="AO14431" t="s">
        <v>36520</v>
      </c>
    </row>
    <row r="14432" spans="39:41" ht="12" customHeight="1" x14ac:dyDescent="0.2">
      <c r="AM14432" t="str">
        <f t="shared" si="225"/>
        <v>Skelleftehamn [SESKE]</v>
      </c>
      <c r="AN14432" t="s">
        <v>27849</v>
      </c>
      <c r="AO14432" t="s">
        <v>27850</v>
      </c>
    </row>
    <row r="14433" spans="39:41" ht="12" customHeight="1" x14ac:dyDescent="0.2">
      <c r="AM14433" t="str">
        <f t="shared" si="225"/>
        <v>Skerjafjordur [ISKJF]</v>
      </c>
      <c r="AN14433" t="s">
        <v>17762</v>
      </c>
      <c r="AO14433" t="s">
        <v>36068</v>
      </c>
    </row>
    <row r="14434" spans="39:41" ht="12" customHeight="1" x14ac:dyDescent="0.2">
      <c r="AM14434" t="str">
        <f t="shared" si="225"/>
        <v>Skerray [GBSKR]</v>
      </c>
      <c r="AN14434" t="s">
        <v>14502</v>
      </c>
      <c r="AO14434" t="s">
        <v>14503</v>
      </c>
    </row>
    <row r="14435" spans="39:41" ht="12" customHeight="1" x14ac:dyDescent="0.2">
      <c r="AM14435" t="str">
        <f t="shared" si="225"/>
        <v>Skiathos [GRJSI]</v>
      </c>
      <c r="AN14435" t="s">
        <v>15525</v>
      </c>
      <c r="AO14435" t="s">
        <v>35980</v>
      </c>
    </row>
    <row r="14436" spans="39:41" ht="12" customHeight="1" x14ac:dyDescent="0.2">
      <c r="AM14436" t="str">
        <f t="shared" si="225"/>
        <v>Skibotn [NOSKB]</v>
      </c>
      <c r="AN14436" t="s">
        <v>24736</v>
      </c>
      <c r="AO14436" t="s">
        <v>24737</v>
      </c>
    </row>
    <row r="14437" spans="39:41" ht="12" customHeight="1" x14ac:dyDescent="0.2">
      <c r="AM14437" t="str">
        <f t="shared" si="225"/>
        <v>Skien [NOSKE]</v>
      </c>
      <c r="AN14437" t="s">
        <v>24738</v>
      </c>
      <c r="AO14437" t="s">
        <v>24739</v>
      </c>
    </row>
    <row r="14438" spans="39:41" ht="12" customHeight="1" x14ac:dyDescent="0.2">
      <c r="AM14438" t="str">
        <f t="shared" si="225"/>
        <v>Skiftun [NOSKF]</v>
      </c>
      <c r="AN14438" t="s">
        <v>24740</v>
      </c>
      <c r="AO14438" t="s">
        <v>24741</v>
      </c>
    </row>
    <row r="14439" spans="39:41" ht="12" customHeight="1" x14ac:dyDescent="0.2">
      <c r="AM14439" t="str">
        <f t="shared" si="225"/>
        <v>Skikda (ex Philippeville) [DZSKI]</v>
      </c>
      <c r="AN14439" t="s">
        <v>9070</v>
      </c>
      <c r="AO14439" t="s">
        <v>9071</v>
      </c>
    </row>
    <row r="14440" spans="39:41" ht="12" customHeight="1" x14ac:dyDescent="0.2">
      <c r="AM14440" t="str">
        <f t="shared" si="225"/>
        <v>Skinnarvik [FISKI]</v>
      </c>
      <c r="AN14440" t="s">
        <v>10542</v>
      </c>
      <c r="AO14440" t="s">
        <v>10543</v>
      </c>
    </row>
    <row r="14441" spans="39:41" ht="12" customHeight="1" x14ac:dyDescent="0.2">
      <c r="AM14441" t="str">
        <f t="shared" si="225"/>
        <v>Skipavik [NOSPK]</v>
      </c>
      <c r="AN14441" t="s">
        <v>24742</v>
      </c>
      <c r="AO14441" t="s">
        <v>24743</v>
      </c>
    </row>
    <row r="14442" spans="39:41" ht="12" customHeight="1" x14ac:dyDescent="0.2">
      <c r="AM14442" t="str">
        <f t="shared" si="225"/>
        <v>Skipavik - Gulen [NOSIP]</v>
      </c>
      <c r="AN14442" t="s">
        <v>24744</v>
      </c>
      <c r="AO14442" t="s">
        <v>24745</v>
      </c>
    </row>
    <row r="14443" spans="39:41" ht="12" customHeight="1" x14ac:dyDescent="0.2">
      <c r="AM14443" t="str">
        <f t="shared" si="225"/>
        <v>Skiros [GRSKU]</v>
      </c>
      <c r="AN14443" t="s">
        <v>15526</v>
      </c>
      <c r="AO14443" t="s">
        <v>35981</v>
      </c>
    </row>
    <row r="14444" spans="39:41" ht="12" customHeight="1" x14ac:dyDescent="0.2">
      <c r="AM14444" t="str">
        <f t="shared" ref="AM14444:AM14506" si="226">AO14444 &amp; " [" &amp; AN14444 &amp; "]"</f>
        <v>Skive [DKSKV]</v>
      </c>
      <c r="AN14444" t="s">
        <v>8882</v>
      </c>
      <c r="AO14444" t="s">
        <v>8883</v>
      </c>
    </row>
    <row r="14445" spans="39:41" ht="12" customHeight="1" x14ac:dyDescent="0.2">
      <c r="AM14445" t="str">
        <f t="shared" si="226"/>
        <v>Skjarhalden [NOSKH]</v>
      </c>
      <c r="AN14445" t="s">
        <v>24746</v>
      </c>
      <c r="AO14445" t="s">
        <v>36294</v>
      </c>
    </row>
    <row r="14446" spans="39:41" ht="12" customHeight="1" x14ac:dyDescent="0.2">
      <c r="AM14446" t="str">
        <f t="shared" si="226"/>
        <v>Skjerkoya [NOSKI]</v>
      </c>
      <c r="AN14446" t="s">
        <v>24747</v>
      </c>
      <c r="AO14446" t="s">
        <v>36295</v>
      </c>
    </row>
    <row r="14447" spans="39:41" ht="12" customHeight="1" x14ac:dyDescent="0.2">
      <c r="AM14447" t="str">
        <f t="shared" si="226"/>
        <v>Skjervoy [NOSKY]</v>
      </c>
      <c r="AN14447" t="s">
        <v>24748</v>
      </c>
      <c r="AO14447" t="s">
        <v>36296</v>
      </c>
    </row>
    <row r="14448" spans="39:41" ht="12" customHeight="1" x14ac:dyDescent="0.2">
      <c r="AM14448" t="str">
        <f t="shared" si="226"/>
        <v>Skjolden [NOSLN]</v>
      </c>
      <c r="AN14448" t="s">
        <v>24749</v>
      </c>
      <c r="AO14448" t="s">
        <v>24750</v>
      </c>
    </row>
    <row r="14449" spans="39:41" ht="12" customHeight="1" x14ac:dyDescent="0.2">
      <c r="AM14449" t="str">
        <f t="shared" si="226"/>
        <v>Skodje [NOSKO]</v>
      </c>
      <c r="AN14449" t="s">
        <v>24751</v>
      </c>
      <c r="AO14449" t="s">
        <v>24752</v>
      </c>
    </row>
    <row r="14450" spans="39:41" ht="12" customHeight="1" x14ac:dyDescent="0.2">
      <c r="AM14450" t="str">
        <f t="shared" si="226"/>
        <v>Skodsborg [DKSK3]</v>
      </c>
      <c r="AN14450" t="s">
        <v>8884</v>
      </c>
      <c r="AO14450" t="s">
        <v>8885</v>
      </c>
    </row>
    <row r="14451" spans="39:41" ht="12" customHeight="1" x14ac:dyDescent="0.2">
      <c r="AM14451" t="str">
        <f t="shared" si="226"/>
        <v>Skogby [FISKB]</v>
      </c>
      <c r="AN14451" t="s">
        <v>10544</v>
      </c>
      <c r="AO14451" t="s">
        <v>10545</v>
      </c>
    </row>
    <row r="14452" spans="39:41" ht="12" customHeight="1" x14ac:dyDescent="0.2">
      <c r="AM14452" t="str">
        <f t="shared" si="226"/>
        <v>Skoghall [SESKO]</v>
      </c>
      <c r="AN14452" t="s">
        <v>27851</v>
      </c>
      <c r="AO14452" t="s">
        <v>27852</v>
      </c>
    </row>
    <row r="14453" spans="39:41" ht="12" customHeight="1" x14ac:dyDescent="0.2">
      <c r="AM14453" t="str">
        <f t="shared" si="226"/>
        <v>Skogn [NOSKX]</v>
      </c>
      <c r="AN14453" t="s">
        <v>24753</v>
      </c>
      <c r="AO14453" t="s">
        <v>24754</v>
      </c>
    </row>
    <row r="14454" spans="39:41" ht="12" customHeight="1" x14ac:dyDescent="0.2">
      <c r="AM14454" t="str">
        <f t="shared" si="226"/>
        <v>Skogsvag [NOSKG]</v>
      </c>
      <c r="AN14454" t="s">
        <v>37112</v>
      </c>
      <c r="AO14454" t="s">
        <v>37113</v>
      </c>
    </row>
    <row r="14455" spans="39:41" ht="12" customHeight="1" x14ac:dyDescent="0.2">
      <c r="AM14455" t="str">
        <f t="shared" si="226"/>
        <v>Skolwin [PLSKN]</v>
      </c>
      <c r="AN14455" t="s">
        <v>26377</v>
      </c>
      <c r="AO14455" t="s">
        <v>26378</v>
      </c>
    </row>
    <row r="14456" spans="39:41" ht="12" customHeight="1" x14ac:dyDescent="0.2">
      <c r="AM14456" t="str">
        <f t="shared" si="226"/>
        <v>Skolyszyn [PLSKJ]</v>
      </c>
      <c r="AN14456" t="s">
        <v>26379</v>
      </c>
      <c r="AO14456" t="s">
        <v>26380</v>
      </c>
    </row>
    <row r="14457" spans="39:41" ht="12" customHeight="1" x14ac:dyDescent="0.2">
      <c r="AM14457" t="str">
        <f t="shared" si="226"/>
        <v>Skopelos [GRSKO]</v>
      </c>
      <c r="AN14457" t="s">
        <v>15527</v>
      </c>
      <c r="AO14457" t="s">
        <v>15528</v>
      </c>
    </row>
    <row r="14458" spans="39:41" ht="12" customHeight="1" x14ac:dyDescent="0.2">
      <c r="AM14458" t="str">
        <f t="shared" si="226"/>
        <v>Skorgeneset [NOSGT]</v>
      </c>
      <c r="AN14458" t="s">
        <v>24755</v>
      </c>
      <c r="AO14458" t="s">
        <v>24756</v>
      </c>
    </row>
    <row r="14459" spans="39:41" ht="12" customHeight="1" x14ac:dyDescent="0.2">
      <c r="AM14459" t="str">
        <f t="shared" si="226"/>
        <v>Skradin [HRSRD]</v>
      </c>
      <c r="AN14459" t="s">
        <v>15921</v>
      </c>
      <c r="AO14459" t="s">
        <v>15922</v>
      </c>
    </row>
    <row r="14460" spans="39:41" ht="12" customHeight="1" x14ac:dyDescent="0.2">
      <c r="AM14460" t="str">
        <f t="shared" si="226"/>
        <v>Skredsvik [SESKR]</v>
      </c>
      <c r="AN14460" t="s">
        <v>27853</v>
      </c>
      <c r="AO14460" t="s">
        <v>27854</v>
      </c>
    </row>
    <row r="14461" spans="39:41" ht="12" customHeight="1" x14ac:dyDescent="0.2">
      <c r="AM14461" t="str">
        <f t="shared" si="226"/>
        <v>Skrolsvik [NOSRK]</v>
      </c>
      <c r="AN14461" t="s">
        <v>24757</v>
      </c>
      <c r="AO14461" t="s">
        <v>24758</v>
      </c>
    </row>
    <row r="14462" spans="39:41" ht="12" customHeight="1" x14ac:dyDescent="0.2">
      <c r="AM14462" t="str">
        <f t="shared" si="226"/>
        <v>Skrova [NOSRO]</v>
      </c>
      <c r="AN14462" t="s">
        <v>24759</v>
      </c>
      <c r="AO14462" t="s">
        <v>24760</v>
      </c>
    </row>
    <row r="14463" spans="39:41" ht="12" customHeight="1" x14ac:dyDescent="0.2">
      <c r="AM14463" t="str">
        <f t="shared" si="226"/>
        <v>Skua Venture (oil terminal) [AUSKV]</v>
      </c>
      <c r="AN14463" t="s">
        <v>2022</v>
      </c>
      <c r="AO14463" t="s">
        <v>2023</v>
      </c>
    </row>
    <row r="14464" spans="39:41" ht="12" customHeight="1" x14ac:dyDescent="0.2">
      <c r="AM14464" t="str">
        <f t="shared" si="226"/>
        <v>Skudeneshavn [NOSKU]</v>
      </c>
      <c r="AN14464" t="s">
        <v>24761</v>
      </c>
      <c r="AO14464" t="s">
        <v>24762</v>
      </c>
    </row>
    <row r="14465" spans="39:41" ht="12" customHeight="1" x14ac:dyDescent="0.2">
      <c r="AM14465" t="str">
        <f t="shared" si="226"/>
        <v>Skull [IESKL]</v>
      </c>
      <c r="AN14465" t="s">
        <v>16912</v>
      </c>
      <c r="AO14465" t="s">
        <v>16913</v>
      </c>
    </row>
    <row r="14466" spans="39:41" ht="12" customHeight="1" x14ac:dyDescent="0.2">
      <c r="AM14466" t="str">
        <f t="shared" si="226"/>
        <v>Skulte [LVSKU]</v>
      </c>
      <c r="AN14466" t="s">
        <v>21953</v>
      </c>
      <c r="AO14466" t="s">
        <v>21954</v>
      </c>
    </row>
    <row r="14467" spans="39:41" ht="12" customHeight="1" x14ac:dyDescent="0.2">
      <c r="AM14467" t="str">
        <f t="shared" si="226"/>
        <v>Skuthamn [SESKN]</v>
      </c>
      <c r="AN14467" t="s">
        <v>27855</v>
      </c>
      <c r="AO14467" t="s">
        <v>27856</v>
      </c>
    </row>
    <row r="14468" spans="39:41" ht="12" customHeight="1" x14ac:dyDescent="0.2">
      <c r="AM14468" t="str">
        <f t="shared" si="226"/>
        <v>Skutskar [SESSR]</v>
      </c>
      <c r="AN14468" t="s">
        <v>27857</v>
      </c>
      <c r="AO14468" t="s">
        <v>36521</v>
      </c>
    </row>
    <row r="14469" spans="39:41" ht="12" customHeight="1" x14ac:dyDescent="0.2">
      <c r="AM14469" t="str">
        <f t="shared" si="226"/>
        <v>Skutvik [NOORN]</v>
      </c>
      <c r="AN14469" t="s">
        <v>37106</v>
      </c>
      <c r="AO14469" t="s">
        <v>37107</v>
      </c>
    </row>
    <row r="14470" spans="39:41" ht="12" customHeight="1" x14ac:dyDescent="0.2">
      <c r="AM14470" t="str">
        <f t="shared" si="226"/>
        <v>Skutviken [FISKU]</v>
      </c>
      <c r="AN14470" t="s">
        <v>10546</v>
      </c>
      <c r="AO14470" t="s">
        <v>10547</v>
      </c>
    </row>
    <row r="14471" spans="39:41" ht="12" customHeight="1" x14ac:dyDescent="0.2">
      <c r="AM14471" t="str">
        <f t="shared" si="226"/>
        <v>Skye [AUSKY]</v>
      </c>
      <c r="AN14471" t="s">
        <v>2024</v>
      </c>
      <c r="AO14471" t="s">
        <v>2025</v>
      </c>
    </row>
    <row r="14472" spans="39:41" ht="12" customHeight="1" x14ac:dyDescent="0.2">
      <c r="AM14472" t="str">
        <f t="shared" si="226"/>
        <v>Slagentangen [NOSLG]</v>
      </c>
      <c r="AN14472" t="s">
        <v>24763</v>
      </c>
      <c r="AO14472" t="s">
        <v>24764</v>
      </c>
    </row>
    <row r="14473" spans="39:41" ht="12" customHeight="1" x14ac:dyDescent="0.2">
      <c r="AM14473" t="str">
        <f t="shared" si="226"/>
        <v>Slano [HRSLA]</v>
      </c>
      <c r="AN14473" t="s">
        <v>15923</v>
      </c>
      <c r="AO14473" t="s">
        <v>15924</v>
      </c>
    </row>
    <row r="14474" spans="39:41" ht="12" customHeight="1" x14ac:dyDescent="0.2">
      <c r="AM14474" t="str">
        <f t="shared" si="226"/>
        <v>Slatina [CZSTA]</v>
      </c>
      <c r="AN14474" t="s">
        <v>6935</v>
      </c>
      <c r="AO14474" t="s">
        <v>6936</v>
      </c>
    </row>
    <row r="14475" spans="39:41" ht="12" customHeight="1" x14ac:dyDescent="0.2">
      <c r="AM14475" t="str">
        <f t="shared" si="226"/>
        <v>Slatine [HRSLT]</v>
      </c>
      <c r="AN14475" t="s">
        <v>15925</v>
      </c>
      <c r="AO14475" t="s">
        <v>15926</v>
      </c>
    </row>
    <row r="14476" spans="39:41" ht="12" customHeight="1" x14ac:dyDescent="0.2">
      <c r="AM14476" t="str">
        <f t="shared" si="226"/>
        <v>Slavonski Brod [HRSBD]</v>
      </c>
      <c r="AN14476" t="s">
        <v>15927</v>
      </c>
      <c r="AO14476" t="s">
        <v>15928</v>
      </c>
    </row>
    <row r="14477" spans="39:41" ht="12" customHeight="1" x14ac:dyDescent="0.2">
      <c r="AM14477" t="str">
        <f t="shared" si="226"/>
        <v>Slavyanka [RUSKA]</v>
      </c>
      <c r="AN14477" t="s">
        <v>27238</v>
      </c>
      <c r="AO14477" t="s">
        <v>27239</v>
      </c>
    </row>
    <row r="14478" spans="39:41" ht="12" customHeight="1" x14ac:dyDescent="0.2">
      <c r="AM14478" t="str">
        <f t="shared" si="226"/>
        <v>Sleat [GBATS]</v>
      </c>
      <c r="AN14478" t="s">
        <v>14504</v>
      </c>
      <c r="AO14478" t="s">
        <v>14505</v>
      </c>
    </row>
    <row r="14479" spans="39:41" ht="12" customHeight="1" x14ac:dyDescent="0.2">
      <c r="AM14479" t="str">
        <f t="shared" si="226"/>
        <v>Sledge Island [USSI2]</v>
      </c>
      <c r="AN14479" t="s">
        <v>31504</v>
      </c>
      <c r="AO14479" t="s">
        <v>31505</v>
      </c>
    </row>
    <row r="14480" spans="39:41" ht="12" customHeight="1" x14ac:dyDescent="0.2">
      <c r="AM14480" t="str">
        <f t="shared" si="226"/>
        <v>Sleeuwijk [NLSWK]</v>
      </c>
      <c r="AN14480" t="s">
        <v>23610</v>
      </c>
      <c r="AO14480" t="s">
        <v>23611</v>
      </c>
    </row>
    <row r="14481" spans="39:41" ht="12" customHeight="1" x14ac:dyDescent="0.2">
      <c r="AM14481" t="str">
        <f t="shared" si="226"/>
        <v>Slemmestad [NOSLM]</v>
      </c>
      <c r="AN14481" t="s">
        <v>24765</v>
      </c>
      <c r="AO14481" t="s">
        <v>24766</v>
      </c>
    </row>
    <row r="14482" spans="39:41" ht="12" customHeight="1" x14ac:dyDescent="0.2">
      <c r="AM14482" t="str">
        <f t="shared" si="226"/>
        <v>Slependen [NOSLE]</v>
      </c>
      <c r="AN14482" t="s">
        <v>37114</v>
      </c>
      <c r="AO14482" t="s">
        <v>37115</v>
      </c>
    </row>
    <row r="14483" spans="39:41" ht="12" customHeight="1" x14ac:dyDescent="0.2">
      <c r="AM14483" t="str">
        <f t="shared" si="226"/>
        <v>Sliedrecht [NLSLD]</v>
      </c>
      <c r="AN14483" t="s">
        <v>37063</v>
      </c>
      <c r="AO14483" t="s">
        <v>37064</v>
      </c>
    </row>
    <row r="14484" spans="39:41" ht="12" customHeight="1" x14ac:dyDescent="0.2">
      <c r="AM14484" t="str">
        <f t="shared" si="226"/>
        <v>Sliema [MTSLM]</v>
      </c>
      <c r="AN14484" t="s">
        <v>22274</v>
      </c>
      <c r="AO14484" t="s">
        <v>22275</v>
      </c>
    </row>
    <row r="14485" spans="39:41" ht="12" customHeight="1" x14ac:dyDescent="0.2">
      <c r="AM14485" t="str">
        <f t="shared" si="226"/>
        <v>Sligo [IESLI]</v>
      </c>
      <c r="AN14485" t="s">
        <v>16914</v>
      </c>
      <c r="AO14485" t="s">
        <v>16915</v>
      </c>
    </row>
    <row r="14486" spans="39:41" ht="12" customHeight="1" x14ac:dyDescent="0.2">
      <c r="AM14486" t="str">
        <f t="shared" si="226"/>
        <v>Slijkenburg [NLSKG]</v>
      </c>
      <c r="AN14486" t="s">
        <v>23612</v>
      </c>
      <c r="AO14486" t="s">
        <v>23613</v>
      </c>
    </row>
    <row r="14487" spans="39:41" ht="12" customHeight="1" x14ac:dyDescent="0.2">
      <c r="AM14487" t="str">
        <f t="shared" si="226"/>
        <v>Slikkendam [NLSKM]</v>
      </c>
      <c r="AN14487" t="s">
        <v>23614</v>
      </c>
      <c r="AO14487" t="s">
        <v>23615</v>
      </c>
    </row>
    <row r="14488" spans="39:41" ht="12" customHeight="1" x14ac:dyDescent="0.2">
      <c r="AM14488" t="str">
        <f t="shared" si="226"/>
        <v>Slite [SESLI]</v>
      </c>
      <c r="AN14488" t="s">
        <v>27858</v>
      </c>
      <c r="AO14488" t="s">
        <v>27859</v>
      </c>
    </row>
    <row r="14489" spans="39:41" ht="12" customHeight="1" x14ac:dyDescent="0.2">
      <c r="AM14489" t="str">
        <f t="shared" si="226"/>
        <v>Slochteren [NLSLO]</v>
      </c>
      <c r="AN14489" t="s">
        <v>23616</v>
      </c>
      <c r="AO14489" t="s">
        <v>23617</v>
      </c>
    </row>
    <row r="14490" spans="39:41" ht="12" customHeight="1" x14ac:dyDescent="0.2">
      <c r="AM14490" t="str">
        <f t="shared" si="226"/>
        <v>Slonim [BYSNM]</v>
      </c>
      <c r="AN14490" t="s">
        <v>3498</v>
      </c>
      <c r="AO14490" t="s">
        <v>3499</v>
      </c>
    </row>
    <row r="14491" spans="39:41" ht="12" customHeight="1" x14ac:dyDescent="0.2">
      <c r="AM14491" t="str">
        <f t="shared" si="226"/>
        <v>Sloten [NLSLT]</v>
      </c>
      <c r="AN14491" t="s">
        <v>23618</v>
      </c>
      <c r="AO14491" t="s">
        <v>23619</v>
      </c>
    </row>
    <row r="14492" spans="39:41" ht="12" customHeight="1" x14ac:dyDescent="0.2">
      <c r="AM14492" t="str">
        <f t="shared" si="226"/>
        <v>Slovag [NOSLV]</v>
      </c>
      <c r="AN14492" t="s">
        <v>24767</v>
      </c>
      <c r="AO14492" t="s">
        <v>36297</v>
      </c>
    </row>
    <row r="14493" spans="39:41" ht="12" customHeight="1" x14ac:dyDescent="0.2">
      <c r="AM14493" t="str">
        <f t="shared" si="226"/>
        <v>Sluiskil [NLSLU]</v>
      </c>
      <c r="AN14493" t="s">
        <v>23620</v>
      </c>
      <c r="AO14493" t="s">
        <v>23621</v>
      </c>
    </row>
    <row r="14494" spans="39:41" ht="12" customHeight="1" x14ac:dyDescent="0.2">
      <c r="AM14494" t="str">
        <f t="shared" si="226"/>
        <v>Smackover [USSK4]</v>
      </c>
      <c r="AN14494" t="s">
        <v>31506</v>
      </c>
      <c r="AO14494" t="s">
        <v>31507</v>
      </c>
    </row>
    <row r="14495" spans="39:41" ht="12" customHeight="1" x14ac:dyDescent="0.2">
      <c r="AM14495" t="str">
        <f t="shared" si="226"/>
        <v>Smalandsstenar [SESMA]</v>
      </c>
      <c r="AN14495" t="s">
        <v>37158</v>
      </c>
      <c r="AO14495" t="s">
        <v>37159</v>
      </c>
    </row>
    <row r="14496" spans="39:41" ht="12" customHeight="1" x14ac:dyDescent="0.2">
      <c r="AM14496" t="str">
        <f t="shared" si="226"/>
        <v>Smalkalden [SRSMA]</v>
      </c>
      <c r="AN14496" t="s">
        <v>28126</v>
      </c>
      <c r="AO14496" t="s">
        <v>28127</v>
      </c>
    </row>
    <row r="14497" spans="39:41" ht="12" customHeight="1" x14ac:dyDescent="0.2">
      <c r="AM14497" t="str">
        <f t="shared" si="226"/>
        <v>Small Heath [GBSJJ]</v>
      </c>
      <c r="AN14497" t="s">
        <v>14506</v>
      </c>
      <c r="AO14497" t="s">
        <v>14507</v>
      </c>
    </row>
    <row r="14498" spans="39:41" ht="12" customHeight="1" x14ac:dyDescent="0.2">
      <c r="AM14498" t="str">
        <f t="shared" si="226"/>
        <v>Smallingerland [NLSML]</v>
      </c>
      <c r="AN14498" t="s">
        <v>23622</v>
      </c>
      <c r="AO14498" t="s">
        <v>23623</v>
      </c>
    </row>
    <row r="14499" spans="39:41" ht="12" customHeight="1" x14ac:dyDescent="0.2">
      <c r="AM14499" t="str">
        <f t="shared" si="226"/>
        <v>Smelterville [USYSV]</v>
      </c>
      <c r="AN14499" t="s">
        <v>31508</v>
      </c>
      <c r="AO14499" t="s">
        <v>31509</v>
      </c>
    </row>
    <row r="14500" spans="39:41" ht="12" customHeight="1" x14ac:dyDescent="0.2">
      <c r="AM14500" t="str">
        <f t="shared" si="226"/>
        <v>Smichov [CZSMO]</v>
      </c>
      <c r="AN14500" t="s">
        <v>6937</v>
      </c>
      <c r="AO14500" t="s">
        <v>35406</v>
      </c>
    </row>
    <row r="14501" spans="39:41" ht="12" customHeight="1" x14ac:dyDescent="0.2">
      <c r="AM14501" t="str">
        <f t="shared" si="226"/>
        <v>Smilde [NLSMI]</v>
      </c>
      <c r="AN14501" t="s">
        <v>23624</v>
      </c>
      <c r="AO14501" t="s">
        <v>23625</v>
      </c>
    </row>
    <row r="14502" spans="39:41" ht="12" customHeight="1" x14ac:dyDescent="0.2">
      <c r="AM14502" t="str">
        <f t="shared" si="226"/>
        <v>Smilovice [CZCRS]</v>
      </c>
      <c r="AN14502" t="s">
        <v>6938</v>
      </c>
      <c r="AO14502" t="s">
        <v>6939</v>
      </c>
    </row>
    <row r="14503" spans="39:41" ht="12" customHeight="1" x14ac:dyDescent="0.2">
      <c r="AM14503" t="str">
        <f t="shared" si="226"/>
        <v>Smithton [USITN]</v>
      </c>
      <c r="AN14503" t="s">
        <v>31510</v>
      </c>
      <c r="AO14503" t="s">
        <v>31511</v>
      </c>
    </row>
    <row r="14504" spans="39:41" ht="12" customHeight="1" x14ac:dyDescent="0.2">
      <c r="AM14504" t="str">
        <f t="shared" si="226"/>
        <v>Smogen [SESMO]</v>
      </c>
      <c r="AN14504" t="s">
        <v>27860</v>
      </c>
      <c r="AO14504" t="s">
        <v>36522</v>
      </c>
    </row>
    <row r="14505" spans="39:41" ht="12" customHeight="1" x14ac:dyDescent="0.2">
      <c r="AM14505" t="str">
        <f t="shared" si="226"/>
        <v>Smokey Point [USYSK]</v>
      </c>
      <c r="AN14505" t="s">
        <v>31512</v>
      </c>
      <c r="AO14505" t="s">
        <v>31513</v>
      </c>
    </row>
    <row r="14506" spans="39:41" ht="12" customHeight="1" x14ac:dyDescent="0.2">
      <c r="AM14506" t="str">
        <f t="shared" si="226"/>
        <v>Smola [NOSMO]</v>
      </c>
      <c r="AN14506" t="s">
        <v>24768</v>
      </c>
      <c r="AO14506" t="s">
        <v>36298</v>
      </c>
    </row>
    <row r="14507" spans="39:41" ht="12" customHeight="1" x14ac:dyDescent="0.2">
      <c r="AM14507" t="str">
        <f t="shared" ref="AM14507:AM14570" si="227">AO14507 &amp; " [" &amp; AN14507 &amp; "]"</f>
        <v>Smrzovka [CZOVK]</v>
      </c>
      <c r="AN14507" t="s">
        <v>6940</v>
      </c>
      <c r="AO14507" t="s">
        <v>6941</v>
      </c>
    </row>
    <row r="14508" spans="39:41" ht="12" customHeight="1" x14ac:dyDescent="0.2">
      <c r="AM14508" t="str">
        <f t="shared" si="227"/>
        <v>Smyrna [USS7Y]</v>
      </c>
      <c r="AN14508" t="s">
        <v>31514</v>
      </c>
      <c r="AO14508" t="s">
        <v>31515</v>
      </c>
    </row>
    <row r="14509" spans="39:41" ht="12" customHeight="1" x14ac:dyDescent="0.2">
      <c r="AM14509" t="str">
        <f t="shared" si="227"/>
        <v>Snaaskerke [BESSK]</v>
      </c>
      <c r="AN14509" t="s">
        <v>2963</v>
      </c>
      <c r="AO14509" t="s">
        <v>2964</v>
      </c>
    </row>
    <row r="14510" spans="39:41" ht="12" customHeight="1" x14ac:dyDescent="0.2">
      <c r="AM14510" t="str">
        <f t="shared" si="227"/>
        <v>Snape Bridge [GBSID]</v>
      </c>
      <c r="AN14510" t="s">
        <v>14508</v>
      </c>
      <c r="AO14510" t="s">
        <v>14509</v>
      </c>
    </row>
    <row r="14511" spans="39:41" ht="12" customHeight="1" x14ac:dyDescent="0.2">
      <c r="AM14511" t="str">
        <f t="shared" si="227"/>
        <v>Snappertuna [FISNA]</v>
      </c>
      <c r="AN14511" t="s">
        <v>10548</v>
      </c>
      <c r="AO14511" t="s">
        <v>10549</v>
      </c>
    </row>
    <row r="14512" spans="39:41" ht="12" customHeight="1" x14ac:dyDescent="0.2">
      <c r="AM14512" t="str">
        <f t="shared" si="227"/>
        <v>Snaroya [NOROY]</v>
      </c>
      <c r="AN14512" t="s">
        <v>24769</v>
      </c>
      <c r="AO14512" t="s">
        <v>36299</v>
      </c>
    </row>
    <row r="14513" spans="39:41" ht="12" customHeight="1" x14ac:dyDescent="0.2">
      <c r="AM14513" t="str">
        <f t="shared" si="227"/>
        <v>Snefjord [NOSNF]</v>
      </c>
      <c r="AN14513" t="s">
        <v>24770</v>
      </c>
      <c r="AO14513" t="s">
        <v>24771</v>
      </c>
    </row>
    <row r="14514" spans="39:41" ht="12" customHeight="1" x14ac:dyDescent="0.2">
      <c r="AM14514" t="str">
        <f t="shared" si="227"/>
        <v>Snekkersten [DKSNE]</v>
      </c>
      <c r="AN14514" t="s">
        <v>8886</v>
      </c>
      <c r="AO14514" t="s">
        <v>8887</v>
      </c>
    </row>
    <row r="14515" spans="39:41" ht="12" customHeight="1" x14ac:dyDescent="0.2">
      <c r="AM14515" t="str">
        <f t="shared" si="227"/>
        <v>Snekkevik [NOSNV]</v>
      </c>
      <c r="AN14515" t="s">
        <v>24772</v>
      </c>
      <c r="AO14515" t="s">
        <v>24773</v>
      </c>
    </row>
    <row r="14516" spans="39:41" ht="12" customHeight="1" x14ac:dyDescent="0.2">
      <c r="AM14516" t="str">
        <f t="shared" si="227"/>
        <v>Snertinge [DKSN2]</v>
      </c>
      <c r="AN14516" t="s">
        <v>8888</v>
      </c>
      <c r="AO14516" t="s">
        <v>8889</v>
      </c>
    </row>
    <row r="14517" spans="39:41" ht="12" customHeight="1" x14ac:dyDescent="0.2">
      <c r="AM14517" t="str">
        <f t="shared" si="227"/>
        <v>Snillfjord [NOSNI]</v>
      </c>
      <c r="AN14517" t="s">
        <v>24774</v>
      </c>
      <c r="AO14517" t="s">
        <v>24775</v>
      </c>
    </row>
    <row r="14518" spans="39:41" ht="12" customHeight="1" x14ac:dyDescent="0.2">
      <c r="AM14518" t="str">
        <f t="shared" si="227"/>
        <v>Snizort [GBSZT]</v>
      </c>
      <c r="AN14518" t="s">
        <v>14510</v>
      </c>
      <c r="AO14518" t="s">
        <v>14511</v>
      </c>
    </row>
    <row r="14519" spans="39:41" ht="12" customHeight="1" x14ac:dyDescent="0.2">
      <c r="AM14519" t="str">
        <f t="shared" si="227"/>
        <v>Snodland [GBSDL]</v>
      </c>
      <c r="AN14519" t="s">
        <v>14512</v>
      </c>
      <c r="AO14519" t="s">
        <v>14513</v>
      </c>
    </row>
    <row r="14520" spans="39:41" ht="12" customHeight="1" x14ac:dyDescent="0.2">
      <c r="AM14520" t="str">
        <f t="shared" si="227"/>
        <v>Snohvit [XZSHV]</v>
      </c>
      <c r="AN14520" t="s">
        <v>32597</v>
      </c>
      <c r="AO14520" t="s">
        <v>32598</v>
      </c>
    </row>
    <row r="14521" spans="39:41" ht="12" customHeight="1" x14ac:dyDescent="0.2">
      <c r="AM14521" t="str">
        <f t="shared" si="227"/>
        <v>Soalala [MGDWB]</v>
      </c>
      <c r="AN14521" t="s">
        <v>22152</v>
      </c>
      <c r="AO14521" t="s">
        <v>22153</v>
      </c>
    </row>
    <row r="14522" spans="39:41" ht="12" customHeight="1" x14ac:dyDescent="0.2">
      <c r="AM14522" t="str">
        <f t="shared" si="227"/>
        <v>Soap Lake [USSE3]</v>
      </c>
      <c r="AN14522" t="s">
        <v>31516</v>
      </c>
      <c r="AO14522" t="s">
        <v>31517</v>
      </c>
    </row>
    <row r="14523" spans="39:41" ht="12" customHeight="1" x14ac:dyDescent="0.2">
      <c r="AM14523" t="str">
        <f t="shared" si="227"/>
        <v>Sobra [HRSBR]</v>
      </c>
      <c r="AN14523" t="s">
        <v>15929</v>
      </c>
      <c r="AO14523" t="s">
        <v>15930</v>
      </c>
    </row>
    <row r="14524" spans="39:41" ht="12" customHeight="1" x14ac:dyDescent="0.2">
      <c r="AM14524" t="str">
        <f t="shared" si="227"/>
        <v>Soby Havn [DKSOB]</v>
      </c>
      <c r="AN14524" t="s">
        <v>8890</v>
      </c>
      <c r="AO14524" t="s">
        <v>35582</v>
      </c>
    </row>
    <row r="14525" spans="39:41" ht="12" customHeight="1" x14ac:dyDescent="0.2">
      <c r="AM14525" t="str">
        <f t="shared" si="227"/>
        <v>Sochi [RUAER]</v>
      </c>
      <c r="AN14525" t="s">
        <v>27240</v>
      </c>
      <c r="AO14525" t="s">
        <v>27241</v>
      </c>
    </row>
    <row r="14526" spans="39:41" ht="12" customHeight="1" x14ac:dyDescent="0.2">
      <c r="AM14526" t="str">
        <f t="shared" si="227"/>
        <v>Sociedad Portuaria Regional Cartagena [COSPC]</v>
      </c>
      <c r="AN14526" t="s">
        <v>33832</v>
      </c>
      <c r="AO14526" t="s">
        <v>33955</v>
      </c>
    </row>
    <row r="14527" spans="39:41" ht="12" customHeight="1" x14ac:dyDescent="0.2">
      <c r="AM14527" t="str">
        <f t="shared" si="227"/>
        <v>Soda Springs [USYSS]</v>
      </c>
      <c r="AN14527" t="s">
        <v>31518</v>
      </c>
      <c r="AO14527" t="s">
        <v>31519</v>
      </c>
    </row>
    <row r="14528" spans="39:41" ht="12" customHeight="1" x14ac:dyDescent="0.2">
      <c r="AM14528" t="str">
        <f t="shared" si="227"/>
        <v>Sodegaura [JPSDU]</v>
      </c>
      <c r="AN14528" t="s">
        <v>20886</v>
      </c>
      <c r="AO14528" t="s">
        <v>20887</v>
      </c>
    </row>
    <row r="14529" spans="39:41" ht="12" customHeight="1" x14ac:dyDescent="0.2">
      <c r="AM14529" t="str">
        <f t="shared" si="227"/>
        <v>Soderhamn [SESOO]</v>
      </c>
      <c r="AN14529" t="s">
        <v>27861</v>
      </c>
      <c r="AO14529" t="s">
        <v>36523</v>
      </c>
    </row>
    <row r="14530" spans="39:41" ht="12" customHeight="1" x14ac:dyDescent="0.2">
      <c r="AM14530" t="str">
        <f t="shared" si="227"/>
        <v>Soderkoping [SESOG]</v>
      </c>
      <c r="AN14530" t="s">
        <v>27862</v>
      </c>
      <c r="AO14530" t="s">
        <v>36524</v>
      </c>
    </row>
    <row r="14531" spans="39:41" ht="12" customHeight="1" x14ac:dyDescent="0.2">
      <c r="AM14531" t="str">
        <f t="shared" si="227"/>
        <v>Sodertalje [SESOE]</v>
      </c>
      <c r="AN14531" t="s">
        <v>27863</v>
      </c>
      <c r="AO14531" t="s">
        <v>36525</v>
      </c>
    </row>
    <row r="14532" spans="39:41" ht="12" customHeight="1" x14ac:dyDescent="0.2">
      <c r="AM14532" t="str">
        <f t="shared" si="227"/>
        <v>Sodus Point [USSOD]</v>
      </c>
      <c r="AN14532" t="s">
        <v>31520</v>
      </c>
      <c r="AO14532" t="s">
        <v>31521</v>
      </c>
    </row>
    <row r="14533" spans="39:41" ht="12" customHeight="1" x14ac:dyDescent="0.2">
      <c r="AM14533" t="str">
        <f t="shared" si="227"/>
        <v>Soela [EESOE]</v>
      </c>
      <c r="AN14533" t="s">
        <v>9358</v>
      </c>
      <c r="AO14533" t="s">
        <v>9359</v>
      </c>
    </row>
    <row r="14534" spans="39:41" ht="12" customHeight="1" x14ac:dyDescent="0.2">
      <c r="AM14534" t="str">
        <f t="shared" si="227"/>
        <v>Soengei Kolak [IDSKK]</v>
      </c>
      <c r="AN14534" t="s">
        <v>16605</v>
      </c>
      <c r="AO14534" t="s">
        <v>16606</v>
      </c>
    </row>
    <row r="14535" spans="39:41" ht="12" customHeight="1" x14ac:dyDescent="0.2">
      <c r="AM14535" t="str">
        <f t="shared" si="227"/>
        <v>Sogndal [NOSOG]</v>
      </c>
      <c r="AN14535" t="s">
        <v>24776</v>
      </c>
      <c r="AO14535" t="s">
        <v>24777</v>
      </c>
    </row>
    <row r="14536" spans="39:41" ht="12" customHeight="1" x14ac:dyDescent="0.2">
      <c r="AM14536" t="str">
        <f t="shared" si="227"/>
        <v>Sogne [NOSNE]</v>
      </c>
      <c r="AN14536" t="s">
        <v>24778</v>
      </c>
      <c r="AO14536" t="s">
        <v>36300</v>
      </c>
    </row>
    <row r="14537" spans="39:41" ht="12" customHeight="1" x14ac:dyDescent="0.2">
      <c r="AM14537" t="str">
        <f t="shared" si="227"/>
        <v>Sogo [JPSOG]</v>
      </c>
      <c r="AN14537" t="s">
        <v>20888</v>
      </c>
      <c r="AO14537" t="s">
        <v>20889</v>
      </c>
    </row>
    <row r="14538" spans="39:41" ht="12" customHeight="1" x14ac:dyDescent="0.2">
      <c r="AM14538" t="str">
        <f t="shared" si="227"/>
        <v>Sogod/Tacloban [PHSGD]</v>
      </c>
      <c r="AN14538" t="s">
        <v>26156</v>
      </c>
      <c r="AO14538" t="s">
        <v>26157</v>
      </c>
    </row>
    <row r="14539" spans="39:41" ht="12" customHeight="1" x14ac:dyDescent="0.2">
      <c r="AM14539" t="str">
        <f t="shared" si="227"/>
        <v>Sohag [EGSHG]</v>
      </c>
      <c r="AN14539" t="s">
        <v>9534</v>
      </c>
      <c r="AO14539" t="s">
        <v>9535</v>
      </c>
    </row>
    <row r="14540" spans="39:41" ht="12" customHeight="1" x14ac:dyDescent="0.2">
      <c r="AM14540" t="str">
        <f t="shared" si="227"/>
        <v>Sohar [OMSOH]</v>
      </c>
      <c r="AN14540" t="s">
        <v>25167</v>
      </c>
      <c r="AO14540" t="s">
        <v>25168</v>
      </c>
    </row>
    <row r="14541" spans="39:41" ht="12" customHeight="1" x14ac:dyDescent="0.2">
      <c r="AM14541" t="str">
        <f t="shared" si="227"/>
        <v>Soing [FRSQG]</v>
      </c>
      <c r="AN14541" t="s">
        <v>12105</v>
      </c>
      <c r="AO14541" t="s">
        <v>12106</v>
      </c>
    </row>
    <row r="14542" spans="39:41" ht="12" customHeight="1" x14ac:dyDescent="0.2">
      <c r="AM14542" t="str">
        <f t="shared" si="227"/>
        <v>Sokar Island [PGSOI]</v>
      </c>
      <c r="AN14542" t="s">
        <v>25470</v>
      </c>
      <c r="AO14542" t="s">
        <v>25471</v>
      </c>
    </row>
    <row r="14543" spans="39:41" ht="12" customHeight="1" x14ac:dyDescent="0.2">
      <c r="AM14543" t="str">
        <f t="shared" si="227"/>
        <v>Sokcho [KRSHO]</v>
      </c>
      <c r="AN14543" t="s">
        <v>21724</v>
      </c>
      <c r="AO14543" t="s">
        <v>21725</v>
      </c>
    </row>
    <row r="14544" spans="39:41" ht="12" customHeight="1" x14ac:dyDescent="0.2">
      <c r="AM14544" t="str">
        <f t="shared" si="227"/>
        <v>Sokhna Port [EGSOK]</v>
      </c>
      <c r="AN14544" t="s">
        <v>9536</v>
      </c>
      <c r="AO14544" t="s">
        <v>9537</v>
      </c>
    </row>
    <row r="14545" spans="39:41" ht="12" customHeight="1" x14ac:dyDescent="0.2">
      <c r="AM14545" t="str">
        <f t="shared" si="227"/>
        <v>Sokndal [NOSOK]</v>
      </c>
      <c r="AN14545" t="s">
        <v>24779</v>
      </c>
      <c r="AO14545" t="s">
        <v>24780</v>
      </c>
    </row>
    <row r="14546" spans="39:41" ht="12" customHeight="1" x14ac:dyDescent="0.2">
      <c r="AM14546" t="str">
        <f t="shared" si="227"/>
        <v>Sola [NOSLA]</v>
      </c>
      <c r="AN14546" t="s">
        <v>37116</v>
      </c>
      <c r="AO14546" t="s">
        <v>37117</v>
      </c>
    </row>
    <row r="14547" spans="39:41" ht="12" customHeight="1" x14ac:dyDescent="0.2">
      <c r="AM14547" t="str">
        <f t="shared" si="227"/>
        <v>Solbergelva [NOSBE]</v>
      </c>
      <c r="AN14547" t="s">
        <v>37108</v>
      </c>
      <c r="AO14547" t="s">
        <v>37109</v>
      </c>
    </row>
    <row r="14548" spans="39:41" ht="12" customHeight="1" x14ac:dyDescent="0.2">
      <c r="AM14548" t="str">
        <f t="shared" si="227"/>
        <v>Solesmes [FRSLV]</v>
      </c>
      <c r="AN14548" t="s">
        <v>12107</v>
      </c>
      <c r="AO14548" t="s">
        <v>12108</v>
      </c>
    </row>
    <row r="14549" spans="39:41" ht="12" customHeight="1" x14ac:dyDescent="0.2">
      <c r="AM14549" t="str">
        <f t="shared" si="227"/>
        <v>Soliman [TNSLN]</v>
      </c>
      <c r="AN14549" t="s">
        <v>28365</v>
      </c>
      <c r="AO14549" t="s">
        <v>28366</v>
      </c>
    </row>
    <row r="14550" spans="39:41" ht="12" customHeight="1" x14ac:dyDescent="0.2">
      <c r="AM14550" t="str">
        <f t="shared" si="227"/>
        <v>Sollana [ESSOV]</v>
      </c>
      <c r="AN14550" t="s">
        <v>10218</v>
      </c>
      <c r="AO14550" t="s">
        <v>10219</v>
      </c>
    </row>
    <row r="14551" spans="39:41" ht="12" customHeight="1" x14ac:dyDescent="0.2">
      <c r="AM14551" t="str">
        <f t="shared" si="227"/>
        <v>Sollested [DKSL2]</v>
      </c>
      <c r="AN14551" t="s">
        <v>8891</v>
      </c>
      <c r="AO14551" t="s">
        <v>35583</v>
      </c>
    </row>
    <row r="14552" spans="39:41" ht="12" customHeight="1" x14ac:dyDescent="0.2">
      <c r="AM14552" t="str">
        <f t="shared" si="227"/>
        <v>Solmundefjord [FOSMJ]</v>
      </c>
      <c r="AN14552" t="s">
        <v>10689</v>
      </c>
      <c r="AO14552" t="s">
        <v>10690</v>
      </c>
    </row>
    <row r="14553" spans="39:41" ht="12" customHeight="1" x14ac:dyDescent="0.2">
      <c r="AM14553" t="str">
        <f t="shared" si="227"/>
        <v>Solnechnogorsk [RUSNG]</v>
      </c>
      <c r="AN14553" t="s">
        <v>27242</v>
      </c>
      <c r="AO14553" t="s">
        <v>27243</v>
      </c>
    </row>
    <row r="14554" spans="39:41" ht="12" customHeight="1" x14ac:dyDescent="0.2">
      <c r="AM14554" t="str">
        <f t="shared" si="227"/>
        <v>Solomons [USOMU]</v>
      </c>
      <c r="AN14554" t="s">
        <v>31522</v>
      </c>
      <c r="AO14554" t="s">
        <v>31523</v>
      </c>
    </row>
    <row r="14555" spans="39:41" ht="12" customHeight="1" x14ac:dyDescent="0.2">
      <c r="AM14555" t="str">
        <f t="shared" si="227"/>
        <v>Solovki [RUSLK]</v>
      </c>
      <c r="AN14555" t="s">
        <v>27244</v>
      </c>
      <c r="AO14555" t="s">
        <v>27245</v>
      </c>
    </row>
    <row r="14556" spans="39:41" ht="12" customHeight="1" x14ac:dyDescent="0.2">
      <c r="AM14556" t="str">
        <f t="shared" si="227"/>
        <v>Solre-sur-Sambre [BESSB]</v>
      </c>
      <c r="AN14556" t="s">
        <v>2965</v>
      </c>
      <c r="AO14556" t="s">
        <v>2966</v>
      </c>
    </row>
    <row r="14557" spans="39:41" ht="12" customHeight="1" x14ac:dyDescent="0.2">
      <c r="AM14557" t="str">
        <f t="shared" si="227"/>
        <v>Solund [NOSLD]</v>
      </c>
      <c r="AN14557" t="s">
        <v>24781</v>
      </c>
      <c r="AO14557" t="s">
        <v>24782</v>
      </c>
    </row>
    <row r="14558" spans="39:41" ht="12" customHeight="1" x14ac:dyDescent="0.2">
      <c r="AM14558" t="str">
        <f t="shared" si="227"/>
        <v>Solva (Solfach) [GBSLV]</v>
      </c>
      <c r="AN14558" t="s">
        <v>14514</v>
      </c>
      <c r="AO14558" t="s">
        <v>14515</v>
      </c>
    </row>
    <row r="14559" spans="39:41" ht="12" customHeight="1" x14ac:dyDescent="0.2">
      <c r="AM14559" t="str">
        <f t="shared" si="227"/>
        <v>Solvesborg [SESOL]</v>
      </c>
      <c r="AN14559" t="s">
        <v>27864</v>
      </c>
      <c r="AO14559" t="s">
        <v>36526</v>
      </c>
    </row>
    <row r="14560" spans="39:41" ht="12" customHeight="1" x14ac:dyDescent="0.2">
      <c r="AM14560" t="str">
        <f t="shared" si="227"/>
        <v>Sombra [CASOM]</v>
      </c>
      <c r="AN14560" t="s">
        <v>4465</v>
      </c>
      <c r="AO14560" t="s">
        <v>4466</v>
      </c>
    </row>
    <row r="14561" spans="39:41" ht="12" customHeight="1" x14ac:dyDescent="0.2">
      <c r="AM14561" t="str">
        <f t="shared" si="227"/>
        <v>Sombrero [AISOM]</v>
      </c>
      <c r="AN14561" t="s">
        <v>808</v>
      </c>
      <c r="AO14561" t="s">
        <v>809</v>
      </c>
    </row>
    <row r="14562" spans="39:41" ht="12" customHeight="1" x14ac:dyDescent="0.2">
      <c r="AM14562" t="str">
        <f t="shared" si="227"/>
        <v>Somerset [USSS3]</v>
      </c>
      <c r="AN14562" t="s">
        <v>31524</v>
      </c>
      <c r="AO14562" t="s">
        <v>31525</v>
      </c>
    </row>
    <row r="14563" spans="39:41" ht="12" customHeight="1" x14ac:dyDescent="0.2">
      <c r="AM14563" t="str">
        <f t="shared" si="227"/>
        <v>Sommaroy [NOSOM]</v>
      </c>
      <c r="AN14563" t="s">
        <v>37118</v>
      </c>
      <c r="AO14563" t="s">
        <v>37119</v>
      </c>
    </row>
    <row r="14564" spans="39:41" ht="12" customHeight="1" x14ac:dyDescent="0.2">
      <c r="AM14564" t="str">
        <f t="shared" si="227"/>
        <v>Somna [NOSMN]</v>
      </c>
      <c r="AN14564" t="s">
        <v>24783</v>
      </c>
      <c r="AO14564" t="s">
        <v>36301</v>
      </c>
    </row>
    <row r="14565" spans="39:41" ht="12" customHeight="1" x14ac:dyDescent="0.2">
      <c r="AM14565" t="str">
        <f t="shared" si="227"/>
        <v>Somovit [BGSOM]</v>
      </c>
      <c r="AN14565" t="s">
        <v>3163</v>
      </c>
      <c r="AO14565" t="s">
        <v>3164</v>
      </c>
    </row>
    <row r="14566" spans="39:41" ht="12" customHeight="1" x14ac:dyDescent="0.2">
      <c r="AM14566" t="str">
        <f t="shared" si="227"/>
        <v>Sompting [GBSPT]</v>
      </c>
      <c r="AN14566" t="s">
        <v>14516</v>
      </c>
      <c r="AO14566" t="s">
        <v>14517</v>
      </c>
    </row>
    <row r="14567" spans="39:41" ht="12" customHeight="1" x14ac:dyDescent="0.2">
      <c r="AM14567" t="str">
        <f t="shared" si="227"/>
        <v>Son [NLSON]</v>
      </c>
      <c r="AN14567" t="s">
        <v>23626</v>
      </c>
      <c r="AO14567" t="s">
        <v>23627</v>
      </c>
    </row>
    <row r="14568" spans="39:41" ht="12" customHeight="1" x14ac:dyDescent="0.2">
      <c r="AM14568" t="str">
        <f t="shared" si="227"/>
        <v>Son (Puerto del Son) [ESPTN]</v>
      </c>
      <c r="AN14568" t="s">
        <v>10220</v>
      </c>
      <c r="AO14568" t="s">
        <v>10221</v>
      </c>
    </row>
    <row r="14569" spans="39:41" ht="12" customHeight="1" x14ac:dyDescent="0.2">
      <c r="AM14569" t="str">
        <f t="shared" si="227"/>
        <v>Sonai/Taketomi [JPSNI]</v>
      </c>
      <c r="AN14569" t="s">
        <v>20890</v>
      </c>
      <c r="AO14569" t="s">
        <v>20891</v>
      </c>
    </row>
    <row r="14570" spans="39:41" ht="12" customHeight="1" x14ac:dyDescent="0.2">
      <c r="AM14570" t="str">
        <f t="shared" si="227"/>
        <v>Sonai/Yonaguni [JPSNA]</v>
      </c>
      <c r="AN14570" t="s">
        <v>20892</v>
      </c>
      <c r="AO14570" t="s">
        <v>20893</v>
      </c>
    </row>
    <row r="14571" spans="39:41" ht="12" customHeight="1" x14ac:dyDescent="0.2">
      <c r="AM14571" t="str">
        <f t="shared" ref="AM14571:AM14634" si="228">AO14571 &amp; " [" &amp; AN14571 &amp; "]"</f>
        <v>Sonderborg [DKSGD]</v>
      </c>
      <c r="AN14571" t="s">
        <v>8892</v>
      </c>
      <c r="AO14571" t="s">
        <v>35584</v>
      </c>
    </row>
    <row r="14572" spans="39:41" ht="12" customHeight="1" x14ac:dyDescent="0.2">
      <c r="AM14572" t="str">
        <f t="shared" si="228"/>
        <v>Sonduongport [VNSDP]</v>
      </c>
      <c r="AN14572" t="s">
        <v>32470</v>
      </c>
      <c r="AO14572" t="s">
        <v>32471</v>
      </c>
    </row>
    <row r="14573" spans="39:41" ht="12" customHeight="1" x14ac:dyDescent="0.2">
      <c r="AM14573" t="str">
        <f t="shared" si="228"/>
        <v>Sone [JPSNE]</v>
      </c>
      <c r="AN14573" t="s">
        <v>20894</v>
      </c>
      <c r="AO14573" t="s">
        <v>20895</v>
      </c>
    </row>
    <row r="14574" spans="39:41" ht="12" customHeight="1" x14ac:dyDescent="0.2">
      <c r="AM14574" t="str">
        <f t="shared" si="228"/>
        <v>Song Doc [VNSON]</v>
      </c>
      <c r="AN14574" t="s">
        <v>32472</v>
      </c>
      <c r="AO14574" t="s">
        <v>32473</v>
      </c>
    </row>
    <row r="14575" spans="39:41" ht="12" customHeight="1" x14ac:dyDescent="0.2">
      <c r="AM14575" t="str">
        <f t="shared" si="228"/>
        <v>Song Han 9 [VNSH9]</v>
      </c>
      <c r="AN14575" t="s">
        <v>32474</v>
      </c>
      <c r="AO14575" t="s">
        <v>32475</v>
      </c>
    </row>
    <row r="14576" spans="39:41" ht="12" customHeight="1" x14ac:dyDescent="0.2">
      <c r="AM14576" t="str">
        <f t="shared" si="228"/>
        <v>Songgai [CNSOG]</v>
      </c>
      <c r="AN14576" t="s">
        <v>6083</v>
      </c>
      <c r="AO14576" t="s">
        <v>6084</v>
      </c>
    </row>
    <row r="14577" spans="39:41" ht="12" customHeight="1" x14ac:dyDescent="0.2">
      <c r="AM14577" t="str">
        <f t="shared" si="228"/>
        <v>Songgong [KRSGG]</v>
      </c>
      <c r="AN14577" t="s">
        <v>21726</v>
      </c>
      <c r="AO14577" t="s">
        <v>21727</v>
      </c>
    </row>
    <row r="14578" spans="39:41" ht="12" customHeight="1" x14ac:dyDescent="0.2">
      <c r="AM14578" t="str">
        <f t="shared" si="228"/>
        <v>Songjiang [CNSGJ]</v>
      </c>
      <c r="AN14578" t="s">
        <v>6085</v>
      </c>
      <c r="AO14578" t="s">
        <v>6086</v>
      </c>
    </row>
    <row r="14579" spans="39:41" ht="12" customHeight="1" x14ac:dyDescent="0.2">
      <c r="AM14579" t="str">
        <f t="shared" si="228"/>
        <v>Songjin [KPSON]</v>
      </c>
      <c r="AN14579" t="s">
        <v>21596</v>
      </c>
      <c r="AO14579" t="s">
        <v>21597</v>
      </c>
    </row>
    <row r="14580" spans="39:41" ht="12" customHeight="1" x14ac:dyDescent="0.2">
      <c r="AM14580" t="str">
        <f t="shared" si="228"/>
        <v>Songkhla [THSGK]</v>
      </c>
      <c r="AN14580" t="s">
        <v>35025</v>
      </c>
      <c r="AO14580" t="s">
        <v>28290</v>
      </c>
    </row>
    <row r="14581" spans="39:41" ht="12" customHeight="1" x14ac:dyDescent="0.2">
      <c r="AM14581" t="str">
        <f t="shared" si="228"/>
        <v>Songmen [CNSMN]</v>
      </c>
      <c r="AN14581" t="s">
        <v>6087</v>
      </c>
      <c r="AO14581" t="s">
        <v>6088</v>
      </c>
    </row>
    <row r="14582" spans="39:41" ht="12" customHeight="1" x14ac:dyDescent="0.2">
      <c r="AM14582" t="str">
        <f t="shared" si="228"/>
        <v>Songxia Pt [CNSON]</v>
      </c>
      <c r="AN14582" t="s">
        <v>6089</v>
      </c>
      <c r="AO14582" t="s">
        <v>6090</v>
      </c>
    </row>
    <row r="14583" spans="39:41" ht="12" customHeight="1" x14ac:dyDescent="0.2">
      <c r="AM14583" t="str">
        <f t="shared" si="228"/>
        <v>Songzikou [CNSZK]</v>
      </c>
      <c r="AN14583" t="s">
        <v>6091</v>
      </c>
      <c r="AO14583" t="s">
        <v>6092</v>
      </c>
    </row>
    <row r="14584" spans="39:41" ht="12" customHeight="1" x14ac:dyDescent="0.2">
      <c r="AM14584" t="str">
        <f t="shared" si="228"/>
        <v>Sonogi [JPSGX]</v>
      </c>
      <c r="AN14584" t="s">
        <v>20896</v>
      </c>
      <c r="AO14584" t="s">
        <v>20897</v>
      </c>
    </row>
    <row r="14585" spans="39:41" ht="12" customHeight="1" x14ac:dyDescent="0.2">
      <c r="AM14585" t="str">
        <f t="shared" si="228"/>
        <v>Sonoura [JPSOR]</v>
      </c>
      <c r="AN14585" t="s">
        <v>20898</v>
      </c>
      <c r="AO14585" t="s">
        <v>20899</v>
      </c>
    </row>
    <row r="14586" spans="39:41" ht="12" customHeight="1" x14ac:dyDescent="0.2">
      <c r="AM14586" t="str">
        <f t="shared" si="228"/>
        <v>Sonoyama [JPSYM]</v>
      </c>
      <c r="AN14586" t="s">
        <v>20900</v>
      </c>
      <c r="AO14586" t="s">
        <v>20901</v>
      </c>
    </row>
    <row r="14587" spans="39:41" ht="12" customHeight="1" x14ac:dyDescent="0.2">
      <c r="AM14587" t="str">
        <f t="shared" si="228"/>
        <v>Soo [EESSO]</v>
      </c>
      <c r="AN14587" t="s">
        <v>9360</v>
      </c>
      <c r="AO14587" t="s">
        <v>9361</v>
      </c>
    </row>
    <row r="14588" spans="39:41" ht="12" customHeight="1" x14ac:dyDescent="0.2">
      <c r="AM14588" t="str">
        <f t="shared" si="228"/>
        <v>Sooke [CASOO]</v>
      </c>
      <c r="AN14588" t="s">
        <v>4467</v>
      </c>
      <c r="AO14588" t="s">
        <v>4468</v>
      </c>
    </row>
    <row r="14589" spans="39:41" ht="12" customHeight="1" x14ac:dyDescent="0.2">
      <c r="AM14589" t="str">
        <f t="shared" si="228"/>
        <v>Sopers Hole [VGSHO]</v>
      </c>
      <c r="AN14589" t="s">
        <v>32274</v>
      </c>
      <c r="AO14589" t="s">
        <v>32275</v>
      </c>
    </row>
    <row r="14590" spans="39:41" ht="12" customHeight="1" x14ac:dyDescent="0.2">
      <c r="AM14590" t="str">
        <f t="shared" si="228"/>
        <v>Sopot [PLSOP]</v>
      </c>
      <c r="AN14590" t="s">
        <v>26381</v>
      </c>
      <c r="AO14590" t="s">
        <v>26382</v>
      </c>
    </row>
    <row r="14591" spans="39:41" ht="12" customHeight="1" x14ac:dyDescent="0.2">
      <c r="AM14591" t="str">
        <f t="shared" si="228"/>
        <v>Soraker [SESOR]</v>
      </c>
      <c r="AN14591" t="s">
        <v>27865</v>
      </c>
      <c r="AO14591" t="s">
        <v>36527</v>
      </c>
    </row>
    <row r="14592" spans="39:41" ht="12" customHeight="1" x14ac:dyDescent="0.2">
      <c r="AM14592" t="str">
        <f t="shared" si="228"/>
        <v>Sorarnoy [NOSOR]</v>
      </c>
      <c r="AN14592" t="s">
        <v>24784</v>
      </c>
      <c r="AO14592" t="s">
        <v>36302</v>
      </c>
    </row>
    <row r="14593" spans="39:41" ht="12" customHeight="1" x14ac:dyDescent="0.2">
      <c r="AM14593" t="str">
        <f t="shared" si="228"/>
        <v>Sorcy-Saint-Martin [FRYSM]</v>
      </c>
      <c r="AN14593" t="s">
        <v>12109</v>
      </c>
      <c r="AO14593" t="s">
        <v>12110</v>
      </c>
    </row>
    <row r="14594" spans="39:41" ht="12" customHeight="1" x14ac:dyDescent="0.2">
      <c r="AM14594" t="str">
        <f t="shared" si="228"/>
        <v>Sorel [CASOR]</v>
      </c>
      <c r="AN14594" t="s">
        <v>4469</v>
      </c>
      <c r="AO14594" t="s">
        <v>4470</v>
      </c>
    </row>
    <row r="14595" spans="39:41" ht="12" customHeight="1" x14ac:dyDescent="0.2">
      <c r="AM14595" t="str">
        <f t="shared" si="228"/>
        <v>Sorel-Tracy [CAST6]</v>
      </c>
      <c r="AN14595" t="s">
        <v>4471</v>
      </c>
      <c r="AO14595" t="s">
        <v>4472</v>
      </c>
    </row>
    <row r="14596" spans="39:41" ht="12" customHeight="1" x14ac:dyDescent="0.2">
      <c r="AM14596" t="str">
        <f t="shared" si="228"/>
        <v>Sorfold [NOSOF]</v>
      </c>
      <c r="AN14596" t="s">
        <v>24785</v>
      </c>
      <c r="AO14596" t="s">
        <v>36303</v>
      </c>
    </row>
    <row r="14597" spans="39:41" ht="12" customHeight="1" x14ac:dyDescent="0.2">
      <c r="AM14597" t="str">
        <f t="shared" si="228"/>
        <v>Sorkjosen [NOSOJ]</v>
      </c>
      <c r="AN14597" t="s">
        <v>24786</v>
      </c>
      <c r="AO14597" t="s">
        <v>36304</v>
      </c>
    </row>
    <row r="14598" spans="39:41" ht="12" customHeight="1" x14ac:dyDescent="0.2">
      <c r="AM14598" t="str">
        <f t="shared" si="228"/>
        <v>Sorol Atoll [FMSOR]</v>
      </c>
      <c r="AN14598" t="s">
        <v>10665</v>
      </c>
      <c r="AO14598" t="s">
        <v>10666</v>
      </c>
    </row>
    <row r="14599" spans="39:41" ht="12" customHeight="1" x14ac:dyDescent="0.2">
      <c r="AM14599" t="str">
        <f t="shared" si="228"/>
        <v>Sorong [IDSOQ]</v>
      </c>
      <c r="AN14599" t="s">
        <v>16607</v>
      </c>
      <c r="AO14599" t="s">
        <v>16608</v>
      </c>
    </row>
    <row r="14600" spans="39:41" ht="12" customHeight="1" x14ac:dyDescent="0.2">
      <c r="AM14600" t="str">
        <f t="shared" si="228"/>
        <v>Soroosh (Cyrus) Terminal [IRCYT]</v>
      </c>
      <c r="AN14600" t="s">
        <v>17661</v>
      </c>
      <c r="AO14600" t="s">
        <v>17662</v>
      </c>
    </row>
    <row r="14601" spans="39:41" ht="12" customHeight="1" x14ac:dyDescent="0.2">
      <c r="AM14601" t="str">
        <f t="shared" si="228"/>
        <v>Sorreisa [NOSRA]</v>
      </c>
      <c r="AN14601" t="s">
        <v>24787</v>
      </c>
      <c r="AO14601" t="s">
        <v>36305</v>
      </c>
    </row>
    <row r="14602" spans="39:41" ht="12" customHeight="1" x14ac:dyDescent="0.2">
      <c r="AM14602" t="str">
        <f t="shared" si="228"/>
        <v>Sorrento [ITRRO]</v>
      </c>
      <c r="AN14602" t="s">
        <v>18336</v>
      </c>
      <c r="AO14602" t="s">
        <v>18337</v>
      </c>
    </row>
    <row r="14603" spans="39:41" ht="12" customHeight="1" x14ac:dyDescent="0.2">
      <c r="AM14603" t="str">
        <f t="shared" si="228"/>
        <v>Sorsogon/Legaspi [PHSOR]</v>
      </c>
      <c r="AN14603" t="s">
        <v>26158</v>
      </c>
      <c r="AO14603" t="s">
        <v>26159</v>
      </c>
    </row>
    <row r="14604" spans="39:41" ht="12" customHeight="1" x14ac:dyDescent="0.2">
      <c r="AM14604" t="str">
        <f t="shared" si="228"/>
        <v>Sortland [NOSLX]</v>
      </c>
      <c r="AN14604" t="s">
        <v>24788</v>
      </c>
      <c r="AO14604" t="s">
        <v>24789</v>
      </c>
    </row>
    <row r="14605" spans="39:41" ht="12" customHeight="1" x14ac:dyDescent="0.2">
      <c r="AM14605" t="str">
        <f t="shared" si="228"/>
        <v>Soru [EESRU]</v>
      </c>
      <c r="AN14605" t="s">
        <v>9362</v>
      </c>
      <c r="AO14605" t="s">
        <v>35646</v>
      </c>
    </row>
    <row r="14606" spans="39:41" ht="12" customHeight="1" x14ac:dyDescent="0.2">
      <c r="AM14606" t="str">
        <f t="shared" si="228"/>
        <v>Soru Vaikelaevasadam [EESRV]</v>
      </c>
      <c r="AN14606" t="s">
        <v>9363</v>
      </c>
      <c r="AO14606" t="s">
        <v>35647</v>
      </c>
    </row>
    <row r="14607" spans="39:41" ht="12" customHeight="1" x14ac:dyDescent="0.2">
      <c r="AM14607" t="str">
        <f t="shared" si="228"/>
        <v>Sorvagur [FOSRV]</v>
      </c>
      <c r="AN14607" t="s">
        <v>10691</v>
      </c>
      <c r="AO14607" t="s">
        <v>35768</v>
      </c>
    </row>
    <row r="14608" spans="39:41" ht="12" customHeight="1" x14ac:dyDescent="0.2">
      <c r="AM14608" t="str">
        <f t="shared" si="228"/>
        <v>Sorvar [NOSVR]</v>
      </c>
      <c r="AN14608" t="s">
        <v>24790</v>
      </c>
      <c r="AO14608" t="s">
        <v>36306</v>
      </c>
    </row>
    <row r="14609" spans="39:41" ht="12" customHeight="1" x14ac:dyDescent="0.2">
      <c r="AM14609" t="str">
        <f t="shared" si="228"/>
        <v>Sosdi/6th October [EGSOS]</v>
      </c>
      <c r="AN14609" t="s">
        <v>9538</v>
      </c>
      <c r="AO14609" t="s">
        <v>9539</v>
      </c>
    </row>
    <row r="14610" spans="39:41" ht="12" customHeight="1" x14ac:dyDescent="0.2">
      <c r="AM14610" t="str">
        <f t="shared" si="228"/>
        <v>Sostrop [DESEP]</v>
      </c>
      <c r="AN14610" t="s">
        <v>8295</v>
      </c>
      <c r="AO14610" t="s">
        <v>35498</v>
      </c>
    </row>
    <row r="14611" spans="39:41" ht="12" customHeight="1" x14ac:dyDescent="0.2">
      <c r="AM14611" t="str">
        <f t="shared" si="228"/>
        <v>Sotodomari/Nishiumi [JPSOT]</v>
      </c>
      <c r="AN14611" t="s">
        <v>20902</v>
      </c>
      <c r="AO14611" t="s">
        <v>20903</v>
      </c>
    </row>
    <row r="14612" spans="39:41" ht="12" customHeight="1" x14ac:dyDescent="0.2">
      <c r="AM14612" t="str">
        <f t="shared" si="228"/>
        <v>Sotogrande [ESSTG]</v>
      </c>
      <c r="AN14612" t="s">
        <v>36926</v>
      </c>
      <c r="AO14612" t="s">
        <v>36927</v>
      </c>
    </row>
    <row r="14613" spans="39:41" ht="12" customHeight="1" x14ac:dyDescent="0.2">
      <c r="AM14613" t="str">
        <f t="shared" si="228"/>
        <v>Sotra [NOSRX]</v>
      </c>
      <c r="AN14613" t="s">
        <v>24791</v>
      </c>
      <c r="AO14613" t="s">
        <v>24792</v>
      </c>
    </row>
    <row r="14614" spans="39:41" ht="12" customHeight="1" x14ac:dyDescent="0.2">
      <c r="AM14614" t="str">
        <f t="shared" si="228"/>
        <v>Souda [GRSDH]</v>
      </c>
      <c r="AN14614" t="s">
        <v>34091</v>
      </c>
      <c r="AO14614" t="s">
        <v>34137</v>
      </c>
    </row>
    <row r="14615" spans="39:41" ht="12" customHeight="1" x14ac:dyDescent="0.2">
      <c r="AM14615" t="str">
        <f t="shared" si="228"/>
        <v>Soudromont [BESDT]</v>
      </c>
      <c r="AN14615" t="s">
        <v>2967</v>
      </c>
      <c r="AO14615" t="s">
        <v>2968</v>
      </c>
    </row>
    <row r="14616" spans="39:41" ht="12" customHeight="1" x14ac:dyDescent="0.2">
      <c r="AM14616" t="str">
        <f t="shared" si="228"/>
        <v>Souflion [GRSFN]</v>
      </c>
      <c r="AN14616" t="s">
        <v>15529</v>
      </c>
      <c r="AO14616" t="s">
        <v>35982</v>
      </c>
    </row>
    <row r="14617" spans="39:41" ht="12" customHeight="1" x14ac:dyDescent="0.2">
      <c r="AM14617" t="str">
        <f t="shared" si="228"/>
        <v>Sougia Chanion [GRSOG]</v>
      </c>
      <c r="AN14617" t="s">
        <v>15530</v>
      </c>
      <c r="AO14617" t="s">
        <v>15531</v>
      </c>
    </row>
    <row r="14618" spans="39:41" ht="12" customHeight="1" x14ac:dyDescent="0.2">
      <c r="AM14618" t="str">
        <f t="shared" si="228"/>
        <v>Soulanges [FRQGS]</v>
      </c>
      <c r="AN14618" t="s">
        <v>12111</v>
      </c>
      <c r="AO14618" t="s">
        <v>12112</v>
      </c>
    </row>
    <row r="14619" spans="39:41" ht="12" customHeight="1" x14ac:dyDescent="0.2">
      <c r="AM14619" t="str">
        <f t="shared" si="228"/>
        <v>Souma [JPSMA]</v>
      </c>
      <c r="AN14619" t="s">
        <v>20904</v>
      </c>
      <c r="AO14619" t="s">
        <v>20905</v>
      </c>
    </row>
    <row r="14620" spans="39:41" ht="12" customHeight="1" x14ac:dyDescent="0.2">
      <c r="AM14620" t="str">
        <f t="shared" si="228"/>
        <v>Soupri [GRSOR]</v>
      </c>
      <c r="AN14620" t="s">
        <v>15532</v>
      </c>
      <c r="AO14620" t="s">
        <v>15533</v>
      </c>
    </row>
    <row r="14621" spans="39:41" ht="12" customHeight="1" x14ac:dyDescent="0.2">
      <c r="AM14621" t="str">
        <f t="shared" si="228"/>
        <v>Souq Larb'A Al Gharb [MA6KN]</v>
      </c>
      <c r="AN14621" t="s">
        <v>22061</v>
      </c>
      <c r="AO14621" t="s">
        <v>22062</v>
      </c>
    </row>
    <row r="14622" spans="39:41" ht="12" customHeight="1" x14ac:dyDescent="0.2">
      <c r="AM14622" t="str">
        <f t="shared" si="228"/>
        <v>Souris [CASOU]</v>
      </c>
      <c r="AN14622" t="s">
        <v>4473</v>
      </c>
      <c r="AO14622" t="s">
        <v>4474</v>
      </c>
    </row>
    <row r="14623" spans="39:41" ht="12" customHeight="1" x14ac:dyDescent="0.2">
      <c r="AM14623" t="str">
        <f t="shared" si="228"/>
        <v>Soussah [LYSOU]</v>
      </c>
      <c r="AN14623" t="s">
        <v>22003</v>
      </c>
      <c r="AO14623" t="s">
        <v>22004</v>
      </c>
    </row>
    <row r="14624" spans="39:41" ht="12" customHeight="1" x14ac:dyDescent="0.2">
      <c r="AM14624" t="str">
        <f t="shared" si="228"/>
        <v>Soussaki [GRSOU]</v>
      </c>
      <c r="AN14624" t="s">
        <v>34092</v>
      </c>
      <c r="AO14624" t="s">
        <v>34138</v>
      </c>
    </row>
    <row r="14625" spans="39:41" ht="12" customHeight="1" x14ac:dyDescent="0.2">
      <c r="AM14625" t="str">
        <f t="shared" si="228"/>
        <v>Sousse [TNSUS]</v>
      </c>
      <c r="AN14625" t="s">
        <v>28367</v>
      </c>
      <c r="AO14625" t="s">
        <v>28368</v>
      </c>
    </row>
    <row r="14626" spans="39:41" ht="12" customHeight="1" x14ac:dyDescent="0.2">
      <c r="AM14626" t="str">
        <f t="shared" si="228"/>
        <v>South Arne [GBSUT]</v>
      </c>
      <c r="AN14626" t="s">
        <v>14518</v>
      </c>
      <c r="AO14626" t="s">
        <v>14519</v>
      </c>
    </row>
    <row r="14627" spans="39:41" ht="12" customHeight="1" x14ac:dyDescent="0.2">
      <c r="AM14627" t="str">
        <f t="shared" si="228"/>
        <v>South Asia Gateway Terminal [LKSGT]</v>
      </c>
      <c r="AN14627" t="s">
        <v>21851</v>
      </c>
      <c r="AO14627" t="s">
        <v>21852</v>
      </c>
    </row>
    <row r="14628" spans="39:41" ht="12" customHeight="1" x14ac:dyDescent="0.2">
      <c r="AM14628" t="str">
        <f t="shared" si="228"/>
        <v>South Atlantic Ocean [XZSAO]</v>
      </c>
      <c r="AN14628" t="s">
        <v>36643</v>
      </c>
      <c r="AO14628" t="s">
        <v>36644</v>
      </c>
    </row>
    <row r="14629" spans="39:41" ht="12" customHeight="1" x14ac:dyDescent="0.2">
      <c r="AM14629" t="str">
        <f t="shared" si="228"/>
        <v>South Bend [USACJ]</v>
      </c>
      <c r="AN14629" t="s">
        <v>31527</v>
      </c>
      <c r="AO14629" t="s">
        <v>31526</v>
      </c>
    </row>
    <row r="14630" spans="39:41" ht="12" customHeight="1" x14ac:dyDescent="0.2">
      <c r="AM14630" t="str">
        <f t="shared" si="228"/>
        <v>South Brisbane [AUSBN]</v>
      </c>
      <c r="AN14630" t="s">
        <v>2026</v>
      </c>
      <c r="AO14630" t="s">
        <v>2027</v>
      </c>
    </row>
    <row r="14631" spans="39:41" ht="12" customHeight="1" x14ac:dyDescent="0.2">
      <c r="AM14631" t="str">
        <f t="shared" si="228"/>
        <v>South Busan [KRSBU]</v>
      </c>
      <c r="AN14631" t="s">
        <v>21728</v>
      </c>
      <c r="AO14631" t="s">
        <v>21729</v>
      </c>
    </row>
    <row r="14632" spans="39:41" ht="12" customHeight="1" x14ac:dyDescent="0.2">
      <c r="AM14632" t="str">
        <f t="shared" si="228"/>
        <v>South Caicos [TCXSC]</v>
      </c>
      <c r="AN14632" t="s">
        <v>28192</v>
      </c>
      <c r="AO14632" t="s">
        <v>28193</v>
      </c>
    </row>
    <row r="14633" spans="39:41" ht="12" customHeight="1" x14ac:dyDescent="0.2">
      <c r="AM14633" t="str">
        <f t="shared" si="228"/>
        <v>South Cuan, Luing [GBLUI]</v>
      </c>
      <c r="AN14633" t="s">
        <v>14520</v>
      </c>
      <c r="AO14633" t="s">
        <v>14521</v>
      </c>
    </row>
    <row r="14634" spans="39:41" ht="12" customHeight="1" x14ac:dyDescent="0.2">
      <c r="AM14634" t="str">
        <f t="shared" si="228"/>
        <v>South Dartmouth [USODT]</v>
      </c>
      <c r="AN14634" t="s">
        <v>31528</v>
      </c>
      <c r="AO14634" t="s">
        <v>31529</v>
      </c>
    </row>
    <row r="14635" spans="39:41" ht="12" customHeight="1" x14ac:dyDescent="0.2">
      <c r="AM14635" t="str">
        <f t="shared" ref="AM14635:AM14698" si="229">AO14635 &amp; " [" &amp; AN14635 &amp; "]"</f>
        <v>South Fallsburg [USQPZ]</v>
      </c>
      <c r="AN14635" t="s">
        <v>31530</v>
      </c>
      <c r="AO14635" t="s">
        <v>31531</v>
      </c>
    </row>
    <row r="14636" spans="39:41" ht="12" customHeight="1" x14ac:dyDescent="0.2">
      <c r="AM14636" t="str">
        <f t="shared" si="229"/>
        <v>South Glastonbury [USYSY]</v>
      </c>
      <c r="AN14636" t="s">
        <v>31532</v>
      </c>
      <c r="AO14636" t="s">
        <v>31533</v>
      </c>
    </row>
    <row r="14637" spans="39:41" ht="12" customHeight="1" x14ac:dyDescent="0.2">
      <c r="AM14637" t="str">
        <f t="shared" si="229"/>
        <v>South Hamilton [USZYX]</v>
      </c>
      <c r="AN14637" t="s">
        <v>31534</v>
      </c>
      <c r="AO14637" t="s">
        <v>31535</v>
      </c>
    </row>
    <row r="14638" spans="39:41" ht="12" customHeight="1" x14ac:dyDescent="0.2">
      <c r="AM14638" t="str">
        <f t="shared" si="229"/>
        <v>South Harris [GBTRS]</v>
      </c>
      <c r="AN14638" t="s">
        <v>14522</v>
      </c>
      <c r="AO14638" t="s">
        <v>14523</v>
      </c>
    </row>
    <row r="14639" spans="39:41" ht="12" customHeight="1" x14ac:dyDescent="0.2">
      <c r="AM14639" t="str">
        <f t="shared" si="229"/>
        <v>South Haven [USSOH]</v>
      </c>
      <c r="AN14639" t="s">
        <v>31536</v>
      </c>
      <c r="AO14639" t="s">
        <v>31537</v>
      </c>
    </row>
    <row r="14640" spans="39:41" ht="12" customHeight="1" x14ac:dyDescent="0.2">
      <c r="AM14640" t="str">
        <f t="shared" si="229"/>
        <v>South Hayling [GBSHG]</v>
      </c>
      <c r="AN14640" t="s">
        <v>14524</v>
      </c>
      <c r="AO14640" t="s">
        <v>14525</v>
      </c>
    </row>
    <row r="14641" spans="39:41" ht="12" customHeight="1" x14ac:dyDescent="0.2">
      <c r="AM14641" t="str">
        <f t="shared" si="229"/>
        <v>South Jordan [USXSJ]</v>
      </c>
      <c r="AN14641" t="s">
        <v>31538</v>
      </c>
      <c r="AO14641" t="s">
        <v>31539</v>
      </c>
    </row>
    <row r="14642" spans="39:41" ht="12" customHeight="1" x14ac:dyDescent="0.2">
      <c r="AM14642" t="str">
        <f t="shared" si="229"/>
        <v>South Kingstown [USS7K]</v>
      </c>
      <c r="AN14642" t="s">
        <v>31540</v>
      </c>
      <c r="AO14642" t="s">
        <v>31541</v>
      </c>
    </row>
    <row r="14643" spans="39:41" ht="12" customHeight="1" x14ac:dyDescent="0.2">
      <c r="AM14643" t="str">
        <f t="shared" si="229"/>
        <v>South Lochs [GBOTC]</v>
      </c>
      <c r="AN14643" t="s">
        <v>14526</v>
      </c>
      <c r="AO14643" t="s">
        <v>14527</v>
      </c>
    </row>
    <row r="14644" spans="39:41" ht="12" customHeight="1" x14ac:dyDescent="0.2">
      <c r="AM14644" t="str">
        <f t="shared" si="229"/>
        <v>South Mills [USAA9]</v>
      </c>
      <c r="AN14644" t="s">
        <v>31542</v>
      </c>
      <c r="AO14644" t="s">
        <v>31543</v>
      </c>
    </row>
    <row r="14645" spans="39:41" ht="12" customHeight="1" x14ac:dyDescent="0.2">
      <c r="AM14645" t="str">
        <f t="shared" si="229"/>
        <v>South Ogden [US2OG]</v>
      </c>
      <c r="AN14645" t="s">
        <v>31544</v>
      </c>
      <c r="AO14645" t="s">
        <v>31545</v>
      </c>
    </row>
    <row r="14646" spans="39:41" ht="12" customHeight="1" x14ac:dyDescent="0.2">
      <c r="AM14646" t="str">
        <f t="shared" si="229"/>
        <v>South Ozone Park [USOZN]</v>
      </c>
      <c r="AN14646" t="s">
        <v>31546</v>
      </c>
      <c r="AO14646" t="s">
        <v>31547</v>
      </c>
    </row>
    <row r="14647" spans="39:41" ht="12" customHeight="1" x14ac:dyDescent="0.2">
      <c r="AM14647" t="str">
        <f t="shared" si="229"/>
        <v>South Padre Island [USPXD]</v>
      </c>
      <c r="AN14647" t="s">
        <v>31548</v>
      </c>
      <c r="AO14647" t="s">
        <v>31549</v>
      </c>
    </row>
    <row r="14648" spans="39:41" ht="12" customHeight="1" x14ac:dyDescent="0.2">
      <c r="AM14648" t="str">
        <f t="shared" si="229"/>
        <v>South Queensferry [GBSOQ]</v>
      </c>
      <c r="AN14648" t="s">
        <v>14528</v>
      </c>
      <c r="AO14648" t="s">
        <v>14529</v>
      </c>
    </row>
    <row r="14649" spans="39:41" ht="12" customHeight="1" x14ac:dyDescent="0.2">
      <c r="AM14649" t="str">
        <f t="shared" si="229"/>
        <v>South Riding Point [BSSRP]</v>
      </c>
      <c r="AN14649" t="s">
        <v>3474</v>
      </c>
      <c r="AO14649" t="s">
        <v>3475</v>
      </c>
    </row>
    <row r="14650" spans="39:41" ht="12" customHeight="1" x14ac:dyDescent="0.2">
      <c r="AM14650" t="str">
        <f t="shared" si="229"/>
        <v>South Ronaldsay [GBSRY]</v>
      </c>
      <c r="AN14650" t="s">
        <v>14530</v>
      </c>
      <c r="AO14650" t="s">
        <v>14531</v>
      </c>
    </row>
    <row r="14651" spans="39:41" ht="12" customHeight="1" x14ac:dyDescent="0.2">
      <c r="AM14651" t="str">
        <f t="shared" si="229"/>
        <v>South Saint Paul [USSPT]</v>
      </c>
      <c r="AN14651" t="s">
        <v>31550</v>
      </c>
      <c r="AO14651" t="s">
        <v>31551</v>
      </c>
    </row>
    <row r="14652" spans="39:41" ht="12" customHeight="1" x14ac:dyDescent="0.2">
      <c r="AM14652" t="str">
        <f t="shared" si="229"/>
        <v>South Salt Lake [USS8K]</v>
      </c>
      <c r="AN14652" t="s">
        <v>31552</v>
      </c>
      <c r="AO14652" t="s">
        <v>31553</v>
      </c>
    </row>
    <row r="14653" spans="39:41" ht="12" customHeight="1" x14ac:dyDescent="0.2">
      <c r="AM14653" t="str">
        <f t="shared" si="229"/>
        <v>South Shields [GBSSH]</v>
      </c>
      <c r="AN14653" t="s">
        <v>14532</v>
      </c>
      <c r="AO14653" t="s">
        <v>14533</v>
      </c>
    </row>
    <row r="14654" spans="39:41" ht="12" customHeight="1" x14ac:dyDescent="0.2">
      <c r="AM14654" t="str">
        <f t="shared" si="229"/>
        <v>South Sinai (Ganoub Sinai) [EGSIN]</v>
      </c>
      <c r="AN14654" t="s">
        <v>9540</v>
      </c>
      <c r="AO14654" t="s">
        <v>9541</v>
      </c>
    </row>
    <row r="14655" spans="39:41" ht="12" customHeight="1" x14ac:dyDescent="0.2">
      <c r="AM14655" t="str">
        <f t="shared" si="229"/>
        <v>South Strome [GBUTS]</v>
      </c>
      <c r="AN14655" t="s">
        <v>14534</v>
      </c>
      <c r="AO14655" t="s">
        <v>14535</v>
      </c>
    </row>
    <row r="14656" spans="39:41" ht="12" customHeight="1" x14ac:dyDescent="0.2">
      <c r="AM14656" t="str">
        <f t="shared" si="229"/>
        <v>South Trees [AUSTR]</v>
      </c>
      <c r="AN14656" t="s">
        <v>2028</v>
      </c>
      <c r="AO14656" t="s">
        <v>2029</v>
      </c>
    </row>
    <row r="14657" spans="39:41" ht="12" customHeight="1" x14ac:dyDescent="0.2">
      <c r="AM14657" t="str">
        <f t="shared" si="229"/>
        <v>South Uist and Eriskay [GBTHT]</v>
      </c>
      <c r="AN14657" t="s">
        <v>14536</v>
      </c>
      <c r="AO14657" t="s">
        <v>14537</v>
      </c>
    </row>
    <row r="14658" spans="39:41" ht="12" customHeight="1" x14ac:dyDescent="0.2">
      <c r="AM14658" t="str">
        <f t="shared" si="229"/>
        <v>South Walpole [USQSW]</v>
      </c>
      <c r="AN14658" t="s">
        <v>31554</v>
      </c>
      <c r="AO14658" t="s">
        <v>31555</v>
      </c>
    </row>
    <row r="14659" spans="39:41" ht="12" customHeight="1" x14ac:dyDescent="0.2">
      <c r="AM14659" t="str">
        <f t="shared" si="229"/>
        <v>South West Rocks [AUSWR]</v>
      </c>
      <c r="AN14659" t="s">
        <v>2030</v>
      </c>
      <c r="AO14659" t="s">
        <v>2031</v>
      </c>
    </row>
    <row r="14660" spans="39:41" ht="12" customHeight="1" x14ac:dyDescent="0.2">
      <c r="AM14660" t="str">
        <f t="shared" si="229"/>
        <v>South Willamsport [USIOH]</v>
      </c>
      <c r="AN14660" t="s">
        <v>31556</v>
      </c>
      <c r="AO14660" t="s">
        <v>31557</v>
      </c>
    </row>
    <row r="14661" spans="39:41" ht="12" customHeight="1" x14ac:dyDescent="0.2">
      <c r="AM14661" t="str">
        <f t="shared" si="229"/>
        <v>South Windham [USUWH]</v>
      </c>
      <c r="AN14661" t="s">
        <v>31558</v>
      </c>
      <c r="AO14661" t="s">
        <v>31559</v>
      </c>
    </row>
    <row r="14662" spans="39:41" ht="12" customHeight="1" x14ac:dyDescent="0.2">
      <c r="AM14662" t="str">
        <f t="shared" si="229"/>
        <v>Southampton [BMSOU]</v>
      </c>
      <c r="AN14662" t="s">
        <v>3208</v>
      </c>
      <c r="AO14662" t="s">
        <v>3209</v>
      </c>
    </row>
    <row r="14663" spans="39:41" ht="12" customHeight="1" x14ac:dyDescent="0.2">
      <c r="AM14663" t="str">
        <f t="shared" si="229"/>
        <v>Southampton [GBSOU]</v>
      </c>
      <c r="AN14663" t="s">
        <v>14538</v>
      </c>
      <c r="AO14663" t="s">
        <v>3209</v>
      </c>
    </row>
    <row r="14664" spans="39:41" ht="12" customHeight="1" x14ac:dyDescent="0.2">
      <c r="AM14664" t="str">
        <f t="shared" si="229"/>
        <v>Southbroom [ZASNL]</v>
      </c>
      <c r="AN14664" t="s">
        <v>34238</v>
      </c>
      <c r="AO14664" t="s">
        <v>34306</v>
      </c>
    </row>
    <row r="14665" spans="39:41" ht="12" customHeight="1" x14ac:dyDescent="0.2">
      <c r="AM14665" t="str">
        <f t="shared" si="229"/>
        <v>Southend [GBSEC]</v>
      </c>
      <c r="AN14665" t="s">
        <v>14539</v>
      </c>
      <c r="AO14665" t="s">
        <v>14540</v>
      </c>
    </row>
    <row r="14666" spans="39:41" ht="12" customHeight="1" x14ac:dyDescent="0.2">
      <c r="AM14666" t="str">
        <f t="shared" si="229"/>
        <v>Southend [GBSND]</v>
      </c>
      <c r="AN14666" t="s">
        <v>14541</v>
      </c>
      <c r="AO14666" t="s">
        <v>14540</v>
      </c>
    </row>
    <row r="14667" spans="39:41" ht="12" customHeight="1" x14ac:dyDescent="0.2">
      <c r="AM14667" t="str">
        <f t="shared" si="229"/>
        <v>Southend-on-Sea [GBSAA]</v>
      </c>
      <c r="AN14667" t="s">
        <v>14542</v>
      </c>
      <c r="AO14667" t="s">
        <v>14543</v>
      </c>
    </row>
    <row r="14668" spans="39:41" ht="12" customHeight="1" x14ac:dyDescent="0.2">
      <c r="AM14668" t="str">
        <f t="shared" si="229"/>
        <v>Southerness [GBSRQ]</v>
      </c>
      <c r="AN14668" t="s">
        <v>14544</v>
      </c>
      <c r="AO14668" t="s">
        <v>14545</v>
      </c>
    </row>
    <row r="14669" spans="39:41" ht="12" customHeight="1" x14ac:dyDescent="0.2">
      <c r="AM14669" t="str">
        <f t="shared" si="229"/>
        <v>Southhaven [USHH7]</v>
      </c>
      <c r="AN14669" t="s">
        <v>31560</v>
      </c>
      <c r="AO14669" t="s">
        <v>31561</v>
      </c>
    </row>
    <row r="14670" spans="39:41" ht="12" customHeight="1" x14ac:dyDescent="0.2">
      <c r="AM14670" t="str">
        <f t="shared" si="229"/>
        <v>Southport [GBSRT]</v>
      </c>
      <c r="AN14670" t="s">
        <v>14546</v>
      </c>
      <c r="AO14670" t="s">
        <v>14547</v>
      </c>
    </row>
    <row r="14671" spans="39:41" ht="12" customHeight="1" x14ac:dyDescent="0.2">
      <c r="AM14671" t="str">
        <f t="shared" si="229"/>
        <v>Southwick [GBSHK]</v>
      </c>
      <c r="AN14671" t="s">
        <v>14548</v>
      </c>
      <c r="AO14671" t="s">
        <v>14549</v>
      </c>
    </row>
    <row r="14672" spans="39:41" ht="12" customHeight="1" x14ac:dyDescent="0.2">
      <c r="AM14672" t="str">
        <f t="shared" si="229"/>
        <v>Southwold [GBSWD]</v>
      </c>
      <c r="AN14672" t="s">
        <v>14550</v>
      </c>
      <c r="AO14672" t="s">
        <v>14551</v>
      </c>
    </row>
    <row r="14673" spans="39:41" ht="12" customHeight="1" x14ac:dyDescent="0.2">
      <c r="AM14673" t="str">
        <f t="shared" si="229"/>
        <v>Souvala [GRSLA]</v>
      </c>
      <c r="AN14673" t="s">
        <v>15534</v>
      </c>
      <c r="AO14673" t="s">
        <v>15535</v>
      </c>
    </row>
    <row r="14674" spans="39:41" ht="12" customHeight="1" x14ac:dyDescent="0.2">
      <c r="AM14674" t="str">
        <f t="shared" si="229"/>
        <v>Soverato [ITSOO]</v>
      </c>
      <c r="AN14674" t="s">
        <v>18338</v>
      </c>
      <c r="AO14674" t="s">
        <v>18339</v>
      </c>
    </row>
    <row r="14675" spans="39:41" ht="12" customHeight="1" x14ac:dyDescent="0.2">
      <c r="AM14675" t="str">
        <f t="shared" si="229"/>
        <v>Sovetsk [RUSSK]</v>
      </c>
      <c r="AN14675" t="s">
        <v>27246</v>
      </c>
      <c r="AO14675" t="s">
        <v>27247</v>
      </c>
    </row>
    <row r="14676" spans="39:41" ht="12" customHeight="1" x14ac:dyDescent="0.2">
      <c r="AM14676" t="str">
        <f t="shared" si="229"/>
        <v>Sovetskaya Gavan [RUSOG]</v>
      </c>
      <c r="AN14676" t="s">
        <v>27248</v>
      </c>
      <c r="AO14676" t="s">
        <v>27249</v>
      </c>
    </row>
    <row r="14677" spans="39:41" ht="12" customHeight="1" x14ac:dyDescent="0.2">
      <c r="AM14677" t="str">
        <f t="shared" si="229"/>
        <v>Sovik [NOSOV]</v>
      </c>
      <c r="AN14677" t="s">
        <v>24793</v>
      </c>
      <c r="AO14677" t="s">
        <v>36307</v>
      </c>
    </row>
    <row r="14678" spans="39:41" ht="12" customHeight="1" x14ac:dyDescent="0.2">
      <c r="AM14678" t="str">
        <f t="shared" si="229"/>
        <v>Soya [JPSOY]</v>
      </c>
      <c r="AN14678" t="s">
        <v>20906</v>
      </c>
      <c r="AO14678" t="s">
        <v>20907</v>
      </c>
    </row>
    <row r="14679" spans="39:41" ht="12" customHeight="1" x14ac:dyDescent="0.2">
      <c r="AM14679" t="str">
        <f t="shared" si="229"/>
        <v>Soyo [AOSZA]</v>
      </c>
      <c r="AN14679" t="s">
        <v>896</v>
      </c>
      <c r="AO14679" t="s">
        <v>897</v>
      </c>
    </row>
    <row r="14680" spans="39:41" ht="12" customHeight="1" x14ac:dyDescent="0.2">
      <c r="AM14680" t="str">
        <f t="shared" si="229"/>
        <v>Soyo-Quinfuquena Terminal [AOSOQ]</v>
      </c>
      <c r="AN14680" t="s">
        <v>898</v>
      </c>
      <c r="AO14680" t="s">
        <v>899</v>
      </c>
    </row>
    <row r="14681" spans="39:41" ht="12" customHeight="1" x14ac:dyDescent="0.2">
      <c r="AM14681" t="str">
        <f t="shared" si="229"/>
        <v>Sozopol [BGSOZ]</v>
      </c>
      <c r="AN14681" t="s">
        <v>3165</v>
      </c>
      <c r="AO14681" t="s">
        <v>3166</v>
      </c>
    </row>
    <row r="14682" spans="39:41" ht="12" customHeight="1" x14ac:dyDescent="0.2">
      <c r="AM14682" t="str">
        <f t="shared" si="229"/>
        <v>Sozu [JPSOZ]</v>
      </c>
      <c r="AN14682" t="s">
        <v>20908</v>
      </c>
      <c r="AO14682" t="s">
        <v>20909</v>
      </c>
    </row>
    <row r="14683" spans="39:41" ht="12" customHeight="1" x14ac:dyDescent="0.2">
      <c r="AM14683" t="str">
        <f t="shared" si="229"/>
        <v>Spafaryeva, O [RUSPA]</v>
      </c>
      <c r="AN14683" t="s">
        <v>27250</v>
      </c>
      <c r="AO14683" t="s">
        <v>27251</v>
      </c>
    </row>
    <row r="14684" spans="39:41" ht="12" customHeight="1" x14ac:dyDescent="0.2">
      <c r="AM14684" t="str">
        <f t="shared" si="229"/>
        <v>Spaniards Bay [CASPN]</v>
      </c>
      <c r="AN14684" t="s">
        <v>4475</v>
      </c>
      <c r="AO14684" t="s">
        <v>4476</v>
      </c>
    </row>
    <row r="14685" spans="39:41" ht="12" customHeight="1" x14ac:dyDescent="0.2">
      <c r="AM14685" t="str">
        <f t="shared" si="229"/>
        <v>Spannberg [ATSPG]</v>
      </c>
      <c r="AN14685" t="s">
        <v>1341</v>
      </c>
      <c r="AO14685" t="s">
        <v>1342</v>
      </c>
    </row>
    <row r="14686" spans="39:41" ht="12" customHeight="1" x14ac:dyDescent="0.2">
      <c r="AM14686" t="str">
        <f t="shared" si="229"/>
        <v>Speedwell [US7BA]</v>
      </c>
      <c r="AN14686" t="s">
        <v>31562</v>
      </c>
      <c r="AO14686" t="s">
        <v>31563</v>
      </c>
    </row>
    <row r="14687" spans="39:41" ht="12" customHeight="1" x14ac:dyDescent="0.2">
      <c r="AM14687" t="str">
        <f t="shared" si="229"/>
        <v>Spencer [USRWQ]</v>
      </c>
      <c r="AN14687" t="s">
        <v>31564</v>
      </c>
      <c r="AO14687" t="s">
        <v>31565</v>
      </c>
    </row>
    <row r="14688" spans="39:41" ht="12" customHeight="1" x14ac:dyDescent="0.2">
      <c r="AM14688" t="str">
        <f t="shared" si="229"/>
        <v>Spencer [USECR]</v>
      </c>
      <c r="AN14688" t="s">
        <v>31566</v>
      </c>
      <c r="AO14688" t="s">
        <v>31565</v>
      </c>
    </row>
    <row r="14689" spans="39:41" ht="12" customHeight="1" x14ac:dyDescent="0.2">
      <c r="AM14689" t="str">
        <f t="shared" si="229"/>
        <v>Sperlonga [ITNGA]</v>
      </c>
      <c r="AN14689" t="s">
        <v>18340</v>
      </c>
      <c r="AO14689" t="s">
        <v>18341</v>
      </c>
    </row>
    <row r="14690" spans="39:41" ht="12" customHeight="1" x14ac:dyDescent="0.2">
      <c r="AM14690" t="str">
        <f t="shared" si="229"/>
        <v>Sperrebotn [NODER]</v>
      </c>
      <c r="AN14690" t="s">
        <v>24794</v>
      </c>
      <c r="AO14690" t="s">
        <v>24795</v>
      </c>
    </row>
    <row r="14691" spans="39:41" ht="12" customHeight="1" x14ac:dyDescent="0.2">
      <c r="AM14691" t="str">
        <f t="shared" si="229"/>
        <v>Spetsai [GRSPE]</v>
      </c>
      <c r="AN14691" t="s">
        <v>15536</v>
      </c>
      <c r="AO14691" t="s">
        <v>35983</v>
      </c>
    </row>
    <row r="14692" spans="39:41" ht="12" customHeight="1" x14ac:dyDescent="0.2">
      <c r="AM14692" t="str">
        <f t="shared" si="229"/>
        <v>Speyer [DESPE]</v>
      </c>
      <c r="AN14692" t="s">
        <v>8296</v>
      </c>
      <c r="AO14692" t="s">
        <v>8297</v>
      </c>
    </row>
    <row r="14693" spans="39:41" ht="12" customHeight="1" x14ac:dyDescent="0.2">
      <c r="AM14693" t="str">
        <f t="shared" si="229"/>
        <v>Spiekeroog [DESPI]</v>
      </c>
      <c r="AN14693" t="s">
        <v>8298</v>
      </c>
      <c r="AO14693" t="s">
        <v>8299</v>
      </c>
    </row>
    <row r="14694" spans="39:41" ht="12" customHeight="1" x14ac:dyDescent="0.2">
      <c r="AM14694" t="str">
        <f t="shared" si="229"/>
        <v>Spijkenisse [NLSPI]</v>
      </c>
      <c r="AN14694" t="s">
        <v>23628</v>
      </c>
      <c r="AO14694" t="s">
        <v>23629</v>
      </c>
    </row>
    <row r="14695" spans="39:41" ht="12" customHeight="1" x14ac:dyDescent="0.2">
      <c r="AM14695" t="str">
        <f t="shared" si="229"/>
        <v>Spillville [USLX8]</v>
      </c>
      <c r="AN14695" t="s">
        <v>31567</v>
      </c>
      <c r="AO14695" t="s">
        <v>31568</v>
      </c>
    </row>
    <row r="14696" spans="39:41" ht="12" customHeight="1" x14ac:dyDescent="0.2">
      <c r="AM14696" t="str">
        <f t="shared" si="229"/>
        <v>Spissky Stiavnik [SKDF4]</v>
      </c>
      <c r="AN14696" t="s">
        <v>28062</v>
      </c>
      <c r="AO14696" t="s">
        <v>36554</v>
      </c>
    </row>
    <row r="14697" spans="39:41" ht="12" customHeight="1" x14ac:dyDescent="0.2">
      <c r="AM14697" t="str">
        <f t="shared" si="229"/>
        <v>Spitz [ATSPZ]</v>
      </c>
      <c r="AN14697" t="s">
        <v>1343</v>
      </c>
      <c r="AO14697" t="s">
        <v>1344</v>
      </c>
    </row>
    <row r="14698" spans="39:41" ht="12" customHeight="1" x14ac:dyDescent="0.2">
      <c r="AM14698" t="str">
        <f t="shared" si="229"/>
        <v>Spjelkavik [NOSPV]</v>
      </c>
      <c r="AN14698" t="s">
        <v>24796</v>
      </c>
      <c r="AO14698" t="s">
        <v>24797</v>
      </c>
    </row>
    <row r="14699" spans="39:41" ht="12" customHeight="1" x14ac:dyDescent="0.2">
      <c r="AM14699" t="str">
        <f t="shared" ref="AM14699:AM14762" si="230">AO14699 &amp; " [" &amp; AN14699 &amp; "]"</f>
        <v>Split [HRSPU]</v>
      </c>
      <c r="AN14699" t="s">
        <v>15931</v>
      </c>
      <c r="AO14699" t="s">
        <v>15932</v>
      </c>
    </row>
    <row r="14700" spans="39:41" ht="12" customHeight="1" x14ac:dyDescent="0.2">
      <c r="AM14700" t="str">
        <f t="shared" si="230"/>
        <v>Split Lake [CASLK]</v>
      </c>
      <c r="AN14700" t="s">
        <v>4477</v>
      </c>
      <c r="AO14700" t="s">
        <v>4478</v>
      </c>
    </row>
    <row r="14701" spans="39:41" ht="12" customHeight="1" x14ac:dyDescent="0.2">
      <c r="AM14701" t="str">
        <f t="shared" si="230"/>
        <v>Splitska [HRSPL]</v>
      </c>
      <c r="AN14701" t="s">
        <v>15933</v>
      </c>
      <c r="AO14701" t="s">
        <v>15934</v>
      </c>
    </row>
    <row r="14702" spans="39:41" ht="12" customHeight="1" x14ac:dyDescent="0.2">
      <c r="AM14702" t="str">
        <f t="shared" si="230"/>
        <v>Spodsbjerg Havn [DKSPB]</v>
      </c>
      <c r="AN14702" t="s">
        <v>8893</v>
      </c>
      <c r="AO14702" t="s">
        <v>8894</v>
      </c>
    </row>
    <row r="14703" spans="39:41" ht="12" customHeight="1" x14ac:dyDescent="0.2">
      <c r="AM14703" t="str">
        <f t="shared" si="230"/>
        <v>Spotorno [ITRNS]</v>
      </c>
      <c r="AN14703" t="s">
        <v>18342</v>
      </c>
      <c r="AO14703" t="s">
        <v>18343</v>
      </c>
    </row>
    <row r="14704" spans="39:41" ht="12" customHeight="1" x14ac:dyDescent="0.2">
      <c r="AM14704" t="str">
        <f t="shared" si="230"/>
        <v>Spotsylvania [USXXO]</v>
      </c>
      <c r="AN14704" t="s">
        <v>31569</v>
      </c>
      <c r="AO14704" t="s">
        <v>31570</v>
      </c>
    </row>
    <row r="14705" spans="39:41" ht="12" customHeight="1" x14ac:dyDescent="0.2">
      <c r="AM14705" t="str">
        <f t="shared" si="230"/>
        <v>Spragge [CASPR]</v>
      </c>
      <c r="AN14705" t="s">
        <v>4479</v>
      </c>
      <c r="AO14705" t="s">
        <v>4480</v>
      </c>
    </row>
    <row r="14706" spans="39:41" ht="12" customHeight="1" x14ac:dyDescent="0.2">
      <c r="AM14706" t="str">
        <f t="shared" si="230"/>
        <v>Sprang [NLSCA]</v>
      </c>
      <c r="AN14706" t="s">
        <v>23630</v>
      </c>
      <c r="AO14706" t="s">
        <v>23631</v>
      </c>
    </row>
    <row r="14707" spans="39:41" ht="12" customHeight="1" x14ac:dyDescent="0.2">
      <c r="AM14707" t="str">
        <f t="shared" si="230"/>
        <v>Sprangsviken [SESPR]</v>
      </c>
      <c r="AN14707" t="s">
        <v>27866</v>
      </c>
      <c r="AO14707" t="s">
        <v>36528</v>
      </c>
    </row>
    <row r="14708" spans="39:41" ht="12" customHeight="1" x14ac:dyDescent="0.2">
      <c r="AM14708" t="str">
        <f t="shared" si="230"/>
        <v>Spreyton [AUSPO]</v>
      </c>
      <c r="AN14708" t="s">
        <v>2032</v>
      </c>
      <c r="AO14708" t="s">
        <v>2033</v>
      </c>
    </row>
    <row r="14709" spans="39:41" ht="12" customHeight="1" x14ac:dyDescent="0.2">
      <c r="AM14709" t="str">
        <f t="shared" si="230"/>
        <v>Spring Bay [AUSPB]</v>
      </c>
      <c r="AN14709" t="s">
        <v>2034</v>
      </c>
      <c r="AO14709" t="s">
        <v>2035</v>
      </c>
    </row>
    <row r="14710" spans="39:41" ht="12" customHeight="1" x14ac:dyDescent="0.2">
      <c r="AM14710" t="str">
        <f t="shared" si="230"/>
        <v>Spring Green [USQSG]</v>
      </c>
      <c r="AN14710" t="s">
        <v>31571</v>
      </c>
      <c r="AO14710" t="s">
        <v>31572</v>
      </c>
    </row>
    <row r="14711" spans="39:41" ht="12" customHeight="1" x14ac:dyDescent="0.2">
      <c r="AM14711" t="str">
        <f t="shared" si="230"/>
        <v>Spring Grove [USSG3]</v>
      </c>
      <c r="AN14711" t="s">
        <v>31573</v>
      </c>
      <c r="AO14711" t="s">
        <v>31574</v>
      </c>
    </row>
    <row r="14712" spans="39:41" ht="12" customHeight="1" x14ac:dyDescent="0.2">
      <c r="AM14712" t="str">
        <f t="shared" si="230"/>
        <v>Spring Grove [USZSG]</v>
      </c>
      <c r="AN14712" t="s">
        <v>31575</v>
      </c>
      <c r="AO14712" t="s">
        <v>31574</v>
      </c>
    </row>
    <row r="14713" spans="39:41" ht="12" customHeight="1" x14ac:dyDescent="0.2">
      <c r="AM14713" t="str">
        <f t="shared" si="230"/>
        <v>Spring Grove [USS3G]</v>
      </c>
      <c r="AN14713" t="s">
        <v>31576</v>
      </c>
      <c r="AO14713" t="s">
        <v>31574</v>
      </c>
    </row>
    <row r="14714" spans="39:41" ht="12" customHeight="1" x14ac:dyDescent="0.2">
      <c r="AM14714" t="str">
        <f t="shared" si="230"/>
        <v>Spring Valley, San Diego [USPGY]</v>
      </c>
      <c r="AN14714" t="s">
        <v>31577</v>
      </c>
      <c r="AO14714" t="s">
        <v>31578</v>
      </c>
    </row>
    <row r="14715" spans="39:41" ht="12" customHeight="1" x14ac:dyDescent="0.2">
      <c r="AM14715" t="str">
        <f t="shared" si="230"/>
        <v>Springdale [CASPD]</v>
      </c>
      <c r="AN14715" t="s">
        <v>4481</v>
      </c>
      <c r="AO14715" t="s">
        <v>4482</v>
      </c>
    </row>
    <row r="14716" spans="39:41" ht="12" customHeight="1" x14ac:dyDescent="0.2">
      <c r="AM14716" t="str">
        <f t="shared" si="230"/>
        <v>Springfield [USSFY]</v>
      </c>
      <c r="AN14716" t="s">
        <v>31579</v>
      </c>
      <c r="AO14716" t="s">
        <v>31580</v>
      </c>
    </row>
    <row r="14717" spans="39:41" ht="12" customHeight="1" x14ac:dyDescent="0.2">
      <c r="AM14717" t="str">
        <f t="shared" si="230"/>
        <v>Springville, Suffolk [USXPG]</v>
      </c>
      <c r="AN14717" t="s">
        <v>31581</v>
      </c>
      <c r="AO14717" t="s">
        <v>31582</v>
      </c>
    </row>
    <row r="14718" spans="39:41" ht="12" customHeight="1" x14ac:dyDescent="0.2">
      <c r="AM14718" t="str">
        <f t="shared" si="230"/>
        <v>Sproul [USYSP]</v>
      </c>
      <c r="AN14718" t="s">
        <v>31583</v>
      </c>
      <c r="AO14718" t="s">
        <v>31584</v>
      </c>
    </row>
    <row r="14719" spans="39:41" ht="12" customHeight="1" x14ac:dyDescent="0.2">
      <c r="AM14719" t="str">
        <f t="shared" si="230"/>
        <v>Spurn Head [GBSUH]</v>
      </c>
      <c r="AN14719" t="s">
        <v>14552</v>
      </c>
      <c r="AO14719" t="s">
        <v>14553</v>
      </c>
    </row>
    <row r="14720" spans="39:41" ht="12" customHeight="1" x14ac:dyDescent="0.2">
      <c r="AM14720" t="str">
        <f t="shared" si="230"/>
        <v>Spyck [DEPYK]</v>
      </c>
      <c r="AN14720" t="s">
        <v>8300</v>
      </c>
      <c r="AO14720" t="s">
        <v>8301</v>
      </c>
    </row>
    <row r="14721" spans="39:41" ht="12" customHeight="1" x14ac:dyDescent="0.2">
      <c r="AM14721" t="str">
        <f t="shared" si="230"/>
        <v>Spycker [FRSPK]</v>
      </c>
      <c r="AN14721" t="s">
        <v>12113</v>
      </c>
      <c r="AO14721" t="s">
        <v>12114</v>
      </c>
    </row>
    <row r="14722" spans="39:41" ht="12" customHeight="1" x14ac:dyDescent="0.2">
      <c r="AM14722" t="str">
        <f t="shared" si="230"/>
        <v>Squamish [CASQA]</v>
      </c>
      <c r="AN14722" t="s">
        <v>4483</v>
      </c>
      <c r="AO14722" t="s">
        <v>4484</v>
      </c>
    </row>
    <row r="14723" spans="39:41" ht="12" customHeight="1" x14ac:dyDescent="0.2">
      <c r="AM14723" t="str">
        <f t="shared" si="230"/>
        <v>Sremski Karlovci [RSSKA]</v>
      </c>
      <c r="AN14723" t="s">
        <v>26851</v>
      </c>
      <c r="AO14723" t="s">
        <v>26852</v>
      </c>
    </row>
    <row r="14724" spans="39:41" ht="12" customHeight="1" x14ac:dyDescent="0.2">
      <c r="AM14724" t="str">
        <f t="shared" si="230"/>
        <v>Sri Medan [MYSME]</v>
      </c>
      <c r="AN14724" t="s">
        <v>22767</v>
      </c>
      <c r="AO14724" t="s">
        <v>22768</v>
      </c>
    </row>
    <row r="14725" spans="39:41" ht="12" customHeight="1" x14ac:dyDescent="0.2">
      <c r="AM14725" t="str">
        <f t="shared" si="230"/>
        <v>Sriracha [THSRI]</v>
      </c>
      <c r="AN14725" t="s">
        <v>28291</v>
      </c>
      <c r="AO14725" t="s">
        <v>28292</v>
      </c>
    </row>
    <row r="14726" spans="39:41" ht="12" customHeight="1" x14ac:dyDescent="0.2">
      <c r="AM14726" t="str">
        <f t="shared" si="230"/>
        <v>Sroczyn [PLSY2]</v>
      </c>
      <c r="AN14726" t="s">
        <v>26383</v>
      </c>
      <c r="AO14726" t="s">
        <v>26384</v>
      </c>
    </row>
    <row r="14727" spans="39:41" ht="12" customHeight="1" x14ac:dyDescent="0.2">
      <c r="AM14727" t="str">
        <f t="shared" si="230"/>
        <v>St Agnes [GBAIS]</v>
      </c>
      <c r="AN14727" t="s">
        <v>14554</v>
      </c>
      <c r="AO14727" t="s">
        <v>14555</v>
      </c>
    </row>
    <row r="14728" spans="39:41" ht="12" customHeight="1" x14ac:dyDescent="0.2">
      <c r="AM14728" t="str">
        <f t="shared" si="230"/>
        <v>Stackpole Quay [GBSPQ]</v>
      </c>
      <c r="AN14728" t="s">
        <v>14556</v>
      </c>
      <c r="AO14728" t="s">
        <v>14557</v>
      </c>
    </row>
    <row r="14729" spans="39:41" ht="12" customHeight="1" x14ac:dyDescent="0.2">
      <c r="AM14729" t="str">
        <f t="shared" si="230"/>
        <v>Stad aan 't Haringvliet [NLSAT]</v>
      </c>
      <c r="AN14729" t="s">
        <v>23632</v>
      </c>
      <c r="AO14729" t="s">
        <v>23633</v>
      </c>
    </row>
    <row r="14730" spans="39:41" ht="12" customHeight="1" x14ac:dyDescent="0.2">
      <c r="AM14730" t="str">
        <f t="shared" si="230"/>
        <v>Stade [DESTA]</v>
      </c>
      <c r="AN14730" t="s">
        <v>8302</v>
      </c>
      <c r="AO14730" t="s">
        <v>8303</v>
      </c>
    </row>
    <row r="14731" spans="39:41" ht="12" customHeight="1" x14ac:dyDescent="0.2">
      <c r="AM14731" t="str">
        <f t="shared" si="230"/>
        <v>Stader Sand [DESTS]</v>
      </c>
      <c r="AN14731" t="s">
        <v>8304</v>
      </c>
      <c r="AO14731" t="s">
        <v>8305</v>
      </c>
    </row>
    <row r="14732" spans="39:41" ht="12" customHeight="1" x14ac:dyDescent="0.2">
      <c r="AM14732" t="str">
        <f t="shared" si="230"/>
        <v>Stadlandet [NOSDT]</v>
      </c>
      <c r="AN14732" t="s">
        <v>24798</v>
      </c>
      <c r="AO14732" t="s">
        <v>24799</v>
      </c>
    </row>
    <row r="14733" spans="39:41" ht="12" customHeight="1" x14ac:dyDescent="0.2">
      <c r="AM14733" t="str">
        <f t="shared" si="230"/>
        <v>Stadsdam [NLSDM]</v>
      </c>
      <c r="AN14733" t="s">
        <v>23634</v>
      </c>
      <c r="AO14733" t="s">
        <v>23635</v>
      </c>
    </row>
    <row r="14734" spans="39:41" ht="12" customHeight="1" x14ac:dyDescent="0.2">
      <c r="AM14734" t="str">
        <f t="shared" si="230"/>
        <v>Stag Platform [AUSTG]</v>
      </c>
      <c r="AN14734" t="s">
        <v>2036</v>
      </c>
      <c r="AO14734" t="s">
        <v>2037</v>
      </c>
    </row>
    <row r="14735" spans="39:41" ht="12" customHeight="1" x14ac:dyDescent="0.2">
      <c r="AM14735" t="str">
        <f t="shared" si="230"/>
        <v>Stage Platform [XZSTP]</v>
      </c>
      <c r="AN14735" t="s">
        <v>32599</v>
      </c>
      <c r="AO14735" t="s">
        <v>32600</v>
      </c>
    </row>
    <row r="14736" spans="39:41" ht="12" customHeight="1" x14ac:dyDescent="0.2">
      <c r="AM14736" t="str">
        <f t="shared" si="230"/>
        <v>Stahlbrode [DESL5]</v>
      </c>
      <c r="AN14736" t="s">
        <v>8306</v>
      </c>
      <c r="AO14736" t="s">
        <v>8307</v>
      </c>
    </row>
    <row r="14737" spans="39:41" ht="12" customHeight="1" x14ac:dyDescent="0.2">
      <c r="AM14737" t="str">
        <f t="shared" si="230"/>
        <v>Staithes [GBSTZ]</v>
      </c>
      <c r="AN14737" t="s">
        <v>14558</v>
      </c>
      <c r="AO14737" t="s">
        <v>14559</v>
      </c>
    </row>
    <row r="14738" spans="39:41" ht="12" customHeight="1" x14ac:dyDescent="0.2">
      <c r="AM14738" t="str">
        <f t="shared" si="230"/>
        <v>Stakkvik [NOSAK]</v>
      </c>
      <c r="AN14738" t="s">
        <v>24800</v>
      </c>
      <c r="AO14738" t="s">
        <v>24801</v>
      </c>
    </row>
    <row r="14739" spans="39:41" ht="12" customHeight="1" x14ac:dyDescent="0.2">
      <c r="AM14739" t="str">
        <f t="shared" si="230"/>
        <v>Stalbridge [GBSRI]</v>
      </c>
      <c r="AN14739" t="s">
        <v>14560</v>
      </c>
      <c r="AO14739" t="s">
        <v>14561</v>
      </c>
    </row>
    <row r="14740" spans="39:41" ht="12" customHeight="1" x14ac:dyDescent="0.2">
      <c r="AM14740" t="str">
        <f t="shared" si="230"/>
        <v>Stalldalen [SESTD]</v>
      </c>
      <c r="AN14740" t="s">
        <v>37160</v>
      </c>
      <c r="AO14740" t="s">
        <v>37161</v>
      </c>
    </row>
    <row r="14741" spans="39:41" ht="12" customHeight="1" x14ac:dyDescent="0.2">
      <c r="AM14741" t="str">
        <f t="shared" si="230"/>
        <v>Stalvalsevarket [DKSVV]</v>
      </c>
      <c r="AN14741" t="s">
        <v>8895</v>
      </c>
      <c r="AO14741" t="s">
        <v>35585</v>
      </c>
    </row>
    <row r="14742" spans="39:41" ht="12" customHeight="1" x14ac:dyDescent="0.2">
      <c r="AM14742" t="str">
        <f t="shared" si="230"/>
        <v>Stambruges [BESBG]</v>
      </c>
      <c r="AN14742" t="s">
        <v>2969</v>
      </c>
      <c r="AO14742" t="s">
        <v>2970</v>
      </c>
    </row>
    <row r="14743" spans="39:41" ht="12" customHeight="1" x14ac:dyDescent="0.2">
      <c r="AM14743" t="str">
        <f t="shared" si="230"/>
        <v>Stamford Bridge [GBERE]</v>
      </c>
      <c r="AN14743" t="s">
        <v>14562</v>
      </c>
      <c r="AO14743" t="s">
        <v>14563</v>
      </c>
    </row>
    <row r="14744" spans="39:41" ht="12" customHeight="1" x14ac:dyDescent="0.2">
      <c r="AM14744" t="str">
        <f t="shared" si="230"/>
        <v>Stamsund [NOSUZ]</v>
      </c>
      <c r="AN14744" t="s">
        <v>24802</v>
      </c>
      <c r="AO14744" t="s">
        <v>24803</v>
      </c>
    </row>
    <row r="14745" spans="39:41" ht="12" customHeight="1" x14ac:dyDescent="0.2">
      <c r="AM14745" t="str">
        <f t="shared" si="230"/>
        <v>Standal [NOSNL]</v>
      </c>
      <c r="AN14745" t="s">
        <v>24804</v>
      </c>
      <c r="AO14745" t="s">
        <v>24805</v>
      </c>
    </row>
    <row r="14746" spans="39:41" ht="12" customHeight="1" x14ac:dyDescent="0.2">
      <c r="AM14746" t="str">
        <f t="shared" si="230"/>
        <v>Standdaarbuiten [NLSDB]</v>
      </c>
      <c r="AN14746" t="s">
        <v>23636</v>
      </c>
      <c r="AO14746" t="s">
        <v>23637</v>
      </c>
    </row>
    <row r="14747" spans="39:41" ht="12" customHeight="1" x14ac:dyDescent="0.2">
      <c r="AM14747" t="str">
        <f t="shared" si="230"/>
        <v>Standlake [GBTND]</v>
      </c>
      <c r="AN14747" t="s">
        <v>14564</v>
      </c>
      <c r="AO14747" t="s">
        <v>14565</v>
      </c>
    </row>
    <row r="14748" spans="39:41" ht="12" customHeight="1" x14ac:dyDescent="0.2">
      <c r="AM14748" t="str">
        <f t="shared" si="230"/>
        <v>Stanghelle [NOSHT]</v>
      </c>
      <c r="AN14748" t="s">
        <v>24806</v>
      </c>
      <c r="AO14748" t="s">
        <v>24807</v>
      </c>
    </row>
    <row r="14749" spans="39:41" ht="12" customHeight="1" x14ac:dyDescent="0.2">
      <c r="AM14749" t="str">
        <f t="shared" si="230"/>
        <v>Stanley [AUSTA]</v>
      </c>
      <c r="AN14749" t="s">
        <v>2038</v>
      </c>
      <c r="AO14749" t="s">
        <v>2039</v>
      </c>
    </row>
    <row r="14750" spans="39:41" ht="12" customHeight="1" x14ac:dyDescent="0.2">
      <c r="AM14750" t="str">
        <f t="shared" si="230"/>
        <v>Stanlow [GBSOW]</v>
      </c>
      <c r="AN14750" t="s">
        <v>14566</v>
      </c>
      <c r="AO14750" t="s">
        <v>14567</v>
      </c>
    </row>
    <row r="14751" spans="39:41" ht="12" customHeight="1" x14ac:dyDescent="0.2">
      <c r="AM14751" t="str">
        <f t="shared" si="230"/>
        <v>Stansbury park [USSR9]</v>
      </c>
      <c r="AN14751" t="s">
        <v>31585</v>
      </c>
      <c r="AO14751" t="s">
        <v>31586</v>
      </c>
    </row>
    <row r="14752" spans="39:41" ht="12" customHeight="1" x14ac:dyDescent="0.2">
      <c r="AM14752" t="str">
        <f t="shared" si="230"/>
        <v>Stansstad [CHSTA]</v>
      </c>
      <c r="AN14752" t="s">
        <v>4752</v>
      </c>
      <c r="AO14752" t="s">
        <v>4753</v>
      </c>
    </row>
    <row r="14753" spans="39:41" ht="12" customHeight="1" x14ac:dyDescent="0.2">
      <c r="AM14753" t="str">
        <f t="shared" si="230"/>
        <v>Stanstead [GBTED]</v>
      </c>
      <c r="AN14753" t="s">
        <v>14568</v>
      </c>
      <c r="AO14753" t="s">
        <v>14569</v>
      </c>
    </row>
    <row r="14754" spans="39:41" ht="12" customHeight="1" x14ac:dyDescent="0.2">
      <c r="AM14754" t="str">
        <f t="shared" si="230"/>
        <v>Stapleford Abbots [GBSBA]</v>
      </c>
      <c r="AN14754" t="s">
        <v>14570</v>
      </c>
      <c r="AO14754" t="s">
        <v>14571</v>
      </c>
    </row>
    <row r="14755" spans="39:41" ht="12" customHeight="1" x14ac:dyDescent="0.2">
      <c r="AM14755" t="str">
        <f t="shared" si="230"/>
        <v>Star [USYRX]</v>
      </c>
      <c r="AN14755" t="s">
        <v>31587</v>
      </c>
      <c r="AO14755" t="s">
        <v>31588</v>
      </c>
    </row>
    <row r="14756" spans="39:41" ht="12" customHeight="1" x14ac:dyDescent="0.2">
      <c r="AM14756" t="str">
        <f t="shared" si="230"/>
        <v>Stari Grad [HRSGD]</v>
      </c>
      <c r="AN14756" t="s">
        <v>15935</v>
      </c>
      <c r="AO14756" t="s">
        <v>15936</v>
      </c>
    </row>
    <row r="14757" spans="39:41" ht="12" customHeight="1" x14ac:dyDescent="0.2">
      <c r="AM14757" t="str">
        <f t="shared" si="230"/>
        <v>Starigrad [HRSGR]</v>
      </c>
      <c r="AN14757" t="s">
        <v>15937</v>
      </c>
      <c r="AO14757" t="s">
        <v>15938</v>
      </c>
    </row>
    <row r="14758" spans="39:41" ht="12" customHeight="1" x14ac:dyDescent="0.2">
      <c r="AM14758" t="str">
        <f t="shared" si="230"/>
        <v>Starlight [USRL5]</v>
      </c>
      <c r="AN14758" t="s">
        <v>31589</v>
      </c>
      <c r="AO14758" t="s">
        <v>31590</v>
      </c>
    </row>
    <row r="14759" spans="39:41" ht="12" customHeight="1" x14ac:dyDescent="0.2">
      <c r="AM14759" t="str">
        <f t="shared" si="230"/>
        <v>Starr [USXAR]</v>
      </c>
      <c r="AN14759" t="s">
        <v>31591</v>
      </c>
      <c r="AO14759" t="s">
        <v>31592</v>
      </c>
    </row>
    <row r="14760" spans="39:41" ht="12" customHeight="1" x14ac:dyDescent="0.2">
      <c r="AM14760" t="str">
        <f t="shared" si="230"/>
        <v>Start from Non-EU Port [XZEUP]</v>
      </c>
      <c r="AN14760" t="s">
        <v>36624</v>
      </c>
      <c r="AO14760" t="s">
        <v>36625</v>
      </c>
    </row>
    <row r="14761" spans="39:41" ht="12" customHeight="1" x14ac:dyDescent="0.2">
      <c r="AM14761" t="str">
        <f t="shared" si="230"/>
        <v>Stary Plzenec [CZSPC]</v>
      </c>
      <c r="AN14761" t="s">
        <v>6942</v>
      </c>
      <c r="AO14761" t="s">
        <v>6943</v>
      </c>
    </row>
    <row r="14762" spans="39:41" ht="12" customHeight="1" x14ac:dyDescent="0.2">
      <c r="AM14762" t="str">
        <f t="shared" si="230"/>
        <v>Stasegem [BESGM]</v>
      </c>
      <c r="AN14762" t="s">
        <v>2971</v>
      </c>
      <c r="AO14762" t="s">
        <v>2972</v>
      </c>
    </row>
    <row r="14763" spans="39:41" ht="12" customHeight="1" x14ac:dyDescent="0.2">
      <c r="AM14763" t="str">
        <f t="shared" ref="AM14763:AM14826" si="231">AO14763 &amp; " [" &amp; AN14763 &amp; "]"</f>
        <v>Staten Island [USUYU]</v>
      </c>
      <c r="AN14763" t="s">
        <v>37192</v>
      </c>
      <c r="AO14763" t="s">
        <v>37193</v>
      </c>
    </row>
    <row r="14764" spans="39:41" ht="12" customHeight="1" x14ac:dyDescent="0.2">
      <c r="AM14764" t="str">
        <f t="shared" si="231"/>
        <v>Stathelle [NOSTA]</v>
      </c>
      <c r="AN14764" t="s">
        <v>24808</v>
      </c>
      <c r="AO14764" t="s">
        <v>24809</v>
      </c>
    </row>
    <row r="14765" spans="39:41" ht="12" customHeight="1" x14ac:dyDescent="0.2">
      <c r="AM14765" t="str">
        <f t="shared" si="231"/>
        <v>Statoil-Havnen [DKSTT]</v>
      </c>
      <c r="AN14765" t="s">
        <v>8896</v>
      </c>
      <c r="AO14765" t="s">
        <v>8897</v>
      </c>
    </row>
    <row r="14766" spans="39:41" ht="12" customHeight="1" x14ac:dyDescent="0.2">
      <c r="AM14766" t="str">
        <f t="shared" si="231"/>
        <v>Statte [BESTT]</v>
      </c>
      <c r="AN14766" t="s">
        <v>2973</v>
      </c>
      <c r="AO14766" t="s">
        <v>2974</v>
      </c>
    </row>
    <row r="14767" spans="39:41" ht="12" customHeight="1" x14ac:dyDescent="0.2">
      <c r="AM14767" t="str">
        <f t="shared" si="231"/>
        <v>Stavanger [NOSVG]</v>
      </c>
      <c r="AN14767" t="s">
        <v>24810</v>
      </c>
      <c r="AO14767" t="s">
        <v>24811</v>
      </c>
    </row>
    <row r="14768" spans="39:41" ht="12" customHeight="1" x14ac:dyDescent="0.2">
      <c r="AM14768" t="str">
        <f t="shared" si="231"/>
        <v>Stavenisse [NLSVN]</v>
      </c>
      <c r="AN14768" t="s">
        <v>23638</v>
      </c>
      <c r="AO14768" t="s">
        <v>23639</v>
      </c>
    </row>
    <row r="14769" spans="39:41" ht="12" customHeight="1" x14ac:dyDescent="0.2">
      <c r="AM14769" t="str">
        <f t="shared" si="231"/>
        <v>Stavern [NOSTV]</v>
      </c>
      <c r="AN14769" t="s">
        <v>24812</v>
      </c>
      <c r="AO14769" t="s">
        <v>24813</v>
      </c>
    </row>
    <row r="14770" spans="39:41" ht="12" customHeight="1" x14ac:dyDescent="0.2">
      <c r="AM14770" t="str">
        <f t="shared" si="231"/>
        <v>Stavneset - Rissa [NOSVT]</v>
      </c>
      <c r="AN14770" t="s">
        <v>24814</v>
      </c>
      <c r="AO14770" t="s">
        <v>24815</v>
      </c>
    </row>
    <row r="14771" spans="39:41" ht="12" customHeight="1" x14ac:dyDescent="0.2">
      <c r="AM14771" t="str">
        <f t="shared" si="231"/>
        <v>Stavning [DKSTA]</v>
      </c>
      <c r="AN14771" t="s">
        <v>8898</v>
      </c>
      <c r="AO14771" t="s">
        <v>8899</v>
      </c>
    </row>
    <row r="14772" spans="39:41" ht="12" customHeight="1" x14ac:dyDescent="0.2">
      <c r="AM14772" t="str">
        <f t="shared" si="231"/>
        <v>Stavrochorion [GRSCR]</v>
      </c>
      <c r="AN14772" t="s">
        <v>15537</v>
      </c>
      <c r="AO14772" t="s">
        <v>15538</v>
      </c>
    </row>
    <row r="14773" spans="39:41" ht="12" customHeight="1" x14ac:dyDescent="0.2">
      <c r="AM14773" t="str">
        <f t="shared" si="231"/>
        <v>Stavros Halkidikis [GRSHA]</v>
      </c>
      <c r="AN14773" t="s">
        <v>15539</v>
      </c>
      <c r="AO14773" t="s">
        <v>15540</v>
      </c>
    </row>
    <row r="14774" spans="39:41" ht="12" customHeight="1" x14ac:dyDescent="0.2">
      <c r="AM14774" t="str">
        <f t="shared" si="231"/>
        <v>Stavsjo [SESTJ]</v>
      </c>
      <c r="AN14774" t="s">
        <v>27867</v>
      </c>
      <c r="AO14774" t="s">
        <v>36529</v>
      </c>
    </row>
    <row r="14775" spans="39:41" ht="12" customHeight="1" x14ac:dyDescent="0.2">
      <c r="AM14775" t="str">
        <f t="shared" si="231"/>
        <v>Staxigoe [GBSXE]</v>
      </c>
      <c r="AN14775" t="s">
        <v>14572</v>
      </c>
      <c r="AO14775" t="s">
        <v>14573</v>
      </c>
    </row>
    <row r="14776" spans="39:41" ht="12" customHeight="1" x14ac:dyDescent="0.2">
      <c r="AM14776" t="str">
        <f t="shared" si="231"/>
        <v>Stechford [GBST2]</v>
      </c>
      <c r="AN14776" t="s">
        <v>14574</v>
      </c>
      <c r="AO14776" t="s">
        <v>14575</v>
      </c>
    </row>
    <row r="14777" spans="39:41" ht="12" customHeight="1" x14ac:dyDescent="0.2">
      <c r="AM14777" t="str">
        <f t="shared" si="231"/>
        <v>Stechovice [CZSTE]</v>
      </c>
      <c r="AN14777" t="s">
        <v>6944</v>
      </c>
      <c r="AO14777" t="s">
        <v>6945</v>
      </c>
    </row>
    <row r="14778" spans="39:41" ht="12" customHeight="1" x14ac:dyDescent="0.2">
      <c r="AM14778" t="str">
        <f t="shared" si="231"/>
        <v>Steeg [ATSTD]</v>
      </c>
      <c r="AN14778" t="s">
        <v>1345</v>
      </c>
      <c r="AO14778" t="s">
        <v>1346</v>
      </c>
    </row>
    <row r="14779" spans="39:41" ht="12" customHeight="1" x14ac:dyDescent="0.2">
      <c r="AM14779" t="str">
        <f t="shared" si="231"/>
        <v>Steelton [USQQX]</v>
      </c>
      <c r="AN14779" t="s">
        <v>31593</v>
      </c>
      <c r="AO14779" t="s">
        <v>31594</v>
      </c>
    </row>
    <row r="14780" spans="39:41" ht="12" customHeight="1" x14ac:dyDescent="0.2">
      <c r="AM14780" t="str">
        <f t="shared" si="231"/>
        <v>Steenbrugge [BESBE]</v>
      </c>
      <c r="AN14780" t="s">
        <v>2975</v>
      </c>
      <c r="AO14780" t="s">
        <v>2976</v>
      </c>
    </row>
    <row r="14781" spans="39:41" ht="12" customHeight="1" x14ac:dyDescent="0.2">
      <c r="AM14781" t="str">
        <f t="shared" si="231"/>
        <v>Steenderen [NLSDN]</v>
      </c>
      <c r="AN14781" t="s">
        <v>33925</v>
      </c>
      <c r="AO14781" t="s">
        <v>34047</v>
      </c>
    </row>
    <row r="14782" spans="39:41" ht="12" customHeight="1" x14ac:dyDescent="0.2">
      <c r="AM14782" t="str">
        <f t="shared" si="231"/>
        <v>Steendorp [BESDP]</v>
      </c>
      <c r="AN14782" t="s">
        <v>2977</v>
      </c>
      <c r="AO14782" t="s">
        <v>2978</v>
      </c>
    </row>
    <row r="14783" spans="39:41" ht="12" customHeight="1" x14ac:dyDescent="0.2">
      <c r="AM14783" t="str">
        <f t="shared" si="231"/>
        <v>Steenkerke [BESKE]</v>
      </c>
      <c r="AN14783" t="s">
        <v>36809</v>
      </c>
      <c r="AO14783" t="s">
        <v>36810</v>
      </c>
    </row>
    <row r="14784" spans="39:41" ht="12" customHeight="1" x14ac:dyDescent="0.2">
      <c r="AM14784" t="str">
        <f t="shared" si="231"/>
        <v>Steenodde, Amrum [DESDD]</v>
      </c>
      <c r="AN14784" t="s">
        <v>8308</v>
      </c>
      <c r="AO14784" t="s">
        <v>8309</v>
      </c>
    </row>
    <row r="14785" spans="39:41" ht="12" customHeight="1" x14ac:dyDescent="0.2">
      <c r="AM14785" t="str">
        <f t="shared" si="231"/>
        <v>Stege [DKSTE]</v>
      </c>
      <c r="AN14785" t="s">
        <v>8900</v>
      </c>
      <c r="AO14785" t="s">
        <v>8901</v>
      </c>
    </row>
    <row r="14786" spans="39:41" ht="12" customHeight="1" x14ac:dyDescent="0.2">
      <c r="AM14786" t="str">
        <f t="shared" si="231"/>
        <v>Steigen [NOSTG]</v>
      </c>
      <c r="AN14786" t="s">
        <v>24816</v>
      </c>
      <c r="AO14786" t="s">
        <v>24817</v>
      </c>
    </row>
    <row r="14787" spans="39:41" ht="12" customHeight="1" x14ac:dyDescent="0.2">
      <c r="AM14787" t="str">
        <f t="shared" si="231"/>
        <v>Stein [DESN2]</v>
      </c>
      <c r="AN14787" t="s">
        <v>8310</v>
      </c>
      <c r="AO14787" t="s">
        <v>8311</v>
      </c>
    </row>
    <row r="14788" spans="39:41" ht="12" customHeight="1" x14ac:dyDescent="0.2">
      <c r="AM14788" t="str">
        <f t="shared" si="231"/>
        <v>Steinberg [ATSSS]</v>
      </c>
      <c r="AN14788" t="s">
        <v>1347</v>
      </c>
      <c r="AO14788" t="s">
        <v>1348</v>
      </c>
    </row>
    <row r="14789" spans="39:41" ht="12" customHeight="1" x14ac:dyDescent="0.2">
      <c r="AM14789" t="str">
        <f t="shared" si="231"/>
        <v>Steinesjoen [NOSNS]</v>
      </c>
      <c r="AN14789" t="s">
        <v>24818</v>
      </c>
      <c r="AO14789" t="s">
        <v>36308</v>
      </c>
    </row>
    <row r="14790" spans="39:41" ht="12" customHeight="1" x14ac:dyDescent="0.2">
      <c r="AM14790" t="str">
        <f t="shared" si="231"/>
        <v>Steinhaus [ATSUS]</v>
      </c>
      <c r="AN14790" t="s">
        <v>1349</v>
      </c>
      <c r="AO14790" t="s">
        <v>1350</v>
      </c>
    </row>
    <row r="14791" spans="39:41" ht="12" customHeight="1" x14ac:dyDescent="0.2">
      <c r="AM14791" t="str">
        <f t="shared" si="231"/>
        <v>Steinhausen [CHSTI]</v>
      </c>
      <c r="AN14791" t="s">
        <v>4754</v>
      </c>
      <c r="AO14791" t="s">
        <v>4755</v>
      </c>
    </row>
    <row r="14792" spans="39:41" ht="12" customHeight="1" x14ac:dyDescent="0.2">
      <c r="AM14792" t="str">
        <f t="shared" si="231"/>
        <v>Steinhorst [DEHSJ]</v>
      </c>
      <c r="AN14792" t="s">
        <v>8312</v>
      </c>
      <c r="AO14792" t="s">
        <v>8313</v>
      </c>
    </row>
    <row r="14793" spans="39:41" ht="12" customHeight="1" x14ac:dyDescent="0.2">
      <c r="AM14793" t="str">
        <f t="shared" si="231"/>
        <v>Steinkjer [NOSTE]</v>
      </c>
      <c r="AN14793" t="s">
        <v>24819</v>
      </c>
      <c r="AO14793" t="s">
        <v>24820</v>
      </c>
    </row>
    <row r="14794" spans="39:41" ht="12" customHeight="1" x14ac:dyDescent="0.2">
      <c r="AM14794" t="str">
        <f t="shared" si="231"/>
        <v>Steinshamn [NOSTH]</v>
      </c>
      <c r="AN14794" t="s">
        <v>24821</v>
      </c>
      <c r="AO14794" t="s">
        <v>24822</v>
      </c>
    </row>
    <row r="14795" spans="39:41" ht="12" customHeight="1" x14ac:dyDescent="0.2">
      <c r="AM14795" t="str">
        <f t="shared" si="231"/>
        <v>Steinvig [NOSTI]</v>
      </c>
      <c r="AN14795" t="s">
        <v>24823</v>
      </c>
      <c r="AO14795" t="s">
        <v>24824</v>
      </c>
    </row>
    <row r="14796" spans="39:41" ht="12" customHeight="1" x14ac:dyDescent="0.2">
      <c r="AM14796" t="str">
        <f t="shared" si="231"/>
        <v>Steinwiesen [DESWS]</v>
      </c>
      <c r="AN14796" t="s">
        <v>8314</v>
      </c>
      <c r="AO14796" t="s">
        <v>8315</v>
      </c>
    </row>
    <row r="14797" spans="39:41" ht="12" customHeight="1" x14ac:dyDescent="0.2">
      <c r="AM14797" t="str">
        <f t="shared" si="231"/>
        <v>Stella Maris [BSSML]</v>
      </c>
      <c r="AN14797" t="s">
        <v>3476</v>
      </c>
      <c r="AO14797" t="s">
        <v>3477</v>
      </c>
    </row>
    <row r="14798" spans="39:41" ht="12" customHeight="1" x14ac:dyDescent="0.2">
      <c r="AM14798" t="str">
        <f t="shared" si="231"/>
        <v>Stellendam [NLSTD]</v>
      </c>
      <c r="AN14798" t="s">
        <v>23640</v>
      </c>
      <c r="AO14798" t="s">
        <v>23641</v>
      </c>
    </row>
    <row r="14799" spans="39:41" ht="12" customHeight="1" x14ac:dyDescent="0.2">
      <c r="AM14799" t="str">
        <f t="shared" si="231"/>
        <v>Stensved [DKSN7]</v>
      </c>
      <c r="AN14799" t="s">
        <v>8902</v>
      </c>
      <c r="AO14799" t="s">
        <v>8903</v>
      </c>
    </row>
    <row r="14800" spans="39:41" ht="12" customHeight="1" x14ac:dyDescent="0.2">
      <c r="AM14800" t="str">
        <f t="shared" si="231"/>
        <v>Stenungsund [SESTE]</v>
      </c>
      <c r="AN14800" t="s">
        <v>27868</v>
      </c>
      <c r="AO14800" t="s">
        <v>27869</v>
      </c>
    </row>
    <row r="14801" spans="39:41" ht="12" customHeight="1" x14ac:dyDescent="0.2">
      <c r="AM14801" t="str">
        <f t="shared" si="231"/>
        <v>Stephanskirchen [DESKN]</v>
      </c>
      <c r="AN14801" t="s">
        <v>8316</v>
      </c>
      <c r="AO14801" t="s">
        <v>8317</v>
      </c>
    </row>
    <row r="14802" spans="39:41" ht="12" customHeight="1" x14ac:dyDescent="0.2">
      <c r="AM14802" t="str">
        <f t="shared" si="231"/>
        <v>Stephen [USZSP]</v>
      </c>
      <c r="AN14802" t="s">
        <v>31595</v>
      </c>
      <c r="AO14802" t="s">
        <v>31596</v>
      </c>
    </row>
    <row r="14803" spans="39:41" ht="12" customHeight="1" x14ac:dyDescent="0.2">
      <c r="AM14803" t="str">
        <f t="shared" si="231"/>
        <v>Stephentown [USTEP]</v>
      </c>
      <c r="AN14803" t="s">
        <v>31597</v>
      </c>
      <c r="AO14803" t="s">
        <v>31598</v>
      </c>
    </row>
    <row r="14804" spans="39:41" ht="12" customHeight="1" x14ac:dyDescent="0.2">
      <c r="AM14804" t="str">
        <f t="shared" si="231"/>
        <v>Stephenville [CASTV]</v>
      </c>
      <c r="AN14804" t="s">
        <v>4485</v>
      </c>
      <c r="AO14804" t="s">
        <v>4486</v>
      </c>
    </row>
    <row r="14805" spans="39:41" ht="12" customHeight="1" x14ac:dyDescent="0.2">
      <c r="AM14805" t="str">
        <f t="shared" si="231"/>
        <v>Stepnica [PLSPA]</v>
      </c>
      <c r="AN14805" t="s">
        <v>26385</v>
      </c>
      <c r="AO14805" t="s">
        <v>26386</v>
      </c>
    </row>
    <row r="14806" spans="39:41" ht="12" customHeight="1" x14ac:dyDescent="0.2">
      <c r="AM14806" t="str">
        <f t="shared" si="231"/>
        <v>Sterling [USSGI]</v>
      </c>
      <c r="AN14806" t="s">
        <v>31599</v>
      </c>
      <c r="AO14806" t="s">
        <v>31600</v>
      </c>
    </row>
    <row r="14807" spans="39:41" ht="12" customHeight="1" x14ac:dyDescent="0.2">
      <c r="AM14807" t="str">
        <f t="shared" si="231"/>
        <v>Steti [CZSTT]</v>
      </c>
      <c r="AN14807" t="s">
        <v>6946</v>
      </c>
      <c r="AO14807" t="s">
        <v>35407</v>
      </c>
    </row>
    <row r="14808" spans="39:41" ht="12" customHeight="1" x14ac:dyDescent="0.2">
      <c r="AM14808" t="str">
        <f t="shared" si="231"/>
        <v>Stevensburg [USZSB]</v>
      </c>
      <c r="AN14808" t="s">
        <v>31601</v>
      </c>
      <c r="AO14808" t="s">
        <v>31602</v>
      </c>
    </row>
    <row r="14809" spans="39:41" ht="12" customHeight="1" x14ac:dyDescent="0.2">
      <c r="AM14809" t="str">
        <f t="shared" si="231"/>
        <v>Stevensvennen [BESVN]</v>
      </c>
      <c r="AN14809" t="s">
        <v>2979</v>
      </c>
      <c r="AO14809" t="s">
        <v>2980</v>
      </c>
    </row>
    <row r="14810" spans="39:41" ht="12" customHeight="1" x14ac:dyDescent="0.2">
      <c r="AM14810" t="str">
        <f t="shared" si="231"/>
        <v>Stevns Pier [DKSTP]</v>
      </c>
      <c r="AN14810" t="s">
        <v>8904</v>
      </c>
      <c r="AO14810" t="s">
        <v>8905</v>
      </c>
    </row>
    <row r="14811" spans="39:41" ht="12" customHeight="1" x14ac:dyDescent="0.2">
      <c r="AM14811" t="str">
        <f t="shared" si="231"/>
        <v>Stewart [CASTW]</v>
      </c>
      <c r="AN14811" t="s">
        <v>4487</v>
      </c>
      <c r="AO14811" t="s">
        <v>4488</v>
      </c>
    </row>
    <row r="14812" spans="39:41" ht="12" customHeight="1" x14ac:dyDescent="0.2">
      <c r="AM14812" t="str">
        <f t="shared" si="231"/>
        <v>Stewart, McLeod [USTWM]</v>
      </c>
      <c r="AN14812" t="s">
        <v>31603</v>
      </c>
      <c r="AO14812" t="s">
        <v>31604</v>
      </c>
    </row>
    <row r="14813" spans="39:41" ht="12" customHeight="1" x14ac:dyDescent="0.2">
      <c r="AM14813" t="str">
        <f t="shared" si="231"/>
        <v>Steynton [GBSYY]</v>
      </c>
      <c r="AN14813" t="s">
        <v>14576</v>
      </c>
      <c r="AO14813" t="s">
        <v>14577</v>
      </c>
    </row>
    <row r="14814" spans="39:41" ht="12" customHeight="1" x14ac:dyDescent="0.2">
      <c r="AM14814" t="str">
        <f t="shared" si="231"/>
        <v>Stickney [USSKT]</v>
      </c>
      <c r="AN14814" t="s">
        <v>31605</v>
      </c>
      <c r="AO14814" t="s">
        <v>31606</v>
      </c>
    </row>
    <row r="14815" spans="39:41" ht="12" customHeight="1" x14ac:dyDescent="0.2">
      <c r="AM14815" t="str">
        <f t="shared" si="231"/>
        <v>Stieltjeskanaal [NLSKL]</v>
      </c>
      <c r="AN14815" t="s">
        <v>23642</v>
      </c>
      <c r="AO14815" t="s">
        <v>23643</v>
      </c>
    </row>
    <row r="14816" spans="39:41" ht="12" customHeight="1" x14ac:dyDescent="0.2">
      <c r="AM14816" t="str">
        <f t="shared" si="231"/>
        <v>Stignasvarkets Havn [DKSTG]</v>
      </c>
      <c r="AN14816" t="s">
        <v>8906</v>
      </c>
      <c r="AO14816" t="s">
        <v>35586</v>
      </c>
    </row>
    <row r="14817" spans="39:41" ht="12" customHeight="1" x14ac:dyDescent="0.2">
      <c r="AM14817" t="str">
        <f t="shared" si="231"/>
        <v>Stigsnaes Inter Terminal [DKSIT]</v>
      </c>
      <c r="AN14817" t="s">
        <v>8908</v>
      </c>
      <c r="AO14817" t="s">
        <v>8909</v>
      </c>
    </row>
    <row r="14818" spans="39:41" ht="12" customHeight="1" x14ac:dyDescent="0.2">
      <c r="AM14818" t="str">
        <f t="shared" si="231"/>
        <v>Stigsnas [DKSTN]</v>
      </c>
      <c r="AN14818" t="s">
        <v>8907</v>
      </c>
      <c r="AO14818" t="s">
        <v>35587</v>
      </c>
    </row>
    <row r="14819" spans="39:41" ht="12" customHeight="1" x14ac:dyDescent="0.2">
      <c r="AM14819" t="str">
        <f t="shared" si="231"/>
        <v>Stigtomta [SESTG]</v>
      </c>
      <c r="AN14819" t="s">
        <v>27870</v>
      </c>
      <c r="AO14819" t="s">
        <v>27871</v>
      </c>
    </row>
    <row r="14820" spans="39:41" ht="12" customHeight="1" x14ac:dyDescent="0.2">
      <c r="AM14820" t="str">
        <f t="shared" si="231"/>
        <v>Stillington [GBSGT]</v>
      </c>
      <c r="AN14820" t="s">
        <v>14578</v>
      </c>
      <c r="AO14820" t="s">
        <v>14579</v>
      </c>
    </row>
    <row r="14821" spans="39:41" ht="12" customHeight="1" x14ac:dyDescent="0.2">
      <c r="AM14821" t="str">
        <f t="shared" si="231"/>
        <v>Stillmore [USLLM]</v>
      </c>
      <c r="AN14821" t="s">
        <v>31607</v>
      </c>
      <c r="AO14821" t="s">
        <v>31608</v>
      </c>
    </row>
    <row r="14822" spans="39:41" ht="12" customHeight="1" x14ac:dyDescent="0.2">
      <c r="AM14822" t="str">
        <f t="shared" si="231"/>
        <v>Stillwater [USTIS]</v>
      </c>
      <c r="AN14822" t="s">
        <v>31609</v>
      </c>
      <c r="AO14822" t="s">
        <v>31610</v>
      </c>
    </row>
    <row r="14823" spans="39:41" ht="12" customHeight="1" x14ac:dyDescent="0.2">
      <c r="AM14823" t="str">
        <f t="shared" si="231"/>
        <v>Stintino [ITTTN]</v>
      </c>
      <c r="AN14823" t="s">
        <v>18344</v>
      </c>
      <c r="AO14823" t="s">
        <v>18345</v>
      </c>
    </row>
    <row r="14824" spans="39:41" ht="12" customHeight="1" x14ac:dyDescent="0.2">
      <c r="AM14824" t="str">
        <f t="shared" si="231"/>
        <v>Stjernoya [NOSTY]</v>
      </c>
      <c r="AN14824" t="s">
        <v>24825</v>
      </c>
      <c r="AO14824" t="s">
        <v>36309</v>
      </c>
    </row>
    <row r="14825" spans="39:41" ht="12" customHeight="1" x14ac:dyDescent="0.2">
      <c r="AM14825" t="str">
        <f t="shared" si="231"/>
        <v>Stjordal [NOSTJ]</v>
      </c>
      <c r="AN14825" t="s">
        <v>24826</v>
      </c>
      <c r="AO14825" t="s">
        <v>36310</v>
      </c>
    </row>
    <row r="14826" spans="39:41" ht="12" customHeight="1" x14ac:dyDescent="0.2">
      <c r="AM14826" t="str">
        <f t="shared" si="231"/>
        <v>Sto [NOSTX]</v>
      </c>
      <c r="AN14826" t="s">
        <v>24827</v>
      </c>
      <c r="AO14826" t="s">
        <v>36311</v>
      </c>
    </row>
    <row r="14827" spans="39:41" ht="12" customHeight="1" x14ac:dyDescent="0.2">
      <c r="AM14827" t="str">
        <f t="shared" ref="AM14827:AM14890" si="232">AO14827 &amp; " [" &amp; AN14827 &amp; "]"</f>
        <v>Stocka [SESTA]</v>
      </c>
      <c r="AN14827" t="s">
        <v>27872</v>
      </c>
      <c r="AO14827" t="s">
        <v>27873</v>
      </c>
    </row>
    <row r="14828" spans="39:41" ht="12" customHeight="1" x14ac:dyDescent="0.2">
      <c r="AM14828" t="str">
        <f t="shared" si="232"/>
        <v>Stockett [USTK9]</v>
      </c>
      <c r="AN14828" t="s">
        <v>31611</v>
      </c>
      <c r="AO14828" t="s">
        <v>31612</v>
      </c>
    </row>
    <row r="14829" spans="39:41" ht="12" customHeight="1" x14ac:dyDescent="0.2">
      <c r="AM14829" t="str">
        <f t="shared" si="232"/>
        <v>Stockhausen-Illfurth [DESRP]</v>
      </c>
      <c r="AN14829" t="s">
        <v>8318</v>
      </c>
      <c r="AO14829" t="s">
        <v>8319</v>
      </c>
    </row>
    <row r="14830" spans="39:41" ht="12" customHeight="1" x14ac:dyDescent="0.2">
      <c r="AM14830" t="str">
        <f t="shared" si="232"/>
        <v>Stockholm [SESTO]</v>
      </c>
      <c r="AN14830" t="s">
        <v>27874</v>
      </c>
      <c r="AO14830" t="s">
        <v>27875</v>
      </c>
    </row>
    <row r="14831" spans="39:41" ht="12" customHeight="1" x14ac:dyDescent="0.2">
      <c r="AM14831" t="str">
        <f t="shared" si="232"/>
        <v>Stockinish [GBSCH]</v>
      </c>
      <c r="AN14831" t="s">
        <v>14580</v>
      </c>
      <c r="AO14831" t="s">
        <v>14581</v>
      </c>
    </row>
    <row r="14832" spans="39:41" ht="12" customHeight="1" x14ac:dyDescent="0.2">
      <c r="AM14832" t="str">
        <f t="shared" si="232"/>
        <v>Stocksund [SESUD]</v>
      </c>
      <c r="AN14832" t="s">
        <v>27876</v>
      </c>
      <c r="AO14832" t="s">
        <v>27877</v>
      </c>
    </row>
    <row r="14833" spans="39:41" ht="12" customHeight="1" x14ac:dyDescent="0.2">
      <c r="AM14833" t="str">
        <f t="shared" si="232"/>
        <v>Stockton [CASTK]</v>
      </c>
      <c r="AN14833" t="s">
        <v>4489</v>
      </c>
      <c r="AO14833" t="s">
        <v>4490</v>
      </c>
    </row>
    <row r="14834" spans="39:41" ht="12" customHeight="1" x14ac:dyDescent="0.2">
      <c r="AM14834" t="str">
        <f t="shared" si="232"/>
        <v>Stockton [GBSCT]</v>
      </c>
      <c r="AN14834" t="s">
        <v>14582</v>
      </c>
      <c r="AO14834" t="s">
        <v>4490</v>
      </c>
    </row>
    <row r="14835" spans="39:41" ht="12" customHeight="1" x14ac:dyDescent="0.2">
      <c r="AM14835" t="str">
        <f t="shared" si="232"/>
        <v>Stockton [USSCK]</v>
      </c>
      <c r="AN14835" t="s">
        <v>31613</v>
      </c>
      <c r="AO14835" t="s">
        <v>4490</v>
      </c>
    </row>
    <row r="14836" spans="39:41" ht="12" customHeight="1" x14ac:dyDescent="0.2">
      <c r="AM14836" t="str">
        <f t="shared" si="232"/>
        <v>Stockton-on-Tees [GBSTT]</v>
      </c>
      <c r="AN14836" t="s">
        <v>14583</v>
      </c>
      <c r="AO14836" t="s">
        <v>14584</v>
      </c>
    </row>
    <row r="14837" spans="39:41" ht="12" customHeight="1" x14ac:dyDescent="0.2">
      <c r="AM14837" t="str">
        <f t="shared" si="232"/>
        <v>Stockviksverken [SESTK]</v>
      </c>
      <c r="AN14837" t="s">
        <v>27878</v>
      </c>
      <c r="AO14837" t="s">
        <v>27879</v>
      </c>
    </row>
    <row r="14838" spans="39:41" ht="12" customHeight="1" x14ac:dyDescent="0.2">
      <c r="AM14838" t="str">
        <f t="shared" si="232"/>
        <v>Stodhvarfjordur [ISSTD]</v>
      </c>
      <c r="AN14838" t="s">
        <v>17763</v>
      </c>
      <c r="AO14838" t="s">
        <v>36069</v>
      </c>
    </row>
    <row r="14839" spans="39:41" ht="12" customHeight="1" x14ac:dyDescent="0.2">
      <c r="AM14839" t="str">
        <f t="shared" si="232"/>
        <v>Stoke on Trent [GBSOT]</v>
      </c>
      <c r="AN14839" t="s">
        <v>14585</v>
      </c>
      <c r="AO14839" t="s">
        <v>14586</v>
      </c>
    </row>
    <row r="14840" spans="39:41" ht="12" customHeight="1" x14ac:dyDescent="0.2">
      <c r="AM14840" t="str">
        <f t="shared" si="232"/>
        <v>Stokestown/New Ross [IESNR]</v>
      </c>
      <c r="AN14840" t="s">
        <v>16916</v>
      </c>
      <c r="AO14840" t="s">
        <v>16917</v>
      </c>
    </row>
    <row r="14841" spans="39:41" ht="12" customHeight="1" x14ac:dyDescent="0.2">
      <c r="AM14841" t="str">
        <f t="shared" si="232"/>
        <v>Stokke [NOSTK]</v>
      </c>
      <c r="AN14841" t="s">
        <v>24828</v>
      </c>
      <c r="AO14841" t="s">
        <v>24829</v>
      </c>
    </row>
    <row r="14842" spans="39:41" ht="12" customHeight="1" x14ac:dyDescent="0.2">
      <c r="AM14842" t="str">
        <f t="shared" si="232"/>
        <v>Stokksund [NOSKK]</v>
      </c>
      <c r="AN14842" t="s">
        <v>24830</v>
      </c>
      <c r="AO14842" t="s">
        <v>24831</v>
      </c>
    </row>
    <row r="14843" spans="39:41" ht="12" customHeight="1" x14ac:dyDescent="0.2">
      <c r="AM14843" t="str">
        <f t="shared" si="232"/>
        <v>Stokkvagen [NOSTO]</v>
      </c>
      <c r="AN14843" t="s">
        <v>24832</v>
      </c>
      <c r="AO14843" t="s">
        <v>36312</v>
      </c>
    </row>
    <row r="14844" spans="39:41" ht="12" customHeight="1" x14ac:dyDescent="0.2">
      <c r="AM14844" t="str">
        <f t="shared" si="232"/>
        <v>Stokmarknes [NOSKN]</v>
      </c>
      <c r="AN14844" t="s">
        <v>24833</v>
      </c>
      <c r="AO14844" t="s">
        <v>24834</v>
      </c>
    </row>
    <row r="14845" spans="39:41" ht="12" customHeight="1" x14ac:dyDescent="0.2">
      <c r="AM14845" t="str">
        <f t="shared" si="232"/>
        <v>Stokrooie [BESKR]</v>
      </c>
      <c r="AN14845" t="s">
        <v>2981</v>
      </c>
      <c r="AO14845" t="s">
        <v>2982</v>
      </c>
    </row>
    <row r="14846" spans="39:41" ht="12" customHeight="1" x14ac:dyDescent="0.2">
      <c r="AM14846" t="str">
        <f t="shared" si="232"/>
        <v>Stollhofen [DESOC]</v>
      </c>
      <c r="AN14846" t="s">
        <v>8320</v>
      </c>
      <c r="AO14846" t="s">
        <v>8321</v>
      </c>
    </row>
    <row r="14847" spans="39:41" ht="12" customHeight="1" x14ac:dyDescent="0.2">
      <c r="AM14847" t="str">
        <f t="shared" si="232"/>
        <v>Stolpe [DESNP]</v>
      </c>
      <c r="AN14847" t="s">
        <v>8322</v>
      </c>
      <c r="AO14847" t="s">
        <v>8323</v>
      </c>
    </row>
    <row r="14848" spans="39:41" ht="12" customHeight="1" x14ac:dyDescent="0.2">
      <c r="AM14848" t="str">
        <f t="shared" si="232"/>
        <v>Stolpen [NLSOP]</v>
      </c>
      <c r="AN14848" t="s">
        <v>23644</v>
      </c>
      <c r="AO14848" t="s">
        <v>23645</v>
      </c>
    </row>
    <row r="14849" spans="39:41" ht="12" customHeight="1" x14ac:dyDescent="0.2">
      <c r="AM14849" t="str">
        <f t="shared" si="232"/>
        <v>Stolpervlotbrug [NLSPV]</v>
      </c>
      <c r="AN14849" t="s">
        <v>23646</v>
      </c>
      <c r="AO14849" t="s">
        <v>23647</v>
      </c>
    </row>
    <row r="14850" spans="39:41" ht="12" customHeight="1" x14ac:dyDescent="0.2">
      <c r="AM14850" t="str">
        <f t="shared" si="232"/>
        <v>Stomorska [HRSTM]</v>
      </c>
      <c r="AN14850" t="s">
        <v>15939</v>
      </c>
      <c r="AO14850" t="s">
        <v>15940</v>
      </c>
    </row>
    <row r="14851" spans="39:41" ht="12" customHeight="1" x14ac:dyDescent="0.2">
      <c r="AM14851" t="str">
        <f t="shared" si="232"/>
        <v>Stompetoren [NLSPT]</v>
      </c>
      <c r="AN14851" t="s">
        <v>23648</v>
      </c>
      <c r="AO14851" t="s">
        <v>23649</v>
      </c>
    </row>
    <row r="14852" spans="39:41" ht="12" customHeight="1" x14ac:dyDescent="0.2">
      <c r="AM14852" t="str">
        <f t="shared" si="232"/>
        <v>Ston [HRSTO]</v>
      </c>
      <c r="AN14852" t="s">
        <v>15941</v>
      </c>
      <c r="AO14852" t="s">
        <v>15942</v>
      </c>
    </row>
    <row r="14853" spans="39:41" ht="12" customHeight="1" x14ac:dyDescent="0.2">
      <c r="AM14853" t="str">
        <f t="shared" si="232"/>
        <v>Stonehaven [GBSVN]</v>
      </c>
      <c r="AN14853" t="s">
        <v>14587</v>
      </c>
      <c r="AO14853" t="s">
        <v>14588</v>
      </c>
    </row>
    <row r="14854" spans="39:41" ht="12" customHeight="1" x14ac:dyDescent="0.2">
      <c r="AM14854" t="str">
        <f t="shared" si="232"/>
        <v>Stonehouse [GBYVZ]</v>
      </c>
      <c r="AN14854" t="s">
        <v>14589</v>
      </c>
      <c r="AO14854" t="s">
        <v>14590</v>
      </c>
    </row>
    <row r="14855" spans="39:41" ht="12" customHeight="1" x14ac:dyDescent="0.2">
      <c r="AM14855" t="str">
        <f t="shared" si="232"/>
        <v>Stoney Creek [CASTC]</v>
      </c>
      <c r="AN14855" t="s">
        <v>4491</v>
      </c>
      <c r="AO14855" t="s">
        <v>4492</v>
      </c>
    </row>
    <row r="14856" spans="39:41" ht="12" customHeight="1" x14ac:dyDescent="0.2">
      <c r="AM14856" t="str">
        <f t="shared" si="232"/>
        <v>Stoney Island [CASYI]</v>
      </c>
      <c r="AN14856" t="s">
        <v>4493</v>
      </c>
      <c r="AO14856" t="s">
        <v>4494</v>
      </c>
    </row>
    <row r="14857" spans="39:41" ht="12" customHeight="1" x14ac:dyDescent="0.2">
      <c r="AM14857" t="str">
        <f t="shared" si="232"/>
        <v>Stonington [USSGN]</v>
      </c>
      <c r="AN14857" t="s">
        <v>31614</v>
      </c>
      <c r="AO14857" t="s">
        <v>31615</v>
      </c>
    </row>
    <row r="14858" spans="39:41" ht="12" customHeight="1" x14ac:dyDescent="0.2">
      <c r="AM14858" t="str">
        <f t="shared" si="232"/>
        <v>Stony Point [USS8T]</v>
      </c>
      <c r="AN14858" t="s">
        <v>31616</v>
      </c>
      <c r="AO14858" t="s">
        <v>31617</v>
      </c>
    </row>
    <row r="14859" spans="39:41" ht="12" customHeight="1" x14ac:dyDescent="0.2">
      <c r="AM14859" t="str">
        <f t="shared" si="232"/>
        <v>Stony Point, Rockland [USNYI]</v>
      </c>
      <c r="AN14859" t="s">
        <v>31618</v>
      </c>
      <c r="AO14859" t="s">
        <v>31619</v>
      </c>
    </row>
    <row r="14860" spans="39:41" ht="12" customHeight="1" x14ac:dyDescent="0.2">
      <c r="AM14860" t="str">
        <f t="shared" si="232"/>
        <v>Stookey [USSO9]</v>
      </c>
      <c r="AN14860" t="s">
        <v>31620</v>
      </c>
      <c r="AO14860" t="s">
        <v>31621</v>
      </c>
    </row>
    <row r="14861" spans="39:41" ht="12" customHeight="1" x14ac:dyDescent="0.2">
      <c r="AM14861" t="str">
        <f t="shared" si="232"/>
        <v>Stopini [LVSTO]</v>
      </c>
      <c r="AN14861" t="s">
        <v>21955</v>
      </c>
      <c r="AO14861" t="s">
        <v>21956</v>
      </c>
    </row>
    <row r="14862" spans="39:41" ht="12" customHeight="1" x14ac:dyDescent="0.2">
      <c r="AM14862" t="str">
        <f t="shared" si="232"/>
        <v>Stora Vika [SESTV]</v>
      </c>
      <c r="AN14862" t="s">
        <v>27880</v>
      </c>
      <c r="AO14862" t="s">
        <v>27881</v>
      </c>
    </row>
    <row r="14863" spans="39:41" ht="12" customHeight="1" x14ac:dyDescent="0.2">
      <c r="AM14863" t="str">
        <f t="shared" si="232"/>
        <v>Stord [NOSRP]</v>
      </c>
      <c r="AN14863" t="s">
        <v>24835</v>
      </c>
      <c r="AO14863" t="s">
        <v>24836</v>
      </c>
    </row>
    <row r="14864" spans="39:41" ht="12" customHeight="1" x14ac:dyDescent="0.2">
      <c r="AM14864" t="str">
        <f t="shared" si="232"/>
        <v>Stord base [NOSBA]</v>
      </c>
      <c r="AN14864" t="s">
        <v>24837</v>
      </c>
      <c r="AO14864" t="s">
        <v>24838</v>
      </c>
    </row>
    <row r="14865" spans="39:41" ht="12" customHeight="1" x14ac:dyDescent="0.2">
      <c r="AM14865" t="str">
        <f t="shared" si="232"/>
        <v>Stordal [NOSDZ]</v>
      </c>
      <c r="AN14865" t="s">
        <v>24839</v>
      </c>
      <c r="AO14865" t="s">
        <v>24840</v>
      </c>
    </row>
    <row r="14866" spans="39:41" ht="12" customHeight="1" x14ac:dyDescent="0.2">
      <c r="AM14866" t="str">
        <f t="shared" si="232"/>
        <v>Store Fuglede [DKSF2]</v>
      </c>
      <c r="AN14866" t="s">
        <v>8910</v>
      </c>
      <c r="AO14866" t="s">
        <v>8911</v>
      </c>
    </row>
    <row r="14867" spans="39:41" ht="12" customHeight="1" x14ac:dyDescent="0.2">
      <c r="AM14867" t="str">
        <f t="shared" si="232"/>
        <v>Store Heddinge [DKSH6]</v>
      </c>
      <c r="AN14867" t="s">
        <v>8912</v>
      </c>
      <c r="AO14867" t="s">
        <v>8913</v>
      </c>
    </row>
    <row r="14868" spans="39:41" ht="12" customHeight="1" x14ac:dyDescent="0.2">
      <c r="AM14868" t="str">
        <f t="shared" si="232"/>
        <v>Store Merlose [DKSM6]</v>
      </c>
      <c r="AN14868" t="s">
        <v>8914</v>
      </c>
      <c r="AO14868" t="s">
        <v>35588</v>
      </c>
    </row>
    <row r="14869" spans="39:41" ht="12" customHeight="1" x14ac:dyDescent="0.2">
      <c r="AM14869" t="str">
        <f t="shared" si="232"/>
        <v>Storebo [NOSTB]</v>
      </c>
      <c r="AN14869" t="s">
        <v>24841</v>
      </c>
      <c r="AO14869" t="s">
        <v>36313</v>
      </c>
    </row>
    <row r="14870" spans="39:41" ht="12" customHeight="1" x14ac:dyDescent="0.2">
      <c r="AM14870" t="str">
        <f t="shared" si="232"/>
        <v>Storesund [NOSRS]</v>
      </c>
      <c r="AN14870" t="s">
        <v>24842</v>
      </c>
      <c r="AO14870" t="s">
        <v>24843</v>
      </c>
    </row>
    <row r="14871" spans="39:41" ht="12" customHeight="1" x14ac:dyDescent="0.2">
      <c r="AM14871" t="str">
        <f t="shared" si="232"/>
        <v>Storfjord [NOSTF]</v>
      </c>
      <c r="AN14871" t="s">
        <v>24844</v>
      </c>
      <c r="AO14871" t="s">
        <v>24845</v>
      </c>
    </row>
    <row r="14872" spans="39:41" ht="12" customHeight="1" x14ac:dyDescent="0.2">
      <c r="AM14872" t="str">
        <f t="shared" si="232"/>
        <v>Stormont [CASMT]</v>
      </c>
      <c r="AN14872" t="s">
        <v>4495</v>
      </c>
      <c r="AO14872" t="s">
        <v>4496</v>
      </c>
    </row>
    <row r="14873" spans="39:41" ht="12" customHeight="1" x14ac:dyDescent="0.2">
      <c r="AM14873" t="str">
        <f t="shared" si="232"/>
        <v>Stormville [USZST]</v>
      </c>
      <c r="AN14873" t="s">
        <v>31622</v>
      </c>
      <c r="AO14873" t="s">
        <v>31623</v>
      </c>
    </row>
    <row r="14874" spans="39:41" ht="12" customHeight="1" x14ac:dyDescent="0.2">
      <c r="AM14874" t="str">
        <f t="shared" si="232"/>
        <v>Stornoway [GBSTO]</v>
      </c>
      <c r="AN14874" t="s">
        <v>14591</v>
      </c>
      <c r="AO14874" t="s">
        <v>14592</v>
      </c>
    </row>
    <row r="14875" spans="39:41" ht="12" customHeight="1" x14ac:dyDescent="0.2">
      <c r="AM14875" t="str">
        <f t="shared" si="232"/>
        <v>Storoya [NOSOY]</v>
      </c>
      <c r="AN14875" t="s">
        <v>24846</v>
      </c>
      <c r="AO14875" t="s">
        <v>36314</v>
      </c>
    </row>
    <row r="14876" spans="39:41" ht="12" customHeight="1" x14ac:dyDescent="0.2">
      <c r="AM14876" t="str">
        <f t="shared" si="232"/>
        <v>Storskog [NOSTS]</v>
      </c>
      <c r="AN14876" t="s">
        <v>37120</v>
      </c>
      <c r="AO14876" t="s">
        <v>37121</v>
      </c>
    </row>
    <row r="14877" spans="39:41" ht="12" customHeight="1" x14ac:dyDescent="0.2">
      <c r="AM14877" t="str">
        <f t="shared" si="232"/>
        <v>Storugns [SESUS]</v>
      </c>
      <c r="AN14877" t="s">
        <v>27882</v>
      </c>
      <c r="AO14877" t="s">
        <v>27883</v>
      </c>
    </row>
    <row r="14878" spans="39:41" ht="12" customHeight="1" x14ac:dyDescent="0.2">
      <c r="AM14878" t="str">
        <f t="shared" si="232"/>
        <v>Storuman [SESMN]</v>
      </c>
      <c r="AN14878" t="s">
        <v>27884</v>
      </c>
      <c r="AO14878" t="s">
        <v>27885</v>
      </c>
    </row>
    <row r="14879" spans="39:41" ht="12" customHeight="1" x14ac:dyDescent="0.2">
      <c r="AM14879" t="str">
        <f t="shared" si="232"/>
        <v>Stourton/Leeds [GBSYR]</v>
      </c>
      <c r="AN14879" t="s">
        <v>33847</v>
      </c>
      <c r="AO14879" t="s">
        <v>33969</v>
      </c>
    </row>
    <row r="14880" spans="39:41" ht="12" customHeight="1" x14ac:dyDescent="0.2">
      <c r="AM14880" t="str">
        <f t="shared" si="232"/>
        <v>Stow [USVOW]</v>
      </c>
      <c r="AN14880" t="s">
        <v>31624</v>
      </c>
      <c r="AO14880" t="s">
        <v>31625</v>
      </c>
    </row>
    <row r="14881" spans="39:41" ht="12" customHeight="1" x14ac:dyDescent="0.2">
      <c r="AM14881" t="str">
        <f t="shared" si="232"/>
        <v>Stowbridge [GBSBI]</v>
      </c>
      <c r="AN14881" t="s">
        <v>14593</v>
      </c>
      <c r="AO14881" t="s">
        <v>14594</v>
      </c>
    </row>
    <row r="14882" spans="39:41" ht="12" customHeight="1" x14ac:dyDescent="0.2">
      <c r="AM14882" t="str">
        <f t="shared" si="232"/>
        <v>Stoystown [USQST]</v>
      </c>
      <c r="AN14882" t="s">
        <v>31626</v>
      </c>
      <c r="AO14882" t="s">
        <v>31627</v>
      </c>
    </row>
    <row r="14883" spans="39:41" ht="12" customHeight="1" x14ac:dyDescent="0.2">
      <c r="AM14883" t="str">
        <f t="shared" si="232"/>
        <v>Stra [SEKAF]</v>
      </c>
      <c r="AN14883" t="s">
        <v>27886</v>
      </c>
      <c r="AO14883" t="s">
        <v>36530</v>
      </c>
    </row>
    <row r="14884" spans="39:41" ht="12" customHeight="1" x14ac:dyDescent="0.2">
      <c r="AM14884" t="str">
        <f t="shared" si="232"/>
        <v>Straden [ATST6]</v>
      </c>
      <c r="AN14884" t="s">
        <v>1351</v>
      </c>
      <c r="AO14884" t="s">
        <v>1352</v>
      </c>
    </row>
    <row r="14885" spans="39:41" ht="12" customHeight="1" x14ac:dyDescent="0.2">
      <c r="AM14885" t="str">
        <f t="shared" si="232"/>
        <v>Strahan [AUSRN]</v>
      </c>
      <c r="AN14885" t="s">
        <v>2040</v>
      </c>
      <c r="AO14885" t="s">
        <v>2041</v>
      </c>
    </row>
    <row r="14886" spans="39:41" ht="12" customHeight="1" x14ac:dyDescent="0.2">
      <c r="AM14886" t="str">
        <f t="shared" si="232"/>
        <v>Strait of Gibraltar [XZGIB]</v>
      </c>
      <c r="AN14886" t="s">
        <v>36626</v>
      </c>
      <c r="AO14886" t="s">
        <v>36627</v>
      </c>
    </row>
    <row r="14887" spans="39:41" ht="12" customHeight="1" x14ac:dyDescent="0.2">
      <c r="AM14887" t="str">
        <f t="shared" si="232"/>
        <v>Straldzha [BGS3W]</v>
      </c>
      <c r="AN14887" t="s">
        <v>3167</v>
      </c>
      <c r="AO14887" t="s">
        <v>3168</v>
      </c>
    </row>
    <row r="14888" spans="39:41" ht="12" customHeight="1" x14ac:dyDescent="0.2">
      <c r="AM14888" t="str">
        <f t="shared" si="232"/>
        <v>Stralsund [DESTL]</v>
      </c>
      <c r="AN14888" t="s">
        <v>8324</v>
      </c>
      <c r="AO14888" t="s">
        <v>8325</v>
      </c>
    </row>
    <row r="14889" spans="39:41" ht="12" customHeight="1" x14ac:dyDescent="0.2">
      <c r="AM14889" t="str">
        <f t="shared" si="232"/>
        <v>Strand [NOSTD]</v>
      </c>
      <c r="AN14889" t="s">
        <v>24847</v>
      </c>
      <c r="AO14889" t="s">
        <v>24848</v>
      </c>
    </row>
    <row r="14890" spans="39:41" ht="12" customHeight="1" x14ac:dyDescent="0.2">
      <c r="AM14890" t="str">
        <f t="shared" si="232"/>
        <v>Strand [ZASTD]</v>
      </c>
      <c r="AN14890" t="s">
        <v>32743</v>
      </c>
      <c r="AO14890" t="s">
        <v>24848</v>
      </c>
    </row>
    <row r="14891" spans="39:41" ht="12" customHeight="1" x14ac:dyDescent="0.2">
      <c r="AM14891" t="str">
        <f t="shared" ref="AM14891:AM14954" si="233">AO14891 &amp; " [" &amp; AN14891 &amp; "]"</f>
        <v>Stranda [NOSRN]</v>
      </c>
      <c r="AN14891" t="s">
        <v>24849</v>
      </c>
      <c r="AO14891" t="s">
        <v>24850</v>
      </c>
    </row>
    <row r="14892" spans="39:41" ht="12" customHeight="1" x14ac:dyDescent="0.2">
      <c r="AM14892" t="str">
        <f t="shared" si="233"/>
        <v>Stranda - Froya [NOSTZ]</v>
      </c>
      <c r="AN14892" t="s">
        <v>24851</v>
      </c>
      <c r="AO14892" t="s">
        <v>36315</v>
      </c>
    </row>
    <row r="14893" spans="39:41" ht="12" customHeight="1" x14ac:dyDescent="0.2">
      <c r="AM14893" t="str">
        <f t="shared" si="233"/>
        <v>Strandby [DKSTD]</v>
      </c>
      <c r="AN14893" t="s">
        <v>36878</v>
      </c>
      <c r="AO14893" t="s">
        <v>36879</v>
      </c>
    </row>
    <row r="14894" spans="39:41" ht="12" customHeight="1" x14ac:dyDescent="0.2">
      <c r="AM14894" t="str">
        <f t="shared" si="233"/>
        <v>Strande [DESTD]</v>
      </c>
      <c r="AN14894" t="s">
        <v>8326</v>
      </c>
      <c r="AO14894" t="s">
        <v>8327</v>
      </c>
    </row>
    <row r="14895" spans="39:41" ht="12" customHeight="1" x14ac:dyDescent="0.2">
      <c r="AM14895" t="str">
        <f t="shared" si="233"/>
        <v>Strangford [GBSJL]</v>
      </c>
      <c r="AN14895" t="s">
        <v>14595</v>
      </c>
      <c r="AO14895" t="s">
        <v>14596</v>
      </c>
    </row>
    <row r="14896" spans="39:41" ht="12" customHeight="1" x14ac:dyDescent="0.2">
      <c r="AM14896" t="str">
        <f t="shared" si="233"/>
        <v>Strangnas [SESTQ]</v>
      </c>
      <c r="AN14896" t="s">
        <v>27887</v>
      </c>
      <c r="AO14896" t="s">
        <v>36531</v>
      </c>
    </row>
    <row r="14897" spans="39:41" ht="12" customHeight="1" x14ac:dyDescent="0.2">
      <c r="AM14897" t="str">
        <f t="shared" si="233"/>
        <v>Stranraer [GBSTR]</v>
      </c>
      <c r="AN14897" t="s">
        <v>14597</v>
      </c>
      <c r="AO14897" t="s">
        <v>14598</v>
      </c>
    </row>
    <row r="14898" spans="39:41" ht="12" customHeight="1" x14ac:dyDescent="0.2">
      <c r="AM14898" t="str">
        <f t="shared" si="233"/>
        <v>Strasbourg [FRSXB]</v>
      </c>
      <c r="AN14898" t="s">
        <v>12115</v>
      </c>
      <c r="AO14898" t="s">
        <v>12116</v>
      </c>
    </row>
    <row r="14899" spans="39:41" ht="12" customHeight="1" x14ac:dyDescent="0.2">
      <c r="AM14899" t="str">
        <f t="shared" si="233"/>
        <v>Stratford [USTFO]</v>
      </c>
      <c r="AN14899" t="s">
        <v>31628</v>
      </c>
      <c r="AO14899" t="s">
        <v>31629</v>
      </c>
    </row>
    <row r="14900" spans="39:41" ht="12" customHeight="1" x14ac:dyDescent="0.2">
      <c r="AM14900" t="str">
        <f t="shared" si="233"/>
        <v>Stratford-upon-Avon [GBSAV]</v>
      </c>
      <c r="AN14900" t="s">
        <v>14599</v>
      </c>
      <c r="AO14900" t="s">
        <v>14600</v>
      </c>
    </row>
    <row r="14901" spans="39:41" ht="12" customHeight="1" x14ac:dyDescent="0.2">
      <c r="AM14901" t="str">
        <f t="shared" si="233"/>
        <v>Strathaird [GBSRH]</v>
      </c>
      <c r="AN14901" t="s">
        <v>14601</v>
      </c>
      <c r="AO14901" t="s">
        <v>14602</v>
      </c>
    </row>
    <row r="14902" spans="39:41" ht="12" customHeight="1" x14ac:dyDescent="0.2">
      <c r="AM14902" t="str">
        <f t="shared" si="233"/>
        <v>Strathcarron [GBSRC]</v>
      </c>
      <c r="AN14902" t="s">
        <v>14603</v>
      </c>
      <c r="AO14902" t="s">
        <v>14604</v>
      </c>
    </row>
    <row r="14903" spans="39:41" ht="12" customHeight="1" x14ac:dyDescent="0.2">
      <c r="AM14903" t="str">
        <f t="shared" si="233"/>
        <v>Stratoni [GRSTI]</v>
      </c>
      <c r="AN14903" t="s">
        <v>15541</v>
      </c>
      <c r="AO14903" t="s">
        <v>15542</v>
      </c>
    </row>
    <row r="14904" spans="39:41" ht="12" customHeight="1" x14ac:dyDescent="0.2">
      <c r="AM14904" t="str">
        <f t="shared" si="233"/>
        <v>Straubing [DESTB]</v>
      </c>
      <c r="AN14904" t="s">
        <v>8328</v>
      </c>
      <c r="AO14904" t="s">
        <v>8329</v>
      </c>
    </row>
    <row r="14905" spans="39:41" ht="12" customHeight="1" x14ac:dyDescent="0.2">
      <c r="AM14905" t="str">
        <f t="shared" si="233"/>
        <v>Straume [NOUME]</v>
      </c>
      <c r="AN14905" t="s">
        <v>24852</v>
      </c>
      <c r="AO14905" t="s">
        <v>24853</v>
      </c>
    </row>
    <row r="14906" spans="39:41" ht="12" customHeight="1" x14ac:dyDescent="0.2">
      <c r="AM14906" t="str">
        <f t="shared" si="233"/>
        <v>Straumsgjerde [NOSGJ]</v>
      </c>
      <c r="AN14906" t="s">
        <v>24854</v>
      </c>
      <c r="AO14906" t="s">
        <v>24855</v>
      </c>
    </row>
    <row r="14907" spans="39:41" ht="12" customHeight="1" x14ac:dyDescent="0.2">
      <c r="AM14907" t="str">
        <f t="shared" si="233"/>
        <v>Straumsjoen [NOSSO]</v>
      </c>
      <c r="AN14907" t="s">
        <v>24856</v>
      </c>
      <c r="AO14907" t="s">
        <v>36316</v>
      </c>
    </row>
    <row r="14908" spans="39:41" ht="12" customHeight="1" x14ac:dyDescent="0.2">
      <c r="AM14908" t="str">
        <f t="shared" si="233"/>
        <v>Straumsnes [NOSRM]</v>
      </c>
      <c r="AN14908" t="s">
        <v>24857</v>
      </c>
      <c r="AO14908" t="s">
        <v>24858</v>
      </c>
    </row>
    <row r="14909" spans="39:41" ht="12" customHeight="1" x14ac:dyDescent="0.2">
      <c r="AM14909" t="str">
        <f t="shared" si="233"/>
        <v>Straumsvik [ISSTR]</v>
      </c>
      <c r="AN14909" t="s">
        <v>17764</v>
      </c>
      <c r="AO14909" t="s">
        <v>17765</v>
      </c>
    </row>
    <row r="14910" spans="39:41" ht="12" customHeight="1" x14ac:dyDescent="0.2">
      <c r="AM14910" t="str">
        <f t="shared" si="233"/>
        <v>Streatham [GBHTA]</v>
      </c>
      <c r="AN14910" t="s">
        <v>14605</v>
      </c>
      <c r="AO14910" t="s">
        <v>14606</v>
      </c>
    </row>
    <row r="14911" spans="39:41" ht="12" customHeight="1" x14ac:dyDescent="0.2">
      <c r="AM14911" t="str">
        <f t="shared" si="233"/>
        <v>Streefkerk [NLSRE]</v>
      </c>
      <c r="AN14911" t="s">
        <v>23650</v>
      </c>
      <c r="AO14911" t="s">
        <v>23651</v>
      </c>
    </row>
    <row r="14912" spans="39:41" ht="12" customHeight="1" x14ac:dyDescent="0.2">
      <c r="AM14912" t="str">
        <f t="shared" si="233"/>
        <v>Strehla/Elbe [DETLB]</v>
      </c>
      <c r="AN14912" t="s">
        <v>8330</v>
      </c>
      <c r="AO14912" t="s">
        <v>8331</v>
      </c>
    </row>
    <row r="14913" spans="39:41" ht="12" customHeight="1" x14ac:dyDescent="0.2">
      <c r="AM14913" t="str">
        <f t="shared" si="233"/>
        <v>Streika [RUSTR]</v>
      </c>
      <c r="AN14913" t="s">
        <v>27252</v>
      </c>
      <c r="AO14913" t="s">
        <v>27253</v>
      </c>
    </row>
    <row r="14914" spans="39:41" ht="12" customHeight="1" x14ac:dyDescent="0.2">
      <c r="AM14914" t="str">
        <f t="shared" si="233"/>
        <v>Strendur [FOSTR]</v>
      </c>
      <c r="AN14914" t="s">
        <v>10692</v>
      </c>
      <c r="AO14914" t="s">
        <v>10693</v>
      </c>
    </row>
    <row r="14915" spans="39:41" ht="12" customHeight="1" x14ac:dyDescent="0.2">
      <c r="AM14915" t="str">
        <f t="shared" si="233"/>
        <v>Strepy-Bracquegnies [BESTB]</v>
      </c>
      <c r="AN14915" t="s">
        <v>36811</v>
      </c>
      <c r="AO14915" t="s">
        <v>36812</v>
      </c>
    </row>
    <row r="14916" spans="39:41" ht="12" customHeight="1" x14ac:dyDescent="0.2">
      <c r="AM14916" t="str">
        <f t="shared" si="233"/>
        <v>Strete [GBSRZ]</v>
      </c>
      <c r="AN14916" t="s">
        <v>14607</v>
      </c>
      <c r="AO14916" t="s">
        <v>14608</v>
      </c>
    </row>
    <row r="14917" spans="39:41" ht="12" customHeight="1" x14ac:dyDescent="0.2">
      <c r="AM14917" t="str">
        <f t="shared" si="233"/>
        <v>Streymnes [FOSYN]</v>
      </c>
      <c r="AN14917" t="s">
        <v>10694</v>
      </c>
      <c r="AO14917" t="s">
        <v>10695</v>
      </c>
    </row>
    <row r="14918" spans="39:41" ht="12" customHeight="1" x14ac:dyDescent="0.2">
      <c r="AM14918" t="str">
        <f t="shared" si="233"/>
        <v>Strib Havn [DKSTB]</v>
      </c>
      <c r="AN14918" t="s">
        <v>8915</v>
      </c>
      <c r="AO14918" t="s">
        <v>8916</v>
      </c>
    </row>
    <row r="14919" spans="39:41" ht="12" customHeight="1" x14ac:dyDescent="0.2">
      <c r="AM14919" t="str">
        <f t="shared" si="233"/>
        <v>Stribrna Skalice [CZBRA]</v>
      </c>
      <c r="AN14919" t="s">
        <v>6947</v>
      </c>
      <c r="AO14919" t="s">
        <v>6948</v>
      </c>
    </row>
    <row r="14920" spans="39:41" ht="12" customHeight="1" x14ac:dyDescent="0.2">
      <c r="AM14920" t="str">
        <f t="shared" si="233"/>
        <v>Stroby [DKSB2]</v>
      </c>
      <c r="AN14920" t="s">
        <v>8917</v>
      </c>
      <c r="AO14920" t="s">
        <v>35589</v>
      </c>
    </row>
    <row r="14921" spans="39:41" ht="12" customHeight="1" x14ac:dyDescent="0.2">
      <c r="AM14921" t="str">
        <f t="shared" si="233"/>
        <v>Stroe [NLSRT]</v>
      </c>
      <c r="AN14921" t="s">
        <v>23652</v>
      </c>
      <c r="AO14921" t="s">
        <v>23653</v>
      </c>
    </row>
    <row r="14922" spans="39:41" ht="12" customHeight="1" x14ac:dyDescent="0.2">
      <c r="AM14922" t="str">
        <f t="shared" si="233"/>
        <v>Stroma [GBSOA]</v>
      </c>
      <c r="AN14922" t="s">
        <v>14609</v>
      </c>
      <c r="AO14922" t="s">
        <v>14610</v>
      </c>
    </row>
    <row r="14923" spans="39:41" ht="12" customHeight="1" x14ac:dyDescent="0.2">
      <c r="AM14923" t="str">
        <f t="shared" si="233"/>
        <v>Stromboli [ITSTR]</v>
      </c>
      <c r="AN14923" t="s">
        <v>18346</v>
      </c>
      <c r="AO14923" t="s">
        <v>18347</v>
      </c>
    </row>
    <row r="14924" spans="39:41" ht="12" customHeight="1" x14ac:dyDescent="0.2">
      <c r="AM14924" t="str">
        <f t="shared" si="233"/>
        <v>Stromma [FISTR]</v>
      </c>
      <c r="AN14924" t="s">
        <v>10550</v>
      </c>
      <c r="AO14924" t="s">
        <v>35752</v>
      </c>
    </row>
    <row r="14925" spans="39:41" ht="12" customHeight="1" x14ac:dyDescent="0.2">
      <c r="AM14925" t="str">
        <f t="shared" si="233"/>
        <v>Stromness [GBSNS]</v>
      </c>
      <c r="AN14925" t="s">
        <v>14611</v>
      </c>
      <c r="AO14925" t="s">
        <v>14612</v>
      </c>
    </row>
    <row r="14926" spans="39:41" ht="12" customHeight="1" x14ac:dyDescent="0.2">
      <c r="AM14926" t="str">
        <f t="shared" si="233"/>
        <v>Stromstad [SESMD]</v>
      </c>
      <c r="AN14926" t="s">
        <v>27888</v>
      </c>
      <c r="AO14926" t="s">
        <v>36532</v>
      </c>
    </row>
    <row r="14927" spans="39:41" ht="12" customHeight="1" x14ac:dyDescent="0.2">
      <c r="AM14927" t="str">
        <f t="shared" si="233"/>
        <v>Struandale [ZASTR]</v>
      </c>
      <c r="AN14927" t="s">
        <v>32744</v>
      </c>
      <c r="AO14927" t="s">
        <v>32745</v>
      </c>
    </row>
    <row r="14928" spans="39:41" ht="12" customHeight="1" x14ac:dyDescent="0.2">
      <c r="AM14928" t="str">
        <f t="shared" si="233"/>
        <v>Struer [DKSTR]</v>
      </c>
      <c r="AN14928" t="s">
        <v>8918</v>
      </c>
      <c r="AO14928" t="s">
        <v>8919</v>
      </c>
    </row>
    <row r="14929" spans="39:41" ht="12" customHeight="1" x14ac:dyDescent="0.2">
      <c r="AM14929" t="str">
        <f t="shared" si="233"/>
        <v>Stryn [NOSTR]</v>
      </c>
      <c r="AN14929" t="s">
        <v>24859</v>
      </c>
      <c r="AO14929" t="s">
        <v>24860</v>
      </c>
    </row>
    <row r="14930" spans="39:41" ht="12" customHeight="1" x14ac:dyDescent="0.2">
      <c r="AM14930" t="str">
        <f t="shared" si="233"/>
        <v>Stryno [DKSNO]</v>
      </c>
      <c r="AN14930" t="s">
        <v>8920</v>
      </c>
      <c r="AO14930" t="s">
        <v>35590</v>
      </c>
    </row>
    <row r="14931" spans="39:41" ht="12" customHeight="1" x14ac:dyDescent="0.2">
      <c r="AM14931" t="str">
        <f t="shared" si="233"/>
        <v>Stuartfield [GBSFU]</v>
      </c>
      <c r="AN14931" t="s">
        <v>14613</v>
      </c>
      <c r="AO14931" t="s">
        <v>14614</v>
      </c>
    </row>
    <row r="14932" spans="39:41" ht="12" customHeight="1" x14ac:dyDescent="0.2">
      <c r="AM14932" t="str">
        <f t="shared" si="233"/>
        <v>Stubbekobing [DKSBK]</v>
      </c>
      <c r="AN14932" t="s">
        <v>8921</v>
      </c>
      <c r="AO14932" t="s">
        <v>35591</v>
      </c>
    </row>
    <row r="14933" spans="39:41" ht="12" customHeight="1" x14ac:dyDescent="0.2">
      <c r="AM14933" t="str">
        <f t="shared" si="233"/>
        <v>Studland [GBSJY]</v>
      </c>
      <c r="AN14933" t="s">
        <v>14615</v>
      </c>
      <c r="AO14933" t="s">
        <v>14616</v>
      </c>
    </row>
    <row r="14934" spans="39:41" ht="12" customHeight="1" x14ac:dyDescent="0.2">
      <c r="AM14934" t="str">
        <f t="shared" si="233"/>
        <v>Studstrupvarkets Havn [DKSSV]</v>
      </c>
      <c r="AN14934" t="s">
        <v>8922</v>
      </c>
      <c r="AO14934" t="s">
        <v>35592</v>
      </c>
    </row>
    <row r="14935" spans="39:41" ht="12" customHeight="1" x14ac:dyDescent="0.2">
      <c r="AM14935" t="str">
        <f t="shared" si="233"/>
        <v>Studsvik [SESDS]</v>
      </c>
      <c r="AN14935" t="s">
        <v>27889</v>
      </c>
      <c r="AO14935" t="s">
        <v>27890</v>
      </c>
    </row>
    <row r="14936" spans="39:41" ht="12" customHeight="1" x14ac:dyDescent="0.2">
      <c r="AM14936" t="str">
        <f t="shared" si="233"/>
        <v>Stugsund [SESTU]</v>
      </c>
      <c r="AN14936" t="s">
        <v>27891</v>
      </c>
      <c r="AO14936" t="s">
        <v>27892</v>
      </c>
    </row>
    <row r="14937" spans="39:41" ht="12" customHeight="1" x14ac:dyDescent="0.2">
      <c r="AM14937" t="str">
        <f t="shared" si="233"/>
        <v>Stura [NOSTU]</v>
      </c>
      <c r="AN14937" t="s">
        <v>24861</v>
      </c>
      <c r="AO14937" t="s">
        <v>24862</v>
      </c>
    </row>
    <row r="14938" spans="39:41" ht="12" customHeight="1" x14ac:dyDescent="0.2">
      <c r="AM14938" t="str">
        <f t="shared" si="233"/>
        <v>Sturton by Stow [GBURT]</v>
      </c>
      <c r="AN14938" t="s">
        <v>14617</v>
      </c>
      <c r="AO14938" t="s">
        <v>14618</v>
      </c>
    </row>
    <row r="14939" spans="39:41" ht="12" customHeight="1" x14ac:dyDescent="0.2">
      <c r="AM14939" t="str">
        <f t="shared" si="233"/>
        <v>Stybarrow Venture MV17 [AUSTY]</v>
      </c>
      <c r="AN14939" t="s">
        <v>2042</v>
      </c>
      <c r="AO14939" t="s">
        <v>2043</v>
      </c>
    </row>
    <row r="14940" spans="39:41" ht="12" customHeight="1" x14ac:dyDescent="0.2">
      <c r="AM14940" t="str">
        <f t="shared" si="233"/>
        <v>Stykkisholmur - hofn [ISSTY]</v>
      </c>
      <c r="AN14940" t="s">
        <v>17766</v>
      </c>
      <c r="AO14940" t="s">
        <v>36070</v>
      </c>
    </row>
    <row r="14941" spans="39:41" ht="12" customHeight="1" x14ac:dyDescent="0.2">
      <c r="AM14941" t="str">
        <f t="shared" si="233"/>
        <v>Stylida (Stylis) [GRSYS]</v>
      </c>
      <c r="AN14941" t="s">
        <v>15543</v>
      </c>
      <c r="AO14941" t="s">
        <v>35984</v>
      </c>
    </row>
    <row r="14942" spans="39:41" ht="12" customHeight="1" x14ac:dyDescent="0.2">
      <c r="AM14942" t="str">
        <f t="shared" si="233"/>
        <v>Styrtom [DKEOT]</v>
      </c>
      <c r="AN14942" t="s">
        <v>8923</v>
      </c>
      <c r="AO14942" t="s">
        <v>8924</v>
      </c>
    </row>
    <row r="14943" spans="39:41" ht="12" customHeight="1" x14ac:dyDescent="0.2">
      <c r="AM14943" t="str">
        <f t="shared" si="233"/>
        <v>Su Tu Den [VNSTD]</v>
      </c>
      <c r="AN14943" t="s">
        <v>32476</v>
      </c>
      <c r="AO14943" t="s">
        <v>32477</v>
      </c>
    </row>
    <row r="14944" spans="39:41" ht="12" customHeight="1" x14ac:dyDescent="0.2">
      <c r="AM14944" t="str">
        <f t="shared" si="233"/>
        <v>Sual [PHSUA]</v>
      </c>
      <c r="AN14944" t="s">
        <v>26160</v>
      </c>
      <c r="AO14944" t="s">
        <v>26161</v>
      </c>
    </row>
    <row r="14945" spans="39:41" ht="12" customHeight="1" x14ac:dyDescent="0.2">
      <c r="AM14945" t="str">
        <f t="shared" si="233"/>
        <v>Suao [TWSUO]</v>
      </c>
      <c r="AN14945" t="s">
        <v>28685</v>
      </c>
      <c r="AO14945" t="s">
        <v>28686</v>
      </c>
    </row>
    <row r="14946" spans="39:41" ht="12" customHeight="1" x14ac:dyDescent="0.2">
      <c r="AM14946" t="str">
        <f t="shared" si="233"/>
        <v>Suape [BRSUA]</v>
      </c>
      <c r="AN14946" t="s">
        <v>3402</v>
      </c>
      <c r="AO14946" t="s">
        <v>3403</v>
      </c>
    </row>
    <row r="14947" spans="39:41" ht="12" customHeight="1" x14ac:dyDescent="0.2">
      <c r="AM14947" t="str">
        <f t="shared" si="233"/>
        <v>Suaran [IDSUA]</v>
      </c>
      <c r="AN14947" t="s">
        <v>16609</v>
      </c>
      <c r="AO14947" t="s">
        <v>16610</v>
      </c>
    </row>
    <row r="14948" spans="39:41" ht="12" customHeight="1" x14ac:dyDescent="0.2">
      <c r="AM14948" t="str">
        <f t="shared" si="233"/>
        <v>Suaru [EESUA]</v>
      </c>
      <c r="AN14948" t="s">
        <v>9364</v>
      </c>
      <c r="AO14948" t="s">
        <v>9365</v>
      </c>
    </row>
    <row r="14949" spans="39:41" ht="12" customHeight="1" x14ac:dyDescent="0.2">
      <c r="AM14949" t="str">
        <f t="shared" si="233"/>
        <v>Suaru Kalasadam [EESUK]</v>
      </c>
      <c r="AN14949" t="s">
        <v>35026</v>
      </c>
      <c r="AO14949" t="s">
        <v>35027</v>
      </c>
    </row>
    <row r="14950" spans="39:41" ht="12" customHeight="1" x14ac:dyDescent="0.2">
      <c r="AM14950" t="str">
        <f t="shared" si="233"/>
        <v>Subaim [IDSBM]</v>
      </c>
      <c r="AN14950" t="s">
        <v>16611</v>
      </c>
      <c r="AO14950" t="s">
        <v>16612</v>
      </c>
    </row>
    <row r="14951" spans="39:41" ht="12" customHeight="1" x14ac:dyDescent="0.2">
      <c r="AM14951" t="str">
        <f t="shared" si="233"/>
        <v>Subic Bay [PHSFS]</v>
      </c>
      <c r="AN14951" t="s">
        <v>26162</v>
      </c>
      <c r="AO14951" t="s">
        <v>26163</v>
      </c>
    </row>
    <row r="14952" spans="39:41" ht="12" customHeight="1" x14ac:dyDescent="0.2">
      <c r="AM14952" t="str">
        <f t="shared" si="233"/>
        <v>Sucurac [HRSUR]</v>
      </c>
      <c r="AN14952" t="s">
        <v>15943</v>
      </c>
      <c r="AO14952" t="s">
        <v>15944</v>
      </c>
    </row>
    <row r="14953" spans="39:41" ht="12" customHeight="1" x14ac:dyDescent="0.2">
      <c r="AM14953" t="str">
        <f t="shared" si="233"/>
        <v>Sucuraj [HRSUC]</v>
      </c>
      <c r="AN14953" t="s">
        <v>15945</v>
      </c>
      <c r="AO14953" t="s">
        <v>15946</v>
      </c>
    </row>
    <row r="14954" spans="39:41" ht="12" customHeight="1" x14ac:dyDescent="0.2">
      <c r="AM14954" t="str">
        <f t="shared" si="233"/>
        <v>Suda Bay [GRSUD]</v>
      </c>
      <c r="AN14954" t="s">
        <v>15544</v>
      </c>
      <c r="AO14954" t="s">
        <v>15545</v>
      </c>
    </row>
    <row r="14955" spans="39:41" ht="12" customHeight="1" x14ac:dyDescent="0.2">
      <c r="AM14955" t="str">
        <f t="shared" ref="AM14955:AM15018" si="234">AO14955 &amp; " [" &amp; AN14955 &amp; "]"</f>
        <v>Sudavik [ISSUV]</v>
      </c>
      <c r="AN14955" t="s">
        <v>17767</v>
      </c>
      <c r="AO14955" t="s">
        <v>17768</v>
      </c>
    </row>
    <row r="14956" spans="39:41" ht="12" customHeight="1" x14ac:dyDescent="0.2">
      <c r="AM14956" t="str">
        <f t="shared" si="234"/>
        <v>Sudbury [CASUD]</v>
      </c>
      <c r="AN14956" t="s">
        <v>4497</v>
      </c>
      <c r="AO14956" t="s">
        <v>4498</v>
      </c>
    </row>
    <row r="14957" spans="39:41" ht="12" customHeight="1" x14ac:dyDescent="0.2">
      <c r="AM14957" t="str">
        <f t="shared" si="234"/>
        <v>Suderstapel [DESUD]</v>
      </c>
      <c r="AN14957" t="s">
        <v>8332</v>
      </c>
      <c r="AO14957" t="s">
        <v>35499</v>
      </c>
    </row>
    <row r="14958" spans="39:41" ht="12" customHeight="1" x14ac:dyDescent="0.2">
      <c r="AM14958" t="str">
        <f t="shared" si="234"/>
        <v>Sudurad [HRSDR]</v>
      </c>
      <c r="AN14958" t="s">
        <v>15947</v>
      </c>
      <c r="AO14958" t="s">
        <v>15948</v>
      </c>
    </row>
    <row r="14959" spans="39:41" ht="12" customHeight="1" x14ac:dyDescent="0.2">
      <c r="AM14959" t="str">
        <f t="shared" si="234"/>
        <v>Sudureyri/Sugandafjord [ISSUD]</v>
      </c>
      <c r="AN14959" t="s">
        <v>17769</v>
      </c>
      <c r="AO14959" t="s">
        <v>17770</v>
      </c>
    </row>
    <row r="14960" spans="39:41" ht="12" customHeight="1" x14ac:dyDescent="0.2">
      <c r="AM14960" t="str">
        <f t="shared" si="234"/>
        <v>Suez Canal [EGSCN]</v>
      </c>
      <c r="AN14960" t="s">
        <v>35028</v>
      </c>
      <c r="AO14960" t="s">
        <v>35029</v>
      </c>
    </row>
    <row r="14961" spans="39:41" ht="12" customHeight="1" x14ac:dyDescent="0.2">
      <c r="AM14961" t="str">
        <f t="shared" si="234"/>
        <v>Suez Channel [XZSUE]</v>
      </c>
      <c r="AN14961" t="s">
        <v>36649</v>
      </c>
      <c r="AO14961" t="s">
        <v>36650</v>
      </c>
    </row>
    <row r="14962" spans="39:41" ht="12" customHeight="1" x14ac:dyDescent="0.2">
      <c r="AM14962" t="str">
        <f t="shared" si="234"/>
        <v>Suga [JPSUG]</v>
      </c>
      <c r="AN14962" t="s">
        <v>20910</v>
      </c>
      <c r="AO14962" t="s">
        <v>20911</v>
      </c>
    </row>
    <row r="14963" spans="39:41" ht="12" customHeight="1" x14ac:dyDescent="0.2">
      <c r="AM14963" t="str">
        <f t="shared" si="234"/>
        <v>Sugar City [USHJD]</v>
      </c>
      <c r="AN14963" t="s">
        <v>31630</v>
      </c>
      <c r="AO14963" t="s">
        <v>31631</v>
      </c>
    </row>
    <row r="14964" spans="39:41" ht="12" customHeight="1" x14ac:dyDescent="0.2">
      <c r="AM14964" t="str">
        <f t="shared" si="234"/>
        <v>Sugarcreek [USZSU]</v>
      </c>
      <c r="AN14964" t="s">
        <v>31632</v>
      </c>
      <c r="AO14964" t="s">
        <v>31633</v>
      </c>
    </row>
    <row r="14965" spans="39:41" ht="12" customHeight="1" x14ac:dyDescent="0.2">
      <c r="AM14965" t="str">
        <f t="shared" si="234"/>
        <v>Sugawa [JPSUU]</v>
      </c>
      <c r="AN14965" t="s">
        <v>20912</v>
      </c>
      <c r="AO14965" t="s">
        <v>20913</v>
      </c>
    </row>
    <row r="14966" spans="39:41" ht="12" customHeight="1" x14ac:dyDescent="0.2">
      <c r="AM14966" t="str">
        <f t="shared" si="234"/>
        <v>Suge [JPSGE]</v>
      </c>
      <c r="AN14966" t="s">
        <v>20914</v>
      </c>
      <c r="AO14966" t="s">
        <v>20915</v>
      </c>
    </row>
    <row r="14967" spans="39:41" ht="12" customHeight="1" x14ac:dyDescent="0.2">
      <c r="AM14967" t="str">
        <f t="shared" si="234"/>
        <v>Sugeura [JPSUR]</v>
      </c>
      <c r="AN14967" t="s">
        <v>20916</v>
      </c>
      <c r="AO14967" t="s">
        <v>20917</v>
      </c>
    </row>
    <row r="14968" spans="39:41" ht="12" customHeight="1" x14ac:dyDescent="0.2">
      <c r="AM14968" t="str">
        <f t="shared" si="234"/>
        <v>Suhrendorf [DEUHF]</v>
      </c>
      <c r="AN14968" t="s">
        <v>8333</v>
      </c>
      <c r="AO14968" t="s">
        <v>8334</v>
      </c>
    </row>
    <row r="14969" spans="39:41" ht="12" customHeight="1" x14ac:dyDescent="0.2">
      <c r="AM14969" t="str">
        <f t="shared" si="234"/>
        <v>Suibin [CNSBN]</v>
      </c>
      <c r="AN14969" t="s">
        <v>6093</v>
      </c>
      <c r="AO14969" t="s">
        <v>6094</v>
      </c>
    </row>
    <row r="14970" spans="39:41" ht="12" customHeight="1" x14ac:dyDescent="0.2">
      <c r="AM14970" t="str">
        <f t="shared" si="234"/>
        <v>Suidong [CNCFF]</v>
      </c>
      <c r="AN14970" t="s">
        <v>6095</v>
      </c>
      <c r="AO14970" t="s">
        <v>6096</v>
      </c>
    </row>
    <row r="14971" spans="39:41" ht="12" customHeight="1" x14ac:dyDescent="0.2">
      <c r="AM14971" t="str">
        <f t="shared" si="234"/>
        <v>Suining [CNSNN]</v>
      </c>
      <c r="AN14971" t="s">
        <v>35030</v>
      </c>
      <c r="AO14971" t="s">
        <v>35031</v>
      </c>
    </row>
    <row r="14972" spans="39:41" ht="12" customHeight="1" x14ac:dyDescent="0.2">
      <c r="AM14972" t="str">
        <f t="shared" si="234"/>
        <v>Suizhong [CNSIZ]</v>
      </c>
      <c r="AN14972" t="s">
        <v>6097</v>
      </c>
      <c r="AO14972" t="s">
        <v>6098</v>
      </c>
    </row>
    <row r="14973" spans="39:41" ht="12" customHeight="1" x14ac:dyDescent="0.2">
      <c r="AM14973" t="str">
        <f t="shared" si="234"/>
        <v>Sukabumi [IDSUK]</v>
      </c>
      <c r="AN14973" t="s">
        <v>16613</v>
      </c>
      <c r="AO14973" t="s">
        <v>16614</v>
      </c>
    </row>
    <row r="14974" spans="39:41" ht="12" customHeight="1" x14ac:dyDescent="0.2">
      <c r="AM14974" t="str">
        <f t="shared" si="234"/>
        <v>Sukhumi [GEABK]</v>
      </c>
      <c r="AN14974" t="s">
        <v>14936</v>
      </c>
      <c r="AO14974" t="s">
        <v>14937</v>
      </c>
    </row>
    <row r="14975" spans="39:41" ht="12" customHeight="1" x14ac:dyDescent="0.2">
      <c r="AM14975" t="str">
        <f t="shared" si="234"/>
        <v>Sukumowan [JPSUK]</v>
      </c>
      <c r="AN14975" t="s">
        <v>20918</v>
      </c>
      <c r="AO14975" t="s">
        <v>20919</v>
      </c>
    </row>
    <row r="14976" spans="39:41" ht="12" customHeight="1" x14ac:dyDescent="0.2">
      <c r="AM14976" t="str">
        <f t="shared" si="234"/>
        <v>Sula [NOSUA]</v>
      </c>
      <c r="AN14976" t="s">
        <v>24863</v>
      </c>
      <c r="AO14976" t="s">
        <v>24864</v>
      </c>
    </row>
    <row r="14977" spans="39:41" ht="12" customHeight="1" x14ac:dyDescent="0.2">
      <c r="AM14977" t="str">
        <f t="shared" si="234"/>
        <v>Suldal [NOSUL]</v>
      </c>
      <c r="AN14977" t="s">
        <v>24865</v>
      </c>
      <c r="AO14977" t="s">
        <v>24866</v>
      </c>
    </row>
    <row r="14978" spans="39:41" ht="12" customHeight="1" x14ac:dyDescent="0.2">
      <c r="AM14978" t="str">
        <f t="shared" si="234"/>
        <v>Sulina (Port et Zone Franche) [ROSUL]</v>
      </c>
      <c r="AN14978" t="s">
        <v>26818</v>
      </c>
      <c r="AO14978" t="s">
        <v>26819</v>
      </c>
    </row>
    <row r="14979" spans="39:41" ht="12" customHeight="1" x14ac:dyDescent="0.2">
      <c r="AM14979" t="str">
        <f t="shared" si="234"/>
        <v>Sulkava [FISVK]</v>
      </c>
      <c r="AN14979" t="s">
        <v>10551</v>
      </c>
      <c r="AO14979" t="s">
        <v>10552</v>
      </c>
    </row>
    <row r="14980" spans="39:41" ht="12" customHeight="1" x14ac:dyDescent="0.2">
      <c r="AM14980" t="str">
        <f t="shared" si="234"/>
        <v>Sullom Voe [GBSUL]</v>
      </c>
      <c r="AN14980" t="s">
        <v>14619</v>
      </c>
      <c r="AO14980" t="s">
        <v>14620</v>
      </c>
    </row>
    <row r="14981" spans="39:41" ht="12" customHeight="1" x14ac:dyDescent="0.2">
      <c r="AM14981" t="str">
        <f t="shared" si="234"/>
        <v>Sultan Kudarat/Dadiangas [PHSKU]</v>
      </c>
      <c r="AN14981" t="s">
        <v>26164</v>
      </c>
      <c r="AO14981" t="s">
        <v>26165</v>
      </c>
    </row>
    <row r="14982" spans="39:41" ht="12" customHeight="1" x14ac:dyDescent="0.2">
      <c r="AM14982" t="str">
        <f t="shared" si="234"/>
        <v>Sulzbach-Laufen [DESLZ]</v>
      </c>
      <c r="AN14982" t="s">
        <v>8335</v>
      </c>
      <c r="AO14982" t="s">
        <v>8336</v>
      </c>
    </row>
    <row r="14983" spans="39:41" ht="12" customHeight="1" x14ac:dyDescent="0.2">
      <c r="AM14983" t="str">
        <f t="shared" si="234"/>
        <v>Sulzberg [DEZB4]</v>
      </c>
      <c r="AN14983" t="s">
        <v>8337</v>
      </c>
      <c r="AO14983" t="s">
        <v>8338</v>
      </c>
    </row>
    <row r="14984" spans="39:41" ht="12" customHeight="1" x14ac:dyDescent="0.2">
      <c r="AM14984" t="str">
        <f t="shared" si="234"/>
        <v>Sumarcarcer [ESSUM]</v>
      </c>
      <c r="AN14984" t="s">
        <v>10222</v>
      </c>
      <c r="AO14984" t="s">
        <v>10223</v>
      </c>
    </row>
    <row r="14985" spans="39:41" ht="12" customHeight="1" x14ac:dyDescent="0.2">
      <c r="AM14985" t="str">
        <f t="shared" si="234"/>
        <v>Sumartin [HRSMN]</v>
      </c>
      <c r="AN14985" t="s">
        <v>15949</v>
      </c>
      <c r="AO14985" t="s">
        <v>15950</v>
      </c>
    </row>
    <row r="14986" spans="39:41" ht="12" customHeight="1" x14ac:dyDescent="0.2">
      <c r="AM14986" t="str">
        <f t="shared" si="234"/>
        <v>Sumbawa [IDSWQ]</v>
      </c>
      <c r="AN14986" t="s">
        <v>16615</v>
      </c>
      <c r="AO14986" t="s">
        <v>16616</v>
      </c>
    </row>
    <row r="14987" spans="39:41" ht="12" customHeight="1" x14ac:dyDescent="0.2">
      <c r="AM14987" t="str">
        <f t="shared" si="234"/>
        <v>Sumbe [AONDD]</v>
      </c>
      <c r="AN14987" t="s">
        <v>900</v>
      </c>
      <c r="AO14987" t="s">
        <v>901</v>
      </c>
    </row>
    <row r="14988" spans="39:41" ht="12" customHeight="1" x14ac:dyDescent="0.2">
      <c r="AM14988" t="str">
        <f t="shared" si="234"/>
        <v>Sumenep [IDSUM]</v>
      </c>
      <c r="AN14988" t="s">
        <v>16617</v>
      </c>
      <c r="AO14988" t="s">
        <v>16618</v>
      </c>
    </row>
    <row r="14989" spans="39:41" ht="12" customHeight="1" x14ac:dyDescent="0.2">
      <c r="AM14989" t="str">
        <f t="shared" si="234"/>
        <v>Sumenep, Madura [IDSUP]</v>
      </c>
      <c r="AN14989" t="s">
        <v>16619</v>
      </c>
      <c r="AO14989" t="s">
        <v>16620</v>
      </c>
    </row>
    <row r="14990" spans="39:41" ht="12" customHeight="1" x14ac:dyDescent="0.2">
      <c r="AM14990" t="str">
        <f t="shared" si="234"/>
        <v>Sumie [JPSMI]</v>
      </c>
      <c r="AN14990" t="s">
        <v>20920</v>
      </c>
      <c r="AO14990" t="s">
        <v>20921</v>
      </c>
    </row>
    <row r="14991" spans="39:41" ht="12" customHeight="1" x14ac:dyDescent="0.2">
      <c r="AM14991" t="str">
        <f t="shared" si="234"/>
        <v>Suminoe [JPSUM]</v>
      </c>
      <c r="AN14991" t="s">
        <v>20922</v>
      </c>
      <c r="AO14991" t="s">
        <v>20923</v>
      </c>
    </row>
    <row r="14992" spans="39:41" ht="12" customHeight="1" x14ac:dyDescent="0.2">
      <c r="AM14992" t="str">
        <f t="shared" si="234"/>
        <v>Sumiton [USASZ]</v>
      </c>
      <c r="AN14992" t="s">
        <v>31634</v>
      </c>
      <c r="AO14992" t="s">
        <v>31635</v>
      </c>
    </row>
    <row r="14993" spans="39:41" ht="12" customHeight="1" x14ac:dyDescent="0.2">
      <c r="AM14993" t="str">
        <f t="shared" si="234"/>
        <v>Sumiyoshi [JPSMY]</v>
      </c>
      <c r="AN14993" t="s">
        <v>20924</v>
      </c>
      <c r="AO14993" t="s">
        <v>20925</v>
      </c>
    </row>
    <row r="14994" spans="39:41" ht="12" customHeight="1" x14ac:dyDescent="0.2">
      <c r="AM14994" t="str">
        <f t="shared" si="234"/>
        <v>Summa [FISMA]</v>
      </c>
      <c r="AN14994" t="s">
        <v>10553</v>
      </c>
      <c r="AO14994" t="s">
        <v>10554</v>
      </c>
    </row>
    <row r="14995" spans="39:41" ht="12" customHeight="1" x14ac:dyDescent="0.2">
      <c r="AM14995" t="str">
        <f t="shared" si="234"/>
        <v>Summercourt [GBSMU]</v>
      </c>
      <c r="AN14995" t="s">
        <v>14621</v>
      </c>
      <c r="AO14995" t="s">
        <v>14622</v>
      </c>
    </row>
    <row r="14996" spans="39:41" ht="12" customHeight="1" x14ac:dyDescent="0.2">
      <c r="AM14996" t="str">
        <f t="shared" si="234"/>
        <v>Summerland Key [USSK3]</v>
      </c>
      <c r="AN14996" t="s">
        <v>31636</v>
      </c>
      <c r="AO14996" t="s">
        <v>31637</v>
      </c>
    </row>
    <row r="14997" spans="39:41" ht="12" customHeight="1" x14ac:dyDescent="0.2">
      <c r="AM14997" t="str">
        <f t="shared" si="234"/>
        <v>Summerside [CASUM]</v>
      </c>
      <c r="AN14997" t="s">
        <v>4499</v>
      </c>
      <c r="AO14997" t="s">
        <v>4500</v>
      </c>
    </row>
    <row r="14998" spans="39:41" ht="12" customHeight="1" x14ac:dyDescent="0.2">
      <c r="AM14998" t="str">
        <f t="shared" si="234"/>
        <v>Sumoto, Hyogo [JPSUH]</v>
      </c>
      <c r="AN14998" t="s">
        <v>20926</v>
      </c>
      <c r="AO14998" t="s">
        <v>20927</v>
      </c>
    </row>
    <row r="14999" spans="39:41" ht="12" customHeight="1" x14ac:dyDescent="0.2">
      <c r="AM14999" t="str">
        <f t="shared" si="234"/>
        <v>Sumoto, Kumamoto [JPSUT]</v>
      </c>
      <c r="AN14999" t="s">
        <v>20928</v>
      </c>
      <c r="AO14999" t="s">
        <v>20929</v>
      </c>
    </row>
    <row r="15000" spans="39:41" ht="12" customHeight="1" x14ac:dyDescent="0.2">
      <c r="AM15000" t="str">
        <f t="shared" si="234"/>
        <v>Sumqayit [AZSUQ]</v>
      </c>
      <c r="AN15000" t="s">
        <v>2162</v>
      </c>
      <c r="AO15000" t="s">
        <v>2163</v>
      </c>
    </row>
    <row r="15001" spans="39:41" ht="12" customHeight="1" x14ac:dyDescent="0.2">
      <c r="AM15001" t="str">
        <f t="shared" si="234"/>
        <v>Sunami [JPSXM]</v>
      </c>
      <c r="AN15001" t="s">
        <v>20930</v>
      </c>
      <c r="AO15001" t="s">
        <v>20931</v>
      </c>
    </row>
    <row r="15002" spans="39:41" ht="12" customHeight="1" x14ac:dyDescent="0.2">
      <c r="AM15002" t="str">
        <f t="shared" si="234"/>
        <v>Sunching [DESNC]</v>
      </c>
      <c r="AN15002" t="s">
        <v>8339</v>
      </c>
      <c r="AO15002" t="s">
        <v>35500</v>
      </c>
    </row>
    <row r="15003" spans="39:41" ht="12" customHeight="1" x14ac:dyDescent="0.2">
      <c r="AM15003" t="str">
        <f t="shared" si="234"/>
        <v>Sund [NOSND]</v>
      </c>
      <c r="AN15003" t="s">
        <v>24867</v>
      </c>
      <c r="AO15003" t="s">
        <v>24868</v>
      </c>
    </row>
    <row r="15004" spans="39:41" ht="12" customHeight="1" x14ac:dyDescent="0.2">
      <c r="AM15004" t="str">
        <f t="shared" si="234"/>
        <v>Sund [SESUN]</v>
      </c>
      <c r="AN15004" t="s">
        <v>27893</v>
      </c>
      <c r="AO15004" t="s">
        <v>24868</v>
      </c>
    </row>
    <row r="15005" spans="39:41" ht="12" customHeight="1" x14ac:dyDescent="0.2">
      <c r="AM15005" t="str">
        <f t="shared" si="234"/>
        <v>Sund - Karmoy [NOUND]</v>
      </c>
      <c r="AN15005" t="s">
        <v>24869</v>
      </c>
      <c r="AO15005" t="s">
        <v>36317</v>
      </c>
    </row>
    <row r="15006" spans="39:41" ht="12" customHeight="1" x14ac:dyDescent="0.2">
      <c r="AM15006" t="str">
        <f t="shared" si="234"/>
        <v>Sundar, Sarawak [MYSDR]</v>
      </c>
      <c r="AN15006" t="s">
        <v>22769</v>
      </c>
      <c r="AO15006" t="s">
        <v>22770</v>
      </c>
    </row>
    <row r="15007" spans="39:41" ht="12" customHeight="1" x14ac:dyDescent="0.2">
      <c r="AM15007" t="str">
        <f t="shared" si="234"/>
        <v>Sundby/Mors [DKSNY]</v>
      </c>
      <c r="AN15007" t="s">
        <v>8925</v>
      </c>
      <c r="AO15007" t="s">
        <v>8926</v>
      </c>
    </row>
    <row r="15008" spans="39:41" ht="12" customHeight="1" x14ac:dyDescent="0.2">
      <c r="AM15008" t="str">
        <f t="shared" si="234"/>
        <v>Sundbyberg [SESUG]</v>
      </c>
      <c r="AN15008" t="s">
        <v>27894</v>
      </c>
      <c r="AO15008" t="s">
        <v>27895</v>
      </c>
    </row>
    <row r="15009" spans="39:41" ht="12" customHeight="1" x14ac:dyDescent="0.2">
      <c r="AM15009" t="str">
        <f t="shared" si="234"/>
        <v>Sunde [NOSIS]</v>
      </c>
      <c r="AN15009" t="s">
        <v>24870</v>
      </c>
      <c r="AO15009" t="s">
        <v>24871</v>
      </c>
    </row>
    <row r="15010" spans="39:41" ht="12" customHeight="1" x14ac:dyDescent="0.2">
      <c r="AM15010" t="str">
        <f t="shared" si="234"/>
        <v>Sunderland [GBSUN]</v>
      </c>
      <c r="AN15010" t="s">
        <v>14623</v>
      </c>
      <c r="AO15010" t="s">
        <v>14624</v>
      </c>
    </row>
    <row r="15011" spans="39:41" ht="12" customHeight="1" x14ac:dyDescent="0.2">
      <c r="AM15011" t="str">
        <f t="shared" si="234"/>
        <v>Sundsbruk [SESDK]</v>
      </c>
      <c r="AN15011" t="s">
        <v>27896</v>
      </c>
      <c r="AO15011" t="s">
        <v>27897</v>
      </c>
    </row>
    <row r="15012" spans="39:41" ht="12" customHeight="1" x14ac:dyDescent="0.2">
      <c r="AM15012" t="str">
        <f t="shared" si="234"/>
        <v>Sundsore [DKSUE]</v>
      </c>
      <c r="AN15012" t="s">
        <v>8927</v>
      </c>
      <c r="AO15012" t="s">
        <v>35593</v>
      </c>
    </row>
    <row r="15013" spans="39:41" ht="12" customHeight="1" x14ac:dyDescent="0.2">
      <c r="AM15013" t="str">
        <f t="shared" si="234"/>
        <v>Sundsvall [SESDL]</v>
      </c>
      <c r="AN15013" t="s">
        <v>27898</v>
      </c>
      <c r="AO15013" t="s">
        <v>27899</v>
      </c>
    </row>
    <row r="15014" spans="39:41" ht="12" customHeight="1" x14ac:dyDescent="0.2">
      <c r="AM15014" t="str">
        <f t="shared" si="234"/>
        <v>Sungai Gerong, Sumatra [IDSUG]</v>
      </c>
      <c r="AN15014" t="s">
        <v>16621</v>
      </c>
      <c r="AO15014" t="s">
        <v>16622</v>
      </c>
    </row>
    <row r="15015" spans="39:41" ht="12" customHeight="1" x14ac:dyDescent="0.2">
      <c r="AM15015" t="str">
        <f t="shared" si="234"/>
        <v>Sungai Guntung, Sumatra [IDSUQ]</v>
      </c>
      <c r="AN15015" t="s">
        <v>16623</v>
      </c>
      <c r="AO15015" t="s">
        <v>16624</v>
      </c>
    </row>
    <row r="15016" spans="39:41" ht="12" customHeight="1" x14ac:dyDescent="0.2">
      <c r="AM15016" t="str">
        <f t="shared" si="234"/>
        <v>Sungai Merah [MYSUM]</v>
      </c>
      <c r="AN15016" t="s">
        <v>22771</v>
      </c>
      <c r="AO15016" t="s">
        <v>22772</v>
      </c>
    </row>
    <row r="15017" spans="39:41" ht="12" customHeight="1" x14ac:dyDescent="0.2">
      <c r="AM15017" t="str">
        <f t="shared" si="234"/>
        <v>Sungai Pakning, Sumatra [IDSEQ]</v>
      </c>
      <c r="AN15017" t="s">
        <v>16625</v>
      </c>
      <c r="AO15017" t="s">
        <v>16626</v>
      </c>
    </row>
    <row r="15018" spans="39:41" ht="12" customHeight="1" x14ac:dyDescent="0.2">
      <c r="AM15018" t="str">
        <f t="shared" si="234"/>
        <v>Sungai Rengit [MYSRE]</v>
      </c>
      <c r="AN15018" t="s">
        <v>22773</v>
      </c>
      <c r="AO15018" t="s">
        <v>22774</v>
      </c>
    </row>
    <row r="15019" spans="39:41" ht="12" customHeight="1" x14ac:dyDescent="0.2">
      <c r="AM15019" t="str">
        <f t="shared" ref="AM15019:AM15082" si="235">AO15019 &amp; " [" &amp; AN15019 &amp; "]"</f>
        <v>Sungai Udang [MYSGG]</v>
      </c>
      <c r="AN15019" t="s">
        <v>35032</v>
      </c>
      <c r="AO15019" t="s">
        <v>35033</v>
      </c>
    </row>
    <row r="15020" spans="39:41" ht="12" customHeight="1" x14ac:dyDescent="0.2">
      <c r="AM15020" t="str">
        <f t="shared" si="235"/>
        <v>Sungai Udang Port [MYSUP]</v>
      </c>
      <c r="AN15020" t="s">
        <v>33855</v>
      </c>
      <c r="AO15020" t="s">
        <v>33977</v>
      </c>
    </row>
    <row r="15021" spans="39:41" ht="12" customHeight="1" x14ac:dyDescent="0.2">
      <c r="AM15021" t="str">
        <f t="shared" si="235"/>
        <v>Sungai Way [MYSUW]</v>
      </c>
      <c r="AN15021" t="s">
        <v>22775</v>
      </c>
      <c r="AO15021" t="s">
        <v>22776</v>
      </c>
    </row>
    <row r="15022" spans="39:41" ht="12" customHeight="1" x14ac:dyDescent="0.2">
      <c r="AM15022" t="str">
        <f t="shared" si="235"/>
        <v>Sunila [FISUL]</v>
      </c>
      <c r="AN15022" t="s">
        <v>10555</v>
      </c>
      <c r="AO15022" t="s">
        <v>10556</v>
      </c>
    </row>
    <row r="15023" spans="39:41" ht="12" customHeight="1" x14ac:dyDescent="0.2">
      <c r="AM15023" t="str">
        <f t="shared" si="235"/>
        <v>Sunndalsora [NOSUN]</v>
      </c>
      <c r="AN15023" t="s">
        <v>24872</v>
      </c>
      <c r="AO15023" t="s">
        <v>36318</v>
      </c>
    </row>
    <row r="15024" spans="39:41" ht="12" customHeight="1" x14ac:dyDescent="0.2">
      <c r="AM15024" t="str">
        <f t="shared" si="235"/>
        <v>Sunny Point [USSUT]</v>
      </c>
      <c r="AN15024" t="s">
        <v>31638</v>
      </c>
      <c r="AO15024" t="s">
        <v>31639</v>
      </c>
    </row>
    <row r="15025" spans="39:41" ht="12" customHeight="1" x14ac:dyDescent="0.2">
      <c r="AM15025" t="str">
        <f t="shared" si="235"/>
        <v>Sunoe [JPSUE]</v>
      </c>
      <c r="AN15025" t="s">
        <v>20932</v>
      </c>
      <c r="AO15025" t="s">
        <v>20933</v>
      </c>
    </row>
    <row r="15026" spans="39:41" ht="12" customHeight="1" x14ac:dyDescent="0.2">
      <c r="AM15026" t="str">
        <f t="shared" si="235"/>
        <v>Sunut [IDSUN]</v>
      </c>
      <c r="AN15026" t="s">
        <v>16627</v>
      </c>
      <c r="AO15026" t="s">
        <v>16628</v>
      </c>
    </row>
    <row r="15027" spans="39:41" ht="12" customHeight="1" x14ac:dyDescent="0.2">
      <c r="AM15027" t="str">
        <f t="shared" si="235"/>
        <v>Sunwu [CNSUW]</v>
      </c>
      <c r="AN15027" t="s">
        <v>6099</v>
      </c>
      <c r="AO15027" t="s">
        <v>6100</v>
      </c>
    </row>
    <row r="15028" spans="39:41" ht="12" customHeight="1" x14ac:dyDescent="0.2">
      <c r="AM15028" t="str">
        <f t="shared" si="235"/>
        <v>Suomenlinna (Sveaborg) [FISBG]</v>
      </c>
      <c r="AN15028" t="s">
        <v>10557</v>
      </c>
      <c r="AO15028" t="s">
        <v>10558</v>
      </c>
    </row>
    <row r="15029" spans="39:41" ht="12" customHeight="1" x14ac:dyDescent="0.2">
      <c r="AM15029" t="str">
        <f t="shared" si="235"/>
        <v>Supe [PESUP]</v>
      </c>
      <c r="AN15029" t="s">
        <v>25303</v>
      </c>
      <c r="AO15029" t="s">
        <v>25304</v>
      </c>
    </row>
    <row r="15030" spans="39:41" ht="12" customHeight="1" x14ac:dyDescent="0.2">
      <c r="AM15030" t="str">
        <f t="shared" si="235"/>
        <v>Superior [USSUW]</v>
      </c>
      <c r="AN15030" t="s">
        <v>31640</v>
      </c>
      <c r="AO15030" t="s">
        <v>31641</v>
      </c>
    </row>
    <row r="15031" spans="39:41" ht="12" customHeight="1" x14ac:dyDescent="0.2">
      <c r="AM15031" t="str">
        <f t="shared" si="235"/>
        <v>Supetar [HRSUP]</v>
      </c>
      <c r="AN15031" t="s">
        <v>15951</v>
      </c>
      <c r="AO15031" t="s">
        <v>15952</v>
      </c>
    </row>
    <row r="15032" spans="39:41" ht="12" customHeight="1" x14ac:dyDescent="0.2">
      <c r="AM15032" t="str">
        <f t="shared" si="235"/>
        <v>Sup'sa [GESPS]</v>
      </c>
      <c r="AN15032" t="s">
        <v>14938</v>
      </c>
      <c r="AO15032" t="s">
        <v>14939</v>
      </c>
    </row>
    <row r="15033" spans="39:41" ht="12" customHeight="1" x14ac:dyDescent="0.2">
      <c r="AM15033" t="str">
        <f t="shared" si="235"/>
        <v>Suqutra [YESCT]</v>
      </c>
      <c r="AN15033" t="s">
        <v>32660</v>
      </c>
      <c r="AO15033" t="s">
        <v>36605</v>
      </c>
    </row>
    <row r="15034" spans="39:41" ht="12" customHeight="1" x14ac:dyDescent="0.2">
      <c r="AM15034" t="str">
        <f t="shared" si="235"/>
        <v>Sur [OMOFC]</v>
      </c>
      <c r="AN15034" t="s">
        <v>35034</v>
      </c>
      <c r="AO15034" t="s">
        <v>35035</v>
      </c>
    </row>
    <row r="15035" spans="39:41" ht="12" customHeight="1" x14ac:dyDescent="0.2">
      <c r="AM15035" t="str">
        <f t="shared" si="235"/>
        <v>Sur (Tyre) [LBSUR]</v>
      </c>
      <c r="AN15035" t="s">
        <v>21803</v>
      </c>
      <c r="AO15035" t="s">
        <v>21804</v>
      </c>
    </row>
    <row r="15036" spans="39:41" ht="12" customHeight="1" x14ac:dyDescent="0.2">
      <c r="AM15036" t="str">
        <f t="shared" si="235"/>
        <v>Surabaya [IDSUB]</v>
      </c>
      <c r="AN15036" t="s">
        <v>16629</v>
      </c>
      <c r="AO15036" t="s">
        <v>16630</v>
      </c>
    </row>
    <row r="15037" spans="39:41" ht="12" customHeight="1" x14ac:dyDescent="0.2">
      <c r="AM15037" t="str">
        <f t="shared" si="235"/>
        <v>Surasani-Yanam [INSRV]</v>
      </c>
      <c r="AN15037" t="s">
        <v>17461</v>
      </c>
      <c r="AO15037" t="s">
        <v>17462</v>
      </c>
    </row>
    <row r="15038" spans="39:41" ht="12" customHeight="1" x14ac:dyDescent="0.2">
      <c r="AM15038" t="str">
        <f t="shared" si="235"/>
        <v>Surat [INSTV]</v>
      </c>
      <c r="AN15038" t="s">
        <v>17463</v>
      </c>
      <c r="AO15038" t="s">
        <v>17464</v>
      </c>
    </row>
    <row r="15039" spans="39:41" ht="12" customHeight="1" x14ac:dyDescent="0.2">
      <c r="AM15039" t="str">
        <f t="shared" si="235"/>
        <v>Surigao, Mindanao [PHSUG]</v>
      </c>
      <c r="AN15039" t="s">
        <v>26166</v>
      </c>
      <c r="AO15039" t="s">
        <v>26167</v>
      </c>
    </row>
    <row r="15040" spans="39:41" ht="12" customHeight="1" x14ac:dyDescent="0.2">
      <c r="AM15040" t="str">
        <f t="shared" si="235"/>
        <v>Surmene [TRSUR]</v>
      </c>
      <c r="AN15040" t="s">
        <v>28588</v>
      </c>
      <c r="AO15040" t="s">
        <v>28589</v>
      </c>
    </row>
    <row r="15041" spans="39:41" ht="12" customHeight="1" x14ac:dyDescent="0.2">
      <c r="AM15041" t="str">
        <f t="shared" si="235"/>
        <v>Surnadal [NOSUR]</v>
      </c>
      <c r="AN15041" t="s">
        <v>24873</v>
      </c>
      <c r="AO15041" t="s">
        <v>24874</v>
      </c>
    </row>
    <row r="15042" spans="39:41" ht="12" customHeight="1" x14ac:dyDescent="0.2">
      <c r="AM15042" t="str">
        <f t="shared" si="235"/>
        <v>Surrey [CASUY]</v>
      </c>
      <c r="AN15042" t="s">
        <v>4501</v>
      </c>
      <c r="AO15042" t="s">
        <v>4502</v>
      </c>
    </row>
    <row r="15043" spans="39:41" ht="12" customHeight="1" x14ac:dyDescent="0.2">
      <c r="AM15043" t="str">
        <f t="shared" si="235"/>
        <v>Surry Hills [AUSUH]</v>
      </c>
      <c r="AN15043" t="s">
        <v>2044</v>
      </c>
      <c r="AO15043" t="s">
        <v>2045</v>
      </c>
    </row>
    <row r="15044" spans="39:41" ht="12" customHeight="1" x14ac:dyDescent="0.2">
      <c r="AM15044" t="str">
        <f t="shared" si="235"/>
        <v>Surte [SESUR]</v>
      </c>
      <c r="AN15044" t="s">
        <v>27900</v>
      </c>
      <c r="AO15044" t="s">
        <v>27901</v>
      </c>
    </row>
    <row r="15045" spans="39:41" ht="12" customHeight="1" x14ac:dyDescent="0.2">
      <c r="AM15045" t="str">
        <f t="shared" si="235"/>
        <v>Susa [JPSUS]</v>
      </c>
      <c r="AN15045" t="s">
        <v>20934</v>
      </c>
      <c r="AO15045" t="s">
        <v>20935</v>
      </c>
    </row>
    <row r="15046" spans="39:41" ht="12" customHeight="1" x14ac:dyDescent="0.2">
      <c r="AM15046" t="str">
        <f t="shared" si="235"/>
        <v>Susak [HRSSK]</v>
      </c>
      <c r="AN15046" t="s">
        <v>15953</v>
      </c>
      <c r="AO15046" t="s">
        <v>15954</v>
      </c>
    </row>
    <row r="15047" spans="39:41" ht="12" customHeight="1" x14ac:dyDescent="0.2">
      <c r="AM15047" t="str">
        <f t="shared" si="235"/>
        <v>Susak [HRSUS]</v>
      </c>
      <c r="AN15047" t="s">
        <v>15955</v>
      </c>
      <c r="AO15047" t="s">
        <v>15954</v>
      </c>
    </row>
    <row r="15048" spans="39:41" ht="12" customHeight="1" x14ac:dyDescent="0.2">
      <c r="AM15048" t="str">
        <f t="shared" si="235"/>
        <v>Susaki [JPSUZ]</v>
      </c>
      <c r="AN15048" t="s">
        <v>20936</v>
      </c>
      <c r="AO15048" t="s">
        <v>20937</v>
      </c>
    </row>
    <row r="15049" spans="39:41" ht="12" customHeight="1" x14ac:dyDescent="0.2">
      <c r="AM15049" t="str">
        <f t="shared" si="235"/>
        <v>Susitna [USUIT]</v>
      </c>
      <c r="AN15049" t="s">
        <v>31642</v>
      </c>
      <c r="AO15049" t="s">
        <v>31643</v>
      </c>
    </row>
    <row r="15050" spans="39:41" ht="12" customHeight="1" x14ac:dyDescent="0.2">
      <c r="AM15050" t="str">
        <f t="shared" si="235"/>
        <v>Susoh, Sumatra [IDSUS]</v>
      </c>
      <c r="AN15050" t="s">
        <v>16631</v>
      </c>
      <c r="AO15050" t="s">
        <v>16632</v>
      </c>
    </row>
    <row r="15051" spans="39:41" ht="12" customHeight="1" x14ac:dyDescent="0.2">
      <c r="AM15051" t="str">
        <f t="shared" si="235"/>
        <v>Susort [NOSUS]</v>
      </c>
      <c r="AN15051" t="s">
        <v>24875</v>
      </c>
      <c r="AO15051" t="s">
        <v>24876</v>
      </c>
    </row>
    <row r="15052" spans="39:41" ht="12" customHeight="1" x14ac:dyDescent="0.2">
      <c r="AM15052" t="str">
        <f t="shared" si="235"/>
        <v>Sustjepan [HRSTP]</v>
      </c>
      <c r="AN15052" t="s">
        <v>15956</v>
      </c>
      <c r="AO15052" t="s">
        <v>15957</v>
      </c>
    </row>
    <row r="15053" spans="39:41" ht="12" customHeight="1" x14ac:dyDescent="0.2">
      <c r="AM15053" t="str">
        <f t="shared" si="235"/>
        <v>Susu [IDSSO]</v>
      </c>
      <c r="AN15053" t="s">
        <v>16633</v>
      </c>
      <c r="AO15053" t="s">
        <v>16634</v>
      </c>
    </row>
    <row r="15054" spans="39:41" ht="12" customHeight="1" x14ac:dyDescent="0.2">
      <c r="AM15054" t="str">
        <f t="shared" si="235"/>
        <v>Sutherland [USZSD]</v>
      </c>
      <c r="AN15054" t="s">
        <v>31644</v>
      </c>
      <c r="AO15054" t="s">
        <v>31645</v>
      </c>
    </row>
    <row r="15055" spans="39:41" ht="12" customHeight="1" x14ac:dyDescent="0.2">
      <c r="AM15055" t="str">
        <f t="shared" si="235"/>
        <v>Sutivan [HRSUT]</v>
      </c>
      <c r="AN15055" t="s">
        <v>15958</v>
      </c>
      <c r="AO15055" t="s">
        <v>15959</v>
      </c>
    </row>
    <row r="15056" spans="39:41" ht="12" customHeight="1" x14ac:dyDescent="0.2">
      <c r="AM15056" t="str">
        <f t="shared" si="235"/>
        <v>Sutluce [TRSUT]</v>
      </c>
      <c r="AN15056" t="s">
        <v>28590</v>
      </c>
      <c r="AO15056" t="s">
        <v>28591</v>
      </c>
    </row>
    <row r="15057" spans="39:41" ht="12" customHeight="1" x14ac:dyDescent="0.2">
      <c r="AM15057" t="str">
        <f t="shared" si="235"/>
        <v>Sutton Bridge [GBPSB]</v>
      </c>
      <c r="AN15057" t="s">
        <v>14625</v>
      </c>
      <c r="AO15057" t="s">
        <v>14626</v>
      </c>
    </row>
    <row r="15058" spans="39:41" ht="12" customHeight="1" x14ac:dyDescent="0.2">
      <c r="AM15058" t="str">
        <f t="shared" si="235"/>
        <v>Suttons Bay [USZYY]</v>
      </c>
      <c r="AN15058" t="s">
        <v>31646</v>
      </c>
      <c r="AO15058" t="s">
        <v>31647</v>
      </c>
    </row>
    <row r="15059" spans="39:41" ht="12" customHeight="1" x14ac:dyDescent="0.2">
      <c r="AM15059" t="str">
        <f t="shared" si="235"/>
        <v>Suttsu [JPSTU]</v>
      </c>
      <c r="AN15059" t="s">
        <v>20938</v>
      </c>
      <c r="AO15059" t="s">
        <v>20939</v>
      </c>
    </row>
    <row r="15060" spans="39:41" ht="12" customHeight="1" x14ac:dyDescent="0.2">
      <c r="AM15060" t="str">
        <f t="shared" si="235"/>
        <v>Suur-Holmi [EESHL]</v>
      </c>
      <c r="AN15060" t="s">
        <v>9366</v>
      </c>
      <c r="AO15060" t="s">
        <v>9367</v>
      </c>
    </row>
    <row r="15061" spans="39:41" ht="12" customHeight="1" x14ac:dyDescent="0.2">
      <c r="AM15061" t="str">
        <f t="shared" si="235"/>
        <v>Suur-Lootsi [EESUL]</v>
      </c>
      <c r="AN15061" t="s">
        <v>9368</v>
      </c>
      <c r="AO15061" t="s">
        <v>9369</v>
      </c>
    </row>
    <row r="15062" spans="39:41" ht="12" customHeight="1" x14ac:dyDescent="0.2">
      <c r="AM15062" t="str">
        <f t="shared" si="235"/>
        <v>Suurpea [EESUR]</v>
      </c>
      <c r="AN15062" t="s">
        <v>9370</v>
      </c>
      <c r="AO15062" t="s">
        <v>9371</v>
      </c>
    </row>
    <row r="15063" spans="39:41" ht="12" customHeight="1" x14ac:dyDescent="0.2">
      <c r="AM15063" t="str">
        <f t="shared" si="235"/>
        <v>Suursadam [EESUS]</v>
      </c>
      <c r="AN15063" t="s">
        <v>9372</v>
      </c>
      <c r="AO15063" t="s">
        <v>9373</v>
      </c>
    </row>
    <row r="15064" spans="39:41" ht="12" customHeight="1" x14ac:dyDescent="0.2">
      <c r="AM15064" t="str">
        <f t="shared" si="235"/>
        <v>Suursaq [XZSUU]</v>
      </c>
      <c r="AN15064" t="s">
        <v>32601</v>
      </c>
      <c r="AO15064" t="s">
        <v>32602</v>
      </c>
    </row>
    <row r="15065" spans="39:41" ht="12" customHeight="1" x14ac:dyDescent="0.2">
      <c r="AM15065" t="str">
        <f t="shared" si="235"/>
        <v>Suva [FJSUV]</v>
      </c>
      <c r="AN15065" t="s">
        <v>10630</v>
      </c>
      <c r="AO15065" t="s">
        <v>10631</v>
      </c>
    </row>
    <row r="15066" spans="39:41" ht="12" customHeight="1" x14ac:dyDescent="0.2">
      <c r="AM15066" t="str">
        <f t="shared" si="235"/>
        <v>Suwa [JPSUW]</v>
      </c>
      <c r="AN15066" t="s">
        <v>20940</v>
      </c>
      <c r="AO15066" t="s">
        <v>20941</v>
      </c>
    </row>
    <row r="15067" spans="39:41" ht="12" customHeight="1" x14ac:dyDescent="0.2">
      <c r="AM15067" t="str">
        <f t="shared" si="235"/>
        <v>Suwon [KRSUO]</v>
      </c>
      <c r="AN15067" t="s">
        <v>21730</v>
      </c>
      <c r="AO15067" t="s">
        <v>21731</v>
      </c>
    </row>
    <row r="15068" spans="39:41" ht="12" customHeight="1" x14ac:dyDescent="0.2">
      <c r="AM15068" t="str">
        <f t="shared" si="235"/>
        <v>Suzhou [CNSZH]</v>
      </c>
      <c r="AN15068" t="s">
        <v>6101</v>
      </c>
      <c r="AO15068" t="s">
        <v>6102</v>
      </c>
    </row>
    <row r="15069" spans="39:41" ht="12" customHeight="1" x14ac:dyDescent="0.2">
      <c r="AM15069" t="str">
        <f t="shared" si="235"/>
        <v>Suzhou Pt [CNSZG]</v>
      </c>
      <c r="AN15069" t="s">
        <v>6103</v>
      </c>
      <c r="AO15069" t="s">
        <v>6104</v>
      </c>
    </row>
    <row r="15070" spans="39:41" ht="12" customHeight="1" x14ac:dyDescent="0.2">
      <c r="AM15070" t="str">
        <f t="shared" si="235"/>
        <v>Svalbardseyri [ISSVA]</v>
      </c>
      <c r="AN15070" t="s">
        <v>17771</v>
      </c>
      <c r="AO15070" t="s">
        <v>17772</v>
      </c>
    </row>
    <row r="15071" spans="39:41" ht="12" customHeight="1" x14ac:dyDescent="0.2">
      <c r="AM15071" t="str">
        <f t="shared" si="235"/>
        <v>Svaneke [DKSVA]</v>
      </c>
      <c r="AN15071" t="s">
        <v>8928</v>
      </c>
      <c r="AO15071" t="s">
        <v>8929</v>
      </c>
    </row>
    <row r="15072" spans="39:41" ht="12" customHeight="1" x14ac:dyDescent="0.2">
      <c r="AM15072" t="str">
        <f t="shared" si="235"/>
        <v>Svanesund [SESND]</v>
      </c>
      <c r="AN15072" t="s">
        <v>27902</v>
      </c>
      <c r="AO15072" t="s">
        <v>27903</v>
      </c>
    </row>
    <row r="15073" spans="39:41" ht="12" customHeight="1" x14ac:dyDescent="0.2">
      <c r="AM15073" t="str">
        <f t="shared" si="235"/>
        <v>Svano [SESVX]</v>
      </c>
      <c r="AN15073" t="s">
        <v>27904</v>
      </c>
      <c r="AO15073" t="s">
        <v>36533</v>
      </c>
    </row>
    <row r="15074" spans="39:41" ht="12" customHeight="1" x14ac:dyDescent="0.2">
      <c r="AM15074" t="str">
        <f t="shared" si="235"/>
        <v>Svartebukt [NOSVB]</v>
      </c>
      <c r="AN15074" t="s">
        <v>24877</v>
      </c>
      <c r="AO15074" t="s">
        <v>24878</v>
      </c>
    </row>
    <row r="15075" spans="39:41" ht="12" customHeight="1" x14ac:dyDescent="0.2">
      <c r="AM15075" t="str">
        <f t="shared" si="235"/>
        <v>Svartvik [SESVK]</v>
      </c>
      <c r="AN15075" t="s">
        <v>27905</v>
      </c>
      <c r="AO15075" t="s">
        <v>27906</v>
      </c>
    </row>
    <row r="15076" spans="39:41" ht="12" customHeight="1" x14ac:dyDescent="0.2">
      <c r="AM15076" t="str">
        <f t="shared" si="235"/>
        <v>Sveagruva [SJSVE]</v>
      </c>
      <c r="AN15076" t="s">
        <v>28033</v>
      </c>
      <c r="AO15076" t="s">
        <v>28034</v>
      </c>
    </row>
    <row r="15077" spans="39:41" ht="12" customHeight="1" x14ac:dyDescent="0.2">
      <c r="AM15077" t="str">
        <f t="shared" si="235"/>
        <v>Svedala [SESEA]</v>
      </c>
      <c r="AN15077" t="s">
        <v>27907</v>
      </c>
      <c r="AO15077" t="s">
        <v>27908</v>
      </c>
    </row>
    <row r="15078" spans="39:41" ht="12" customHeight="1" x14ac:dyDescent="0.2">
      <c r="AM15078" t="str">
        <f t="shared" si="235"/>
        <v>Sveio [NOSVO]</v>
      </c>
      <c r="AN15078" t="s">
        <v>24879</v>
      </c>
      <c r="AO15078" t="s">
        <v>24880</v>
      </c>
    </row>
    <row r="15079" spans="39:41" ht="12" customHeight="1" x14ac:dyDescent="0.2">
      <c r="AM15079" t="str">
        <f t="shared" si="235"/>
        <v>Svelgen [NOSVE]</v>
      </c>
      <c r="AN15079" t="s">
        <v>24881</v>
      </c>
      <c r="AO15079" t="s">
        <v>24882</v>
      </c>
    </row>
    <row r="15080" spans="39:41" ht="12" customHeight="1" x14ac:dyDescent="0.2">
      <c r="AM15080" t="str">
        <f t="shared" si="235"/>
        <v>Svelvik [NOSVV]</v>
      </c>
      <c r="AN15080" t="s">
        <v>24883</v>
      </c>
      <c r="AO15080" t="s">
        <v>24884</v>
      </c>
    </row>
    <row r="15081" spans="39:41" ht="12" customHeight="1" x14ac:dyDescent="0.2">
      <c r="AM15081" t="str">
        <f t="shared" si="235"/>
        <v>Svendborg [DKSVE]</v>
      </c>
      <c r="AN15081" t="s">
        <v>8930</v>
      </c>
      <c r="AO15081" t="s">
        <v>8931</v>
      </c>
    </row>
    <row r="15082" spans="39:41" ht="12" customHeight="1" x14ac:dyDescent="0.2">
      <c r="AM15082" t="str">
        <f t="shared" si="235"/>
        <v>Sveti Juraj [HRSVJ]</v>
      </c>
      <c r="AN15082" t="s">
        <v>15960</v>
      </c>
      <c r="AO15082" t="s">
        <v>15961</v>
      </c>
    </row>
    <row r="15083" spans="39:41" ht="12" customHeight="1" x14ac:dyDescent="0.2">
      <c r="AM15083" t="str">
        <f t="shared" ref="AM15083:AM15146" si="236">AO15083 &amp; " [" &amp; AN15083 &amp; "]"</f>
        <v>Sveti Kajo [HRSVK]</v>
      </c>
      <c r="AN15083" t="s">
        <v>15962</v>
      </c>
      <c r="AO15083" t="s">
        <v>15963</v>
      </c>
    </row>
    <row r="15084" spans="39:41" ht="12" customHeight="1" x14ac:dyDescent="0.2">
      <c r="AM15084" t="str">
        <f t="shared" si="236"/>
        <v>Sveti Nikole [MKSNI]</v>
      </c>
      <c r="AN15084" t="s">
        <v>22174</v>
      </c>
      <c r="AO15084" t="s">
        <v>22175</v>
      </c>
    </row>
    <row r="15085" spans="39:41" ht="12" customHeight="1" x14ac:dyDescent="0.2">
      <c r="AM15085" t="str">
        <f t="shared" si="236"/>
        <v>Svetlaya [RUSVE]</v>
      </c>
      <c r="AN15085" t="s">
        <v>27254</v>
      </c>
      <c r="AO15085" t="s">
        <v>27255</v>
      </c>
    </row>
    <row r="15086" spans="39:41" ht="12" customHeight="1" x14ac:dyDescent="0.2">
      <c r="AM15086" t="str">
        <f t="shared" si="236"/>
        <v>Svetlovodsk [UADSK]</v>
      </c>
      <c r="AN15086" t="s">
        <v>28765</v>
      </c>
      <c r="AO15086" t="s">
        <v>28766</v>
      </c>
    </row>
    <row r="15087" spans="39:41" ht="12" customHeight="1" x14ac:dyDescent="0.2">
      <c r="AM15087" t="str">
        <f t="shared" si="236"/>
        <v>Svetlyy [RUSTY]</v>
      </c>
      <c r="AN15087" t="s">
        <v>27256</v>
      </c>
      <c r="AO15087" t="s">
        <v>27257</v>
      </c>
    </row>
    <row r="15088" spans="39:41" ht="12" customHeight="1" x14ac:dyDescent="0.2">
      <c r="AM15088" t="str">
        <f t="shared" si="236"/>
        <v>Sviadnov [CZSDO]</v>
      </c>
      <c r="AN15088" t="s">
        <v>6949</v>
      </c>
      <c r="AO15088" t="s">
        <v>6950</v>
      </c>
    </row>
    <row r="15089" spans="39:41" ht="12" customHeight="1" x14ac:dyDescent="0.2">
      <c r="AM15089" t="str">
        <f t="shared" si="236"/>
        <v>Sviby [EESVI]</v>
      </c>
      <c r="AN15089" t="s">
        <v>9374</v>
      </c>
      <c r="AO15089" t="s">
        <v>9375</v>
      </c>
    </row>
    <row r="15090" spans="39:41" ht="12" customHeight="1" x14ac:dyDescent="0.2">
      <c r="AM15090" t="str">
        <f t="shared" si="236"/>
        <v>Svinndal [NOSVN]</v>
      </c>
      <c r="AN15090" t="s">
        <v>37122</v>
      </c>
      <c r="AO15090" t="s">
        <v>37123</v>
      </c>
    </row>
    <row r="15091" spans="39:41" ht="12" customHeight="1" x14ac:dyDescent="0.2">
      <c r="AM15091" t="str">
        <f t="shared" si="236"/>
        <v>Svistov [BGSVI]</v>
      </c>
      <c r="AN15091" t="s">
        <v>3169</v>
      </c>
      <c r="AO15091" t="s">
        <v>3170</v>
      </c>
    </row>
    <row r="15092" spans="39:41" ht="12" customHeight="1" x14ac:dyDescent="0.2">
      <c r="AM15092" t="str">
        <f t="shared" si="236"/>
        <v>Svolvar [NOSVJ]</v>
      </c>
      <c r="AN15092" t="s">
        <v>24885</v>
      </c>
      <c r="AO15092" t="s">
        <v>36319</v>
      </c>
    </row>
    <row r="15093" spans="39:41" ht="12" customHeight="1" x14ac:dyDescent="0.2">
      <c r="AM15093" t="str">
        <f t="shared" si="236"/>
        <v>Svolvar Osan [NOSOS]</v>
      </c>
      <c r="AN15093" t="s">
        <v>24886</v>
      </c>
      <c r="AO15093" t="s">
        <v>36320</v>
      </c>
    </row>
    <row r="15094" spans="39:41" ht="12" customHeight="1" x14ac:dyDescent="0.2">
      <c r="AM15094" t="str">
        <f t="shared" si="236"/>
        <v>Swakin [SDSWA]</v>
      </c>
      <c r="AN15094" t="s">
        <v>27475</v>
      </c>
      <c r="AO15094" t="s">
        <v>27476</v>
      </c>
    </row>
    <row r="15095" spans="39:41" ht="12" customHeight="1" x14ac:dyDescent="0.2">
      <c r="AM15095" t="str">
        <f t="shared" si="236"/>
        <v>Swanage [GBSWE]</v>
      </c>
      <c r="AN15095" t="s">
        <v>14627</v>
      </c>
      <c r="AO15095" t="s">
        <v>14628</v>
      </c>
    </row>
    <row r="15096" spans="39:41" ht="12" customHeight="1" x14ac:dyDescent="0.2">
      <c r="AM15096" t="str">
        <f t="shared" si="236"/>
        <v>Swansea [GBSWA]</v>
      </c>
      <c r="AN15096" t="s">
        <v>14629</v>
      </c>
      <c r="AO15096" t="s">
        <v>14630</v>
      </c>
    </row>
    <row r="15097" spans="39:41" ht="12" customHeight="1" x14ac:dyDescent="0.2">
      <c r="AM15097" t="str">
        <f t="shared" si="236"/>
        <v>Swinoujscie [PLSWI]</v>
      </c>
      <c r="AN15097" t="s">
        <v>26387</v>
      </c>
      <c r="AO15097" t="s">
        <v>26388</v>
      </c>
    </row>
    <row r="15098" spans="39:41" ht="12" customHeight="1" x14ac:dyDescent="0.2">
      <c r="AM15098" t="str">
        <f t="shared" si="236"/>
        <v>Swinton [GBSWN]</v>
      </c>
      <c r="AN15098" t="s">
        <v>14631</v>
      </c>
      <c r="AO15098" t="s">
        <v>14632</v>
      </c>
    </row>
    <row r="15099" spans="39:41" ht="12" customHeight="1" x14ac:dyDescent="0.2">
      <c r="AM15099" t="str">
        <f t="shared" si="236"/>
        <v>Swoope [USZS2]</v>
      </c>
      <c r="AN15099" t="s">
        <v>31648</v>
      </c>
      <c r="AO15099" t="s">
        <v>31649</v>
      </c>
    </row>
    <row r="15100" spans="39:41" ht="12" customHeight="1" x14ac:dyDescent="0.2">
      <c r="AM15100" t="str">
        <f t="shared" si="236"/>
        <v>Sydals [DKSDA]</v>
      </c>
      <c r="AN15100" t="s">
        <v>8932</v>
      </c>
      <c r="AO15100" t="s">
        <v>8933</v>
      </c>
    </row>
    <row r="15101" spans="39:41" ht="12" customHeight="1" x14ac:dyDescent="0.2">
      <c r="AM15101" t="str">
        <f t="shared" si="236"/>
        <v>Sydney [AUSYD]</v>
      </c>
      <c r="AN15101" t="s">
        <v>2046</v>
      </c>
      <c r="AO15101" t="s">
        <v>2047</v>
      </c>
    </row>
    <row r="15102" spans="39:41" ht="12" customHeight="1" x14ac:dyDescent="0.2">
      <c r="AM15102" t="str">
        <f t="shared" si="236"/>
        <v>Sydney [CASYD]</v>
      </c>
      <c r="AN15102" t="s">
        <v>4503</v>
      </c>
      <c r="AO15102" t="s">
        <v>2047</v>
      </c>
    </row>
    <row r="15103" spans="39:41" ht="12" customHeight="1" x14ac:dyDescent="0.2">
      <c r="AM15103" t="str">
        <f t="shared" si="236"/>
        <v>Sydney Island [KISYI]</v>
      </c>
      <c r="AN15103" t="s">
        <v>21559</v>
      </c>
      <c r="AO15103" t="s">
        <v>21560</v>
      </c>
    </row>
    <row r="15104" spans="39:41" ht="12" customHeight="1" x14ac:dyDescent="0.2">
      <c r="AM15104" t="str">
        <f t="shared" si="236"/>
        <v>Sygna [XZSYG]</v>
      </c>
      <c r="AN15104" t="s">
        <v>32603</v>
      </c>
      <c r="AO15104" t="s">
        <v>32604</v>
      </c>
    </row>
    <row r="15105" spans="39:41" ht="12" customHeight="1" x14ac:dyDescent="0.2">
      <c r="AM15105" t="str">
        <f t="shared" si="236"/>
        <v>Sykkylven [NOSYK]</v>
      </c>
      <c r="AN15105" t="s">
        <v>24887</v>
      </c>
      <c r="AO15105" t="s">
        <v>24888</v>
      </c>
    </row>
    <row r="15106" spans="39:41" ht="12" customHeight="1" x14ac:dyDescent="0.2">
      <c r="AM15106" t="str">
        <f t="shared" si="236"/>
        <v>Sylvan Lake [CASYL]</v>
      </c>
      <c r="AN15106" t="s">
        <v>4504</v>
      </c>
      <c r="AO15106" t="s">
        <v>4505</v>
      </c>
    </row>
    <row r="15107" spans="39:41" ht="12" customHeight="1" x14ac:dyDescent="0.2">
      <c r="AM15107" t="str">
        <f t="shared" si="236"/>
        <v>Sylvania [USYL9]</v>
      </c>
      <c r="AN15107" t="s">
        <v>31650</v>
      </c>
      <c r="AO15107" t="s">
        <v>31651</v>
      </c>
    </row>
    <row r="15108" spans="39:41" ht="12" customHeight="1" x14ac:dyDescent="0.2">
      <c r="AM15108" t="str">
        <f t="shared" si="236"/>
        <v>Sylvania [AUSYL]</v>
      </c>
      <c r="AN15108" t="s">
        <v>35036</v>
      </c>
      <c r="AO15108" t="s">
        <v>31651</v>
      </c>
    </row>
    <row r="15109" spans="39:41" ht="12" customHeight="1" x14ac:dyDescent="0.2">
      <c r="AM15109" t="str">
        <f t="shared" si="236"/>
        <v>Symbister [GBSYM]</v>
      </c>
      <c r="AN15109" t="s">
        <v>14633</v>
      </c>
      <c r="AO15109" t="s">
        <v>14634</v>
      </c>
    </row>
    <row r="15110" spans="39:41" ht="12" customHeight="1" x14ac:dyDescent="0.2">
      <c r="AM15110" t="str">
        <f t="shared" si="236"/>
        <v>Symi [GRSYM]</v>
      </c>
      <c r="AN15110" t="s">
        <v>15546</v>
      </c>
      <c r="AO15110" t="s">
        <v>15547</v>
      </c>
    </row>
    <row r="15111" spans="39:41" ht="12" customHeight="1" x14ac:dyDescent="0.2">
      <c r="AM15111" t="str">
        <f t="shared" si="236"/>
        <v>Syowa [AQSYW]</v>
      </c>
      <c r="AN15111" t="s">
        <v>967</v>
      </c>
      <c r="AO15111" t="s">
        <v>968</v>
      </c>
    </row>
    <row r="15112" spans="39:41" ht="12" customHeight="1" x14ac:dyDescent="0.2">
      <c r="AM15112" t="str">
        <f t="shared" si="236"/>
        <v>Syra (Syros) [GRJSY]</v>
      </c>
      <c r="AN15112" t="s">
        <v>15548</v>
      </c>
      <c r="AO15112" t="s">
        <v>15549</v>
      </c>
    </row>
    <row r="15113" spans="39:41" ht="12" customHeight="1" x14ac:dyDescent="0.2">
      <c r="AM15113" t="str">
        <f t="shared" si="236"/>
        <v>Syracuse [USSYR]</v>
      </c>
      <c r="AN15113" t="s">
        <v>31652</v>
      </c>
      <c r="AO15113" t="s">
        <v>31653</v>
      </c>
    </row>
    <row r="15114" spans="39:41" ht="12" customHeight="1" x14ac:dyDescent="0.2">
      <c r="AM15114" t="str">
        <f t="shared" si="236"/>
        <v>Syvota [GRSYV]</v>
      </c>
      <c r="AN15114" t="s">
        <v>34093</v>
      </c>
      <c r="AO15114" t="s">
        <v>34139</v>
      </c>
    </row>
    <row r="15115" spans="39:41" ht="12" customHeight="1" x14ac:dyDescent="0.2">
      <c r="AM15115" t="str">
        <f t="shared" si="236"/>
        <v>Syzran [RUSYZ]</v>
      </c>
      <c r="AN15115" t="s">
        <v>27258</v>
      </c>
      <c r="AO15115" t="s">
        <v>27259</v>
      </c>
    </row>
    <row r="15116" spans="39:41" ht="12" customHeight="1" x14ac:dyDescent="0.2">
      <c r="AM15116" t="str">
        <f t="shared" si="236"/>
        <v>Szczecin [PLSZZ]</v>
      </c>
      <c r="AN15116" t="s">
        <v>26389</v>
      </c>
      <c r="AO15116" t="s">
        <v>26390</v>
      </c>
    </row>
    <row r="15117" spans="39:41" ht="12" customHeight="1" x14ac:dyDescent="0.2">
      <c r="AM15117" t="str">
        <f t="shared" si="236"/>
        <v>Szeged [HUSZE]</v>
      </c>
      <c r="AN15117" t="s">
        <v>16123</v>
      </c>
      <c r="AO15117" t="s">
        <v>16124</v>
      </c>
    </row>
    <row r="15118" spans="39:41" ht="12" customHeight="1" x14ac:dyDescent="0.2">
      <c r="AM15118" t="str">
        <f t="shared" si="236"/>
        <v>Szentendre [HUSZD]</v>
      </c>
      <c r="AN15118" t="s">
        <v>16125</v>
      </c>
      <c r="AO15118" t="s">
        <v>16126</v>
      </c>
    </row>
    <row r="15119" spans="39:41" ht="12" customHeight="1" x14ac:dyDescent="0.2">
      <c r="AM15119" t="str">
        <f t="shared" si="236"/>
        <v>Szigetcsep [HUPES]</v>
      </c>
      <c r="AN15119" t="s">
        <v>16127</v>
      </c>
      <c r="AO15119" t="s">
        <v>36028</v>
      </c>
    </row>
    <row r="15120" spans="39:41" ht="12" customHeight="1" x14ac:dyDescent="0.2">
      <c r="AM15120" t="str">
        <f t="shared" si="236"/>
        <v>Szigetszentmiklos [HUSZM]</v>
      </c>
      <c r="AN15120" t="s">
        <v>16128</v>
      </c>
      <c r="AO15120" t="s">
        <v>36029</v>
      </c>
    </row>
    <row r="15121" spans="39:41" ht="12" customHeight="1" x14ac:dyDescent="0.2">
      <c r="AM15121" t="str">
        <f t="shared" si="236"/>
        <v>'t Kruis [NLKRI]</v>
      </c>
      <c r="AN15121" t="s">
        <v>23654</v>
      </c>
      <c r="AO15121" t="s">
        <v>23655</v>
      </c>
    </row>
    <row r="15122" spans="39:41" ht="12" customHeight="1" x14ac:dyDescent="0.2">
      <c r="AM15122" t="str">
        <f t="shared" si="236"/>
        <v>'t Leuken [NLLKN]</v>
      </c>
      <c r="AN15122" t="s">
        <v>23656</v>
      </c>
      <c r="AO15122" t="s">
        <v>23657</v>
      </c>
    </row>
    <row r="15123" spans="39:41" ht="12" customHeight="1" x14ac:dyDescent="0.2">
      <c r="AM15123" t="str">
        <f t="shared" si="236"/>
        <v>T S Transport and Logistics [THI6C]</v>
      </c>
      <c r="AN15123" t="s">
        <v>33945</v>
      </c>
      <c r="AO15123" t="s">
        <v>34067</v>
      </c>
    </row>
    <row r="15124" spans="39:41" ht="12" customHeight="1" x14ac:dyDescent="0.2">
      <c r="AM15124" t="str">
        <f t="shared" si="236"/>
        <v>'t Stort [NLSTO]</v>
      </c>
      <c r="AN15124" t="s">
        <v>23658</v>
      </c>
      <c r="AO15124" t="s">
        <v>23659</v>
      </c>
    </row>
    <row r="15125" spans="39:41" ht="12" customHeight="1" x14ac:dyDescent="0.2">
      <c r="AM15125" t="str">
        <f t="shared" si="236"/>
        <v>'t Waar [NLTWA]</v>
      </c>
      <c r="AN15125" t="s">
        <v>23660</v>
      </c>
      <c r="AO15125" t="s">
        <v>23661</v>
      </c>
    </row>
    <row r="15126" spans="39:41" ht="12" customHeight="1" x14ac:dyDescent="0.2">
      <c r="AM15126" t="str">
        <f t="shared" si="236"/>
        <v>Ta Khmau [KHTKH]</v>
      </c>
      <c r="AN15126" t="s">
        <v>33853</v>
      </c>
      <c r="AO15126" t="s">
        <v>33975</v>
      </c>
    </row>
    <row r="15127" spans="39:41" ht="12" customHeight="1" x14ac:dyDescent="0.2">
      <c r="AM15127" t="str">
        <f t="shared" si="236"/>
        <v>Taaliku Sadam [EETAL]</v>
      </c>
      <c r="AN15127" t="s">
        <v>34078</v>
      </c>
      <c r="AO15127" t="s">
        <v>34124</v>
      </c>
    </row>
    <row r="15128" spans="39:41" ht="12" customHeight="1" x14ac:dyDescent="0.2">
      <c r="AM15128" t="str">
        <f t="shared" si="236"/>
        <v>Tabaco/Legaspi [PHTBC]</v>
      </c>
      <c r="AN15128" t="s">
        <v>26168</v>
      </c>
      <c r="AO15128" t="s">
        <v>26169</v>
      </c>
    </row>
    <row r="15129" spans="39:41" ht="12" customHeight="1" x14ac:dyDescent="0.2">
      <c r="AM15129" t="str">
        <f t="shared" si="236"/>
        <v>Tabangoa [PHTBG]</v>
      </c>
      <c r="AN15129" t="s">
        <v>26170</v>
      </c>
      <c r="AO15129" t="s">
        <v>26171</v>
      </c>
    </row>
    <row r="15130" spans="39:41" ht="12" customHeight="1" x14ac:dyDescent="0.2">
      <c r="AM15130" t="str">
        <f t="shared" si="236"/>
        <v>Tabara [ESTBR]</v>
      </c>
      <c r="AN15130" t="s">
        <v>10224</v>
      </c>
      <c r="AO15130" t="s">
        <v>10225</v>
      </c>
    </row>
    <row r="15131" spans="39:41" ht="12" customHeight="1" x14ac:dyDescent="0.2">
      <c r="AM15131" t="str">
        <f t="shared" si="236"/>
        <v>Taben [DETAR]</v>
      </c>
      <c r="AN15131" t="s">
        <v>8340</v>
      </c>
      <c r="AO15131" t="s">
        <v>8341</v>
      </c>
    </row>
    <row r="15132" spans="39:41" ht="12" customHeight="1" x14ac:dyDescent="0.2">
      <c r="AM15132" t="str">
        <f t="shared" si="236"/>
        <v>Tabira [JPTBR]</v>
      </c>
      <c r="AN15132" t="s">
        <v>20942</v>
      </c>
      <c r="AO15132" t="s">
        <v>20943</v>
      </c>
    </row>
    <row r="15133" spans="39:41" ht="12" customHeight="1" x14ac:dyDescent="0.2">
      <c r="AM15133" t="str">
        <f t="shared" si="236"/>
        <v>Taboguilla [PATBG]</v>
      </c>
      <c r="AN15133" t="s">
        <v>25227</v>
      </c>
      <c r="AO15133" t="s">
        <v>25228</v>
      </c>
    </row>
    <row r="15134" spans="39:41" ht="12" customHeight="1" x14ac:dyDescent="0.2">
      <c r="AM15134" t="str">
        <f t="shared" si="236"/>
        <v>Taboneo [IDTAB]</v>
      </c>
      <c r="AN15134" t="s">
        <v>16635</v>
      </c>
      <c r="AO15134" t="s">
        <v>16636</v>
      </c>
    </row>
    <row r="15135" spans="39:41" ht="12" customHeight="1" x14ac:dyDescent="0.2">
      <c r="AM15135" t="str">
        <f t="shared" si="236"/>
        <v>Tabor [USTB3]</v>
      </c>
      <c r="AN15135" t="s">
        <v>31654</v>
      </c>
      <c r="AO15135" t="s">
        <v>31655</v>
      </c>
    </row>
    <row r="15136" spans="39:41" ht="12" customHeight="1" x14ac:dyDescent="0.2">
      <c r="AM15136" t="str">
        <f t="shared" si="236"/>
        <v>Tabor City [USQTB]</v>
      </c>
      <c r="AN15136" t="s">
        <v>31656</v>
      </c>
      <c r="AO15136" t="s">
        <v>31657</v>
      </c>
    </row>
    <row r="15137" spans="39:41" ht="12" customHeight="1" x14ac:dyDescent="0.2">
      <c r="AM15137" t="str">
        <f t="shared" si="236"/>
        <v>Tabriz [IRTBZ]</v>
      </c>
      <c r="AN15137" t="s">
        <v>17663</v>
      </c>
      <c r="AO15137" t="s">
        <v>17664</v>
      </c>
    </row>
    <row r="15138" spans="39:41" ht="12" customHeight="1" x14ac:dyDescent="0.2">
      <c r="AM15138" t="str">
        <f t="shared" si="236"/>
        <v>Tabu [JPTBU]</v>
      </c>
      <c r="AN15138" t="s">
        <v>20944</v>
      </c>
      <c r="AO15138" t="s">
        <v>20945</v>
      </c>
    </row>
    <row r="15139" spans="39:41" ht="12" customHeight="1" x14ac:dyDescent="0.2">
      <c r="AM15139" t="str">
        <f t="shared" si="236"/>
        <v>Tabuenca [ESTBZ]</v>
      </c>
      <c r="AN15139" t="s">
        <v>10226</v>
      </c>
      <c r="AO15139" t="s">
        <v>10227</v>
      </c>
    </row>
    <row r="15140" spans="39:41" ht="12" customHeight="1" x14ac:dyDescent="0.2">
      <c r="AM15140" t="str">
        <f t="shared" si="236"/>
        <v>Tabugawa [JPTAB]</v>
      </c>
      <c r="AN15140" t="s">
        <v>20946</v>
      </c>
      <c r="AO15140" t="s">
        <v>20947</v>
      </c>
    </row>
    <row r="15141" spans="39:41" ht="12" customHeight="1" x14ac:dyDescent="0.2">
      <c r="AM15141" t="str">
        <f t="shared" si="236"/>
        <v>Tac [HUTAC]</v>
      </c>
      <c r="AN15141" t="s">
        <v>36663</v>
      </c>
      <c r="AO15141" t="s">
        <v>36664</v>
      </c>
    </row>
    <row r="15142" spans="39:41" ht="12" customHeight="1" x14ac:dyDescent="0.2">
      <c r="AM15142" t="str">
        <f t="shared" si="236"/>
        <v>Ta-Chalaeb [THTAC]</v>
      </c>
      <c r="AN15142" t="s">
        <v>28293</v>
      </c>
      <c r="AO15142" t="s">
        <v>28294</v>
      </c>
    </row>
    <row r="15143" spans="39:41" ht="12" customHeight="1" x14ac:dyDescent="0.2">
      <c r="AM15143" t="str">
        <f t="shared" si="236"/>
        <v>Tachibana [JPTBN]</v>
      </c>
      <c r="AN15143" t="s">
        <v>20948</v>
      </c>
      <c r="AO15143" t="s">
        <v>20949</v>
      </c>
    </row>
    <row r="15144" spans="39:41" ht="12" customHeight="1" x14ac:dyDescent="0.2">
      <c r="AM15144" t="str">
        <f t="shared" si="236"/>
        <v>Tachiyama [JPTAC]</v>
      </c>
      <c r="AN15144" t="s">
        <v>20950</v>
      </c>
      <c r="AO15144" t="s">
        <v>20951</v>
      </c>
    </row>
    <row r="15145" spans="39:41" ht="12" customHeight="1" x14ac:dyDescent="0.2">
      <c r="AM15145" t="str">
        <f t="shared" si="236"/>
        <v>Tacloban, Leyte [PHTAC]</v>
      </c>
      <c r="AN15145" t="s">
        <v>26172</v>
      </c>
      <c r="AO15145" t="s">
        <v>26173</v>
      </c>
    </row>
    <row r="15146" spans="39:41" ht="12" customHeight="1" x14ac:dyDescent="0.2">
      <c r="AM15146" t="str">
        <f t="shared" si="236"/>
        <v>Tacoma [USTIW]</v>
      </c>
      <c r="AN15146" t="s">
        <v>31658</v>
      </c>
      <c r="AO15146" t="s">
        <v>31659</v>
      </c>
    </row>
    <row r="15147" spans="39:41" ht="12" customHeight="1" x14ac:dyDescent="0.2">
      <c r="AM15147" t="str">
        <f t="shared" ref="AM15147:AM15210" si="237">AO15147 &amp; " [" &amp; AN15147 &amp; "]"</f>
        <v>Taconite Harbor [USTCH]</v>
      </c>
      <c r="AN15147" t="s">
        <v>31660</v>
      </c>
      <c r="AO15147" t="s">
        <v>31661</v>
      </c>
    </row>
    <row r="15148" spans="39:41" ht="12" customHeight="1" x14ac:dyDescent="0.2">
      <c r="AM15148" t="str">
        <f t="shared" si="237"/>
        <v>Tadanoumi [JPTDN]</v>
      </c>
      <c r="AN15148" t="s">
        <v>20952</v>
      </c>
      <c r="AO15148" t="s">
        <v>20953</v>
      </c>
    </row>
    <row r="15149" spans="39:41" ht="12" customHeight="1" x14ac:dyDescent="0.2">
      <c r="AM15149" t="str">
        <f t="shared" si="237"/>
        <v>Taddiport [GBTAD]</v>
      </c>
      <c r="AN15149" t="s">
        <v>14635</v>
      </c>
      <c r="AO15149" t="s">
        <v>14636</v>
      </c>
    </row>
    <row r="15150" spans="39:41" ht="12" customHeight="1" x14ac:dyDescent="0.2">
      <c r="AM15150" t="str">
        <f t="shared" si="237"/>
        <v>Tadotsu [JPTAD]</v>
      </c>
      <c r="AN15150" t="s">
        <v>20954</v>
      </c>
      <c r="AO15150" t="s">
        <v>20955</v>
      </c>
    </row>
    <row r="15151" spans="39:41" ht="12" customHeight="1" x14ac:dyDescent="0.2">
      <c r="AM15151" t="str">
        <f t="shared" si="237"/>
        <v>Tadoussac [CATAD]</v>
      </c>
      <c r="AN15151" t="s">
        <v>4506</v>
      </c>
      <c r="AO15151" t="s">
        <v>4507</v>
      </c>
    </row>
    <row r="15152" spans="39:41" ht="12" customHeight="1" x14ac:dyDescent="0.2">
      <c r="AM15152" t="str">
        <f t="shared" si="237"/>
        <v>Tadri [INTAD]</v>
      </c>
      <c r="AN15152" t="s">
        <v>17465</v>
      </c>
      <c r="AO15152" t="s">
        <v>17466</v>
      </c>
    </row>
    <row r="15153" spans="39:41" ht="12" customHeight="1" x14ac:dyDescent="0.2">
      <c r="AM15153" t="str">
        <f t="shared" si="237"/>
        <v>Taean-gun [KRTAN]</v>
      </c>
      <c r="AN15153" t="s">
        <v>21732</v>
      </c>
      <c r="AO15153" t="s">
        <v>21733</v>
      </c>
    </row>
    <row r="15154" spans="39:41" ht="12" customHeight="1" x14ac:dyDescent="0.2">
      <c r="AM15154" t="str">
        <f t="shared" si="237"/>
        <v>Taft [USTFT]</v>
      </c>
      <c r="AN15154" t="s">
        <v>31662</v>
      </c>
      <c r="AO15154" t="s">
        <v>31663</v>
      </c>
    </row>
    <row r="15155" spans="39:41" ht="12" customHeight="1" x14ac:dyDescent="0.2">
      <c r="AM15155" t="str">
        <f t="shared" si="237"/>
        <v>Tagabuli/Davao [PHTBU]</v>
      </c>
      <c r="AN15155" t="s">
        <v>26174</v>
      </c>
      <c r="AO15155" t="s">
        <v>26175</v>
      </c>
    </row>
    <row r="15156" spans="39:41" ht="12" customHeight="1" x14ac:dyDescent="0.2">
      <c r="AM15156" t="str">
        <f t="shared" si="237"/>
        <v>Taganito [PHTTO]</v>
      </c>
      <c r="AN15156" t="s">
        <v>26176</v>
      </c>
      <c r="AO15156" t="s">
        <v>26177</v>
      </c>
    </row>
    <row r="15157" spans="39:41" ht="12" customHeight="1" x14ac:dyDescent="0.2">
      <c r="AM15157" t="str">
        <f t="shared" si="237"/>
        <v>Taganrog [RUTAG]</v>
      </c>
      <c r="AN15157" t="s">
        <v>27260</v>
      </c>
      <c r="AO15157" t="s">
        <v>27261</v>
      </c>
    </row>
    <row r="15158" spans="39:41" ht="12" customHeight="1" x14ac:dyDescent="0.2">
      <c r="AM15158" t="str">
        <f t="shared" si="237"/>
        <v>Tagbilaran, Bohol [PHTAG]</v>
      </c>
      <c r="AN15158" t="s">
        <v>26178</v>
      </c>
      <c r="AO15158" t="s">
        <v>26179</v>
      </c>
    </row>
    <row r="15159" spans="39:41" ht="12" customHeight="1" x14ac:dyDescent="0.2">
      <c r="AM15159" t="str">
        <f t="shared" si="237"/>
        <v>Tagi [JPTAG]</v>
      </c>
      <c r="AN15159" t="s">
        <v>20956</v>
      </c>
      <c r="AO15159" t="s">
        <v>20957</v>
      </c>
    </row>
    <row r="15160" spans="39:41" ht="12" customHeight="1" x14ac:dyDescent="0.2">
      <c r="AM15160" t="str">
        <f t="shared" si="237"/>
        <v>Tagiura [LYTAG]</v>
      </c>
      <c r="AN15160" t="s">
        <v>22005</v>
      </c>
      <c r="AO15160" t="s">
        <v>22006</v>
      </c>
    </row>
    <row r="15161" spans="39:41" ht="12" customHeight="1" x14ac:dyDescent="0.2">
      <c r="AM15161" t="str">
        <f t="shared" si="237"/>
        <v>Tagkawayan/Siain [PHTKW]</v>
      </c>
      <c r="AN15161" t="s">
        <v>26180</v>
      </c>
      <c r="AO15161" t="s">
        <v>26181</v>
      </c>
    </row>
    <row r="15162" spans="39:41" ht="12" customHeight="1" x14ac:dyDescent="0.2">
      <c r="AM15162" t="str">
        <f t="shared" si="237"/>
        <v>Tago [JPTAO]</v>
      </c>
      <c r="AN15162" t="s">
        <v>20958</v>
      </c>
      <c r="AO15162" t="s">
        <v>20959</v>
      </c>
    </row>
    <row r="15163" spans="39:41" ht="12" customHeight="1" x14ac:dyDescent="0.2">
      <c r="AM15163" t="str">
        <f t="shared" si="237"/>
        <v>Tagoloan [PHTGO]</v>
      </c>
      <c r="AN15163" t="s">
        <v>26182</v>
      </c>
      <c r="AO15163" t="s">
        <v>26183</v>
      </c>
    </row>
    <row r="15164" spans="39:41" ht="12" customHeight="1" x14ac:dyDescent="0.2">
      <c r="AM15164" t="str">
        <f t="shared" si="237"/>
        <v>Tagonoura [JPTGO]</v>
      </c>
      <c r="AN15164" t="s">
        <v>20960</v>
      </c>
      <c r="AO15164" t="s">
        <v>20961</v>
      </c>
    </row>
    <row r="15165" spans="39:41" ht="12" customHeight="1" x14ac:dyDescent="0.2">
      <c r="AM15165" t="str">
        <f t="shared" si="237"/>
        <v>Tagudin/San Fernando [PHTGD]</v>
      </c>
      <c r="AN15165" t="s">
        <v>26184</v>
      </c>
      <c r="AO15165" t="s">
        <v>26185</v>
      </c>
    </row>
    <row r="15166" spans="39:41" ht="12" customHeight="1" x14ac:dyDescent="0.2">
      <c r="AM15166" t="str">
        <f t="shared" si="237"/>
        <v>Taguilon/Ozamis [PHTGL]</v>
      </c>
      <c r="AN15166" t="s">
        <v>26186</v>
      </c>
      <c r="AO15166" t="s">
        <v>26187</v>
      </c>
    </row>
    <row r="15167" spans="39:41" ht="12" customHeight="1" x14ac:dyDescent="0.2">
      <c r="AM15167" t="str">
        <f t="shared" si="237"/>
        <v>Taguite Bay/Zamboanga [PHTGT]</v>
      </c>
      <c r="AN15167" t="s">
        <v>26188</v>
      </c>
      <c r="AO15167" t="s">
        <v>26189</v>
      </c>
    </row>
    <row r="15168" spans="39:41" ht="12" customHeight="1" x14ac:dyDescent="0.2">
      <c r="AM15168" t="str">
        <f t="shared" si="237"/>
        <v>Tagula [PGTGL]</v>
      </c>
      <c r="AN15168" t="s">
        <v>25472</v>
      </c>
      <c r="AO15168" t="s">
        <v>25473</v>
      </c>
    </row>
    <row r="15169" spans="39:41" ht="12" customHeight="1" x14ac:dyDescent="0.2">
      <c r="AM15169" t="str">
        <f t="shared" si="237"/>
        <v>Tah Sala [MMTAS]</v>
      </c>
      <c r="AN15169" t="s">
        <v>22204</v>
      </c>
      <c r="AO15169" t="s">
        <v>22205</v>
      </c>
    </row>
    <row r="15170" spans="39:41" ht="12" customHeight="1" x14ac:dyDescent="0.2">
      <c r="AM15170" t="str">
        <f t="shared" si="237"/>
        <v>Tahara [JPTAR]</v>
      </c>
      <c r="AN15170" t="s">
        <v>20962</v>
      </c>
      <c r="AO15170" t="s">
        <v>20963</v>
      </c>
    </row>
    <row r="15171" spans="39:41" ht="12" customHeight="1" x14ac:dyDescent="0.2">
      <c r="AM15171" t="str">
        <f t="shared" si="237"/>
        <v>Taharoa [NZTHH]</v>
      </c>
      <c r="AN15171" t="s">
        <v>25111</v>
      </c>
      <c r="AO15171" t="s">
        <v>25112</v>
      </c>
    </row>
    <row r="15172" spans="39:41" ht="12" customHeight="1" x14ac:dyDescent="0.2">
      <c r="AM15172" t="str">
        <f t="shared" si="237"/>
        <v>Tahitotfalu [HUTHT]</v>
      </c>
      <c r="AN15172" t="s">
        <v>16129</v>
      </c>
      <c r="AO15172" t="s">
        <v>16130</v>
      </c>
    </row>
    <row r="15173" spans="39:41" ht="12" customHeight="1" x14ac:dyDescent="0.2">
      <c r="AM15173" t="str">
        <f t="shared" si="237"/>
        <v>Tahkoluoto [FITHK]</v>
      </c>
      <c r="AN15173" t="s">
        <v>10559</v>
      </c>
      <c r="AO15173" t="s">
        <v>10560</v>
      </c>
    </row>
    <row r="15174" spans="39:41" ht="12" customHeight="1" x14ac:dyDescent="0.2">
      <c r="AM15174" t="str">
        <f t="shared" si="237"/>
        <v>Tahsis [CAPTA]</v>
      </c>
      <c r="AN15174" t="s">
        <v>4508</v>
      </c>
      <c r="AO15174" t="s">
        <v>4509</v>
      </c>
    </row>
    <row r="15175" spans="39:41" ht="12" customHeight="1" x14ac:dyDescent="0.2">
      <c r="AM15175" t="str">
        <f t="shared" si="237"/>
        <v>Tahuya [USTA3]</v>
      </c>
      <c r="AN15175" t="s">
        <v>31664</v>
      </c>
      <c r="AO15175" t="s">
        <v>31665</v>
      </c>
    </row>
    <row r="15176" spans="39:41" ht="12" customHeight="1" x14ac:dyDescent="0.2">
      <c r="AM15176" t="str">
        <f t="shared" si="237"/>
        <v>Tai [JPTAZ]</v>
      </c>
      <c r="AN15176" t="s">
        <v>20964</v>
      </c>
      <c r="AO15176" t="s">
        <v>20965</v>
      </c>
    </row>
    <row r="15177" spans="39:41" ht="12" customHeight="1" x14ac:dyDescent="0.2">
      <c r="AM15177" t="str">
        <f t="shared" si="237"/>
        <v>Taicang Pt [CNTAC]</v>
      </c>
      <c r="AN15177" t="s">
        <v>6105</v>
      </c>
      <c r="AO15177" t="s">
        <v>6106</v>
      </c>
    </row>
    <row r="15178" spans="39:41" ht="12" customHeight="1" x14ac:dyDescent="0.2">
      <c r="AM15178" t="str">
        <f t="shared" si="237"/>
        <v>Taichung [TWTXG]</v>
      </c>
      <c r="AN15178" t="s">
        <v>28687</v>
      </c>
      <c r="AO15178" t="s">
        <v>28688</v>
      </c>
    </row>
    <row r="15179" spans="39:41" ht="12" customHeight="1" x14ac:dyDescent="0.2">
      <c r="AM15179" t="str">
        <f t="shared" si="237"/>
        <v>Taijiang [CNTJG]</v>
      </c>
      <c r="AN15179" t="s">
        <v>6107</v>
      </c>
      <c r="AO15179" t="s">
        <v>6108</v>
      </c>
    </row>
    <row r="15180" spans="39:41" ht="12" customHeight="1" x14ac:dyDescent="0.2">
      <c r="AM15180" t="str">
        <f t="shared" si="237"/>
        <v>Tainan [TWTNN]</v>
      </c>
      <c r="AN15180" t="s">
        <v>28689</v>
      </c>
      <c r="AO15180" t="s">
        <v>28690</v>
      </c>
    </row>
    <row r="15181" spans="39:41" ht="12" customHeight="1" x14ac:dyDescent="0.2">
      <c r="AM15181" t="str">
        <f t="shared" si="237"/>
        <v>Tainokawa [JPTKW]</v>
      </c>
      <c r="AN15181" t="s">
        <v>20966</v>
      </c>
      <c r="AO15181" t="s">
        <v>20967</v>
      </c>
    </row>
    <row r="15182" spans="39:41" ht="12" customHeight="1" x14ac:dyDescent="0.2">
      <c r="AM15182" t="str">
        <f t="shared" si="237"/>
        <v>Tainouchi [JPTAL]</v>
      </c>
      <c r="AN15182" t="s">
        <v>20968</v>
      </c>
      <c r="AO15182" t="s">
        <v>20969</v>
      </c>
    </row>
    <row r="15183" spans="39:41" ht="12" customHeight="1" x14ac:dyDescent="0.2">
      <c r="AM15183" t="str">
        <f t="shared" si="237"/>
        <v>Tainoura [JPTIN]</v>
      </c>
      <c r="AN15183" t="s">
        <v>20970</v>
      </c>
      <c r="AO15183" t="s">
        <v>20971</v>
      </c>
    </row>
    <row r="15184" spans="39:41" ht="12" customHeight="1" x14ac:dyDescent="0.2">
      <c r="AM15184" t="str">
        <f t="shared" si="237"/>
        <v>Taintor [USZAO]</v>
      </c>
      <c r="AN15184" t="s">
        <v>31666</v>
      </c>
      <c r="AO15184" t="s">
        <v>31667</v>
      </c>
    </row>
    <row r="15185" spans="39:41" ht="12" customHeight="1" x14ac:dyDescent="0.2">
      <c r="AM15185" t="str">
        <f t="shared" si="237"/>
        <v>Taiohae [PFTAI]</v>
      </c>
      <c r="AN15185" t="s">
        <v>25336</v>
      </c>
      <c r="AO15185" t="s">
        <v>25337</v>
      </c>
    </row>
    <row r="15186" spans="39:41" ht="12" customHeight="1" x14ac:dyDescent="0.2">
      <c r="AM15186" t="str">
        <f t="shared" si="237"/>
        <v>Taipei [TWTPE]</v>
      </c>
      <c r="AN15186" t="s">
        <v>28691</v>
      </c>
      <c r="AO15186" t="s">
        <v>28692</v>
      </c>
    </row>
    <row r="15187" spans="39:41" ht="12" customHeight="1" x14ac:dyDescent="0.2">
      <c r="AM15187" t="str">
        <f t="shared" si="237"/>
        <v>Taiping [CNTAP]</v>
      </c>
      <c r="AN15187" t="s">
        <v>6109</v>
      </c>
      <c r="AO15187" t="s">
        <v>6110</v>
      </c>
    </row>
    <row r="15188" spans="39:41" ht="12" customHeight="1" x14ac:dyDescent="0.2">
      <c r="AM15188" t="str">
        <f t="shared" si="237"/>
        <v>Taipingkou [CNTPK]</v>
      </c>
      <c r="AN15188" t="s">
        <v>6111</v>
      </c>
      <c r="AO15188" t="s">
        <v>6112</v>
      </c>
    </row>
    <row r="15189" spans="39:41" ht="12" customHeight="1" x14ac:dyDescent="0.2">
      <c r="AM15189" t="str">
        <f t="shared" si="237"/>
        <v>Taipingwan [CNTPW]</v>
      </c>
      <c r="AN15189" t="s">
        <v>6113</v>
      </c>
      <c r="AO15189" t="s">
        <v>6114</v>
      </c>
    </row>
    <row r="15190" spans="39:41" ht="12" customHeight="1" x14ac:dyDescent="0.2">
      <c r="AM15190" t="str">
        <f t="shared" si="237"/>
        <v>Taira [JPTAQ]</v>
      </c>
      <c r="AN15190" t="s">
        <v>20972</v>
      </c>
      <c r="AO15190" t="s">
        <v>20973</v>
      </c>
    </row>
    <row r="15191" spans="39:41" ht="12" customHeight="1" x14ac:dyDescent="0.2">
      <c r="AM15191" t="str">
        <f t="shared" si="237"/>
        <v>Tairadate [JPTDT]</v>
      </c>
      <c r="AN15191" t="s">
        <v>20974</v>
      </c>
      <c r="AO15191" t="s">
        <v>20975</v>
      </c>
    </row>
    <row r="15192" spans="39:41" ht="12" customHeight="1" x14ac:dyDescent="0.2">
      <c r="AM15192" t="str">
        <f t="shared" si="237"/>
        <v>Taisha [JPTIA]</v>
      </c>
      <c r="AN15192" t="s">
        <v>20976</v>
      </c>
      <c r="AO15192" t="s">
        <v>20977</v>
      </c>
    </row>
    <row r="15193" spans="39:41" ht="12" customHeight="1" x14ac:dyDescent="0.2">
      <c r="AM15193" t="str">
        <f t="shared" si="237"/>
        <v>Taishan [CNTIS]</v>
      </c>
      <c r="AN15193" t="s">
        <v>6115</v>
      </c>
      <c r="AO15193" t="s">
        <v>6116</v>
      </c>
    </row>
    <row r="15194" spans="39:41" ht="12" customHeight="1" x14ac:dyDescent="0.2">
      <c r="AM15194" t="str">
        <f t="shared" si="237"/>
        <v>Taitung [TWTTT]</v>
      </c>
      <c r="AN15194" t="s">
        <v>28693</v>
      </c>
      <c r="AO15194" t="s">
        <v>28694</v>
      </c>
    </row>
    <row r="15195" spans="39:41" ht="12" customHeight="1" x14ac:dyDescent="0.2">
      <c r="AM15195" t="str">
        <f t="shared" si="237"/>
        <v>Taivassalo (Tovsala) [FITVS]</v>
      </c>
      <c r="AN15195" t="s">
        <v>10561</v>
      </c>
      <c r="AO15195" t="s">
        <v>35753</v>
      </c>
    </row>
    <row r="15196" spans="39:41" ht="12" customHeight="1" x14ac:dyDescent="0.2">
      <c r="AM15196" t="str">
        <f t="shared" si="237"/>
        <v>Taixing [CNTAX]</v>
      </c>
      <c r="AN15196" t="s">
        <v>36837</v>
      </c>
      <c r="AO15196" t="s">
        <v>36838</v>
      </c>
    </row>
    <row r="15197" spans="39:41" ht="12" customHeight="1" x14ac:dyDescent="0.2">
      <c r="AM15197" t="str">
        <f t="shared" si="237"/>
        <v>Taiza [JPTZA]</v>
      </c>
      <c r="AN15197" t="s">
        <v>20978</v>
      </c>
      <c r="AO15197" t="s">
        <v>20979</v>
      </c>
    </row>
    <row r="15198" spans="39:41" ht="12" customHeight="1" x14ac:dyDescent="0.2">
      <c r="AM15198" t="str">
        <f t="shared" si="237"/>
        <v>Taizhou [CNTZO]</v>
      </c>
      <c r="AN15198" t="s">
        <v>6117</v>
      </c>
      <c r="AO15198" t="s">
        <v>6118</v>
      </c>
    </row>
    <row r="15199" spans="39:41" ht="12" customHeight="1" x14ac:dyDescent="0.2">
      <c r="AM15199" t="str">
        <f t="shared" si="237"/>
        <v>Taizhou Pt [CNTZU]</v>
      </c>
      <c r="AN15199" t="s">
        <v>6119</v>
      </c>
      <c r="AO15199" t="s">
        <v>6120</v>
      </c>
    </row>
    <row r="15200" spans="39:41" ht="12" customHeight="1" x14ac:dyDescent="0.2">
      <c r="AM15200" t="str">
        <f t="shared" si="237"/>
        <v>Taizhou Pt [CNTAZ]</v>
      </c>
      <c r="AN15200" t="s">
        <v>6121</v>
      </c>
      <c r="AO15200" t="s">
        <v>6120</v>
      </c>
    </row>
    <row r="15201" spans="39:41" ht="12" customHeight="1" x14ac:dyDescent="0.2">
      <c r="AM15201" t="str">
        <f t="shared" si="237"/>
        <v>Taji [IQTJI]</v>
      </c>
      <c r="AN15201" t="s">
        <v>17584</v>
      </c>
      <c r="AO15201" t="s">
        <v>17585</v>
      </c>
    </row>
    <row r="15202" spans="39:41" ht="12" customHeight="1" x14ac:dyDescent="0.2">
      <c r="AM15202" t="str">
        <f t="shared" si="237"/>
        <v>Tajiri [JPTAJ]</v>
      </c>
      <c r="AN15202" t="s">
        <v>20980</v>
      </c>
      <c r="AO15202" t="s">
        <v>20981</v>
      </c>
    </row>
    <row r="15203" spans="39:41" ht="12" customHeight="1" x14ac:dyDescent="0.2">
      <c r="AM15203" t="str">
        <f t="shared" si="237"/>
        <v>Tajiri, Tottori [JPTJR]</v>
      </c>
      <c r="AN15203" t="s">
        <v>20982</v>
      </c>
      <c r="AO15203" t="s">
        <v>20983</v>
      </c>
    </row>
    <row r="15204" spans="39:41" ht="12" customHeight="1" x14ac:dyDescent="0.2">
      <c r="AM15204" t="str">
        <f t="shared" si="237"/>
        <v>Tak Bai Customs House [THTAB]</v>
      </c>
      <c r="AN15204" t="s">
        <v>34222</v>
      </c>
      <c r="AO15204" t="s">
        <v>34291</v>
      </c>
    </row>
    <row r="15205" spans="39:41" ht="12" customHeight="1" x14ac:dyDescent="0.2">
      <c r="AM15205" t="str">
        <f t="shared" si="237"/>
        <v>Takada [JPTKD]</v>
      </c>
      <c r="AN15205" t="s">
        <v>20984</v>
      </c>
      <c r="AO15205" t="s">
        <v>20985</v>
      </c>
    </row>
    <row r="15206" spans="39:41" ht="12" customHeight="1" x14ac:dyDescent="0.2">
      <c r="AM15206" t="str">
        <f t="shared" si="237"/>
        <v>Takahama, Ehime [JPTAH]</v>
      </c>
      <c r="AN15206" t="s">
        <v>20986</v>
      </c>
      <c r="AO15206" t="s">
        <v>20987</v>
      </c>
    </row>
    <row r="15207" spans="39:41" ht="12" customHeight="1" x14ac:dyDescent="0.2">
      <c r="AM15207" t="str">
        <f t="shared" si="237"/>
        <v>Takahama/Amakusa [JPTKH]</v>
      </c>
      <c r="AN15207" t="s">
        <v>20988</v>
      </c>
      <c r="AO15207" t="s">
        <v>20989</v>
      </c>
    </row>
    <row r="15208" spans="39:41" ht="12" customHeight="1" x14ac:dyDescent="0.2">
      <c r="AM15208" t="str">
        <f t="shared" si="237"/>
        <v>Takamatsu [JPTAK]</v>
      </c>
      <c r="AN15208" t="s">
        <v>20990</v>
      </c>
      <c r="AO15208" t="s">
        <v>20991</v>
      </c>
    </row>
    <row r="15209" spans="39:41" ht="12" customHeight="1" x14ac:dyDescent="0.2">
      <c r="AM15209" t="str">
        <f t="shared" si="237"/>
        <v>Takami [JPTMJ]</v>
      </c>
      <c r="AN15209" t="s">
        <v>20992</v>
      </c>
      <c r="AO15209" t="s">
        <v>20993</v>
      </c>
    </row>
    <row r="15210" spans="39:41" ht="12" customHeight="1" x14ac:dyDescent="0.2">
      <c r="AM15210" t="str">
        <f t="shared" si="237"/>
        <v>Takamijima [JPTAA]</v>
      </c>
      <c r="AN15210" t="s">
        <v>20994</v>
      </c>
      <c r="AO15210" t="s">
        <v>20995</v>
      </c>
    </row>
    <row r="15211" spans="39:41" ht="12" customHeight="1" x14ac:dyDescent="0.2">
      <c r="AM15211" t="str">
        <f t="shared" ref="AM15211:AM15274" si="238">AO15211 &amp; " [" &amp; AN15211 &amp; "]"</f>
        <v>Takanabe [JPTNB]</v>
      </c>
      <c r="AN15211" t="s">
        <v>20996</v>
      </c>
      <c r="AO15211" t="s">
        <v>20997</v>
      </c>
    </row>
    <row r="15212" spans="39:41" ht="12" customHeight="1" x14ac:dyDescent="0.2">
      <c r="AM15212" t="str">
        <f t="shared" si="238"/>
        <v>Takanokuchi [JPTKC]</v>
      </c>
      <c r="AN15212" t="s">
        <v>20998</v>
      </c>
      <c r="AO15212" t="s">
        <v>20999</v>
      </c>
    </row>
    <row r="15213" spans="39:41" ht="12" customHeight="1" x14ac:dyDescent="0.2">
      <c r="AM15213" t="str">
        <f t="shared" si="238"/>
        <v>Takaoka [JPTKK]</v>
      </c>
      <c r="AN15213" t="s">
        <v>21000</v>
      </c>
      <c r="AO15213" t="s">
        <v>21001</v>
      </c>
    </row>
    <row r="15214" spans="39:41" ht="12" customHeight="1" x14ac:dyDescent="0.2">
      <c r="AM15214" t="str">
        <f t="shared" si="238"/>
        <v>Takapuna [NZTAK]</v>
      </c>
      <c r="AN15214" t="s">
        <v>25113</v>
      </c>
      <c r="AO15214" t="s">
        <v>25114</v>
      </c>
    </row>
    <row r="15215" spans="39:41" ht="12" customHeight="1" x14ac:dyDescent="0.2">
      <c r="AM15215" t="str">
        <f t="shared" si="238"/>
        <v>Takarajima [JPTJI]</v>
      </c>
      <c r="AN15215" t="s">
        <v>21002</v>
      </c>
      <c r="AO15215" t="s">
        <v>21003</v>
      </c>
    </row>
    <row r="15216" spans="39:41" ht="12" customHeight="1" x14ac:dyDescent="0.2">
      <c r="AM15216" t="str">
        <f t="shared" si="238"/>
        <v>Takasago [JPTSG]</v>
      </c>
      <c r="AN15216" t="s">
        <v>21004</v>
      </c>
      <c r="AO15216" t="s">
        <v>21005</v>
      </c>
    </row>
    <row r="15217" spans="39:41" ht="12" customHeight="1" x14ac:dyDescent="0.2">
      <c r="AM15217" t="str">
        <f t="shared" si="238"/>
        <v>Takashima/Masuda [JPTJK]</v>
      </c>
      <c r="AN15217" t="s">
        <v>21006</v>
      </c>
      <c r="AO15217" t="s">
        <v>21007</v>
      </c>
    </row>
    <row r="15218" spans="39:41" ht="12" customHeight="1" x14ac:dyDescent="0.2">
      <c r="AM15218" t="str">
        <f t="shared" si="238"/>
        <v>Takashima/Nishisonogi [JPTSM]</v>
      </c>
      <c r="AN15218" t="s">
        <v>21008</v>
      </c>
      <c r="AO15218" t="s">
        <v>21009</v>
      </c>
    </row>
    <row r="15219" spans="39:41" ht="12" customHeight="1" x14ac:dyDescent="0.2">
      <c r="AM15219" t="str">
        <f t="shared" si="238"/>
        <v>Takasu, Fukui [JPTXK]</v>
      </c>
      <c r="AN15219" t="s">
        <v>21010</v>
      </c>
      <c r="AO15219" t="s">
        <v>21011</v>
      </c>
    </row>
    <row r="15220" spans="39:41" ht="12" customHeight="1" x14ac:dyDescent="0.2">
      <c r="AM15220" t="str">
        <f t="shared" si="238"/>
        <v>Takasu, Kagoshima [JPTKG]</v>
      </c>
      <c r="AN15220" t="s">
        <v>21012</v>
      </c>
      <c r="AO15220" t="s">
        <v>21013</v>
      </c>
    </row>
    <row r="15221" spans="39:41" ht="12" customHeight="1" x14ac:dyDescent="0.2">
      <c r="AM15221" t="str">
        <f t="shared" si="238"/>
        <v>Take [JPTEE]</v>
      </c>
      <c r="AN15221" t="s">
        <v>21014</v>
      </c>
      <c r="AO15221" t="s">
        <v>21015</v>
      </c>
    </row>
    <row r="15222" spans="39:41" ht="12" customHeight="1" x14ac:dyDescent="0.2">
      <c r="AM15222" t="str">
        <f t="shared" si="238"/>
        <v>Takedatsu [JPTDJ]</v>
      </c>
      <c r="AN15222" t="s">
        <v>21016</v>
      </c>
      <c r="AO15222" t="s">
        <v>21017</v>
      </c>
    </row>
    <row r="15223" spans="39:41" ht="12" customHeight="1" x14ac:dyDescent="0.2">
      <c r="AM15223" t="str">
        <f t="shared" si="238"/>
        <v>Takehara [JPTHR]</v>
      </c>
      <c r="AN15223" t="s">
        <v>21018</v>
      </c>
      <c r="AO15223" t="s">
        <v>21019</v>
      </c>
    </row>
    <row r="15224" spans="39:41" ht="12" customHeight="1" x14ac:dyDescent="0.2">
      <c r="AM15224" t="str">
        <f t="shared" si="238"/>
        <v>Takena [JPTEA]</v>
      </c>
      <c r="AN15224" t="s">
        <v>21020</v>
      </c>
      <c r="AO15224" t="s">
        <v>21021</v>
      </c>
    </row>
    <row r="15225" spans="39:41" ht="12" customHeight="1" x14ac:dyDescent="0.2">
      <c r="AM15225" t="str">
        <f t="shared" si="238"/>
        <v>Takeno [JPTKE]</v>
      </c>
      <c r="AN15225" t="s">
        <v>21022</v>
      </c>
      <c r="AO15225" t="s">
        <v>21023</v>
      </c>
    </row>
    <row r="15226" spans="39:41" ht="12" customHeight="1" x14ac:dyDescent="0.2">
      <c r="AM15226" t="str">
        <f t="shared" si="238"/>
        <v>Takeshiki [JPTAS]</v>
      </c>
      <c r="AN15226" t="s">
        <v>21024</v>
      </c>
      <c r="AO15226" t="s">
        <v>21025</v>
      </c>
    </row>
    <row r="15227" spans="39:41" ht="12" customHeight="1" x14ac:dyDescent="0.2">
      <c r="AM15227" t="str">
        <f t="shared" si="238"/>
        <v>Takeshima [JPTSX]</v>
      </c>
      <c r="AN15227" t="s">
        <v>21026</v>
      </c>
      <c r="AO15227" t="s">
        <v>21027</v>
      </c>
    </row>
    <row r="15228" spans="39:41" ht="12" customHeight="1" x14ac:dyDescent="0.2">
      <c r="AM15228" t="str">
        <f t="shared" si="238"/>
        <v>Taketomihigashi [JPTTH]</v>
      </c>
      <c r="AN15228" t="s">
        <v>21028</v>
      </c>
      <c r="AO15228" t="s">
        <v>21029</v>
      </c>
    </row>
    <row r="15229" spans="39:41" ht="12" customHeight="1" x14ac:dyDescent="0.2">
      <c r="AM15229" t="str">
        <f t="shared" si="238"/>
        <v>Taketoyo [JPTKT]</v>
      </c>
      <c r="AN15229" t="s">
        <v>21030</v>
      </c>
      <c r="AO15229" t="s">
        <v>21031</v>
      </c>
    </row>
    <row r="15230" spans="39:41" ht="12" customHeight="1" x14ac:dyDescent="0.2">
      <c r="AM15230" t="str">
        <f t="shared" si="238"/>
        <v>Takezaki [JPTKZ]</v>
      </c>
      <c r="AN15230" t="s">
        <v>21032</v>
      </c>
      <c r="AO15230" t="s">
        <v>21033</v>
      </c>
    </row>
    <row r="15231" spans="39:41" ht="12" customHeight="1" x14ac:dyDescent="0.2">
      <c r="AM15231" t="str">
        <f t="shared" si="238"/>
        <v>Taki [JPTKI]</v>
      </c>
      <c r="AN15231" t="s">
        <v>21034</v>
      </c>
      <c r="AO15231" t="s">
        <v>21035</v>
      </c>
    </row>
    <row r="15232" spans="39:41" ht="12" customHeight="1" x14ac:dyDescent="0.2">
      <c r="AM15232" t="str">
        <f t="shared" si="238"/>
        <v>Takoradi [GHTKD]</v>
      </c>
      <c r="AN15232" t="s">
        <v>14968</v>
      </c>
      <c r="AO15232" t="s">
        <v>14969</v>
      </c>
    </row>
    <row r="15233" spans="39:41" ht="12" customHeight="1" x14ac:dyDescent="0.2">
      <c r="AM15233" t="str">
        <f t="shared" si="238"/>
        <v>Takula Terminal [AOTAK]</v>
      </c>
      <c r="AN15233" t="s">
        <v>902</v>
      </c>
      <c r="AO15233" t="s">
        <v>903</v>
      </c>
    </row>
    <row r="15234" spans="39:41" ht="12" customHeight="1" x14ac:dyDescent="0.2">
      <c r="AM15234" t="str">
        <f t="shared" si="238"/>
        <v>Takuma [JPTKM]</v>
      </c>
      <c r="AN15234" t="s">
        <v>21036</v>
      </c>
      <c r="AO15234" t="s">
        <v>21037</v>
      </c>
    </row>
    <row r="15235" spans="39:41" ht="12" customHeight="1" x14ac:dyDescent="0.2">
      <c r="AM15235" t="str">
        <f t="shared" si="238"/>
        <v>Takuno [JPTKU]</v>
      </c>
      <c r="AN15235" t="s">
        <v>21038</v>
      </c>
      <c r="AO15235" t="s">
        <v>21039</v>
      </c>
    </row>
    <row r="15236" spans="39:41" ht="12" customHeight="1" x14ac:dyDescent="0.2">
      <c r="AM15236" t="str">
        <f t="shared" si="238"/>
        <v>Takuntah [MXTAK]</v>
      </c>
      <c r="AN15236" t="s">
        <v>22452</v>
      </c>
      <c r="AO15236" t="s">
        <v>22453</v>
      </c>
    </row>
    <row r="15237" spans="39:41" ht="12" customHeight="1" x14ac:dyDescent="0.2">
      <c r="AM15237" t="str">
        <f t="shared" si="238"/>
        <v>Talaimannar [LKTAL]</v>
      </c>
      <c r="AN15237" t="s">
        <v>21853</v>
      </c>
      <c r="AO15237" t="s">
        <v>21854</v>
      </c>
    </row>
    <row r="15238" spans="39:41" ht="12" customHeight="1" x14ac:dyDescent="0.2">
      <c r="AM15238" t="str">
        <f t="shared" si="238"/>
        <v>Talaja [INTJA]</v>
      </c>
      <c r="AN15238" t="s">
        <v>17467</v>
      </c>
      <c r="AO15238" t="s">
        <v>17468</v>
      </c>
    </row>
    <row r="15239" spans="39:41" ht="12" customHeight="1" x14ac:dyDescent="0.2">
      <c r="AM15239" t="str">
        <f t="shared" si="238"/>
        <v>Talamone [ITTAL]</v>
      </c>
      <c r="AN15239" t="s">
        <v>18348</v>
      </c>
      <c r="AO15239" t="s">
        <v>18349</v>
      </c>
    </row>
    <row r="15240" spans="39:41" ht="12" customHeight="1" x14ac:dyDescent="0.2">
      <c r="AM15240" t="str">
        <f t="shared" si="238"/>
        <v>Talara [PETYL]</v>
      </c>
      <c r="AN15240" t="s">
        <v>25305</v>
      </c>
      <c r="AO15240" t="s">
        <v>25306</v>
      </c>
    </row>
    <row r="15241" spans="39:41" ht="12" customHeight="1" x14ac:dyDescent="0.2">
      <c r="AM15241" t="str">
        <f t="shared" si="238"/>
        <v>Talasea [PGTLW]</v>
      </c>
      <c r="AN15241" t="s">
        <v>25474</v>
      </c>
      <c r="AO15241" t="s">
        <v>25475</v>
      </c>
    </row>
    <row r="15242" spans="39:41" ht="12" customHeight="1" x14ac:dyDescent="0.2">
      <c r="AM15242" t="str">
        <f t="shared" si="238"/>
        <v>Talavag [NOTAL]</v>
      </c>
      <c r="AN15242" t="s">
        <v>24889</v>
      </c>
      <c r="AO15242" t="s">
        <v>36321</v>
      </c>
    </row>
    <row r="15243" spans="39:41" ht="12" customHeight="1" x14ac:dyDescent="0.2">
      <c r="AM15243" t="str">
        <f t="shared" si="238"/>
        <v>Talbot Green [GBTEZ]</v>
      </c>
      <c r="AN15243" t="s">
        <v>14637</v>
      </c>
      <c r="AO15243" t="s">
        <v>14638</v>
      </c>
    </row>
    <row r="15244" spans="39:41" ht="12" customHeight="1" x14ac:dyDescent="0.2">
      <c r="AM15244" t="str">
        <f t="shared" si="238"/>
        <v>Talca [CLTLX]</v>
      </c>
      <c r="AN15244" t="s">
        <v>4972</v>
      </c>
      <c r="AO15244" t="s">
        <v>4973</v>
      </c>
    </row>
    <row r="15245" spans="39:41" ht="12" customHeight="1" x14ac:dyDescent="0.2">
      <c r="AM15245" t="str">
        <f t="shared" si="238"/>
        <v>Talcahuano [CLTAL]</v>
      </c>
      <c r="AN15245" t="s">
        <v>4974</v>
      </c>
      <c r="AO15245" t="s">
        <v>4975</v>
      </c>
    </row>
    <row r="15246" spans="39:41" ht="12" customHeight="1" x14ac:dyDescent="0.2">
      <c r="AM15246" t="str">
        <f t="shared" si="238"/>
        <v>Talent [USYTL]</v>
      </c>
      <c r="AN15246" t="s">
        <v>31668</v>
      </c>
      <c r="AO15246" t="s">
        <v>31669</v>
      </c>
    </row>
    <row r="15247" spans="39:41" ht="12" customHeight="1" x14ac:dyDescent="0.2">
      <c r="AM15247" t="str">
        <f t="shared" si="238"/>
        <v>Taliabu Island Apt, Moluccas [IDTAX]</v>
      </c>
      <c r="AN15247" t="s">
        <v>16637</v>
      </c>
      <c r="AO15247" t="s">
        <v>16638</v>
      </c>
    </row>
    <row r="15248" spans="39:41" ht="12" customHeight="1" x14ac:dyDescent="0.2">
      <c r="AM15248" t="str">
        <f t="shared" si="238"/>
        <v>Talibon [PHTAL]</v>
      </c>
      <c r="AN15248" t="s">
        <v>26190</v>
      </c>
      <c r="AO15248" t="s">
        <v>26191</v>
      </c>
    </row>
    <row r="15249" spans="39:41" ht="12" customHeight="1" x14ac:dyDescent="0.2">
      <c r="AM15249" t="str">
        <f t="shared" si="238"/>
        <v>Talihina [USTA2]</v>
      </c>
      <c r="AN15249" t="s">
        <v>31670</v>
      </c>
      <c r="AO15249" t="s">
        <v>31671</v>
      </c>
    </row>
    <row r="15250" spans="39:41" ht="12" customHeight="1" x14ac:dyDescent="0.2">
      <c r="AM15250" t="str">
        <f t="shared" si="238"/>
        <v>Talknafjordur/Sveinseyri [ISTAL]</v>
      </c>
      <c r="AN15250" t="s">
        <v>17773</v>
      </c>
      <c r="AO15250" t="s">
        <v>36071</v>
      </c>
    </row>
    <row r="15251" spans="39:41" ht="12" customHeight="1" x14ac:dyDescent="0.2">
      <c r="AM15251" t="str">
        <f t="shared" si="238"/>
        <v>Tallassee, Elmore [USYTA]</v>
      </c>
      <c r="AN15251" t="s">
        <v>31672</v>
      </c>
      <c r="AO15251" t="s">
        <v>31673</v>
      </c>
    </row>
    <row r="15252" spans="39:41" ht="12" customHeight="1" x14ac:dyDescent="0.2">
      <c r="AM15252" t="str">
        <f t="shared" si="238"/>
        <v>Tallinn [EETLL]</v>
      </c>
      <c r="AN15252" t="s">
        <v>9376</v>
      </c>
      <c r="AO15252" t="s">
        <v>9377</v>
      </c>
    </row>
    <row r="15253" spans="39:41" ht="12" customHeight="1" x14ac:dyDescent="0.2">
      <c r="AM15253" t="str">
        <f t="shared" si="238"/>
        <v>Talmine [GBTLN]</v>
      </c>
      <c r="AN15253" t="s">
        <v>14639</v>
      </c>
      <c r="AO15253" t="s">
        <v>14640</v>
      </c>
    </row>
    <row r="15254" spans="39:41" ht="12" customHeight="1" x14ac:dyDescent="0.2">
      <c r="AM15254" t="str">
        <f t="shared" si="238"/>
        <v>Talomo/Davao [PHTLM]</v>
      </c>
      <c r="AN15254" t="s">
        <v>26192</v>
      </c>
      <c r="AO15254" t="s">
        <v>26193</v>
      </c>
    </row>
    <row r="15255" spans="39:41" ht="12" customHeight="1" x14ac:dyDescent="0.2">
      <c r="AM15255" t="str">
        <f t="shared" si="238"/>
        <v>Talpona [INTPN]</v>
      </c>
      <c r="AN15255" t="s">
        <v>17469</v>
      </c>
      <c r="AO15255" t="s">
        <v>17470</v>
      </c>
    </row>
    <row r="15256" spans="39:41" ht="12" customHeight="1" x14ac:dyDescent="0.2">
      <c r="AM15256" t="str">
        <f t="shared" si="238"/>
        <v>Taltal [CLTTC]</v>
      </c>
      <c r="AN15256" t="s">
        <v>4976</v>
      </c>
      <c r="AO15256" t="s">
        <v>4977</v>
      </c>
    </row>
    <row r="15257" spans="39:41" ht="12" customHeight="1" x14ac:dyDescent="0.2">
      <c r="AM15257" t="str">
        <f t="shared" si="238"/>
        <v>Talvesadam [EETLV]</v>
      </c>
      <c r="AN15257" t="s">
        <v>9378</v>
      </c>
      <c r="AO15257" t="s">
        <v>9379</v>
      </c>
    </row>
    <row r="15258" spans="39:41" ht="12" customHeight="1" x14ac:dyDescent="0.2">
      <c r="AM15258" t="str">
        <f t="shared" si="238"/>
        <v>Tamaki [NZHMB]</v>
      </c>
      <c r="AN15258" t="s">
        <v>25115</v>
      </c>
      <c r="AO15258" t="s">
        <v>25116</v>
      </c>
    </row>
    <row r="15259" spans="39:41" ht="12" customHeight="1" x14ac:dyDescent="0.2">
      <c r="AM15259" t="str">
        <f t="shared" si="238"/>
        <v>Taman' [RUTAM]</v>
      </c>
      <c r="AN15259" t="s">
        <v>27262</v>
      </c>
      <c r="AO15259" t="s">
        <v>27263</v>
      </c>
    </row>
    <row r="15260" spans="39:41" ht="12" customHeight="1" x14ac:dyDescent="0.2">
      <c r="AM15260" t="str">
        <f t="shared" si="238"/>
        <v>Tamano [JPTAM]</v>
      </c>
      <c r="AN15260" t="s">
        <v>21040</v>
      </c>
      <c r="AO15260" t="s">
        <v>21041</v>
      </c>
    </row>
    <row r="15261" spans="39:41" ht="12" customHeight="1" x14ac:dyDescent="0.2">
      <c r="AM15261" t="str">
        <f t="shared" si="238"/>
        <v>Tamanoura [JPTMN]</v>
      </c>
      <c r="AN15261" t="s">
        <v>21042</v>
      </c>
      <c r="AO15261" t="s">
        <v>21043</v>
      </c>
    </row>
    <row r="15262" spans="39:41" ht="12" customHeight="1" x14ac:dyDescent="0.2">
      <c r="AM15262" t="str">
        <f t="shared" si="238"/>
        <v>Tamarac [USTRK]</v>
      </c>
      <c r="AN15262" t="s">
        <v>31674</v>
      </c>
      <c r="AO15262" t="s">
        <v>31675</v>
      </c>
    </row>
    <row r="15263" spans="39:41" ht="12" customHeight="1" x14ac:dyDescent="0.2">
      <c r="AM15263" t="str">
        <f t="shared" si="238"/>
        <v>Tamarin [MUTAM]</v>
      </c>
      <c r="AN15263" t="s">
        <v>22288</v>
      </c>
      <c r="AO15263" t="s">
        <v>22289</v>
      </c>
    </row>
    <row r="15264" spans="39:41" ht="12" customHeight="1" x14ac:dyDescent="0.2">
      <c r="AM15264" t="str">
        <f t="shared" si="238"/>
        <v>Tamatave (Toamasina) [MGTMM]</v>
      </c>
      <c r="AN15264" t="s">
        <v>22154</v>
      </c>
      <c r="AO15264" t="s">
        <v>22155</v>
      </c>
    </row>
    <row r="15265" spans="39:41" ht="12" customHeight="1" x14ac:dyDescent="0.2">
      <c r="AM15265" t="str">
        <f t="shared" si="238"/>
        <v>Tamatsu, Ehime [JPTMS]</v>
      </c>
      <c r="AN15265" t="s">
        <v>21044</v>
      </c>
      <c r="AO15265" t="s">
        <v>21045</v>
      </c>
    </row>
    <row r="15266" spans="39:41" ht="12" customHeight="1" x14ac:dyDescent="0.2">
      <c r="AM15266" t="str">
        <f t="shared" si="238"/>
        <v>Tamatsu, Okayama [JPTMT]</v>
      </c>
      <c r="AN15266" t="s">
        <v>21046</v>
      </c>
      <c r="AO15266" t="s">
        <v>21047</v>
      </c>
    </row>
    <row r="15267" spans="39:41" ht="12" customHeight="1" x14ac:dyDescent="0.2">
      <c r="AM15267" t="str">
        <f t="shared" si="238"/>
        <v>Tamaulipas [MXTMP]</v>
      </c>
      <c r="AN15267" t="s">
        <v>22454</v>
      </c>
      <c r="AO15267" t="s">
        <v>22455</v>
      </c>
    </row>
    <row r="15268" spans="39:41" ht="12" customHeight="1" x14ac:dyDescent="0.2">
      <c r="AM15268" t="str">
        <f t="shared" si="238"/>
        <v>Tambanum [PGTAM]</v>
      </c>
      <c r="AN15268" t="s">
        <v>25476</v>
      </c>
      <c r="AO15268" t="s">
        <v>25477</v>
      </c>
    </row>
    <row r="15269" spans="39:41" ht="12" customHeight="1" x14ac:dyDescent="0.2">
      <c r="AM15269" t="str">
        <f t="shared" si="238"/>
        <v>Tambo de Mora [PETDM]</v>
      </c>
      <c r="AN15269" t="s">
        <v>25307</v>
      </c>
      <c r="AO15269" t="s">
        <v>25308</v>
      </c>
    </row>
    <row r="15270" spans="39:41" ht="12" customHeight="1" x14ac:dyDescent="0.2">
      <c r="AM15270" t="str">
        <f t="shared" si="238"/>
        <v>Tambo Grande [PETAG]</v>
      </c>
      <c r="AN15270" t="s">
        <v>25309</v>
      </c>
      <c r="AO15270" t="s">
        <v>25310</v>
      </c>
    </row>
    <row r="15271" spans="39:41" ht="12" customHeight="1" x14ac:dyDescent="0.2">
      <c r="AM15271" t="str">
        <f t="shared" si="238"/>
        <v>Tambungon/Davao [PHTGN]</v>
      </c>
      <c r="AN15271" t="s">
        <v>26194</v>
      </c>
      <c r="AO15271" t="s">
        <v>26195</v>
      </c>
    </row>
    <row r="15272" spans="39:41" ht="12" customHeight="1" x14ac:dyDescent="0.2">
      <c r="AM15272" t="str">
        <f t="shared" si="238"/>
        <v>Tambutyo Island [PGTAI]</v>
      </c>
      <c r="AN15272" t="s">
        <v>25478</v>
      </c>
      <c r="AO15272" t="s">
        <v>25479</v>
      </c>
    </row>
    <row r="15273" spans="39:41" ht="12" customHeight="1" x14ac:dyDescent="0.2">
      <c r="AM15273" t="str">
        <f t="shared" si="238"/>
        <v>Tameside [GBTAM]</v>
      </c>
      <c r="AN15273" t="s">
        <v>14641</v>
      </c>
      <c r="AO15273" t="s">
        <v>14642</v>
      </c>
    </row>
    <row r="15274" spans="39:41" ht="12" customHeight="1" x14ac:dyDescent="0.2">
      <c r="AM15274" t="str">
        <f t="shared" si="238"/>
        <v>Tami Island [PGTMI]</v>
      </c>
      <c r="AN15274" t="s">
        <v>25480</v>
      </c>
      <c r="AO15274" t="s">
        <v>25481</v>
      </c>
    </row>
    <row r="15275" spans="39:41" ht="12" customHeight="1" x14ac:dyDescent="0.2">
      <c r="AM15275" t="str">
        <f t="shared" ref="AM15275:AM15338" si="239">AO15275 &amp; " [" &amp; AN15275 &amp; "]"</f>
        <v>Tamines [BETMS]</v>
      </c>
      <c r="AN15275" t="s">
        <v>2983</v>
      </c>
      <c r="AO15275" t="s">
        <v>2984</v>
      </c>
    </row>
    <row r="15276" spans="39:41" ht="12" customHeight="1" x14ac:dyDescent="0.2">
      <c r="AM15276" t="str">
        <f t="shared" si="239"/>
        <v>Tammerfors (Tampere) [FITMP]</v>
      </c>
      <c r="AN15276" t="s">
        <v>10562</v>
      </c>
      <c r="AO15276" t="s">
        <v>10563</v>
      </c>
    </row>
    <row r="15277" spans="39:41" ht="12" customHeight="1" x14ac:dyDescent="0.2">
      <c r="AM15277" t="str">
        <f t="shared" si="239"/>
        <v>Tammneeme Sadam [EETMN]</v>
      </c>
      <c r="AN15277" t="s">
        <v>35037</v>
      </c>
      <c r="AO15277" t="s">
        <v>35038</v>
      </c>
    </row>
    <row r="15278" spans="39:41" ht="12" customHeight="1" x14ac:dyDescent="0.2">
      <c r="AM15278" t="str">
        <f t="shared" si="239"/>
        <v>Tamms [USTMM]</v>
      </c>
      <c r="AN15278" t="s">
        <v>31676</v>
      </c>
      <c r="AO15278" t="s">
        <v>31677</v>
      </c>
    </row>
    <row r="15279" spans="39:41" ht="12" customHeight="1" x14ac:dyDescent="0.2">
      <c r="AM15279" t="str">
        <f t="shared" si="239"/>
        <v>Tampa [USTPA]</v>
      </c>
      <c r="AN15279" t="s">
        <v>31678</v>
      </c>
      <c r="AO15279" t="s">
        <v>31679</v>
      </c>
    </row>
    <row r="15280" spans="39:41" ht="12" customHeight="1" x14ac:dyDescent="0.2">
      <c r="AM15280" t="str">
        <f t="shared" si="239"/>
        <v>Tampico [MXTAM]</v>
      </c>
      <c r="AN15280" t="s">
        <v>22456</v>
      </c>
      <c r="AO15280" t="s">
        <v>22457</v>
      </c>
    </row>
    <row r="15281" spans="39:41" ht="12" customHeight="1" x14ac:dyDescent="0.2">
      <c r="AM15281" t="str">
        <f t="shared" si="239"/>
        <v>Tampoi [MYTAI]</v>
      </c>
      <c r="AN15281" t="s">
        <v>22777</v>
      </c>
      <c r="AO15281" t="s">
        <v>22778</v>
      </c>
    </row>
    <row r="15282" spans="39:41" ht="12" customHeight="1" x14ac:dyDescent="0.2">
      <c r="AM15282" t="str">
        <f t="shared" si="239"/>
        <v>Tams [USXTS]</v>
      </c>
      <c r="AN15282" t="s">
        <v>31680</v>
      </c>
      <c r="AO15282" t="s">
        <v>31681</v>
      </c>
    </row>
    <row r="15283" spans="39:41" ht="12" customHeight="1" x14ac:dyDescent="0.2">
      <c r="AM15283" t="str">
        <f t="shared" si="239"/>
        <v>Tamsweg [ATTAM]</v>
      </c>
      <c r="AN15283" t="s">
        <v>1353</v>
      </c>
      <c r="AO15283" t="s">
        <v>1354</v>
      </c>
    </row>
    <row r="15284" spans="39:41" ht="12" customHeight="1" x14ac:dyDescent="0.2">
      <c r="AM15284" t="str">
        <f t="shared" si="239"/>
        <v>Tan Cang [VNTCG]</v>
      </c>
      <c r="AN15284" t="s">
        <v>32478</v>
      </c>
      <c r="AO15284" t="s">
        <v>32479</v>
      </c>
    </row>
    <row r="15285" spans="39:41" ht="12" customHeight="1" x14ac:dyDescent="0.2">
      <c r="AM15285" t="str">
        <f t="shared" si="239"/>
        <v>Tan Cang - Mien Trung Terminal [VNTMT]</v>
      </c>
      <c r="AN15285" t="s">
        <v>32480</v>
      </c>
      <c r="AO15285" t="s">
        <v>32481</v>
      </c>
    </row>
    <row r="15286" spans="39:41" ht="12" customHeight="1" x14ac:dyDescent="0.2">
      <c r="AM15286" t="str">
        <f t="shared" si="239"/>
        <v>Tan Cang Hiep Phuoc Port [VNHPP]</v>
      </c>
      <c r="AN15286" t="s">
        <v>32482</v>
      </c>
      <c r="AO15286" t="s">
        <v>32483</v>
      </c>
    </row>
    <row r="15287" spans="39:41" ht="12" customHeight="1" x14ac:dyDescent="0.2">
      <c r="AM15287" t="str">
        <f t="shared" si="239"/>
        <v>Tan Cang Qui Nhon [VNQNT]</v>
      </c>
      <c r="AN15287" t="s">
        <v>32484</v>
      </c>
      <c r="AO15287" t="s">
        <v>32485</v>
      </c>
    </row>
    <row r="15288" spans="39:41" ht="12" customHeight="1" x14ac:dyDescent="0.2">
      <c r="AM15288" t="str">
        <f t="shared" si="239"/>
        <v>Tan Canh [VNTCN]</v>
      </c>
      <c r="AN15288" t="s">
        <v>32486</v>
      </c>
      <c r="AO15288" t="s">
        <v>32487</v>
      </c>
    </row>
    <row r="15289" spans="39:41" ht="12" customHeight="1" x14ac:dyDescent="0.2">
      <c r="AM15289" t="str">
        <f t="shared" si="239"/>
        <v>Tan Tan [MATTA]</v>
      </c>
      <c r="AN15289" t="s">
        <v>37035</v>
      </c>
      <c r="AO15289" t="s">
        <v>37036</v>
      </c>
    </row>
    <row r="15290" spans="39:41" ht="12" customHeight="1" x14ac:dyDescent="0.2">
      <c r="AM15290" t="str">
        <f t="shared" si="239"/>
        <v>Tan Thuan Dong [VNTTD]</v>
      </c>
      <c r="AN15290" t="s">
        <v>32488</v>
      </c>
      <c r="AO15290" t="s">
        <v>36601</v>
      </c>
    </row>
    <row r="15291" spans="39:41" ht="12" customHeight="1" x14ac:dyDescent="0.2">
      <c r="AM15291" t="str">
        <f t="shared" si="239"/>
        <v>Tana [NOTAA]</v>
      </c>
      <c r="AN15291" t="s">
        <v>24890</v>
      </c>
      <c r="AO15291" t="s">
        <v>24891</v>
      </c>
    </row>
    <row r="15292" spans="39:41" ht="12" customHeight="1" x14ac:dyDescent="0.2">
      <c r="AM15292" t="str">
        <f t="shared" si="239"/>
        <v>Tanabe [JPTAE]</v>
      </c>
      <c r="AN15292" t="s">
        <v>21048</v>
      </c>
      <c r="AO15292" t="s">
        <v>21049</v>
      </c>
    </row>
    <row r="15293" spans="39:41" ht="12" customHeight="1" x14ac:dyDescent="0.2">
      <c r="AM15293" t="str">
        <f t="shared" si="239"/>
        <v>Tanaga Bay [USTBJ]</v>
      </c>
      <c r="AN15293" t="s">
        <v>31682</v>
      </c>
      <c r="AO15293" t="s">
        <v>31683</v>
      </c>
    </row>
    <row r="15294" spans="39:41" ht="12" customHeight="1" x14ac:dyDescent="0.2">
      <c r="AM15294" t="str">
        <f t="shared" si="239"/>
        <v>Tanagawa [JPTAN]</v>
      </c>
      <c r="AN15294" t="s">
        <v>21050</v>
      </c>
      <c r="AO15294" t="s">
        <v>21051</v>
      </c>
    </row>
    <row r="15295" spans="39:41" ht="12" customHeight="1" x14ac:dyDescent="0.2">
      <c r="AM15295" t="str">
        <f t="shared" si="239"/>
        <v>Tanah Laut [IDTAL]</v>
      </c>
      <c r="AN15295" t="s">
        <v>16639</v>
      </c>
      <c r="AO15295" t="s">
        <v>16640</v>
      </c>
    </row>
    <row r="15296" spans="39:41" ht="12" customHeight="1" x14ac:dyDescent="0.2">
      <c r="AM15296" t="str">
        <f t="shared" si="239"/>
        <v>Tanamexco ICD [VNTAM]</v>
      </c>
      <c r="AN15296" t="s">
        <v>32489</v>
      </c>
      <c r="AO15296" t="s">
        <v>32490</v>
      </c>
    </row>
    <row r="15297" spans="39:41" ht="12" customHeight="1" x14ac:dyDescent="0.2">
      <c r="AM15297" t="str">
        <f t="shared" si="239"/>
        <v>Tananger [NOTAE]</v>
      </c>
      <c r="AN15297" t="s">
        <v>24892</v>
      </c>
      <c r="AO15297" t="s">
        <v>24893</v>
      </c>
    </row>
    <row r="15298" spans="39:41" ht="12" customHeight="1" x14ac:dyDescent="0.2">
      <c r="AM15298" t="str">
        <f t="shared" si="239"/>
        <v>Tanasoko [JPTNK]</v>
      </c>
      <c r="AN15298" t="s">
        <v>21052</v>
      </c>
      <c r="AO15298" t="s">
        <v>21053</v>
      </c>
    </row>
    <row r="15299" spans="39:41" ht="12" customHeight="1" x14ac:dyDescent="0.2">
      <c r="AM15299" t="str">
        <f t="shared" si="239"/>
        <v>Tanauan/Tacloban [PHTNU]</v>
      </c>
      <c r="AN15299" t="s">
        <v>26196</v>
      </c>
      <c r="AO15299" t="s">
        <v>26197</v>
      </c>
    </row>
    <row r="15300" spans="39:41" ht="12" customHeight="1" x14ac:dyDescent="0.2">
      <c r="AM15300" t="str">
        <f t="shared" si="239"/>
        <v>Tandag/Bislig [PHTDG]</v>
      </c>
      <c r="AN15300" t="s">
        <v>26198</v>
      </c>
      <c r="AO15300" t="s">
        <v>26199</v>
      </c>
    </row>
    <row r="15301" spans="39:41" ht="12" customHeight="1" x14ac:dyDescent="0.2">
      <c r="AM15301" t="str">
        <f t="shared" si="239"/>
        <v>Tandayag [PHTAN]</v>
      </c>
      <c r="AN15301" t="s">
        <v>26200</v>
      </c>
      <c r="AO15301" t="s">
        <v>26201</v>
      </c>
    </row>
    <row r="15302" spans="39:41" ht="12" customHeight="1" x14ac:dyDescent="0.2">
      <c r="AM15302" t="str">
        <f t="shared" si="239"/>
        <v>Tandjang [IDPDJ]</v>
      </c>
      <c r="AN15302" t="s">
        <v>16641</v>
      </c>
      <c r="AO15302" t="s">
        <v>16642</v>
      </c>
    </row>
    <row r="15303" spans="39:41" ht="12" customHeight="1" x14ac:dyDescent="0.2">
      <c r="AM15303" t="str">
        <f t="shared" si="239"/>
        <v>Tandjung Batu, Riau [IDTBT]</v>
      </c>
      <c r="AN15303" t="s">
        <v>16643</v>
      </c>
      <c r="AO15303" t="s">
        <v>16644</v>
      </c>
    </row>
    <row r="15304" spans="39:41" ht="12" customHeight="1" x14ac:dyDescent="0.2">
      <c r="AM15304" t="str">
        <f t="shared" si="239"/>
        <v>Tandjung Gerem [XZTGR]</v>
      </c>
      <c r="AN15304" t="s">
        <v>32605</v>
      </c>
      <c r="AO15304" t="s">
        <v>32606</v>
      </c>
    </row>
    <row r="15305" spans="39:41" ht="12" customHeight="1" x14ac:dyDescent="0.2">
      <c r="AM15305" t="str">
        <f t="shared" si="239"/>
        <v>Tandjung Tengelili [MYTTE]</v>
      </c>
      <c r="AN15305" t="s">
        <v>22779</v>
      </c>
      <c r="AO15305" t="s">
        <v>22780</v>
      </c>
    </row>
    <row r="15306" spans="39:41" ht="12" customHeight="1" x14ac:dyDescent="0.2">
      <c r="AM15306" t="str">
        <f t="shared" si="239"/>
        <v>Tandoc [PHTDC]</v>
      </c>
      <c r="AN15306" t="s">
        <v>26202</v>
      </c>
      <c r="AO15306" t="s">
        <v>26203</v>
      </c>
    </row>
    <row r="15307" spans="39:41" ht="12" customHeight="1" x14ac:dyDescent="0.2">
      <c r="AM15307" t="str">
        <f t="shared" si="239"/>
        <v>Tanga [TZTGT]</v>
      </c>
      <c r="AN15307" t="s">
        <v>28737</v>
      </c>
      <c r="AO15307" t="s">
        <v>28738</v>
      </c>
    </row>
    <row r="15308" spans="39:41" ht="12" customHeight="1" x14ac:dyDescent="0.2">
      <c r="AM15308" t="str">
        <f t="shared" si="239"/>
        <v>Tangent [USZTG]</v>
      </c>
      <c r="AN15308" t="s">
        <v>31684</v>
      </c>
      <c r="AO15308" t="s">
        <v>31685</v>
      </c>
    </row>
    <row r="15309" spans="39:41" ht="12" customHeight="1" x14ac:dyDescent="0.2">
      <c r="AM15309" t="str">
        <f t="shared" si="239"/>
        <v>Tanger Med [MAPTM]</v>
      </c>
      <c r="AN15309" t="s">
        <v>22063</v>
      </c>
      <c r="AO15309" t="s">
        <v>22064</v>
      </c>
    </row>
    <row r="15310" spans="39:41" ht="12" customHeight="1" x14ac:dyDescent="0.2">
      <c r="AM15310" t="str">
        <f t="shared" si="239"/>
        <v>Tangermunde [DETAE]</v>
      </c>
      <c r="AN15310" t="s">
        <v>8342</v>
      </c>
      <c r="AO15310" t="s">
        <v>35501</v>
      </c>
    </row>
    <row r="15311" spans="39:41" ht="12" customHeight="1" x14ac:dyDescent="0.2">
      <c r="AM15311" t="str">
        <f t="shared" si="239"/>
        <v>Tanggou [CNTNO]</v>
      </c>
      <c r="AN15311" t="s">
        <v>6122</v>
      </c>
      <c r="AO15311" t="s">
        <v>6123</v>
      </c>
    </row>
    <row r="15312" spans="39:41" ht="12" customHeight="1" x14ac:dyDescent="0.2">
      <c r="AM15312" t="str">
        <f t="shared" si="239"/>
        <v>Tanggu [CNTGG]</v>
      </c>
      <c r="AN15312" t="s">
        <v>6124</v>
      </c>
      <c r="AO15312" t="s">
        <v>6125</v>
      </c>
    </row>
    <row r="15313" spans="39:41" ht="12" customHeight="1" x14ac:dyDescent="0.2">
      <c r="AM15313" t="str">
        <f t="shared" si="239"/>
        <v>Tangier [MATNG]</v>
      </c>
      <c r="AN15313" t="s">
        <v>22065</v>
      </c>
      <c r="AO15313" t="s">
        <v>22066</v>
      </c>
    </row>
    <row r="15314" spans="39:41" ht="12" customHeight="1" x14ac:dyDescent="0.2">
      <c r="AM15314" t="str">
        <f t="shared" si="239"/>
        <v>Tangjia [CNTJA]</v>
      </c>
      <c r="AN15314" t="s">
        <v>6126</v>
      </c>
      <c r="AO15314" t="s">
        <v>6127</v>
      </c>
    </row>
    <row r="15315" spans="39:41" ht="12" customHeight="1" x14ac:dyDescent="0.2">
      <c r="AM15315" t="str">
        <f t="shared" si="239"/>
        <v>Tangshan Pt [CNTGS]</v>
      </c>
      <c r="AN15315" t="s">
        <v>6128</v>
      </c>
      <c r="AO15315" t="s">
        <v>6129</v>
      </c>
    </row>
    <row r="15316" spans="39:41" ht="12" customHeight="1" x14ac:dyDescent="0.2">
      <c r="AM15316" t="str">
        <f t="shared" si="239"/>
        <v>Tanintharyi [MMTEN]</v>
      </c>
      <c r="AN15316" t="s">
        <v>22206</v>
      </c>
      <c r="AO15316" t="s">
        <v>22207</v>
      </c>
    </row>
    <row r="15317" spans="39:41" ht="12" customHeight="1" x14ac:dyDescent="0.2">
      <c r="AM15317" t="str">
        <f t="shared" si="239"/>
        <v>Taniyama [JPTNY]</v>
      </c>
      <c r="AN15317" t="s">
        <v>21054</v>
      </c>
      <c r="AO15317" t="s">
        <v>21055</v>
      </c>
    </row>
    <row r="15318" spans="39:41" ht="12" customHeight="1" x14ac:dyDescent="0.2">
      <c r="AM15318" t="str">
        <f t="shared" si="239"/>
        <v>Tanjong Baran [MYTBA]</v>
      </c>
      <c r="AN15318" t="s">
        <v>22781</v>
      </c>
      <c r="AO15318" t="s">
        <v>22782</v>
      </c>
    </row>
    <row r="15319" spans="39:41" ht="12" customHeight="1" x14ac:dyDescent="0.2">
      <c r="AM15319" t="str">
        <f t="shared" si="239"/>
        <v>Tanjong Berhala [MYTBE]</v>
      </c>
      <c r="AN15319" t="s">
        <v>22783</v>
      </c>
      <c r="AO15319" t="s">
        <v>22784</v>
      </c>
    </row>
    <row r="15320" spans="39:41" ht="12" customHeight="1" x14ac:dyDescent="0.2">
      <c r="AM15320" t="str">
        <f t="shared" si="239"/>
        <v>Tanjong Bin [MYTBI]</v>
      </c>
      <c r="AN15320" t="s">
        <v>22785</v>
      </c>
      <c r="AO15320" t="s">
        <v>22786</v>
      </c>
    </row>
    <row r="15321" spans="39:41" ht="12" customHeight="1" x14ac:dyDescent="0.2">
      <c r="AM15321" t="str">
        <f t="shared" si="239"/>
        <v>Tanjong Dawai [MYTDA]</v>
      </c>
      <c r="AN15321" t="s">
        <v>22787</v>
      </c>
      <c r="AO15321" t="s">
        <v>22788</v>
      </c>
    </row>
    <row r="15322" spans="39:41" ht="12" customHeight="1" x14ac:dyDescent="0.2">
      <c r="AM15322" t="str">
        <f t="shared" si="239"/>
        <v>Tanjong Kidurong [MYTKI]</v>
      </c>
      <c r="AN15322" t="s">
        <v>22789</v>
      </c>
      <c r="AO15322" t="s">
        <v>22790</v>
      </c>
    </row>
    <row r="15323" spans="39:41" ht="12" customHeight="1" x14ac:dyDescent="0.2">
      <c r="AM15323" t="str">
        <f t="shared" si="239"/>
        <v>Tanjong Pagar [SGTPG]</v>
      </c>
      <c r="AN15323" t="s">
        <v>27983</v>
      </c>
      <c r="AO15323" t="s">
        <v>27984</v>
      </c>
    </row>
    <row r="15324" spans="39:41" ht="12" customHeight="1" x14ac:dyDescent="0.2">
      <c r="AM15324" t="str">
        <f t="shared" si="239"/>
        <v>Tanjong Penjuru [SGTPN]</v>
      </c>
      <c r="AN15324" t="s">
        <v>27985</v>
      </c>
      <c r="AO15324" t="s">
        <v>27986</v>
      </c>
    </row>
    <row r="15325" spans="39:41" ht="12" customHeight="1" x14ac:dyDescent="0.2">
      <c r="AM15325" t="str">
        <f t="shared" si="239"/>
        <v>Tanjong Salirong [BNTAS]</v>
      </c>
      <c r="AN15325" t="s">
        <v>3220</v>
      </c>
      <c r="AO15325" t="s">
        <v>3221</v>
      </c>
    </row>
    <row r="15326" spans="39:41" ht="12" customHeight="1" x14ac:dyDescent="0.2">
      <c r="AM15326" t="str">
        <f t="shared" si="239"/>
        <v>Tanjong Surat [MYTSR]</v>
      </c>
      <c r="AN15326" t="s">
        <v>22791</v>
      </c>
      <c r="AO15326" t="s">
        <v>22792</v>
      </c>
    </row>
    <row r="15327" spans="39:41" ht="12" customHeight="1" x14ac:dyDescent="0.2">
      <c r="AM15327" t="str">
        <f t="shared" si="239"/>
        <v>Tanjung Balai [IDTJB]</v>
      </c>
      <c r="AN15327" t="s">
        <v>16645</v>
      </c>
      <c r="AO15327" t="s">
        <v>16646</v>
      </c>
    </row>
    <row r="15328" spans="39:41" ht="12" customHeight="1" x14ac:dyDescent="0.2">
      <c r="AM15328" t="str">
        <f t="shared" si="239"/>
        <v>Tanjung Buli [IDTBU]</v>
      </c>
      <c r="AN15328" t="s">
        <v>16647</v>
      </c>
      <c r="AO15328" t="s">
        <v>16648</v>
      </c>
    </row>
    <row r="15329" spans="39:41" ht="12" customHeight="1" x14ac:dyDescent="0.2">
      <c r="AM15329" t="str">
        <f t="shared" si="239"/>
        <v>Tanjung Gelang [MYTGE]</v>
      </c>
      <c r="AN15329" t="s">
        <v>22793</v>
      </c>
      <c r="AO15329" t="s">
        <v>22794</v>
      </c>
    </row>
    <row r="15330" spans="39:41" ht="12" customHeight="1" x14ac:dyDescent="0.2">
      <c r="AM15330" t="str">
        <f t="shared" si="239"/>
        <v>Tanjung Lembung [MYTAG]</v>
      </c>
      <c r="AN15330" t="s">
        <v>22795</v>
      </c>
      <c r="AO15330" t="s">
        <v>22796</v>
      </c>
    </row>
    <row r="15331" spans="39:41" ht="12" customHeight="1" x14ac:dyDescent="0.2">
      <c r="AM15331" t="str">
        <f t="shared" si="239"/>
        <v>Tanjung Manis [MYTMP]</v>
      </c>
      <c r="AN15331" t="s">
        <v>22797</v>
      </c>
      <c r="AO15331" t="s">
        <v>22798</v>
      </c>
    </row>
    <row r="15332" spans="39:41" ht="12" customHeight="1" x14ac:dyDescent="0.2">
      <c r="AM15332" t="str">
        <f t="shared" si="239"/>
        <v>Tanjung Merangas [IDTME]</v>
      </c>
      <c r="AN15332" t="s">
        <v>16649</v>
      </c>
      <c r="AO15332" t="s">
        <v>16650</v>
      </c>
    </row>
    <row r="15333" spans="39:41" ht="12" customHeight="1" x14ac:dyDescent="0.2">
      <c r="AM15333" t="str">
        <f t="shared" si="239"/>
        <v>Tanjung Pandan [IDTJQ]</v>
      </c>
      <c r="AN15333" t="s">
        <v>16651</v>
      </c>
      <c r="AO15333" t="s">
        <v>16652</v>
      </c>
    </row>
    <row r="15334" spans="39:41" ht="12" customHeight="1" x14ac:dyDescent="0.2">
      <c r="AM15334" t="str">
        <f t="shared" si="239"/>
        <v>Tanjung Pelepas [MYTPP]</v>
      </c>
      <c r="AN15334" t="s">
        <v>22799</v>
      </c>
      <c r="AO15334" t="s">
        <v>22800</v>
      </c>
    </row>
    <row r="15335" spans="39:41" ht="12" customHeight="1" x14ac:dyDescent="0.2">
      <c r="AM15335" t="str">
        <f t="shared" si="239"/>
        <v>Tanjung Pemancingan [IDTPN]</v>
      </c>
      <c r="AN15335" t="s">
        <v>16653</v>
      </c>
      <c r="AO15335" t="s">
        <v>16654</v>
      </c>
    </row>
    <row r="15336" spans="39:41" ht="12" customHeight="1" x14ac:dyDescent="0.2">
      <c r="AM15336" t="str">
        <f t="shared" si="239"/>
        <v>Tanjung Pinang, Riau [IDTNJ]</v>
      </c>
      <c r="AN15336" t="s">
        <v>16655</v>
      </c>
      <c r="AO15336" t="s">
        <v>16656</v>
      </c>
    </row>
    <row r="15337" spans="39:41" ht="12" customHeight="1" x14ac:dyDescent="0.2">
      <c r="AM15337" t="str">
        <f t="shared" si="239"/>
        <v>Tanjung Sekong, Jv [IDTSE]</v>
      </c>
      <c r="AN15337" t="s">
        <v>16657</v>
      </c>
      <c r="AO15337" t="s">
        <v>16658</v>
      </c>
    </row>
    <row r="15338" spans="39:41" ht="12" customHeight="1" x14ac:dyDescent="0.2">
      <c r="AM15338" t="str">
        <f t="shared" si="239"/>
        <v>Tanjunguban [IDTAN]</v>
      </c>
      <c r="AN15338" t="s">
        <v>16659</v>
      </c>
      <c r="AO15338" t="s">
        <v>16660</v>
      </c>
    </row>
    <row r="15339" spans="39:41" ht="12" customHeight="1" x14ac:dyDescent="0.2">
      <c r="AM15339" t="str">
        <f t="shared" ref="AM15339:AM15401" si="240">AO15339 &amp; " [" &amp; AN15339 &amp; "]"</f>
        <v>Tankari [INTNK]</v>
      </c>
      <c r="AN15339" t="s">
        <v>17471</v>
      </c>
      <c r="AO15339" t="s">
        <v>17472</v>
      </c>
    </row>
    <row r="15340" spans="39:41" ht="12" customHeight="1" x14ac:dyDescent="0.2">
      <c r="AM15340" t="str">
        <f t="shared" si="240"/>
        <v>Tanmen [CNQNH]</v>
      </c>
      <c r="AN15340" t="s">
        <v>6130</v>
      </c>
      <c r="AO15340" t="s">
        <v>6131</v>
      </c>
    </row>
    <row r="15341" spans="39:41" ht="12" customHeight="1" x14ac:dyDescent="0.2">
      <c r="AM15341" t="str">
        <f t="shared" si="240"/>
        <v>Tannowa [JPTAW]</v>
      </c>
      <c r="AN15341" t="s">
        <v>21056</v>
      </c>
      <c r="AO15341" t="s">
        <v>21057</v>
      </c>
    </row>
    <row r="15342" spans="39:41" ht="12" customHeight="1" x14ac:dyDescent="0.2">
      <c r="AM15342" t="str">
        <f t="shared" si="240"/>
        <v>Tanohama [JPTHM]</v>
      </c>
      <c r="AN15342" t="s">
        <v>21058</v>
      </c>
      <c r="AO15342" t="s">
        <v>21059</v>
      </c>
    </row>
    <row r="15343" spans="39:41" ht="12" customHeight="1" x14ac:dyDescent="0.2">
      <c r="AM15343" t="str">
        <f t="shared" si="240"/>
        <v>Tanoura, Ehime [JPTUR]</v>
      </c>
      <c r="AN15343" t="s">
        <v>21060</v>
      </c>
      <c r="AO15343" t="s">
        <v>21061</v>
      </c>
    </row>
    <row r="15344" spans="39:41" ht="12" customHeight="1" x14ac:dyDescent="0.2">
      <c r="AM15344" t="str">
        <f t="shared" si="240"/>
        <v>Tanoura, Kumamoto [JPTNR]</v>
      </c>
      <c r="AN15344" t="s">
        <v>21062</v>
      </c>
      <c r="AO15344" t="s">
        <v>21063</v>
      </c>
    </row>
    <row r="15345" spans="39:41" ht="12" customHeight="1" x14ac:dyDescent="0.2">
      <c r="AM15345" t="str">
        <f t="shared" si="240"/>
        <v>Tanoura/Kitakyushu [JPTNU]</v>
      </c>
      <c r="AN15345" t="s">
        <v>21064</v>
      </c>
      <c r="AO15345" t="s">
        <v>21065</v>
      </c>
    </row>
    <row r="15346" spans="39:41" ht="12" customHeight="1" x14ac:dyDescent="0.2">
      <c r="AM15346" t="str">
        <f t="shared" si="240"/>
        <v>Tanowaki [JPTNW]</v>
      </c>
      <c r="AN15346" t="s">
        <v>21066</v>
      </c>
      <c r="AO15346" t="s">
        <v>21067</v>
      </c>
    </row>
    <row r="15347" spans="39:41" ht="12" customHeight="1" x14ac:dyDescent="0.2">
      <c r="AM15347" t="str">
        <f t="shared" si="240"/>
        <v>Tantawan Terminal [THTTE]</v>
      </c>
      <c r="AN15347" t="s">
        <v>28295</v>
      </c>
      <c r="AO15347" t="s">
        <v>28296</v>
      </c>
    </row>
    <row r="15348" spans="39:41" ht="12" customHeight="1" x14ac:dyDescent="0.2">
      <c r="AM15348" t="str">
        <f t="shared" si="240"/>
        <v>Tanvald [CZTVA]</v>
      </c>
      <c r="AN15348" t="s">
        <v>6951</v>
      </c>
      <c r="AO15348" t="s">
        <v>6952</v>
      </c>
    </row>
    <row r="15349" spans="39:41" ht="12" customHeight="1" x14ac:dyDescent="0.2">
      <c r="AM15349" t="str">
        <f t="shared" si="240"/>
        <v>Taokou [CNYKU]</v>
      </c>
      <c r="AN15349" t="s">
        <v>6132</v>
      </c>
      <c r="AO15349" t="s">
        <v>6133</v>
      </c>
    </row>
    <row r="15350" spans="39:41" ht="12" customHeight="1" x14ac:dyDescent="0.2">
      <c r="AM15350" t="str">
        <f t="shared" si="240"/>
        <v>Taormina [ITTAO]</v>
      </c>
      <c r="AN15350" t="s">
        <v>18350</v>
      </c>
      <c r="AO15350" t="s">
        <v>18351</v>
      </c>
    </row>
    <row r="15351" spans="39:41" ht="12" customHeight="1" x14ac:dyDescent="0.2">
      <c r="AM15351" t="str">
        <f t="shared" si="240"/>
        <v>Taoyuan [TWTYN]</v>
      </c>
      <c r="AN15351" t="s">
        <v>28695</v>
      </c>
      <c r="AO15351" t="s">
        <v>28696</v>
      </c>
    </row>
    <row r="15352" spans="39:41" ht="12" customHeight="1" x14ac:dyDescent="0.2">
      <c r="AM15352" t="str">
        <f t="shared" si="240"/>
        <v>Taperoa [BRTPR]</v>
      </c>
      <c r="AN15352" t="s">
        <v>3404</v>
      </c>
      <c r="AO15352" t="s">
        <v>35313</v>
      </c>
    </row>
    <row r="15353" spans="39:41" ht="12" customHeight="1" x14ac:dyDescent="0.2">
      <c r="AM15353" t="str">
        <f t="shared" si="240"/>
        <v>Tapis Terminal [MYTAT]</v>
      </c>
      <c r="AN15353" t="s">
        <v>22801</v>
      </c>
      <c r="AO15353" t="s">
        <v>22802</v>
      </c>
    </row>
    <row r="15354" spans="39:41" ht="12" customHeight="1" x14ac:dyDescent="0.2">
      <c r="AM15354" t="str">
        <f t="shared" si="240"/>
        <v>Taponas [FRRH7]</v>
      </c>
      <c r="AN15354" t="s">
        <v>12117</v>
      </c>
      <c r="AO15354" t="s">
        <v>12118</v>
      </c>
    </row>
    <row r="15355" spans="39:41" ht="12" customHeight="1" x14ac:dyDescent="0.2">
      <c r="AM15355" t="str">
        <f t="shared" si="240"/>
        <v>Tapurla [EETPL]</v>
      </c>
      <c r="AN15355" t="s">
        <v>9380</v>
      </c>
      <c r="AO15355" t="s">
        <v>9381</v>
      </c>
    </row>
    <row r="15356" spans="39:41" ht="12" customHeight="1" x14ac:dyDescent="0.2">
      <c r="AM15356" t="str">
        <f t="shared" si="240"/>
        <v>Tarahan [IDTRH]</v>
      </c>
      <c r="AN15356" t="s">
        <v>16661</v>
      </c>
      <c r="AO15356" t="s">
        <v>16662</v>
      </c>
    </row>
    <row r="15357" spans="39:41" ht="12" customHeight="1" x14ac:dyDescent="0.2">
      <c r="AM15357" t="str">
        <f t="shared" si="240"/>
        <v>Tarakan, Kalimantan [IDTRK]</v>
      </c>
      <c r="AN15357" t="s">
        <v>16663</v>
      </c>
      <c r="AO15357" t="s">
        <v>16664</v>
      </c>
    </row>
    <row r="15358" spans="39:41" ht="12" customHeight="1" x14ac:dyDescent="0.2">
      <c r="AM15358" t="str">
        <f t="shared" si="240"/>
        <v>Tarakohe [NZTKH]</v>
      </c>
      <c r="AN15358" t="s">
        <v>25117</v>
      </c>
      <c r="AO15358" t="s">
        <v>25118</v>
      </c>
    </row>
    <row r="15359" spans="39:41" ht="12" customHeight="1" x14ac:dyDescent="0.2">
      <c r="AM15359" t="str">
        <f t="shared" si="240"/>
        <v>Taranto [ITTAR]</v>
      </c>
      <c r="AN15359" t="s">
        <v>18352</v>
      </c>
      <c r="AO15359" t="s">
        <v>18353</v>
      </c>
    </row>
    <row r="15360" spans="39:41" ht="12" customHeight="1" x14ac:dyDescent="0.2">
      <c r="AM15360" t="str">
        <f t="shared" si="240"/>
        <v>Tarapur [INTRP]</v>
      </c>
      <c r="AN15360" t="s">
        <v>17473</v>
      </c>
      <c r="AO15360" t="s">
        <v>17474</v>
      </c>
    </row>
    <row r="15361" spans="39:41" ht="12" customHeight="1" x14ac:dyDescent="0.2">
      <c r="AM15361" t="str">
        <f t="shared" si="240"/>
        <v>Tarawa [KITRW]</v>
      </c>
      <c r="AN15361" t="s">
        <v>21561</v>
      </c>
      <c r="AO15361" t="s">
        <v>21562</v>
      </c>
    </row>
    <row r="15362" spans="39:41" ht="12" customHeight="1" x14ac:dyDescent="0.2">
      <c r="AM15362" t="str">
        <f t="shared" si="240"/>
        <v>Tarbert [GBTAR]</v>
      </c>
      <c r="AN15362" t="s">
        <v>14643</v>
      </c>
      <c r="AO15362" t="s">
        <v>14644</v>
      </c>
    </row>
    <row r="15363" spans="39:41" ht="12" customHeight="1" x14ac:dyDescent="0.2">
      <c r="AM15363" t="str">
        <f t="shared" si="240"/>
        <v>Tarbert [GBTAB]</v>
      </c>
      <c r="AN15363" t="s">
        <v>14645</v>
      </c>
      <c r="AO15363" t="s">
        <v>14644</v>
      </c>
    </row>
    <row r="15364" spans="39:41" ht="12" customHeight="1" x14ac:dyDescent="0.2">
      <c r="AM15364" t="str">
        <f t="shared" si="240"/>
        <v>Tarbert [IETAR]</v>
      </c>
      <c r="AN15364" t="s">
        <v>16918</v>
      </c>
      <c r="AO15364" t="s">
        <v>14644</v>
      </c>
    </row>
    <row r="15365" spans="39:41" ht="12" customHeight="1" x14ac:dyDescent="0.2">
      <c r="AM15365" t="str">
        <f t="shared" si="240"/>
        <v>Tarifa [ESTRF]</v>
      </c>
      <c r="AN15365" t="s">
        <v>10228</v>
      </c>
      <c r="AO15365" t="s">
        <v>10229</v>
      </c>
    </row>
    <row r="15366" spans="39:41" ht="12" customHeight="1" x14ac:dyDescent="0.2">
      <c r="AM15366" t="str">
        <f t="shared" si="240"/>
        <v>Tarjun [IDTAR]</v>
      </c>
      <c r="AN15366" t="s">
        <v>16665</v>
      </c>
      <c r="AO15366" t="s">
        <v>16666</v>
      </c>
    </row>
    <row r="15367" spans="39:41" ht="12" customHeight="1" x14ac:dyDescent="0.2">
      <c r="AM15367" t="str">
        <f t="shared" si="240"/>
        <v>Tarkma [EETMA]</v>
      </c>
      <c r="AN15367" t="s">
        <v>9382</v>
      </c>
      <c r="AO15367" t="s">
        <v>35648</v>
      </c>
    </row>
    <row r="15368" spans="39:41" ht="12" customHeight="1" x14ac:dyDescent="0.2">
      <c r="AM15368" t="str">
        <f t="shared" si="240"/>
        <v>Taroa [MHTAR]</v>
      </c>
      <c r="AN15368" t="s">
        <v>22166</v>
      </c>
      <c r="AO15368" t="s">
        <v>22167</v>
      </c>
    </row>
    <row r="15369" spans="39:41" ht="12" customHeight="1" x14ac:dyDescent="0.2">
      <c r="AM15369" t="str">
        <f t="shared" si="240"/>
        <v>Tarpon Springs [USZKL]</v>
      </c>
      <c r="AN15369" t="s">
        <v>31686</v>
      </c>
      <c r="AO15369" t="s">
        <v>31687</v>
      </c>
    </row>
    <row r="15370" spans="39:41" ht="12" customHeight="1" x14ac:dyDescent="0.2">
      <c r="AM15370" t="str">
        <f t="shared" si="240"/>
        <v>Tarragona [ESTAR]</v>
      </c>
      <c r="AN15370" t="s">
        <v>10230</v>
      </c>
      <c r="AO15370" t="s">
        <v>10231</v>
      </c>
    </row>
    <row r="15371" spans="39:41" ht="12" customHeight="1" x14ac:dyDescent="0.2">
      <c r="AM15371" t="str">
        <f t="shared" si="240"/>
        <v>Tarrytown [USTWZ]</v>
      </c>
      <c r="AN15371" t="s">
        <v>31688</v>
      </c>
      <c r="AO15371" t="s">
        <v>31689</v>
      </c>
    </row>
    <row r="15372" spans="39:41" ht="12" customHeight="1" x14ac:dyDescent="0.2">
      <c r="AM15372" t="str">
        <f t="shared" si="240"/>
        <v>Tars [DKTRS]</v>
      </c>
      <c r="AN15372" t="s">
        <v>8934</v>
      </c>
      <c r="AO15372" t="s">
        <v>35594</v>
      </c>
    </row>
    <row r="15373" spans="39:41" ht="12" customHeight="1" x14ac:dyDescent="0.2">
      <c r="AM15373" t="str">
        <f t="shared" si="240"/>
        <v>Tartus [SYTTS]</v>
      </c>
      <c r="AN15373" t="s">
        <v>28174</v>
      </c>
      <c r="AO15373" t="s">
        <v>28175</v>
      </c>
    </row>
    <row r="15374" spans="39:41" ht="12" customHeight="1" x14ac:dyDescent="0.2">
      <c r="AM15374" t="str">
        <f t="shared" si="240"/>
        <v>Tartus Oil Terminal [SYTAO]</v>
      </c>
      <c r="AN15374" t="s">
        <v>28176</v>
      </c>
      <c r="AO15374" t="s">
        <v>28177</v>
      </c>
    </row>
    <row r="15375" spans="39:41" ht="12" customHeight="1" x14ac:dyDescent="0.2">
      <c r="AM15375" t="str">
        <f t="shared" si="240"/>
        <v>Tarugahama [JPTRH]</v>
      </c>
      <c r="AN15375" t="s">
        <v>21068</v>
      </c>
      <c r="AO15375" t="s">
        <v>21069</v>
      </c>
    </row>
    <row r="15376" spans="39:41" ht="12" customHeight="1" x14ac:dyDescent="0.2">
      <c r="AM15376" t="str">
        <f t="shared" si="240"/>
        <v>Tarumizu [JPTMZ]</v>
      </c>
      <c r="AN15376" t="s">
        <v>21070</v>
      </c>
      <c r="AO15376" t="s">
        <v>21071</v>
      </c>
    </row>
    <row r="15377" spans="39:41" ht="12" customHeight="1" x14ac:dyDescent="0.2">
      <c r="AM15377" t="str">
        <f t="shared" si="240"/>
        <v>Tarvastu [EETRV]</v>
      </c>
      <c r="AN15377" t="s">
        <v>34327</v>
      </c>
      <c r="AO15377" t="s">
        <v>34317</v>
      </c>
    </row>
    <row r="15378" spans="39:41" ht="12" customHeight="1" x14ac:dyDescent="0.2">
      <c r="AM15378" t="str">
        <f t="shared" si="240"/>
        <v>Tarxien [MTTAR]</v>
      </c>
      <c r="AN15378" t="s">
        <v>22276</v>
      </c>
      <c r="AO15378" t="s">
        <v>22277</v>
      </c>
    </row>
    <row r="15379" spans="39:41" ht="12" customHeight="1" x14ac:dyDescent="0.2">
      <c r="AM15379" t="str">
        <f t="shared" si="240"/>
        <v>Tasiilaq [GLAGM]</v>
      </c>
      <c r="AN15379" t="s">
        <v>15027</v>
      </c>
      <c r="AO15379" t="s">
        <v>15028</v>
      </c>
    </row>
    <row r="15380" spans="39:41" ht="12" customHeight="1" x14ac:dyDescent="0.2">
      <c r="AM15380" t="str">
        <f t="shared" si="240"/>
        <v>Tasu [CATAS]</v>
      </c>
      <c r="AN15380" t="s">
        <v>4510</v>
      </c>
      <c r="AO15380" t="s">
        <v>4511</v>
      </c>
    </row>
    <row r="15381" spans="39:41" ht="12" customHeight="1" x14ac:dyDescent="0.2">
      <c r="AM15381" t="str">
        <f t="shared" si="240"/>
        <v>Tasucu [TRTAS]</v>
      </c>
      <c r="AN15381" t="s">
        <v>28592</v>
      </c>
      <c r="AO15381" t="s">
        <v>28593</v>
      </c>
    </row>
    <row r="15382" spans="39:41" ht="12" customHeight="1" x14ac:dyDescent="0.2">
      <c r="AM15382" t="str">
        <f t="shared" si="240"/>
        <v>Tasumi [JPTSS]</v>
      </c>
      <c r="AN15382" t="s">
        <v>21072</v>
      </c>
      <c r="AO15382" t="s">
        <v>21073</v>
      </c>
    </row>
    <row r="15383" spans="39:41" ht="12" customHeight="1" x14ac:dyDescent="0.2">
      <c r="AM15383" t="str">
        <f t="shared" si="240"/>
        <v>Tateishi, Ehime [JPTET]</v>
      </c>
      <c r="AN15383" t="s">
        <v>21074</v>
      </c>
      <c r="AO15383" t="s">
        <v>21075</v>
      </c>
    </row>
    <row r="15384" spans="39:41" ht="12" customHeight="1" x14ac:dyDescent="0.2">
      <c r="AM15384" t="str">
        <f t="shared" si="240"/>
        <v>Tateishi, Kagawa [JPTTS]</v>
      </c>
      <c r="AN15384" t="s">
        <v>21076</v>
      </c>
      <c r="AO15384" t="s">
        <v>21077</v>
      </c>
    </row>
    <row r="15385" spans="39:41" ht="12" customHeight="1" x14ac:dyDescent="0.2">
      <c r="AM15385" t="str">
        <f t="shared" si="240"/>
        <v>Tateyama [JPTTY]</v>
      </c>
      <c r="AN15385" t="s">
        <v>21078</v>
      </c>
      <c r="AO15385" t="s">
        <v>21079</v>
      </c>
    </row>
    <row r="15386" spans="39:41" ht="12" customHeight="1" x14ac:dyDescent="0.2">
      <c r="AM15386" t="str">
        <f t="shared" si="240"/>
        <v>Tatoosh Island [USTDI]</v>
      </c>
      <c r="AN15386" t="s">
        <v>31690</v>
      </c>
      <c r="AO15386" t="s">
        <v>31691</v>
      </c>
    </row>
    <row r="15387" spans="39:41" ht="12" customHeight="1" x14ac:dyDescent="0.2">
      <c r="AM15387" t="str">
        <f t="shared" si="240"/>
        <v>Tatsugo [JPTAT]</v>
      </c>
      <c r="AN15387" t="s">
        <v>21080</v>
      </c>
      <c r="AO15387" t="s">
        <v>21081</v>
      </c>
    </row>
    <row r="15388" spans="39:41" ht="12" customHeight="1" x14ac:dyDescent="0.2">
      <c r="AM15388" t="str">
        <f t="shared" si="240"/>
        <v>Tau [NOTAU]</v>
      </c>
      <c r="AN15388" t="s">
        <v>24894</v>
      </c>
      <c r="AO15388" t="s">
        <v>24895</v>
      </c>
    </row>
    <row r="15389" spans="39:41" ht="12" customHeight="1" x14ac:dyDescent="0.2">
      <c r="AM15389" t="str">
        <f t="shared" si="240"/>
        <v>Taufkirchen an der Pram [ATTKP]</v>
      </c>
      <c r="AN15389" t="s">
        <v>1355</v>
      </c>
      <c r="AO15389" t="s">
        <v>1356</v>
      </c>
    </row>
    <row r="15390" spans="39:41" ht="12" customHeight="1" x14ac:dyDescent="0.2">
      <c r="AM15390" t="str">
        <f t="shared" si="240"/>
        <v>Taugu Island [PGTAU]</v>
      </c>
      <c r="AN15390" t="s">
        <v>25482</v>
      </c>
      <c r="AO15390" t="s">
        <v>25483</v>
      </c>
    </row>
    <row r="15391" spans="39:41" ht="12" customHeight="1" x14ac:dyDescent="0.2">
      <c r="AM15391" t="str">
        <f t="shared" si="240"/>
        <v>Tauisk [RUTAU]</v>
      </c>
      <c r="AN15391" t="s">
        <v>27264</v>
      </c>
      <c r="AO15391" t="s">
        <v>27265</v>
      </c>
    </row>
    <row r="15392" spans="39:41" ht="12" customHeight="1" x14ac:dyDescent="0.2">
      <c r="AM15392" t="str">
        <f t="shared" si="240"/>
        <v>Tauranga [NZTRG]</v>
      </c>
      <c r="AN15392" t="s">
        <v>25119</v>
      </c>
      <c r="AO15392" t="s">
        <v>25120</v>
      </c>
    </row>
    <row r="15393" spans="39:41" ht="12" customHeight="1" x14ac:dyDescent="0.2">
      <c r="AM15393" t="str">
        <f t="shared" si="240"/>
        <v>Tavernier [USTNE]</v>
      </c>
      <c r="AN15393" t="s">
        <v>31692</v>
      </c>
      <c r="AO15393" t="s">
        <v>31693</v>
      </c>
    </row>
    <row r="15394" spans="39:41" ht="12" customHeight="1" x14ac:dyDescent="0.2">
      <c r="AM15394" t="str">
        <f t="shared" si="240"/>
        <v>Tavoy [MMTAV]</v>
      </c>
      <c r="AN15394" t="s">
        <v>22208</v>
      </c>
      <c r="AO15394" t="s">
        <v>22209</v>
      </c>
    </row>
    <row r="15395" spans="39:41" ht="12" customHeight="1" x14ac:dyDescent="0.2">
      <c r="AM15395" t="str">
        <f t="shared" si="240"/>
        <v>Tavros [GRTVR]</v>
      </c>
      <c r="AN15395" t="s">
        <v>15550</v>
      </c>
      <c r="AO15395" t="s">
        <v>35985</v>
      </c>
    </row>
    <row r="15396" spans="39:41" ht="12" customHeight="1" x14ac:dyDescent="0.2">
      <c r="AM15396" t="str">
        <f t="shared" si="240"/>
        <v>Tawau, Sabah [MYTWU]</v>
      </c>
      <c r="AN15396" t="s">
        <v>22803</v>
      </c>
      <c r="AO15396" t="s">
        <v>22804</v>
      </c>
    </row>
    <row r="15397" spans="39:41" ht="12" customHeight="1" x14ac:dyDescent="0.2">
      <c r="AM15397" t="str">
        <f t="shared" si="240"/>
        <v>Tayinloan [GBTAI]</v>
      </c>
      <c r="AN15397" t="s">
        <v>14646</v>
      </c>
      <c r="AO15397" t="s">
        <v>14647</v>
      </c>
    </row>
    <row r="15398" spans="39:41" ht="12" customHeight="1" x14ac:dyDescent="0.2">
      <c r="AM15398" t="str">
        <f t="shared" si="240"/>
        <v>Tayport [GBTAY]</v>
      </c>
      <c r="AN15398" t="s">
        <v>14648</v>
      </c>
      <c r="AO15398" t="s">
        <v>14649</v>
      </c>
    </row>
    <row r="15399" spans="39:41" ht="12" customHeight="1" x14ac:dyDescent="0.2">
      <c r="AM15399" t="str">
        <f t="shared" si="240"/>
        <v>Taytay/Puerto Princesa [PHTAY]</v>
      </c>
      <c r="AN15399" t="s">
        <v>26204</v>
      </c>
      <c r="AO15399" t="s">
        <v>26205</v>
      </c>
    </row>
    <row r="15400" spans="39:41" ht="12" customHeight="1" x14ac:dyDescent="0.2">
      <c r="AM15400" t="str">
        <f t="shared" si="240"/>
        <v>Tayui [JPTYU]</v>
      </c>
      <c r="AN15400" t="s">
        <v>21082</v>
      </c>
      <c r="AO15400" t="s">
        <v>21083</v>
      </c>
    </row>
    <row r="15401" spans="39:41" ht="12" customHeight="1" x14ac:dyDescent="0.2">
      <c r="AM15401" t="str">
        <f t="shared" si="240"/>
        <v>Tayura [RUTAY]</v>
      </c>
      <c r="AN15401" t="s">
        <v>27266</v>
      </c>
      <c r="AO15401" t="s">
        <v>27267</v>
      </c>
    </row>
    <row r="15402" spans="39:41" ht="12" customHeight="1" x14ac:dyDescent="0.2">
      <c r="AM15402" t="str">
        <f t="shared" ref="AM15402:AM15465" si="241">AO15402 &amp; " [" &amp; AN15402 &amp; "]"</f>
        <v>Tayvallich [GBTLI]</v>
      </c>
      <c r="AN15402" t="s">
        <v>14650</v>
      </c>
      <c r="AO15402" t="s">
        <v>14651</v>
      </c>
    </row>
    <row r="15403" spans="39:41" ht="12" customHeight="1" x14ac:dyDescent="0.2">
      <c r="AM15403" t="str">
        <f t="shared" si="241"/>
        <v>Tazacorte [ESTAZ]</v>
      </c>
      <c r="AN15403" t="s">
        <v>10232</v>
      </c>
      <c r="AO15403" t="s">
        <v>10233</v>
      </c>
    </row>
    <row r="15404" spans="39:41" ht="12" customHeight="1" x14ac:dyDescent="0.2">
      <c r="AM15404" t="str">
        <f t="shared" si="241"/>
        <v>Tazerka Terminal [TNTAT]</v>
      </c>
      <c r="AN15404" t="s">
        <v>28369</v>
      </c>
      <c r="AO15404" t="s">
        <v>28370</v>
      </c>
    </row>
    <row r="15405" spans="39:41" ht="12" customHeight="1" x14ac:dyDescent="0.2">
      <c r="AM15405" t="str">
        <f t="shared" si="241"/>
        <v>Tazovskiy [RUTAZ]</v>
      </c>
      <c r="AN15405" t="s">
        <v>27268</v>
      </c>
      <c r="AO15405" t="s">
        <v>27269</v>
      </c>
    </row>
    <row r="15406" spans="39:41" ht="12" customHeight="1" x14ac:dyDescent="0.2">
      <c r="AM15406" t="str">
        <f t="shared" si="241"/>
        <v>Tchatamba [GATCT]</v>
      </c>
      <c r="AN15406" t="s">
        <v>12245</v>
      </c>
      <c r="AO15406" t="s">
        <v>12246</v>
      </c>
    </row>
    <row r="15407" spans="39:41" ht="12" customHeight="1" x14ac:dyDescent="0.2">
      <c r="AM15407" t="str">
        <f t="shared" si="241"/>
        <v>Tchula [USUTA]</v>
      </c>
      <c r="AN15407" t="s">
        <v>31694</v>
      </c>
      <c r="AO15407" t="s">
        <v>31695</v>
      </c>
    </row>
    <row r="15408" spans="39:41" ht="12" customHeight="1" x14ac:dyDescent="0.2">
      <c r="AM15408" t="str">
        <f t="shared" si="241"/>
        <v>Tea Gardens [AUDGA]</v>
      </c>
      <c r="AN15408" t="s">
        <v>2048</v>
      </c>
      <c r="AO15408" t="s">
        <v>2049</v>
      </c>
    </row>
    <row r="15409" spans="39:41" ht="12" customHeight="1" x14ac:dyDescent="0.2">
      <c r="AM15409" t="str">
        <f t="shared" si="241"/>
        <v>Tebessa [DZTBS]</v>
      </c>
      <c r="AN15409" t="s">
        <v>9072</v>
      </c>
      <c r="AO15409" t="s">
        <v>9073</v>
      </c>
    </row>
    <row r="15410" spans="39:41" ht="12" customHeight="1" x14ac:dyDescent="0.2">
      <c r="AM15410" t="str">
        <f t="shared" si="241"/>
        <v>Tecuala [MXTCU]</v>
      </c>
      <c r="AN15410" t="s">
        <v>22458</v>
      </c>
      <c r="AO15410" t="s">
        <v>22459</v>
      </c>
    </row>
    <row r="15411" spans="39:41" ht="12" customHeight="1" x14ac:dyDescent="0.2">
      <c r="AM15411" t="str">
        <f t="shared" si="241"/>
        <v>Tecumseh [USTMZ]</v>
      </c>
      <c r="AN15411" t="s">
        <v>31696</v>
      </c>
      <c r="AO15411" t="s">
        <v>31697</v>
      </c>
    </row>
    <row r="15412" spans="39:41" ht="12" customHeight="1" x14ac:dyDescent="0.2">
      <c r="AM15412" t="str">
        <f t="shared" si="241"/>
        <v>Tecun Uman [GTTUC]</v>
      </c>
      <c r="AN15412" t="s">
        <v>15607</v>
      </c>
      <c r="AO15412" t="s">
        <v>15608</v>
      </c>
    </row>
    <row r="15413" spans="39:41" ht="12" customHeight="1" x14ac:dyDescent="0.2">
      <c r="AM15413" t="str">
        <f t="shared" si="241"/>
        <v>Teesport [GBTEE]</v>
      </c>
      <c r="AN15413" t="s">
        <v>14652</v>
      </c>
      <c r="AO15413" t="s">
        <v>14653</v>
      </c>
    </row>
    <row r="15414" spans="39:41" ht="12" customHeight="1" x14ac:dyDescent="0.2">
      <c r="AM15414" t="str">
        <f t="shared" si="241"/>
        <v>Tegal, Java [IDTEG]</v>
      </c>
      <c r="AN15414" t="s">
        <v>16667</v>
      </c>
      <c r="AO15414" t="s">
        <v>16668</v>
      </c>
    </row>
    <row r="15415" spans="39:41" ht="12" customHeight="1" x14ac:dyDescent="0.2">
      <c r="AM15415" t="str">
        <f t="shared" si="241"/>
        <v>Tegucigalpa [HNTGU]</v>
      </c>
      <c r="AN15415" t="s">
        <v>15686</v>
      </c>
      <c r="AO15415" t="s">
        <v>15687</v>
      </c>
    </row>
    <row r="15416" spans="39:41" ht="12" customHeight="1" x14ac:dyDescent="0.2">
      <c r="AM15416" t="str">
        <f t="shared" si="241"/>
        <v>Tei [JPTEI]</v>
      </c>
      <c r="AN15416" t="s">
        <v>21084</v>
      </c>
      <c r="AO15416" t="s">
        <v>21085</v>
      </c>
    </row>
    <row r="15417" spans="39:41" ht="12" customHeight="1" x14ac:dyDescent="0.2">
      <c r="AM15417" t="str">
        <f t="shared" si="241"/>
        <v>Teignmouth [GBTNM]</v>
      </c>
      <c r="AN15417" t="s">
        <v>14654</v>
      </c>
      <c r="AO15417" t="s">
        <v>14655</v>
      </c>
    </row>
    <row r="15418" spans="39:41" ht="12" customHeight="1" x14ac:dyDescent="0.2">
      <c r="AM15418" t="str">
        <f t="shared" si="241"/>
        <v>Teijo [FITEI]</v>
      </c>
      <c r="AN15418" t="s">
        <v>10564</v>
      </c>
      <c r="AO15418" t="s">
        <v>10565</v>
      </c>
    </row>
    <row r="15419" spans="39:41" ht="12" customHeight="1" x14ac:dyDescent="0.2">
      <c r="AM15419" t="str">
        <f t="shared" si="241"/>
        <v>Teishi [JPTIS]</v>
      </c>
      <c r="AN15419" t="s">
        <v>21086</v>
      </c>
      <c r="AO15419" t="s">
        <v>21087</v>
      </c>
    </row>
    <row r="15420" spans="39:41" ht="12" customHeight="1" x14ac:dyDescent="0.2">
      <c r="AM15420" t="str">
        <f t="shared" si="241"/>
        <v>Tejina [ESTJQ]</v>
      </c>
      <c r="AN15420" t="s">
        <v>10234</v>
      </c>
      <c r="AO15420" t="s">
        <v>10235</v>
      </c>
    </row>
    <row r="15421" spans="39:41" ht="12" customHeight="1" x14ac:dyDescent="0.2">
      <c r="AM15421" t="str">
        <f t="shared" si="241"/>
        <v>Tekirdag [TRTEK]</v>
      </c>
      <c r="AN15421" t="s">
        <v>28594</v>
      </c>
      <c r="AO15421" t="s">
        <v>28595</v>
      </c>
    </row>
    <row r="15422" spans="39:41" ht="12" customHeight="1" x14ac:dyDescent="0.2">
      <c r="AM15422" t="str">
        <f t="shared" si="241"/>
        <v>Tekutsuku [JPTEK]</v>
      </c>
      <c r="AN15422" t="s">
        <v>21088</v>
      </c>
      <c r="AO15422" t="s">
        <v>21089</v>
      </c>
    </row>
    <row r="15423" spans="39:41" ht="12" customHeight="1" x14ac:dyDescent="0.2">
      <c r="AM15423" t="str">
        <f t="shared" si="241"/>
        <v>Tel Aviv-Yafo [ILTLV]</v>
      </c>
      <c r="AN15423" t="s">
        <v>16982</v>
      </c>
      <c r="AO15423" t="s">
        <v>16983</v>
      </c>
    </row>
    <row r="15424" spans="39:41" ht="12" customHeight="1" x14ac:dyDescent="0.2">
      <c r="AM15424" t="str">
        <f t="shared" si="241"/>
        <v>Tela [HNTEA]</v>
      </c>
      <c r="AN15424" t="s">
        <v>15688</v>
      </c>
      <c r="AO15424" t="s">
        <v>15689</v>
      </c>
    </row>
    <row r="15425" spans="39:41" ht="12" customHeight="1" x14ac:dyDescent="0.2">
      <c r="AM15425" t="str">
        <f t="shared" si="241"/>
        <v>Telixtlahuaca [MXTXH]</v>
      </c>
      <c r="AN15425" t="s">
        <v>22460</v>
      </c>
      <c r="AO15425" t="s">
        <v>22461</v>
      </c>
    </row>
    <row r="15426" spans="39:41" ht="12" customHeight="1" x14ac:dyDescent="0.2">
      <c r="AM15426" t="str">
        <f t="shared" si="241"/>
        <v>Tellicherry [INTEL]</v>
      </c>
      <c r="AN15426" t="s">
        <v>17475</v>
      </c>
      <c r="AO15426" t="s">
        <v>17476</v>
      </c>
    </row>
    <row r="15427" spans="39:41" ht="12" customHeight="1" x14ac:dyDescent="0.2">
      <c r="AM15427" t="str">
        <f t="shared" si="241"/>
        <v>Telok Ayer Basin [SGTAY]</v>
      </c>
      <c r="AN15427" t="s">
        <v>27987</v>
      </c>
      <c r="AO15427" t="s">
        <v>27988</v>
      </c>
    </row>
    <row r="15428" spans="39:41" ht="12" customHeight="1" x14ac:dyDescent="0.2">
      <c r="AM15428" t="str">
        <f t="shared" si="241"/>
        <v>Telok Ayer, Kalimantan [IDTKA]</v>
      </c>
      <c r="AN15428" t="s">
        <v>16669</v>
      </c>
      <c r="AO15428" t="s">
        <v>16670</v>
      </c>
    </row>
    <row r="15429" spans="39:41" ht="12" customHeight="1" x14ac:dyDescent="0.2">
      <c r="AM15429" t="str">
        <f t="shared" si="241"/>
        <v>Telok Intan [MYTAS]</v>
      </c>
      <c r="AN15429" t="s">
        <v>22805</v>
      </c>
      <c r="AO15429" t="s">
        <v>22806</v>
      </c>
    </row>
    <row r="15430" spans="39:41" ht="12" customHeight="1" x14ac:dyDescent="0.2">
      <c r="AM15430" t="str">
        <f t="shared" si="241"/>
        <v>Telok Melano [IDTMO]</v>
      </c>
      <c r="AN15430" t="s">
        <v>16671</v>
      </c>
      <c r="AO15430" t="s">
        <v>16672</v>
      </c>
    </row>
    <row r="15431" spans="39:41" ht="12" customHeight="1" x14ac:dyDescent="0.2">
      <c r="AM15431" t="str">
        <f t="shared" si="241"/>
        <v>Telok Ramunia [MYTRM]</v>
      </c>
      <c r="AN15431" t="s">
        <v>22807</v>
      </c>
      <c r="AO15431" t="s">
        <v>22808</v>
      </c>
    </row>
    <row r="15432" spans="39:41" ht="12" customHeight="1" x14ac:dyDescent="0.2">
      <c r="AM15432" t="str">
        <f t="shared" si="241"/>
        <v>Teltow [DETLT]</v>
      </c>
      <c r="AN15432" t="s">
        <v>8343</v>
      </c>
      <c r="AO15432" t="s">
        <v>8344</v>
      </c>
    </row>
    <row r="15433" spans="39:41" ht="12" customHeight="1" x14ac:dyDescent="0.2">
      <c r="AM15433" t="str">
        <f t="shared" si="241"/>
        <v>Teluk Betung, Sumatra [IDTBG]</v>
      </c>
      <c r="AN15433" t="s">
        <v>16673</v>
      </c>
      <c r="AO15433" t="s">
        <v>16674</v>
      </c>
    </row>
    <row r="15434" spans="39:41" ht="12" customHeight="1" x14ac:dyDescent="0.2">
      <c r="AM15434" t="str">
        <f t="shared" si="241"/>
        <v>Teluk Rubiah [MYTRB]</v>
      </c>
      <c r="AN15434" t="s">
        <v>36689</v>
      </c>
      <c r="AO15434" t="s">
        <v>36690</v>
      </c>
    </row>
    <row r="15435" spans="39:41" ht="12" customHeight="1" x14ac:dyDescent="0.2">
      <c r="AM15435" t="str">
        <f t="shared" si="241"/>
        <v>Telukbayur [IDTBR]</v>
      </c>
      <c r="AN15435" t="s">
        <v>16675</v>
      </c>
      <c r="AO15435" t="s">
        <v>16676</v>
      </c>
    </row>
    <row r="15436" spans="39:41" ht="12" customHeight="1" x14ac:dyDescent="0.2">
      <c r="AM15436" t="str">
        <f t="shared" si="241"/>
        <v>Tema [GHTEM]</v>
      </c>
      <c r="AN15436" t="s">
        <v>14970</v>
      </c>
      <c r="AO15436" t="s">
        <v>14971</v>
      </c>
    </row>
    <row r="15437" spans="39:41" ht="12" customHeight="1" x14ac:dyDescent="0.2">
      <c r="AM15437" t="str">
        <f t="shared" si="241"/>
        <v>Temara [MATEM]</v>
      </c>
      <c r="AN15437" t="s">
        <v>22067</v>
      </c>
      <c r="AO15437" t="s">
        <v>22068</v>
      </c>
    </row>
    <row r="15438" spans="39:41" ht="12" customHeight="1" x14ac:dyDescent="0.2">
      <c r="AM15438" t="str">
        <f t="shared" si="241"/>
        <v>Tembladora [TTTEM]</v>
      </c>
      <c r="AN15438" t="s">
        <v>28658</v>
      </c>
      <c r="AO15438" t="s">
        <v>28659</v>
      </c>
    </row>
    <row r="15439" spans="39:41" ht="12" customHeight="1" x14ac:dyDescent="0.2">
      <c r="AM15439" t="str">
        <f t="shared" si="241"/>
        <v>Tembleque [ESTEM]</v>
      </c>
      <c r="AN15439" t="s">
        <v>10236</v>
      </c>
      <c r="AO15439" t="s">
        <v>10237</v>
      </c>
    </row>
    <row r="15440" spans="39:41" ht="12" customHeight="1" x14ac:dyDescent="0.2">
      <c r="AM15440" t="str">
        <f t="shared" si="241"/>
        <v>Tembungo [MYTGO]</v>
      </c>
      <c r="AN15440" t="s">
        <v>22809</v>
      </c>
      <c r="AO15440" t="s">
        <v>22810</v>
      </c>
    </row>
    <row r="15441" spans="39:41" ht="12" customHeight="1" x14ac:dyDescent="0.2">
      <c r="AM15441" t="str">
        <f t="shared" si="241"/>
        <v>Temirtau [KZTAU]</v>
      </c>
      <c r="AN15441" t="s">
        <v>21778</v>
      </c>
      <c r="AO15441" t="s">
        <v>21779</v>
      </c>
    </row>
    <row r="15442" spans="39:41" ht="12" customHeight="1" x14ac:dyDescent="0.2">
      <c r="AM15442" t="str">
        <f t="shared" si="241"/>
        <v>Temmels [DETMM]</v>
      </c>
      <c r="AN15442" t="s">
        <v>8345</v>
      </c>
      <c r="AO15442" t="s">
        <v>8346</v>
      </c>
    </row>
    <row r="15443" spans="39:41" ht="12" customHeight="1" x14ac:dyDescent="0.2">
      <c r="AM15443" t="str">
        <f t="shared" si="241"/>
        <v>Temryuk [RUTMR]</v>
      </c>
      <c r="AN15443" t="s">
        <v>37142</v>
      </c>
      <c r="AO15443" t="s">
        <v>37143</v>
      </c>
    </row>
    <row r="15444" spans="39:41" ht="12" customHeight="1" x14ac:dyDescent="0.2">
      <c r="AM15444" t="str">
        <f t="shared" si="241"/>
        <v>Temse [BETSE]</v>
      </c>
      <c r="AN15444" t="s">
        <v>2985</v>
      </c>
      <c r="AO15444" t="s">
        <v>2986</v>
      </c>
    </row>
    <row r="15445" spans="39:41" ht="12" customHeight="1" x14ac:dyDescent="0.2">
      <c r="AM15445" t="str">
        <f t="shared" si="241"/>
        <v>Ten Sleep [USTSL]</v>
      </c>
      <c r="AN15445" t="s">
        <v>31698</v>
      </c>
      <c r="AO15445" t="s">
        <v>31699</v>
      </c>
    </row>
    <row r="15446" spans="39:41" ht="12" customHeight="1" x14ac:dyDescent="0.2">
      <c r="AM15446" t="str">
        <f t="shared" si="241"/>
        <v>Tenabo [MXTEN]</v>
      </c>
      <c r="AN15446" t="s">
        <v>22462</v>
      </c>
      <c r="AO15446" t="s">
        <v>36101</v>
      </c>
    </row>
    <row r="15447" spans="39:41" ht="12" customHeight="1" x14ac:dyDescent="0.2">
      <c r="AM15447" t="str">
        <f t="shared" si="241"/>
        <v>Tenants Harbour [USZNH]</v>
      </c>
      <c r="AN15447" t="s">
        <v>31700</v>
      </c>
      <c r="AO15447" t="s">
        <v>31701</v>
      </c>
    </row>
    <row r="15448" spans="39:41" ht="12" customHeight="1" x14ac:dyDescent="0.2">
      <c r="AM15448" t="str">
        <f t="shared" si="241"/>
        <v>Tenbury [GBENB]</v>
      </c>
      <c r="AN15448" t="s">
        <v>14656</v>
      </c>
      <c r="AO15448" t="s">
        <v>14657</v>
      </c>
    </row>
    <row r="15449" spans="39:41" ht="12" customHeight="1" x14ac:dyDescent="0.2">
      <c r="AM15449" t="str">
        <f t="shared" si="241"/>
        <v>Tenby (Dinbych-y-pysgod) [GBTEN]</v>
      </c>
      <c r="AN15449" t="s">
        <v>14658</v>
      </c>
      <c r="AO15449" t="s">
        <v>14659</v>
      </c>
    </row>
    <row r="15450" spans="39:41" ht="12" customHeight="1" x14ac:dyDescent="0.2">
      <c r="AM15450" t="str">
        <f t="shared" si="241"/>
        <v>Tendring [GBRIG]</v>
      </c>
      <c r="AN15450" t="s">
        <v>14660</v>
      </c>
      <c r="AO15450" t="s">
        <v>14661</v>
      </c>
    </row>
    <row r="15451" spans="39:41" ht="12" customHeight="1" x14ac:dyDescent="0.2">
      <c r="AM15451" t="str">
        <f t="shared" si="241"/>
        <v>Tenerife [ESTCI]</v>
      </c>
      <c r="AN15451" t="s">
        <v>36928</v>
      </c>
      <c r="AO15451" t="s">
        <v>36929</v>
      </c>
    </row>
    <row r="15452" spans="39:41" ht="12" customHeight="1" x14ac:dyDescent="0.2">
      <c r="AM15452" t="str">
        <f t="shared" si="241"/>
        <v>Tenes [DZTEN]</v>
      </c>
      <c r="AN15452" t="s">
        <v>9074</v>
      </c>
      <c r="AO15452" t="s">
        <v>35609</v>
      </c>
    </row>
    <row r="15453" spans="39:41" ht="12" customHeight="1" x14ac:dyDescent="0.2">
      <c r="AM15453" t="str">
        <f t="shared" si="241"/>
        <v>Tengku, Sabah [MYTEN]</v>
      </c>
      <c r="AN15453" t="s">
        <v>22811</v>
      </c>
      <c r="AO15453" t="s">
        <v>22812</v>
      </c>
    </row>
    <row r="15454" spans="39:41" ht="12" customHeight="1" x14ac:dyDescent="0.2">
      <c r="AM15454" t="str">
        <f t="shared" si="241"/>
        <v>Tengxian [CNTXI]</v>
      </c>
      <c r="AN15454" t="s">
        <v>6134</v>
      </c>
      <c r="AO15454" t="s">
        <v>6135</v>
      </c>
    </row>
    <row r="15455" spans="39:41" ht="12" customHeight="1" x14ac:dyDescent="0.2">
      <c r="AM15455" t="str">
        <f t="shared" si="241"/>
        <v>Tenkasi [INTKS]</v>
      </c>
      <c r="AN15455" t="s">
        <v>17477</v>
      </c>
      <c r="AO15455" t="s">
        <v>17478</v>
      </c>
    </row>
    <row r="15456" spans="39:41" ht="12" customHeight="1" x14ac:dyDescent="0.2">
      <c r="AM15456" t="str">
        <f t="shared" si="241"/>
        <v>Teoudie [NCTUD]</v>
      </c>
      <c r="AN15456" t="s">
        <v>37039</v>
      </c>
      <c r="AO15456" t="s">
        <v>37040</v>
      </c>
    </row>
    <row r="15457" spans="39:41" ht="12" customHeight="1" x14ac:dyDescent="0.2">
      <c r="AM15457" t="str">
        <f t="shared" si="241"/>
        <v>Tepetlixpac [MX4TE]</v>
      </c>
      <c r="AN15457" t="s">
        <v>22463</v>
      </c>
      <c r="AO15457" t="s">
        <v>22464</v>
      </c>
    </row>
    <row r="15458" spans="39:41" ht="12" customHeight="1" x14ac:dyDescent="0.2">
      <c r="AM15458" t="str">
        <f t="shared" si="241"/>
        <v>Teplicka nad Vahom [SKTEP]</v>
      </c>
      <c r="AN15458" t="s">
        <v>28063</v>
      </c>
      <c r="AO15458" t="s">
        <v>28064</v>
      </c>
    </row>
    <row r="15459" spans="39:41" ht="12" customHeight="1" x14ac:dyDescent="0.2">
      <c r="AM15459" t="str">
        <f t="shared" si="241"/>
        <v>Tepre [ECTEP]</v>
      </c>
      <c r="AN15459" t="s">
        <v>9126</v>
      </c>
      <c r="AO15459" t="s">
        <v>9127</v>
      </c>
    </row>
    <row r="15460" spans="39:41" ht="12" customHeight="1" x14ac:dyDescent="0.2">
      <c r="AM15460" t="str">
        <f t="shared" si="241"/>
        <v>Ter Heijde [NLTHD]</v>
      </c>
      <c r="AN15460" t="s">
        <v>23662</v>
      </c>
      <c r="AO15460" t="s">
        <v>23663</v>
      </c>
    </row>
    <row r="15461" spans="39:41" ht="12" customHeight="1" x14ac:dyDescent="0.2">
      <c r="AM15461" t="str">
        <f t="shared" si="241"/>
        <v>Teradomari [JPTRD]</v>
      </c>
      <c r="AN15461" t="s">
        <v>21090</v>
      </c>
      <c r="AO15461" t="s">
        <v>21091</v>
      </c>
    </row>
    <row r="15462" spans="39:41" ht="12" customHeight="1" x14ac:dyDescent="0.2">
      <c r="AM15462" t="str">
        <f t="shared" si="241"/>
        <v>Teralfene [BETFN]</v>
      </c>
      <c r="AN15462" t="s">
        <v>2987</v>
      </c>
      <c r="AO15462" t="s">
        <v>2988</v>
      </c>
    </row>
    <row r="15463" spans="39:41" ht="12" customHeight="1" x14ac:dyDescent="0.2">
      <c r="AM15463" t="str">
        <f t="shared" si="241"/>
        <v>Terazu/Matsue [JPTZU]</v>
      </c>
      <c r="AN15463" t="s">
        <v>21092</v>
      </c>
      <c r="AO15463" t="s">
        <v>21093</v>
      </c>
    </row>
    <row r="15464" spans="39:41" ht="12" customHeight="1" x14ac:dyDescent="0.2">
      <c r="AM15464" t="str">
        <f t="shared" si="241"/>
        <v>Terazu/Yatsuka [JPTRZ]</v>
      </c>
      <c r="AN15464" t="s">
        <v>21094</v>
      </c>
      <c r="AO15464" t="s">
        <v>21095</v>
      </c>
    </row>
    <row r="15465" spans="39:41" ht="12" customHeight="1" x14ac:dyDescent="0.2">
      <c r="AM15465" t="str">
        <f t="shared" si="241"/>
        <v>Terceira Island Apt [PTTER]</v>
      </c>
      <c r="AN15465" t="s">
        <v>26613</v>
      </c>
      <c r="AO15465" t="s">
        <v>26614</v>
      </c>
    </row>
    <row r="15466" spans="39:41" ht="12" customHeight="1" x14ac:dyDescent="0.2">
      <c r="AM15466" t="str">
        <f t="shared" ref="AM15466:AM15529" si="242">AO15466 &amp; " [" &amp; AN15466 &amp; "]"</f>
        <v>Terdonk [BETDK]</v>
      </c>
      <c r="AN15466" t="s">
        <v>2989</v>
      </c>
      <c r="AO15466" t="s">
        <v>2990</v>
      </c>
    </row>
    <row r="15467" spans="39:41" ht="12" customHeight="1" x14ac:dyDescent="0.2">
      <c r="AM15467" t="str">
        <f t="shared" si="242"/>
        <v>Terempa [IDTER]</v>
      </c>
      <c r="AN15467" t="s">
        <v>16677</v>
      </c>
      <c r="AO15467" t="s">
        <v>16678</v>
      </c>
    </row>
    <row r="15468" spans="39:41" ht="12" customHeight="1" x14ac:dyDescent="0.2">
      <c r="AM15468" t="str">
        <f t="shared" si="242"/>
        <v>Terfens [ATTFS]</v>
      </c>
      <c r="AN15468" t="s">
        <v>1357</v>
      </c>
      <c r="AO15468" t="s">
        <v>1358</v>
      </c>
    </row>
    <row r="15469" spans="39:41" ht="12" customHeight="1" x14ac:dyDescent="0.2">
      <c r="AM15469" t="str">
        <f t="shared" si="242"/>
        <v>Tergnee [BETGE]</v>
      </c>
      <c r="AN15469" t="s">
        <v>2991</v>
      </c>
      <c r="AO15469" t="s">
        <v>35281</v>
      </c>
    </row>
    <row r="15470" spans="39:41" ht="12" customHeight="1" x14ac:dyDescent="0.2">
      <c r="AM15470" t="str">
        <f t="shared" si="242"/>
        <v>Terhagen [BETGN]</v>
      </c>
      <c r="AN15470" t="s">
        <v>2992</v>
      </c>
      <c r="AO15470" t="s">
        <v>2993</v>
      </c>
    </row>
    <row r="15471" spans="39:41" ht="12" customHeight="1" x14ac:dyDescent="0.2">
      <c r="AM15471" t="str">
        <f t="shared" si="242"/>
        <v>Terhorne [NLTRO]</v>
      </c>
      <c r="AN15471" t="s">
        <v>23664</v>
      </c>
      <c r="AO15471" t="s">
        <v>23665</v>
      </c>
    </row>
    <row r="15472" spans="39:41" ht="12" customHeight="1" x14ac:dyDescent="0.2">
      <c r="AM15472" t="str">
        <f t="shared" si="242"/>
        <v>Termez [TMTMZ]</v>
      </c>
      <c r="AN15472" t="s">
        <v>28323</v>
      </c>
      <c r="AO15472" t="s">
        <v>28324</v>
      </c>
    </row>
    <row r="15473" spans="39:41" ht="12" customHeight="1" x14ac:dyDescent="0.2">
      <c r="AM15473" t="str">
        <f t="shared" si="242"/>
        <v>Termini Imerese [ITTRI]</v>
      </c>
      <c r="AN15473" t="s">
        <v>18354</v>
      </c>
      <c r="AO15473" t="s">
        <v>18355</v>
      </c>
    </row>
    <row r="15474" spans="39:41" ht="12" customHeight="1" x14ac:dyDescent="0.2">
      <c r="AM15474" t="str">
        <f t="shared" si="242"/>
        <v>Termoli [ITTMI]</v>
      </c>
      <c r="AN15474" t="s">
        <v>18356</v>
      </c>
      <c r="AO15474" t="s">
        <v>18357</v>
      </c>
    </row>
    <row r="15475" spans="39:41" ht="12" customHeight="1" x14ac:dyDescent="0.2">
      <c r="AM15475" t="str">
        <f t="shared" si="242"/>
        <v>Termunterzijl [NLTMZ]</v>
      </c>
      <c r="AN15475" t="s">
        <v>23666</v>
      </c>
      <c r="AO15475" t="s">
        <v>23667</v>
      </c>
    </row>
    <row r="15476" spans="39:41" ht="12" customHeight="1" x14ac:dyDescent="0.2">
      <c r="AM15476" t="str">
        <f t="shared" si="242"/>
        <v>Ternat [BETER]</v>
      </c>
      <c r="AN15476" t="s">
        <v>2994</v>
      </c>
      <c r="AO15476" t="s">
        <v>2995</v>
      </c>
    </row>
    <row r="15477" spans="39:41" ht="12" customHeight="1" x14ac:dyDescent="0.2">
      <c r="AM15477" t="str">
        <f t="shared" si="242"/>
        <v>Ternate, Halmahera [IDTTE]</v>
      </c>
      <c r="AN15477" t="s">
        <v>16679</v>
      </c>
      <c r="AO15477" t="s">
        <v>16680</v>
      </c>
    </row>
    <row r="15478" spans="39:41" ht="12" customHeight="1" x14ac:dyDescent="0.2">
      <c r="AM15478" t="str">
        <f t="shared" si="242"/>
        <v>Ternay [FRTZZ]</v>
      </c>
      <c r="AN15478" t="s">
        <v>12119</v>
      </c>
      <c r="AO15478" t="s">
        <v>12120</v>
      </c>
    </row>
    <row r="15479" spans="39:41" ht="12" customHeight="1" x14ac:dyDescent="0.2">
      <c r="AM15479" t="str">
        <f t="shared" si="242"/>
        <v>Terneuzen [NLTNZ]</v>
      </c>
      <c r="AN15479" t="s">
        <v>23668</v>
      </c>
      <c r="AO15479" t="s">
        <v>23669</v>
      </c>
    </row>
    <row r="15480" spans="39:41" ht="12" customHeight="1" x14ac:dyDescent="0.2">
      <c r="AM15480" t="str">
        <f t="shared" si="242"/>
        <v>Teronoh [MYASQ]</v>
      </c>
      <c r="AN15480" t="s">
        <v>22813</v>
      </c>
      <c r="AO15480" t="s">
        <v>22814</v>
      </c>
    </row>
    <row r="15481" spans="39:41" ht="12" customHeight="1" x14ac:dyDescent="0.2">
      <c r="AM15481" t="str">
        <f t="shared" si="242"/>
        <v>Terport (San Antonio) [PYTER]</v>
      </c>
      <c r="AN15481" t="s">
        <v>26683</v>
      </c>
      <c r="AO15481" t="s">
        <v>26684</v>
      </c>
    </row>
    <row r="15482" spans="39:41" ht="12" customHeight="1" x14ac:dyDescent="0.2">
      <c r="AM15482" t="str">
        <f t="shared" si="242"/>
        <v>Terra Bella [USVVC]</v>
      </c>
      <c r="AN15482" t="s">
        <v>31702</v>
      </c>
      <c r="AO15482" t="s">
        <v>31703</v>
      </c>
    </row>
    <row r="15483" spans="39:41" ht="12" customHeight="1" x14ac:dyDescent="0.2">
      <c r="AM15483" t="str">
        <f t="shared" si="242"/>
        <v>Terracina [ITTRC]</v>
      </c>
      <c r="AN15483" t="s">
        <v>18358</v>
      </c>
      <c r="AO15483" t="s">
        <v>18359</v>
      </c>
    </row>
    <row r="15484" spans="39:41" ht="12" customHeight="1" x14ac:dyDescent="0.2">
      <c r="AM15484" t="str">
        <f t="shared" si="242"/>
        <v>Terrasini [ITSNR]</v>
      </c>
      <c r="AN15484" t="s">
        <v>18360</v>
      </c>
      <c r="AO15484" t="s">
        <v>18361</v>
      </c>
    </row>
    <row r="15485" spans="39:41" ht="12" customHeight="1" x14ac:dyDescent="0.2">
      <c r="AM15485" t="str">
        <f t="shared" si="242"/>
        <v>Terrebonne [USNJQ]</v>
      </c>
      <c r="AN15485" t="s">
        <v>31704</v>
      </c>
      <c r="AO15485" t="s">
        <v>31705</v>
      </c>
    </row>
    <row r="15486" spans="39:41" ht="12" customHeight="1" x14ac:dyDescent="0.2">
      <c r="AM15486" t="str">
        <f t="shared" si="242"/>
        <v>Terry [USQTY]</v>
      </c>
      <c r="AN15486" t="s">
        <v>31706</v>
      </c>
      <c r="AO15486" t="s">
        <v>31707</v>
      </c>
    </row>
    <row r="15487" spans="39:41" ht="12" customHeight="1" x14ac:dyDescent="0.2">
      <c r="AM15487" t="str">
        <f t="shared" si="242"/>
        <v>Terschelling [NLTSL]</v>
      </c>
      <c r="AN15487" t="s">
        <v>23670</v>
      </c>
      <c r="AO15487" t="s">
        <v>23671</v>
      </c>
    </row>
    <row r="15488" spans="39:41" ht="12" customHeight="1" x14ac:dyDescent="0.2">
      <c r="AM15488" t="str">
        <f t="shared" si="242"/>
        <v>Tertre [BETET]</v>
      </c>
      <c r="AN15488" t="s">
        <v>2996</v>
      </c>
      <c r="AO15488" t="s">
        <v>2997</v>
      </c>
    </row>
    <row r="15489" spans="39:41" ht="12" customHeight="1" x14ac:dyDescent="0.2">
      <c r="AM15489" t="str">
        <f t="shared" si="242"/>
        <v>Terutao Island [MMTER]</v>
      </c>
      <c r="AN15489" t="s">
        <v>22210</v>
      </c>
      <c r="AO15489" t="s">
        <v>22211</v>
      </c>
    </row>
    <row r="15490" spans="39:41" ht="12" customHeight="1" x14ac:dyDescent="0.2">
      <c r="AM15490" t="str">
        <f t="shared" si="242"/>
        <v>Tervsund [FITSD]</v>
      </c>
      <c r="AN15490" t="s">
        <v>10566</v>
      </c>
      <c r="AO15490" t="s">
        <v>10567</v>
      </c>
    </row>
    <row r="15491" spans="39:41" ht="12" customHeight="1" x14ac:dyDescent="0.2">
      <c r="AM15491" t="str">
        <f t="shared" si="242"/>
        <v>Teshima [JPTSI]</v>
      </c>
      <c r="AN15491" t="s">
        <v>21096</v>
      </c>
      <c r="AO15491" t="s">
        <v>21097</v>
      </c>
    </row>
    <row r="15492" spans="39:41" ht="12" customHeight="1" x14ac:dyDescent="0.2">
      <c r="AM15492" t="str">
        <f t="shared" si="242"/>
        <v>Teshio [JPTSO]</v>
      </c>
      <c r="AN15492" t="s">
        <v>21098</v>
      </c>
      <c r="AO15492" t="s">
        <v>21099</v>
      </c>
    </row>
    <row r="15493" spans="39:41" ht="12" customHeight="1" x14ac:dyDescent="0.2">
      <c r="AM15493" t="str">
        <f t="shared" si="242"/>
        <v>Tessenderlo [BETES]</v>
      </c>
      <c r="AN15493" t="s">
        <v>2998</v>
      </c>
      <c r="AO15493" t="s">
        <v>2999</v>
      </c>
    </row>
    <row r="15494" spans="39:41" ht="12" customHeight="1" x14ac:dyDescent="0.2">
      <c r="AM15494" t="str">
        <f t="shared" si="242"/>
        <v>Tessjo (Tesjoki) [FITJO]</v>
      </c>
      <c r="AN15494" t="s">
        <v>10568</v>
      </c>
      <c r="AO15494" t="s">
        <v>35754</v>
      </c>
    </row>
    <row r="15495" spans="39:41" ht="12" customHeight="1" x14ac:dyDescent="0.2">
      <c r="AM15495" t="str">
        <f t="shared" si="242"/>
        <v>Tessvar [FITES]</v>
      </c>
      <c r="AN15495" t="s">
        <v>10569</v>
      </c>
      <c r="AO15495" t="s">
        <v>35755</v>
      </c>
    </row>
    <row r="15496" spans="39:41" ht="12" customHeight="1" x14ac:dyDescent="0.2">
      <c r="AM15496" t="str">
        <f t="shared" si="242"/>
        <v>Tessy-sur-Vire [FRUVV]</v>
      </c>
      <c r="AN15496" t="s">
        <v>12121</v>
      </c>
      <c r="AO15496" t="s">
        <v>12122</v>
      </c>
    </row>
    <row r="15497" spans="39:41" ht="12" customHeight="1" x14ac:dyDescent="0.2">
      <c r="AM15497" t="str">
        <f t="shared" si="242"/>
        <v>Teteghem [FRTTG]</v>
      </c>
      <c r="AN15497" t="s">
        <v>12123</v>
      </c>
      <c r="AO15497" t="s">
        <v>35857</v>
      </c>
    </row>
    <row r="15498" spans="39:41" ht="12" customHeight="1" x14ac:dyDescent="0.2">
      <c r="AM15498" t="str">
        <f t="shared" si="242"/>
        <v>Tetney Terminal [GBTTL]</v>
      </c>
      <c r="AN15498" t="s">
        <v>14662</v>
      </c>
      <c r="AO15498" t="s">
        <v>14663</v>
      </c>
    </row>
    <row r="15499" spans="39:41" ht="12" customHeight="1" x14ac:dyDescent="0.2">
      <c r="AM15499" t="str">
        <f t="shared" si="242"/>
        <v>Tetouan [MATTU]</v>
      </c>
      <c r="AN15499" t="s">
        <v>22069</v>
      </c>
      <c r="AO15499" t="s">
        <v>36084</v>
      </c>
    </row>
    <row r="15500" spans="39:41" ht="12" customHeight="1" x14ac:dyDescent="0.2">
      <c r="AM15500" t="str">
        <f t="shared" si="242"/>
        <v>Teuchern [DETCN]</v>
      </c>
      <c r="AN15500" t="s">
        <v>8347</v>
      </c>
      <c r="AO15500" t="s">
        <v>8348</v>
      </c>
    </row>
    <row r="15501" spans="39:41" ht="12" customHeight="1" x14ac:dyDescent="0.2">
      <c r="AM15501" t="str">
        <f t="shared" si="242"/>
        <v>Teuchi [JPTEU]</v>
      </c>
      <c r="AN15501" t="s">
        <v>21100</v>
      </c>
      <c r="AO15501" t="s">
        <v>21101</v>
      </c>
    </row>
    <row r="15502" spans="39:41" ht="12" customHeight="1" x14ac:dyDescent="0.2">
      <c r="AM15502" t="str">
        <f t="shared" si="242"/>
        <v>Teuri [JPTER]</v>
      </c>
      <c r="AN15502" t="s">
        <v>21102</v>
      </c>
      <c r="AO15502" t="s">
        <v>21103</v>
      </c>
    </row>
    <row r="15503" spans="39:41" ht="12" customHeight="1" x14ac:dyDescent="0.2">
      <c r="AM15503" t="str">
        <f t="shared" si="242"/>
        <v>Texada Island [CATEX]</v>
      </c>
      <c r="AN15503" t="s">
        <v>4512</v>
      </c>
      <c r="AO15503" t="s">
        <v>4513</v>
      </c>
    </row>
    <row r="15504" spans="39:41" ht="12" customHeight="1" x14ac:dyDescent="0.2">
      <c r="AM15504" t="str">
        <f t="shared" si="242"/>
        <v>Texas City [USTXT]</v>
      </c>
      <c r="AN15504" t="s">
        <v>31708</v>
      </c>
      <c r="AO15504" t="s">
        <v>31709</v>
      </c>
    </row>
    <row r="15505" spans="39:41" ht="12" customHeight="1" x14ac:dyDescent="0.2">
      <c r="AM15505" t="str">
        <f t="shared" si="242"/>
        <v>Texel [NLTEX]</v>
      </c>
      <c r="AN15505" t="s">
        <v>23672</v>
      </c>
      <c r="AO15505" t="s">
        <v>23673</v>
      </c>
    </row>
    <row r="15506" spans="39:41" ht="12" customHeight="1" x14ac:dyDescent="0.2">
      <c r="AM15506" t="str">
        <f t="shared" si="242"/>
        <v>Tha Sala [THTHA]</v>
      </c>
      <c r="AN15506" t="s">
        <v>28297</v>
      </c>
      <c r="AO15506" t="s">
        <v>28298</v>
      </c>
    </row>
    <row r="15507" spans="39:41" ht="12" customHeight="1" x14ac:dyDescent="0.2">
      <c r="AM15507" t="str">
        <f t="shared" si="242"/>
        <v>Thakeham [GBKHA]</v>
      </c>
      <c r="AN15507" t="s">
        <v>14664</v>
      </c>
      <c r="AO15507" t="s">
        <v>14665</v>
      </c>
    </row>
    <row r="15508" spans="39:41" ht="12" customHeight="1" x14ac:dyDescent="0.2">
      <c r="AM15508" t="str">
        <f t="shared" si="242"/>
        <v>Thal [INTHL]</v>
      </c>
      <c r="AN15508" t="s">
        <v>17479</v>
      </c>
      <c r="AO15508" t="s">
        <v>17480</v>
      </c>
    </row>
    <row r="15509" spans="39:41" ht="12" customHeight="1" x14ac:dyDescent="0.2">
      <c r="AM15509" t="str">
        <f t="shared" si="242"/>
        <v>Thallwitz [DETWZ]</v>
      </c>
      <c r="AN15509" t="s">
        <v>8349</v>
      </c>
      <c r="AO15509" t="s">
        <v>8350</v>
      </c>
    </row>
    <row r="15510" spans="39:41" ht="12" customHeight="1" x14ac:dyDescent="0.2">
      <c r="AM15510" t="str">
        <f t="shared" si="242"/>
        <v>Thames Haven [GBTHS]</v>
      </c>
      <c r="AN15510" t="s">
        <v>14666</v>
      </c>
      <c r="AO15510" t="s">
        <v>14667</v>
      </c>
    </row>
    <row r="15511" spans="39:41" ht="12" customHeight="1" x14ac:dyDescent="0.2">
      <c r="AM15511" t="str">
        <f t="shared" si="242"/>
        <v>Thamesford [CATHA]</v>
      </c>
      <c r="AN15511" t="s">
        <v>4514</v>
      </c>
      <c r="AO15511" t="s">
        <v>4515</v>
      </c>
    </row>
    <row r="15512" spans="39:41" ht="12" customHeight="1" x14ac:dyDescent="0.2">
      <c r="AM15512" t="str">
        <f t="shared" si="242"/>
        <v>Thamesport [GBTHP]</v>
      </c>
      <c r="AN15512" t="s">
        <v>14668</v>
      </c>
      <c r="AO15512" t="s">
        <v>14669</v>
      </c>
    </row>
    <row r="15513" spans="39:41" ht="12" customHeight="1" x14ac:dyDescent="0.2">
      <c r="AM15513" t="str">
        <f t="shared" si="242"/>
        <v>Thana [INTNA]</v>
      </c>
      <c r="AN15513" t="s">
        <v>17481</v>
      </c>
      <c r="AO15513" t="s">
        <v>17482</v>
      </c>
    </row>
    <row r="15514" spans="39:41" ht="12" customHeight="1" x14ac:dyDescent="0.2">
      <c r="AM15514" t="str">
        <f t="shared" si="242"/>
        <v>Thandwe (ex Sandoway) [MMSNW]</v>
      </c>
      <c r="AN15514" t="s">
        <v>22212</v>
      </c>
      <c r="AO15514" t="s">
        <v>22213</v>
      </c>
    </row>
    <row r="15515" spans="39:41" ht="12" customHeight="1" x14ac:dyDescent="0.2">
      <c r="AM15515" t="str">
        <f t="shared" si="242"/>
        <v>Thane [INTHN]</v>
      </c>
      <c r="AN15515" t="s">
        <v>17483</v>
      </c>
      <c r="AO15515" t="s">
        <v>17484</v>
      </c>
    </row>
    <row r="15516" spans="39:41" ht="12" customHeight="1" x14ac:dyDescent="0.2">
      <c r="AM15516" t="str">
        <f t="shared" si="242"/>
        <v>Thang Binh [VNTBI]</v>
      </c>
      <c r="AN15516" t="s">
        <v>32491</v>
      </c>
      <c r="AO15516" t="s">
        <v>32492</v>
      </c>
    </row>
    <row r="15517" spans="39:41" ht="12" customHeight="1" x14ac:dyDescent="0.2">
      <c r="AM15517" t="str">
        <f t="shared" si="242"/>
        <v>Thanh Hoa [VNTHO]</v>
      </c>
      <c r="AN15517" t="s">
        <v>32493</v>
      </c>
      <c r="AO15517" t="s">
        <v>32494</v>
      </c>
    </row>
    <row r="15518" spans="39:41" ht="12" customHeight="1" x14ac:dyDescent="0.2">
      <c r="AM15518" t="str">
        <f t="shared" si="242"/>
        <v>Thanh Phuoc Port [VNTPP]</v>
      </c>
      <c r="AN15518" t="s">
        <v>32495</v>
      </c>
      <c r="AO15518" t="s">
        <v>32496</v>
      </c>
    </row>
    <row r="15519" spans="39:41" ht="12" customHeight="1" x14ac:dyDescent="0.2">
      <c r="AM15519" t="str">
        <f t="shared" si="242"/>
        <v>Thasos [GRTSO]</v>
      </c>
      <c r="AN15519" t="s">
        <v>15551</v>
      </c>
      <c r="AO15519" t="s">
        <v>15552</v>
      </c>
    </row>
    <row r="15520" spans="39:41" ht="12" customHeight="1" x14ac:dyDescent="0.2">
      <c r="AM15520" t="str">
        <f t="shared" si="242"/>
        <v>Thaton [MMTHA]</v>
      </c>
      <c r="AN15520" t="s">
        <v>22214</v>
      </c>
      <c r="AO15520" t="s">
        <v>22215</v>
      </c>
    </row>
    <row r="15521" spans="39:41" ht="12" customHeight="1" x14ac:dyDescent="0.2">
      <c r="AM15521" t="str">
        <f t="shared" si="242"/>
        <v>Thawwassen [CATWN]</v>
      </c>
      <c r="AN15521" t="s">
        <v>4516</v>
      </c>
      <c r="AO15521" t="s">
        <v>4517</v>
      </c>
    </row>
    <row r="15522" spans="39:41" ht="12" customHeight="1" x14ac:dyDescent="0.2">
      <c r="AM15522" t="str">
        <f t="shared" si="242"/>
        <v>The Bight [BSTBI]</v>
      </c>
      <c r="AN15522" t="s">
        <v>3478</v>
      </c>
      <c r="AO15522" t="s">
        <v>3479</v>
      </c>
    </row>
    <row r="15523" spans="39:41" ht="12" customHeight="1" x14ac:dyDescent="0.2">
      <c r="AM15523" t="str">
        <f t="shared" si="242"/>
        <v>The Colony [USCY2]</v>
      </c>
      <c r="AN15523" t="s">
        <v>31710</v>
      </c>
      <c r="AO15523" t="s">
        <v>31711</v>
      </c>
    </row>
    <row r="15524" spans="39:41" ht="12" customHeight="1" x14ac:dyDescent="0.2">
      <c r="AM15524" t="str">
        <f t="shared" si="242"/>
        <v>The Forest [AIFOR]</v>
      </c>
      <c r="AN15524" t="s">
        <v>810</v>
      </c>
      <c r="AO15524" t="s">
        <v>811</v>
      </c>
    </row>
    <row r="15525" spans="39:41" ht="12" customHeight="1" x14ac:dyDescent="0.2">
      <c r="AM15525" t="str">
        <f t="shared" si="242"/>
        <v>The Forties [GBFTI]</v>
      </c>
      <c r="AN15525" t="s">
        <v>14670</v>
      </c>
      <c r="AO15525" t="s">
        <v>14671</v>
      </c>
    </row>
    <row r="15526" spans="39:41" ht="12" customHeight="1" x14ac:dyDescent="0.2">
      <c r="AM15526" t="str">
        <f t="shared" si="242"/>
        <v>The Gurdies [AUGUR]</v>
      </c>
      <c r="AN15526" t="s">
        <v>2050</v>
      </c>
      <c r="AO15526" t="s">
        <v>2051</v>
      </c>
    </row>
    <row r="15527" spans="39:41" ht="12" customHeight="1" x14ac:dyDescent="0.2">
      <c r="AM15527" t="str">
        <f t="shared" si="242"/>
        <v>The Palm Jumeirah [AEDUJ]</v>
      </c>
      <c r="AN15527" t="s">
        <v>778</v>
      </c>
      <c r="AO15527" t="s">
        <v>779</v>
      </c>
    </row>
    <row r="15528" spans="39:41" ht="12" customHeight="1" x14ac:dyDescent="0.2">
      <c r="AM15528" t="str">
        <f t="shared" si="242"/>
        <v>The Road [AIROA]</v>
      </c>
      <c r="AN15528" t="s">
        <v>812</v>
      </c>
      <c r="AO15528" t="s">
        <v>813</v>
      </c>
    </row>
    <row r="15529" spans="39:41" ht="12" customHeight="1" x14ac:dyDescent="0.2">
      <c r="AM15529" t="str">
        <f t="shared" si="242"/>
        <v>Theiss [ATTHS]</v>
      </c>
      <c r="AN15529" t="s">
        <v>1359</v>
      </c>
      <c r="AO15529" t="s">
        <v>1360</v>
      </c>
    </row>
    <row r="15530" spans="39:41" ht="12" customHeight="1" x14ac:dyDescent="0.2">
      <c r="AM15530" t="str">
        <f t="shared" ref="AM15530:AM15593" si="243">AO15530 &amp; " [" &amp; AN15530 &amp; "]"</f>
        <v>Thenard [USOJL]</v>
      </c>
      <c r="AN15530" t="s">
        <v>31712</v>
      </c>
      <c r="AO15530" t="s">
        <v>31713</v>
      </c>
    </row>
    <row r="15531" spans="39:41" ht="12" customHeight="1" x14ac:dyDescent="0.2">
      <c r="AM15531" t="str">
        <f t="shared" si="243"/>
        <v>Thessaloniki [GRSKG]</v>
      </c>
      <c r="AN15531" t="s">
        <v>15553</v>
      </c>
      <c r="AO15531" t="s">
        <v>35986</v>
      </c>
    </row>
    <row r="15532" spans="39:41" ht="12" customHeight="1" x14ac:dyDescent="0.2">
      <c r="AM15532" t="str">
        <f t="shared" si="243"/>
        <v>Thessi Kyrillo [GRTKO]</v>
      </c>
      <c r="AN15532" t="s">
        <v>15554</v>
      </c>
      <c r="AO15532" t="s">
        <v>15555</v>
      </c>
    </row>
    <row r="15533" spans="39:41" ht="12" customHeight="1" x14ac:dyDescent="0.2">
      <c r="AM15533" t="str">
        <f t="shared" si="243"/>
        <v>Thetis Island [CATTL]</v>
      </c>
      <c r="AN15533" t="s">
        <v>4518</v>
      </c>
      <c r="AO15533" t="s">
        <v>4519</v>
      </c>
    </row>
    <row r="15534" spans="39:41" ht="12" customHeight="1" x14ac:dyDescent="0.2">
      <c r="AM15534" t="str">
        <f t="shared" si="243"/>
        <v>Thevenard [AUTHE]</v>
      </c>
      <c r="AN15534" t="s">
        <v>2052</v>
      </c>
      <c r="AO15534" t="s">
        <v>2053</v>
      </c>
    </row>
    <row r="15535" spans="39:41" ht="12" customHeight="1" x14ac:dyDescent="0.2">
      <c r="AM15535" t="str">
        <f t="shared" si="243"/>
        <v>Thevenard Island [AUCTH]</v>
      </c>
      <c r="AN15535" t="s">
        <v>2054</v>
      </c>
      <c r="AO15535" t="s">
        <v>2055</v>
      </c>
    </row>
    <row r="15536" spans="39:41" ht="12" customHeight="1" x14ac:dyDescent="0.2">
      <c r="AM15536" t="str">
        <f t="shared" si="243"/>
        <v>Thi Nai Port [VNTNA]</v>
      </c>
      <c r="AN15536" t="s">
        <v>32497</v>
      </c>
      <c r="AO15536" t="s">
        <v>32498</v>
      </c>
    </row>
    <row r="15537" spans="39:41" ht="12" customHeight="1" x14ac:dyDescent="0.2">
      <c r="AM15537" t="str">
        <f t="shared" si="243"/>
        <v>Thierhaupten [DETHR]</v>
      </c>
      <c r="AN15537" t="s">
        <v>8351</v>
      </c>
      <c r="AO15537" t="s">
        <v>8352</v>
      </c>
    </row>
    <row r="15538" spans="39:41" ht="12" customHeight="1" x14ac:dyDescent="0.2">
      <c r="AM15538" t="str">
        <f t="shared" si="243"/>
        <v>Thieu [BETHE]</v>
      </c>
      <c r="AN15538" t="s">
        <v>3000</v>
      </c>
      <c r="AO15538" t="s">
        <v>3001</v>
      </c>
    </row>
    <row r="15539" spans="39:41" ht="12" customHeight="1" x14ac:dyDescent="0.2">
      <c r="AM15539" t="str">
        <f t="shared" si="243"/>
        <v>Thilawa [MMTLA]</v>
      </c>
      <c r="AN15539" t="s">
        <v>34181</v>
      </c>
      <c r="AO15539" t="s">
        <v>34255</v>
      </c>
    </row>
    <row r="15540" spans="39:41" ht="12" customHeight="1" x14ac:dyDescent="0.2">
      <c r="AM15540" t="str">
        <f t="shared" si="243"/>
        <v>Thingeyri [ISTEY]</v>
      </c>
      <c r="AN15540" t="s">
        <v>17774</v>
      </c>
      <c r="AO15540" t="s">
        <v>17775</v>
      </c>
    </row>
    <row r="15541" spans="39:41" ht="12" customHeight="1" x14ac:dyDescent="0.2">
      <c r="AM15541" t="str">
        <f t="shared" si="243"/>
        <v>Thio [NCTHI]</v>
      </c>
      <c r="AN15541" t="s">
        <v>22892</v>
      </c>
      <c r="AO15541" t="s">
        <v>22893</v>
      </c>
    </row>
    <row r="15542" spans="39:41" ht="12" customHeight="1" x14ac:dyDescent="0.2">
      <c r="AM15542" t="str">
        <f t="shared" si="243"/>
        <v>Thionville [FRTVL]</v>
      </c>
      <c r="AN15542" t="s">
        <v>12124</v>
      </c>
      <c r="AO15542" t="s">
        <v>12125</v>
      </c>
    </row>
    <row r="15543" spans="39:41" ht="12" customHeight="1" x14ac:dyDescent="0.2">
      <c r="AM15543" t="str">
        <f t="shared" si="243"/>
        <v>Thira [GRJTR]</v>
      </c>
      <c r="AN15543" t="s">
        <v>15556</v>
      </c>
      <c r="AO15543" t="s">
        <v>35987</v>
      </c>
    </row>
    <row r="15544" spans="39:41" ht="12" customHeight="1" x14ac:dyDescent="0.2">
      <c r="AM15544" t="str">
        <f t="shared" si="243"/>
        <v>Thirasia [GRTRS]</v>
      </c>
      <c r="AN15544" t="s">
        <v>15557</v>
      </c>
      <c r="AO15544" t="s">
        <v>35988</v>
      </c>
    </row>
    <row r="15545" spans="39:41" ht="12" customHeight="1" x14ac:dyDescent="0.2">
      <c r="AM15545" t="str">
        <f t="shared" si="243"/>
        <v>Thisted [DKTED]</v>
      </c>
      <c r="AN15545" t="s">
        <v>8935</v>
      </c>
      <c r="AO15545" t="s">
        <v>8936</v>
      </c>
    </row>
    <row r="15546" spans="39:41" ht="12" customHeight="1" x14ac:dyDescent="0.2">
      <c r="AM15546" t="str">
        <f t="shared" si="243"/>
        <v>Thistle Field [GBTHF]</v>
      </c>
      <c r="AN15546" t="s">
        <v>14672</v>
      </c>
      <c r="AO15546" t="s">
        <v>14673</v>
      </c>
    </row>
    <row r="15547" spans="39:41" ht="12" customHeight="1" x14ac:dyDescent="0.2">
      <c r="AM15547" t="str">
        <f t="shared" si="243"/>
        <v>Thisvi Port [GRTHP]</v>
      </c>
      <c r="AN15547" t="s">
        <v>34094</v>
      </c>
      <c r="AO15547" t="s">
        <v>34140</v>
      </c>
    </row>
    <row r="15548" spans="39:41" ht="12" customHeight="1" x14ac:dyDescent="0.2">
      <c r="AM15548" t="str">
        <f t="shared" si="243"/>
        <v>Tholen [NLTHO]</v>
      </c>
      <c r="AN15548" t="s">
        <v>23674</v>
      </c>
      <c r="AO15548" t="s">
        <v>23675</v>
      </c>
    </row>
    <row r="15549" spans="39:41" ht="12" customHeight="1" x14ac:dyDescent="0.2">
      <c r="AM15549" t="str">
        <f t="shared" si="243"/>
        <v>Tholey [DETOY]</v>
      </c>
      <c r="AN15549" t="s">
        <v>8353</v>
      </c>
      <c r="AO15549" t="s">
        <v>8354</v>
      </c>
    </row>
    <row r="15550" spans="39:41" ht="12" customHeight="1" x14ac:dyDescent="0.2">
      <c r="AM15550" t="str">
        <f t="shared" si="243"/>
        <v>Thomery [FRTGH]</v>
      </c>
      <c r="AN15550" t="s">
        <v>12126</v>
      </c>
      <c r="AO15550" t="s">
        <v>12127</v>
      </c>
    </row>
    <row r="15551" spans="39:41" ht="12" customHeight="1" x14ac:dyDescent="0.2">
      <c r="AM15551" t="str">
        <f t="shared" si="243"/>
        <v>Thompson [USTPS]</v>
      </c>
      <c r="AN15551" t="s">
        <v>31714</v>
      </c>
      <c r="AO15551" t="s">
        <v>31715</v>
      </c>
    </row>
    <row r="15552" spans="39:41" ht="12" customHeight="1" x14ac:dyDescent="0.2">
      <c r="AM15552" t="str">
        <f t="shared" si="243"/>
        <v>Thompson Falls [USTHF]</v>
      </c>
      <c r="AN15552" t="s">
        <v>31716</v>
      </c>
      <c r="AO15552" t="s">
        <v>31717</v>
      </c>
    </row>
    <row r="15553" spans="39:41" ht="12" customHeight="1" x14ac:dyDescent="0.2">
      <c r="AM15553" t="str">
        <f t="shared" si="243"/>
        <v>Thompsontown [USTPW]</v>
      </c>
      <c r="AN15553" t="s">
        <v>31718</v>
      </c>
      <c r="AO15553" t="s">
        <v>31719</v>
      </c>
    </row>
    <row r="15554" spans="39:41" ht="12" customHeight="1" x14ac:dyDescent="0.2">
      <c r="AM15554" t="str">
        <f t="shared" si="243"/>
        <v>Thopputhurai [INTPH]</v>
      </c>
      <c r="AN15554" t="s">
        <v>17485</v>
      </c>
      <c r="AO15554" t="s">
        <v>17486</v>
      </c>
    </row>
    <row r="15555" spans="39:41" ht="12" customHeight="1" x14ac:dyDescent="0.2">
      <c r="AM15555" t="str">
        <f t="shared" si="243"/>
        <v>Thorembais-les-Beguines [BETRG]</v>
      </c>
      <c r="AN15555" t="s">
        <v>3002</v>
      </c>
      <c r="AO15555" t="s">
        <v>3003</v>
      </c>
    </row>
    <row r="15556" spans="39:41" ht="12" customHeight="1" x14ac:dyDescent="0.2">
      <c r="AM15556" t="str">
        <f t="shared" si="243"/>
        <v>Thorlakshofn [ISTHH]</v>
      </c>
      <c r="AN15556" t="s">
        <v>17776</v>
      </c>
      <c r="AO15556" t="s">
        <v>17777</v>
      </c>
    </row>
    <row r="15557" spans="39:41" ht="12" customHeight="1" x14ac:dyDescent="0.2">
      <c r="AM15557" t="str">
        <f t="shared" si="243"/>
        <v>Thornbury [CATBY]</v>
      </c>
      <c r="AN15557" t="s">
        <v>4520</v>
      </c>
      <c r="AO15557" t="s">
        <v>4521</v>
      </c>
    </row>
    <row r="15558" spans="39:41" ht="12" customHeight="1" x14ac:dyDescent="0.2">
      <c r="AM15558" t="str">
        <f t="shared" si="243"/>
        <v>Thornhill [CATHL]</v>
      </c>
      <c r="AN15558" t="s">
        <v>4522</v>
      </c>
      <c r="AO15558" t="s">
        <v>4523</v>
      </c>
    </row>
    <row r="15559" spans="39:41" ht="12" customHeight="1" x14ac:dyDescent="0.2">
      <c r="AM15559" t="str">
        <f t="shared" si="243"/>
        <v>Thornhill [GBTRL]</v>
      </c>
      <c r="AN15559" t="s">
        <v>14674</v>
      </c>
      <c r="AO15559" t="s">
        <v>4523</v>
      </c>
    </row>
    <row r="15560" spans="39:41" ht="12" customHeight="1" x14ac:dyDescent="0.2">
      <c r="AM15560" t="str">
        <f t="shared" si="243"/>
        <v>Thornich [DERRT]</v>
      </c>
      <c r="AN15560" t="s">
        <v>8355</v>
      </c>
      <c r="AO15560" t="s">
        <v>35502</v>
      </c>
    </row>
    <row r="15561" spans="39:41" ht="12" customHeight="1" x14ac:dyDescent="0.2">
      <c r="AM15561" t="str">
        <f t="shared" si="243"/>
        <v>Thornley [GBNLE]</v>
      </c>
      <c r="AN15561" t="s">
        <v>14675</v>
      </c>
      <c r="AO15561" t="s">
        <v>14676</v>
      </c>
    </row>
    <row r="15562" spans="39:41" ht="12" customHeight="1" x14ac:dyDescent="0.2">
      <c r="AM15562" t="str">
        <f t="shared" si="243"/>
        <v>Thorntonbank [BETOB]</v>
      </c>
      <c r="AN15562" t="s">
        <v>3004</v>
      </c>
      <c r="AO15562" t="s">
        <v>3005</v>
      </c>
    </row>
    <row r="15563" spans="39:41" ht="12" customHeight="1" x14ac:dyDescent="0.2">
      <c r="AM15563" t="str">
        <f t="shared" si="243"/>
        <v>Thorold [CATHD]</v>
      </c>
      <c r="AN15563" t="s">
        <v>4524</v>
      </c>
      <c r="AO15563" t="s">
        <v>4525</v>
      </c>
    </row>
    <row r="15564" spans="39:41" ht="12" customHeight="1" x14ac:dyDescent="0.2">
      <c r="AM15564" t="str">
        <f t="shared" si="243"/>
        <v>Thoroya [NOTOY]</v>
      </c>
      <c r="AN15564" t="s">
        <v>24896</v>
      </c>
      <c r="AO15564" t="s">
        <v>36322</v>
      </c>
    </row>
    <row r="15565" spans="39:41" ht="12" customHeight="1" x14ac:dyDescent="0.2">
      <c r="AM15565" t="str">
        <f t="shared" si="243"/>
        <v>Thorpe Bay [GBTPB]</v>
      </c>
      <c r="AN15565" t="s">
        <v>14677</v>
      </c>
      <c r="AO15565" t="s">
        <v>14678</v>
      </c>
    </row>
    <row r="15566" spans="39:41" ht="12" customHeight="1" x14ac:dyDescent="0.2">
      <c r="AM15566" t="str">
        <f t="shared" si="243"/>
        <v>Thorpeness [GBNSS]</v>
      </c>
      <c r="AN15566" t="s">
        <v>14679</v>
      </c>
      <c r="AO15566" t="s">
        <v>14680</v>
      </c>
    </row>
    <row r="15567" spans="39:41" ht="12" customHeight="1" x14ac:dyDescent="0.2">
      <c r="AM15567" t="str">
        <f t="shared" si="243"/>
        <v>Thorshavn [FOTHO]</v>
      </c>
      <c r="AN15567" t="s">
        <v>10696</v>
      </c>
      <c r="AO15567" t="s">
        <v>10697</v>
      </c>
    </row>
    <row r="15568" spans="39:41" ht="12" customHeight="1" x14ac:dyDescent="0.2">
      <c r="AM15568" t="str">
        <f t="shared" si="243"/>
        <v>Thorshofn [ISTHO]</v>
      </c>
      <c r="AN15568" t="s">
        <v>17778</v>
      </c>
      <c r="AO15568" t="s">
        <v>17779</v>
      </c>
    </row>
    <row r="15569" spans="39:41" ht="12" customHeight="1" x14ac:dyDescent="0.2">
      <c r="AM15569" t="str">
        <f t="shared" si="243"/>
        <v>Three Forks Junction [USQTF]</v>
      </c>
      <c r="AN15569" t="s">
        <v>31720</v>
      </c>
      <c r="AO15569" t="s">
        <v>31721</v>
      </c>
    </row>
    <row r="15570" spans="39:41" ht="12" customHeight="1" x14ac:dyDescent="0.2">
      <c r="AM15570" t="str">
        <f t="shared" si="243"/>
        <v>Three Hills [CATHH]</v>
      </c>
      <c r="AN15570" t="s">
        <v>4526</v>
      </c>
      <c r="AO15570" t="s">
        <v>4527</v>
      </c>
    </row>
    <row r="15571" spans="39:41" ht="12" customHeight="1" x14ac:dyDescent="0.2">
      <c r="AM15571" t="str">
        <f t="shared" si="243"/>
        <v>Three Oaks [USOI7]</v>
      </c>
      <c r="AN15571" t="s">
        <v>31722</v>
      </c>
      <c r="AO15571" t="s">
        <v>31723</v>
      </c>
    </row>
    <row r="15572" spans="39:41" ht="12" customHeight="1" x14ac:dyDescent="0.2">
      <c r="AM15572" t="str">
        <f t="shared" si="243"/>
        <v>Thu Dau Mot [VNTHD]</v>
      </c>
      <c r="AN15572" t="s">
        <v>32499</v>
      </c>
      <c r="AO15572" t="s">
        <v>32500</v>
      </c>
    </row>
    <row r="15573" spans="39:41" ht="12" customHeight="1" x14ac:dyDescent="0.2">
      <c r="AM15573" t="str">
        <f t="shared" si="243"/>
        <v>Thuan An [VNTHU]</v>
      </c>
      <c r="AN15573" t="s">
        <v>32501</v>
      </c>
      <c r="AO15573" t="s">
        <v>32502</v>
      </c>
    </row>
    <row r="15574" spans="39:41" ht="12" customHeight="1" x14ac:dyDescent="0.2">
      <c r="AM15574" t="str">
        <f t="shared" si="243"/>
        <v>Thuin [BETHU]</v>
      </c>
      <c r="AN15574" t="s">
        <v>3006</v>
      </c>
      <c r="AO15574" t="s">
        <v>3007</v>
      </c>
    </row>
    <row r="15575" spans="39:41" ht="12" customHeight="1" x14ac:dyDescent="0.2">
      <c r="AM15575" t="str">
        <f t="shared" si="243"/>
        <v>Thunder Bay [CATHU]</v>
      </c>
      <c r="AN15575" t="s">
        <v>4528</v>
      </c>
      <c r="AO15575" t="s">
        <v>4529</v>
      </c>
    </row>
    <row r="15576" spans="39:41" ht="12" customHeight="1" x14ac:dyDescent="0.2">
      <c r="AM15576" t="str">
        <f t="shared" si="243"/>
        <v>Thundersley [GBRSL]</v>
      </c>
      <c r="AN15576" t="s">
        <v>14681</v>
      </c>
      <c r="AO15576" t="s">
        <v>14682</v>
      </c>
    </row>
    <row r="15577" spans="39:41" ht="12" customHeight="1" x14ac:dyDescent="0.2">
      <c r="AM15577" t="str">
        <f t="shared" si="243"/>
        <v>Thune [DETHU]</v>
      </c>
      <c r="AN15577" t="s">
        <v>8356</v>
      </c>
      <c r="AO15577" t="s">
        <v>8357</v>
      </c>
    </row>
    <row r="15578" spans="39:41" ht="12" customHeight="1" x14ac:dyDescent="0.2">
      <c r="AM15578" t="str">
        <f t="shared" si="243"/>
        <v>Thungersheim [DETGM]</v>
      </c>
      <c r="AN15578" t="s">
        <v>8358</v>
      </c>
      <c r="AO15578" t="s">
        <v>35503</v>
      </c>
    </row>
    <row r="15579" spans="39:41" ht="12" customHeight="1" x14ac:dyDescent="0.2">
      <c r="AM15579" t="str">
        <f t="shared" si="243"/>
        <v>Thun-Saint-Martin [FRTMN]</v>
      </c>
      <c r="AN15579" t="s">
        <v>12128</v>
      </c>
      <c r="AO15579" t="s">
        <v>12129</v>
      </c>
    </row>
    <row r="15580" spans="39:41" ht="12" customHeight="1" x14ac:dyDescent="0.2">
      <c r="AM15580" t="str">
        <f t="shared" si="243"/>
        <v>Thurnau [DETYN]</v>
      </c>
      <c r="AN15580" t="s">
        <v>8359</v>
      </c>
      <c r="AO15580" t="s">
        <v>8360</v>
      </c>
    </row>
    <row r="15581" spans="39:41" ht="12" customHeight="1" x14ac:dyDescent="0.2">
      <c r="AM15581" t="str">
        <f t="shared" si="243"/>
        <v>Thurnscoe [GBFUU]</v>
      </c>
      <c r="AN15581" t="s">
        <v>14683</v>
      </c>
      <c r="AO15581" t="s">
        <v>14684</v>
      </c>
    </row>
    <row r="15582" spans="39:41" ht="12" customHeight="1" x14ac:dyDescent="0.2">
      <c r="AM15582" t="str">
        <f t="shared" si="243"/>
        <v>Thursday Island [AUTIS]</v>
      </c>
      <c r="AN15582" t="s">
        <v>2056</v>
      </c>
      <c r="AO15582" t="s">
        <v>2057</v>
      </c>
    </row>
    <row r="15583" spans="39:41" ht="12" customHeight="1" x14ac:dyDescent="0.2">
      <c r="AM15583" t="str">
        <f t="shared" si="243"/>
        <v>Thurso [GBTHR]</v>
      </c>
      <c r="AN15583" t="s">
        <v>14685</v>
      </c>
      <c r="AO15583" t="s">
        <v>14686</v>
      </c>
    </row>
    <row r="15584" spans="39:41" ht="12" customHeight="1" x14ac:dyDescent="0.2">
      <c r="AM15584" t="str">
        <f t="shared" si="243"/>
        <v>Thymaina Island [GRTHM]</v>
      </c>
      <c r="AN15584" t="s">
        <v>15558</v>
      </c>
      <c r="AO15584" t="s">
        <v>15559</v>
      </c>
    </row>
    <row r="15585" spans="39:41" ht="12" customHeight="1" x14ac:dyDescent="0.2">
      <c r="AM15585" t="str">
        <f t="shared" si="243"/>
        <v>Thyolo [MWTHY]</v>
      </c>
      <c r="AN15585" t="s">
        <v>22295</v>
      </c>
      <c r="AO15585" t="s">
        <v>22296</v>
      </c>
    </row>
    <row r="15586" spans="39:41" ht="12" customHeight="1" x14ac:dyDescent="0.2">
      <c r="AM15586" t="str">
        <f t="shared" si="243"/>
        <v>Tia Juana/Maracaibo L [VETJV]</v>
      </c>
      <c r="AN15586" t="s">
        <v>32259</v>
      </c>
      <c r="AO15586" t="s">
        <v>32260</v>
      </c>
    </row>
    <row r="15587" spans="39:41" ht="12" customHeight="1" x14ac:dyDescent="0.2">
      <c r="AM15587" t="str">
        <f t="shared" si="243"/>
        <v>Tiandong [CNTID]</v>
      </c>
      <c r="AN15587" t="s">
        <v>6136</v>
      </c>
      <c r="AO15587" t="s">
        <v>6137</v>
      </c>
    </row>
    <row r="15588" spans="39:41" ht="12" customHeight="1" x14ac:dyDescent="0.2">
      <c r="AM15588" t="str">
        <f t="shared" si="243"/>
        <v>Tianjin [CNTNJ]</v>
      </c>
      <c r="AN15588" t="s">
        <v>6138</v>
      </c>
      <c r="AO15588" t="s">
        <v>6139</v>
      </c>
    </row>
    <row r="15589" spans="39:41" ht="12" customHeight="1" x14ac:dyDescent="0.2">
      <c r="AM15589" t="str">
        <f t="shared" si="243"/>
        <v>Tianjin New Pt [CNTXG]</v>
      </c>
      <c r="AN15589" t="s">
        <v>6140</v>
      </c>
      <c r="AO15589" t="s">
        <v>6141</v>
      </c>
    </row>
    <row r="15590" spans="39:41" ht="12" customHeight="1" x14ac:dyDescent="0.2">
      <c r="AM15590" t="str">
        <f t="shared" si="243"/>
        <v>Tianjin Pt [CNTNG]</v>
      </c>
      <c r="AN15590" t="s">
        <v>6142</v>
      </c>
      <c r="AO15590" t="s">
        <v>6143</v>
      </c>
    </row>
    <row r="15591" spans="39:41" ht="12" customHeight="1" x14ac:dyDescent="0.2">
      <c r="AM15591" t="str">
        <f t="shared" si="243"/>
        <v>Tianjinbaoshuiqu [CNTBS]</v>
      </c>
      <c r="AN15591" t="s">
        <v>6144</v>
      </c>
      <c r="AO15591" t="s">
        <v>6145</v>
      </c>
    </row>
    <row r="15592" spans="39:41" ht="12" customHeight="1" x14ac:dyDescent="0.2">
      <c r="AM15592" t="str">
        <f t="shared" si="243"/>
        <v>Tianyang [CNTIY]</v>
      </c>
      <c r="AN15592" t="s">
        <v>6146</v>
      </c>
      <c r="AO15592" t="s">
        <v>6147</v>
      </c>
    </row>
    <row r="15593" spans="39:41" ht="12" customHeight="1" x14ac:dyDescent="0.2">
      <c r="AM15593" t="str">
        <f t="shared" si="243"/>
        <v>Tianzhen [CNTZE]</v>
      </c>
      <c r="AN15593" t="s">
        <v>6148</v>
      </c>
      <c r="AO15593" t="s">
        <v>6149</v>
      </c>
    </row>
    <row r="15594" spans="39:41" ht="12" customHeight="1" x14ac:dyDescent="0.2">
      <c r="AM15594" t="str">
        <f t="shared" ref="AM15594:AM15657" si="244">AO15594 &amp; " [" &amp; AN15594 &amp; "]"</f>
        <v>Tiaxcala [MXTXC]</v>
      </c>
      <c r="AN15594" t="s">
        <v>22465</v>
      </c>
      <c r="AO15594" t="s">
        <v>22466</v>
      </c>
    </row>
    <row r="15595" spans="39:41" ht="12" customHeight="1" x14ac:dyDescent="0.2">
      <c r="AM15595" t="str">
        <f t="shared" si="244"/>
        <v>Tiberias [ILTIB]</v>
      </c>
      <c r="AN15595" t="s">
        <v>16984</v>
      </c>
      <c r="AO15595" t="s">
        <v>16985</v>
      </c>
    </row>
    <row r="15596" spans="39:41" ht="12" customHeight="1" x14ac:dyDescent="0.2">
      <c r="AM15596" t="str">
        <f t="shared" si="244"/>
        <v>Tibungco/Davao [PHTIB]</v>
      </c>
      <c r="AN15596" t="s">
        <v>26206</v>
      </c>
      <c r="AO15596" t="s">
        <v>26207</v>
      </c>
    </row>
    <row r="15597" spans="39:41" ht="12" customHeight="1" x14ac:dyDescent="0.2">
      <c r="AM15597" t="str">
        <f t="shared" si="244"/>
        <v>Tiburon [USXTN]</v>
      </c>
      <c r="AN15597" t="s">
        <v>31724</v>
      </c>
      <c r="AO15597" t="s">
        <v>31725</v>
      </c>
    </row>
    <row r="15598" spans="39:41" ht="12" customHeight="1" x14ac:dyDescent="0.2">
      <c r="AM15598" t="str">
        <f t="shared" si="244"/>
        <v>Tielrode [BETIL]</v>
      </c>
      <c r="AN15598" t="s">
        <v>3008</v>
      </c>
      <c r="AO15598" t="s">
        <v>3009</v>
      </c>
    </row>
    <row r="15599" spans="39:41" ht="12" customHeight="1" x14ac:dyDescent="0.2">
      <c r="AM15599" t="str">
        <f t="shared" si="244"/>
        <v>Tien Sa Terminal [VNDTS]</v>
      </c>
      <c r="AN15599" t="s">
        <v>32503</v>
      </c>
      <c r="AO15599" t="s">
        <v>32504</v>
      </c>
    </row>
    <row r="15600" spans="39:41" ht="12" customHeight="1" x14ac:dyDescent="0.2">
      <c r="AM15600" t="str">
        <f t="shared" si="244"/>
        <v>Tieshan [CNBHT]</v>
      </c>
      <c r="AN15600" t="s">
        <v>6150</v>
      </c>
      <c r="AO15600" t="s">
        <v>6151</v>
      </c>
    </row>
    <row r="15601" spans="39:41" ht="12" customHeight="1" x14ac:dyDescent="0.2">
      <c r="AM15601" t="str">
        <f t="shared" si="244"/>
        <v>Tiessau [DETSU]</v>
      </c>
      <c r="AN15601" t="s">
        <v>8361</v>
      </c>
      <c r="AO15601" t="s">
        <v>8362</v>
      </c>
    </row>
    <row r="15602" spans="39:41" ht="12" customHeight="1" x14ac:dyDescent="0.2">
      <c r="AM15602" t="str">
        <f t="shared" si="244"/>
        <v>Tigery [FRTIG]</v>
      </c>
      <c r="AN15602" t="s">
        <v>12130</v>
      </c>
      <c r="AO15602" t="s">
        <v>12131</v>
      </c>
    </row>
    <row r="15603" spans="39:41" ht="12" customHeight="1" x14ac:dyDescent="0.2">
      <c r="AM15603" t="str">
        <f t="shared" si="244"/>
        <v>Tighnabruaich [GBTIG]</v>
      </c>
      <c r="AN15603" t="s">
        <v>14687</v>
      </c>
      <c r="AO15603" t="s">
        <v>14688</v>
      </c>
    </row>
    <row r="15604" spans="39:41" ht="12" customHeight="1" x14ac:dyDescent="0.2">
      <c r="AM15604" t="str">
        <f t="shared" si="244"/>
        <v>Tihange [BETHG]</v>
      </c>
      <c r="AN15604" t="s">
        <v>3010</v>
      </c>
      <c r="AO15604" t="s">
        <v>3011</v>
      </c>
    </row>
    <row r="15605" spans="39:41" ht="12" customHeight="1" x14ac:dyDescent="0.2">
      <c r="AM15605" t="str">
        <f t="shared" si="244"/>
        <v>Tijarafe [ESTJF]</v>
      </c>
      <c r="AN15605" t="s">
        <v>10238</v>
      </c>
      <c r="AO15605" t="s">
        <v>10239</v>
      </c>
    </row>
    <row r="15606" spans="39:41" ht="12" customHeight="1" x14ac:dyDescent="0.2">
      <c r="AM15606" t="str">
        <f t="shared" si="244"/>
        <v>Tijuana [MXTIJ]</v>
      </c>
      <c r="AN15606" t="s">
        <v>22467</v>
      </c>
      <c r="AO15606" t="s">
        <v>22468</v>
      </c>
    </row>
    <row r="15607" spans="39:41" ht="12" customHeight="1" x14ac:dyDescent="0.2">
      <c r="AM15607" t="str">
        <f t="shared" si="244"/>
        <v>Tiko [CMTKC]</v>
      </c>
      <c r="AN15607" t="s">
        <v>5014</v>
      </c>
      <c r="AO15607" t="s">
        <v>5015</v>
      </c>
    </row>
    <row r="15608" spans="39:41" ht="12" customHeight="1" x14ac:dyDescent="0.2">
      <c r="AM15608" t="str">
        <f t="shared" si="244"/>
        <v>Tikob [DKTKB]</v>
      </c>
      <c r="AN15608" t="s">
        <v>8937</v>
      </c>
      <c r="AO15608" t="s">
        <v>35595</v>
      </c>
    </row>
    <row r="15609" spans="39:41" ht="12" customHeight="1" x14ac:dyDescent="0.2">
      <c r="AM15609" t="str">
        <f t="shared" si="244"/>
        <v>Tiksi [RUIKS]</v>
      </c>
      <c r="AN15609" t="s">
        <v>27270</v>
      </c>
      <c r="AO15609" t="s">
        <v>27271</v>
      </c>
    </row>
    <row r="15610" spans="39:41" ht="12" customHeight="1" x14ac:dyDescent="0.2">
      <c r="AM15610" t="str">
        <f t="shared" si="244"/>
        <v>Tilburg [NLTLB]</v>
      </c>
      <c r="AN15610" t="s">
        <v>34111</v>
      </c>
      <c r="AO15610" t="s">
        <v>34157</v>
      </c>
    </row>
    <row r="15611" spans="39:41" ht="12" customHeight="1" x14ac:dyDescent="0.2">
      <c r="AM15611" t="str">
        <f t="shared" si="244"/>
        <v>Tilbury [GBTIL]</v>
      </c>
      <c r="AN15611" t="s">
        <v>14689</v>
      </c>
      <c r="AO15611" t="s">
        <v>14690</v>
      </c>
    </row>
    <row r="15612" spans="39:41" ht="12" customHeight="1" x14ac:dyDescent="0.2">
      <c r="AM15612" t="str">
        <f t="shared" si="244"/>
        <v>Tilbury Is [CATLB]</v>
      </c>
      <c r="AN15612" t="s">
        <v>4530</v>
      </c>
      <c r="AO15612" t="s">
        <v>4531</v>
      </c>
    </row>
    <row r="15613" spans="39:41" ht="12" customHeight="1" x14ac:dyDescent="0.2">
      <c r="AM15613" t="str">
        <f t="shared" si="244"/>
        <v>Tildonk [BETLK]</v>
      </c>
      <c r="AN15613" t="s">
        <v>3012</v>
      </c>
      <c r="AO15613" t="s">
        <v>3013</v>
      </c>
    </row>
    <row r="15614" spans="39:41" ht="12" customHeight="1" x14ac:dyDescent="0.2">
      <c r="AM15614" t="str">
        <f t="shared" si="244"/>
        <v>Tilford [GBTFO]</v>
      </c>
      <c r="AN15614" t="s">
        <v>14691</v>
      </c>
      <c r="AO15614" t="s">
        <v>14692</v>
      </c>
    </row>
    <row r="15615" spans="39:41" ht="12" customHeight="1" x14ac:dyDescent="0.2">
      <c r="AM15615" t="str">
        <f t="shared" si="244"/>
        <v>Tilgu [EETIL]</v>
      </c>
      <c r="AN15615" t="s">
        <v>9383</v>
      </c>
      <c r="AO15615" t="s">
        <v>9384</v>
      </c>
    </row>
    <row r="15616" spans="39:41" ht="12" customHeight="1" x14ac:dyDescent="0.2">
      <c r="AM15616" t="str">
        <f t="shared" si="244"/>
        <v>Tillar [USZTR]</v>
      </c>
      <c r="AN15616" t="s">
        <v>31726</v>
      </c>
      <c r="AO15616" t="s">
        <v>31727</v>
      </c>
    </row>
    <row r="15617" spans="39:41" ht="12" customHeight="1" x14ac:dyDescent="0.2">
      <c r="AM15617" t="str">
        <f t="shared" si="244"/>
        <v>Tilleur [BETLR]</v>
      </c>
      <c r="AN15617" t="s">
        <v>3014</v>
      </c>
      <c r="AO15617" t="s">
        <v>3015</v>
      </c>
    </row>
    <row r="15618" spans="39:41" ht="12" customHeight="1" x14ac:dyDescent="0.2">
      <c r="AM15618" t="str">
        <f t="shared" si="244"/>
        <v>Tillson [USTL8]</v>
      </c>
      <c r="AN15618" t="s">
        <v>31728</v>
      </c>
      <c r="AO15618" t="s">
        <v>31729</v>
      </c>
    </row>
    <row r="15619" spans="39:41" ht="12" customHeight="1" x14ac:dyDescent="0.2">
      <c r="AM15619" t="str">
        <f t="shared" si="244"/>
        <v>Tilos [GRTIL]</v>
      </c>
      <c r="AN15619" t="s">
        <v>15560</v>
      </c>
      <c r="AO15619" t="s">
        <v>15561</v>
      </c>
    </row>
    <row r="15620" spans="39:41" ht="12" customHeight="1" x14ac:dyDescent="0.2">
      <c r="AM15620" t="str">
        <f t="shared" si="244"/>
        <v>Tilt Cove [CATCV]</v>
      </c>
      <c r="AN15620" t="s">
        <v>4532</v>
      </c>
      <c r="AO15620" t="s">
        <v>4533</v>
      </c>
    </row>
    <row r="15621" spans="39:41" ht="12" customHeight="1" x14ac:dyDescent="0.2">
      <c r="AM15621" t="str">
        <f t="shared" si="244"/>
        <v>Timaru [NZTIU]</v>
      </c>
      <c r="AN15621" t="s">
        <v>25121</v>
      </c>
      <c r="AO15621" t="s">
        <v>25122</v>
      </c>
    </row>
    <row r="15622" spans="39:41" ht="12" customHeight="1" x14ac:dyDescent="0.2">
      <c r="AM15622" t="str">
        <f t="shared" si="244"/>
        <v>Timashevsk [RUTVK]</v>
      </c>
      <c r="AN15622" t="s">
        <v>27272</v>
      </c>
      <c r="AO15622" t="s">
        <v>27273</v>
      </c>
    </row>
    <row r="15623" spans="39:41" ht="12" customHeight="1" x14ac:dyDescent="0.2">
      <c r="AM15623" t="str">
        <f t="shared" si="244"/>
        <v>Timbo [BRTMO]</v>
      </c>
      <c r="AN15623" t="s">
        <v>3405</v>
      </c>
      <c r="AO15623" t="s">
        <v>35314</v>
      </c>
    </row>
    <row r="15624" spans="39:41" ht="12" customHeight="1" x14ac:dyDescent="0.2">
      <c r="AM15624" t="str">
        <f t="shared" si="244"/>
        <v>Timika [IDTMK]</v>
      </c>
      <c r="AN15624" t="s">
        <v>16681</v>
      </c>
      <c r="AO15624" t="s">
        <v>16682</v>
      </c>
    </row>
    <row r="15625" spans="39:41" ht="12" customHeight="1" x14ac:dyDescent="0.2">
      <c r="AM15625" t="str">
        <f t="shared" si="244"/>
        <v>Timmonsville [USXTE]</v>
      </c>
      <c r="AN15625" t="s">
        <v>31730</v>
      </c>
      <c r="AO15625" t="s">
        <v>31731</v>
      </c>
    </row>
    <row r="15626" spans="39:41" ht="12" customHeight="1" x14ac:dyDescent="0.2">
      <c r="AM15626" t="str">
        <f t="shared" si="244"/>
        <v>Tincan/Lagos [NGTIN]</v>
      </c>
      <c r="AN15626" t="s">
        <v>22980</v>
      </c>
      <c r="AO15626" t="s">
        <v>22981</v>
      </c>
    </row>
    <row r="15627" spans="39:41" ht="12" customHeight="1" x14ac:dyDescent="0.2">
      <c r="AM15627" t="str">
        <f t="shared" si="244"/>
        <v>Tindalo Oil Field [PHTIN]</v>
      </c>
      <c r="AN15627" t="s">
        <v>26208</v>
      </c>
      <c r="AO15627" t="s">
        <v>26209</v>
      </c>
    </row>
    <row r="15628" spans="39:41" ht="12" customHeight="1" x14ac:dyDescent="0.2">
      <c r="AM15628" t="str">
        <f t="shared" si="244"/>
        <v>Tingvoll [NOTIN]</v>
      </c>
      <c r="AN15628" t="s">
        <v>24897</v>
      </c>
      <c r="AO15628" t="s">
        <v>24898</v>
      </c>
    </row>
    <row r="15629" spans="39:41" ht="12" customHeight="1" x14ac:dyDescent="0.2">
      <c r="AM15629" t="str">
        <f t="shared" si="244"/>
        <v>Tingwall [GBTNG]</v>
      </c>
      <c r="AN15629" t="s">
        <v>14693</v>
      </c>
      <c r="AO15629" t="s">
        <v>14694</v>
      </c>
    </row>
    <row r="15630" spans="39:41" ht="12" customHeight="1" x14ac:dyDescent="0.2">
      <c r="AM15630" t="str">
        <f t="shared" si="244"/>
        <v>Tingwall [GBTWL]</v>
      </c>
      <c r="AN15630" t="s">
        <v>14695</v>
      </c>
      <c r="AO15630" t="s">
        <v>14694</v>
      </c>
    </row>
    <row r="15631" spans="39:41" ht="12" customHeight="1" x14ac:dyDescent="0.2">
      <c r="AM15631" t="str">
        <f t="shared" si="244"/>
        <v>Tingwick [CATNG]</v>
      </c>
      <c r="AN15631" t="s">
        <v>4534</v>
      </c>
      <c r="AO15631" t="s">
        <v>4535</v>
      </c>
    </row>
    <row r="15632" spans="39:41" ht="12" customHeight="1" x14ac:dyDescent="0.2">
      <c r="AM15632" t="str">
        <f t="shared" si="244"/>
        <v>Tiniteqilaaq [GLTNT]</v>
      </c>
      <c r="AN15632" t="s">
        <v>15029</v>
      </c>
      <c r="AO15632" t="s">
        <v>15030</v>
      </c>
    </row>
    <row r="15633" spans="39:41" ht="12" customHeight="1" x14ac:dyDescent="0.2">
      <c r="AM15633" t="str">
        <f t="shared" si="244"/>
        <v>Tinos [GRTIN]</v>
      </c>
      <c r="AN15633" t="s">
        <v>15562</v>
      </c>
      <c r="AO15633" t="s">
        <v>35989</v>
      </c>
    </row>
    <row r="15634" spans="39:41" ht="12" customHeight="1" x14ac:dyDescent="0.2">
      <c r="AM15634" t="str">
        <f t="shared" si="244"/>
        <v>Tioman [MYTOD]</v>
      </c>
      <c r="AN15634" t="s">
        <v>22815</v>
      </c>
      <c r="AO15634" t="s">
        <v>22816</v>
      </c>
    </row>
    <row r="15635" spans="39:41" ht="12" customHeight="1" x14ac:dyDescent="0.2">
      <c r="AM15635" t="str">
        <f t="shared" si="244"/>
        <v>Tionesta [USTQT]</v>
      </c>
      <c r="AN15635" t="s">
        <v>31732</v>
      </c>
      <c r="AO15635" t="s">
        <v>31733</v>
      </c>
    </row>
    <row r="15636" spans="39:41" ht="12" customHeight="1" x14ac:dyDescent="0.2">
      <c r="AM15636" t="str">
        <f t="shared" si="244"/>
        <v>Tipitapa [NITPA]</v>
      </c>
      <c r="AN15636" t="s">
        <v>23012</v>
      </c>
      <c r="AO15636" t="s">
        <v>23013</v>
      </c>
    </row>
    <row r="15637" spans="39:41" ht="12" customHeight="1" x14ac:dyDescent="0.2">
      <c r="AM15637" t="str">
        <f t="shared" si="244"/>
        <v>Tiraine [LVXRT]</v>
      </c>
      <c r="AN15637" t="s">
        <v>21957</v>
      </c>
      <c r="AO15637" t="s">
        <v>21958</v>
      </c>
    </row>
    <row r="15638" spans="39:41" ht="12" customHeight="1" x14ac:dyDescent="0.2">
      <c r="AM15638" t="str">
        <f t="shared" si="244"/>
        <v>Tirebolu [TRTIR]</v>
      </c>
      <c r="AN15638" t="s">
        <v>28596</v>
      </c>
      <c r="AO15638" t="s">
        <v>28597</v>
      </c>
    </row>
    <row r="15639" spans="39:41" ht="12" customHeight="1" x14ac:dyDescent="0.2">
      <c r="AM15639" t="str">
        <f t="shared" si="244"/>
        <v>Tirukkadayyur [INTYR]</v>
      </c>
      <c r="AN15639" t="s">
        <v>17487</v>
      </c>
      <c r="AO15639" t="s">
        <v>17488</v>
      </c>
    </row>
    <row r="15640" spans="39:41" ht="12" customHeight="1" x14ac:dyDescent="0.2">
      <c r="AM15640" t="str">
        <f t="shared" si="244"/>
        <v>Tishomingo [USTSI]</v>
      </c>
      <c r="AN15640" t="s">
        <v>31734</v>
      </c>
      <c r="AO15640" t="s">
        <v>31735</v>
      </c>
    </row>
    <row r="15641" spans="39:41" ht="12" customHeight="1" x14ac:dyDescent="0.2">
      <c r="AM15641" t="str">
        <f t="shared" si="244"/>
        <v>Tisno [HRTNO]</v>
      </c>
      <c r="AN15641" t="s">
        <v>15964</v>
      </c>
      <c r="AO15641" t="s">
        <v>15965</v>
      </c>
    </row>
    <row r="15642" spans="39:41" ht="12" customHeight="1" x14ac:dyDescent="0.2">
      <c r="AM15642" t="str">
        <f t="shared" si="244"/>
        <v>Tisnov [CZTIS]</v>
      </c>
      <c r="AN15642" t="s">
        <v>6953</v>
      </c>
      <c r="AO15642" t="s">
        <v>6954</v>
      </c>
    </row>
    <row r="15643" spans="39:41" ht="12" customHeight="1" x14ac:dyDescent="0.2">
      <c r="AM15643" t="str">
        <f t="shared" si="244"/>
        <v>Tisselt [BETIS]</v>
      </c>
      <c r="AN15643" t="s">
        <v>3016</v>
      </c>
      <c r="AO15643" t="s">
        <v>3017</v>
      </c>
    </row>
    <row r="15644" spans="39:41" ht="12" customHeight="1" x14ac:dyDescent="0.2">
      <c r="AM15644" t="str">
        <f t="shared" si="244"/>
        <v>Tivat [METIV]</v>
      </c>
      <c r="AN15644" t="s">
        <v>22092</v>
      </c>
      <c r="AO15644" t="s">
        <v>22093</v>
      </c>
    </row>
    <row r="15645" spans="39:41" ht="12" customHeight="1" x14ac:dyDescent="0.2">
      <c r="AM15645" t="str">
        <f t="shared" si="244"/>
        <v>Tividale [GBTVD]</v>
      </c>
      <c r="AN15645" t="s">
        <v>14696</v>
      </c>
      <c r="AO15645" t="s">
        <v>14697</v>
      </c>
    </row>
    <row r="15646" spans="39:41" ht="12" customHeight="1" x14ac:dyDescent="0.2">
      <c r="AM15646" t="str">
        <f t="shared" si="244"/>
        <v>Tiviri [INTIV]</v>
      </c>
      <c r="AN15646" t="s">
        <v>17489</v>
      </c>
      <c r="AO15646" t="s">
        <v>17490</v>
      </c>
    </row>
    <row r="15647" spans="39:41" ht="12" customHeight="1" x14ac:dyDescent="0.2">
      <c r="AM15647" t="str">
        <f t="shared" si="244"/>
        <v>Tivoli [IETIV]</v>
      </c>
      <c r="AN15647" t="s">
        <v>16919</v>
      </c>
      <c r="AO15647" t="s">
        <v>16920</v>
      </c>
    </row>
    <row r="15648" spans="39:41" ht="12" customHeight="1" x14ac:dyDescent="0.2">
      <c r="AM15648" t="str">
        <f t="shared" si="244"/>
        <v>Tiwai Point-Bluff Port [NZTWI]</v>
      </c>
      <c r="AN15648" t="s">
        <v>25123</v>
      </c>
      <c r="AO15648" t="s">
        <v>25124</v>
      </c>
    </row>
    <row r="15649" spans="39:41" ht="12" customHeight="1" x14ac:dyDescent="0.2">
      <c r="AM15649" t="str">
        <f t="shared" si="244"/>
        <v>Tjeldbergodden [NOTBO]</v>
      </c>
      <c r="AN15649" t="s">
        <v>24899</v>
      </c>
      <c r="AO15649" t="s">
        <v>24900</v>
      </c>
    </row>
    <row r="15650" spans="39:41" ht="12" customHeight="1" x14ac:dyDescent="0.2">
      <c r="AM15650" t="str">
        <f t="shared" si="244"/>
        <v>Tjeldsund [NOTJS]</v>
      </c>
      <c r="AN15650" t="s">
        <v>24901</v>
      </c>
      <c r="AO15650" t="s">
        <v>24902</v>
      </c>
    </row>
    <row r="15651" spans="39:41" ht="12" customHeight="1" x14ac:dyDescent="0.2">
      <c r="AM15651" t="str">
        <f t="shared" si="244"/>
        <v>Tjele [DKTJL]</v>
      </c>
      <c r="AN15651" t="s">
        <v>33834</v>
      </c>
      <c r="AO15651" t="s">
        <v>33957</v>
      </c>
    </row>
    <row r="15652" spans="39:41" ht="12" customHeight="1" x14ac:dyDescent="0.2">
      <c r="AM15652" t="str">
        <f t="shared" si="244"/>
        <v>Tjerkwerd [NLTKW]</v>
      </c>
      <c r="AN15652" t="s">
        <v>23676</v>
      </c>
      <c r="AO15652" t="s">
        <v>23677</v>
      </c>
    </row>
    <row r="15653" spans="39:41" ht="12" customHeight="1" x14ac:dyDescent="0.2">
      <c r="AM15653" t="str">
        <f t="shared" si="244"/>
        <v>Tjome [NOTJO]</v>
      </c>
      <c r="AN15653" t="s">
        <v>24903</v>
      </c>
      <c r="AO15653" t="s">
        <v>36323</v>
      </c>
    </row>
    <row r="15654" spans="39:41" ht="12" customHeight="1" x14ac:dyDescent="0.2">
      <c r="AM15654" t="str">
        <f t="shared" si="244"/>
        <v>Tjorneshofn [ISTHN]</v>
      </c>
      <c r="AN15654" t="s">
        <v>17780</v>
      </c>
      <c r="AO15654" t="s">
        <v>36072</v>
      </c>
    </row>
    <row r="15655" spans="39:41" ht="12" customHeight="1" x14ac:dyDescent="0.2">
      <c r="AM15655" t="str">
        <f t="shared" si="244"/>
        <v>Tjorvag [NOTJR]</v>
      </c>
      <c r="AN15655" t="s">
        <v>24904</v>
      </c>
      <c r="AO15655" t="s">
        <v>36324</v>
      </c>
    </row>
    <row r="15656" spans="39:41" ht="12" customHeight="1" x14ac:dyDescent="0.2">
      <c r="AM15656" t="str">
        <f t="shared" si="244"/>
        <v>Tjotta [NOTJL]</v>
      </c>
      <c r="AN15656" t="s">
        <v>24905</v>
      </c>
      <c r="AO15656" t="s">
        <v>36325</v>
      </c>
    </row>
    <row r="15657" spans="39:41" ht="12" customHeight="1" x14ac:dyDescent="0.2">
      <c r="AM15657" t="str">
        <f t="shared" si="244"/>
        <v>Tkon [HRTKN]</v>
      </c>
      <c r="AN15657" t="s">
        <v>15966</v>
      </c>
      <c r="AO15657" t="s">
        <v>15967</v>
      </c>
    </row>
    <row r="15658" spans="39:41" ht="12" customHeight="1" x14ac:dyDescent="0.2">
      <c r="AM15658" t="str">
        <f t="shared" ref="AM15658:AM15720" si="245">AO15658 &amp; " [" &amp; AN15658 &amp; "]"</f>
        <v>Tlalpan [MXTJT]</v>
      </c>
      <c r="AN15658" t="s">
        <v>22469</v>
      </c>
      <c r="AO15658" t="s">
        <v>22470</v>
      </c>
    </row>
    <row r="15659" spans="39:41" ht="12" customHeight="1" x14ac:dyDescent="0.2">
      <c r="AM15659" t="str">
        <f t="shared" si="245"/>
        <v>Tlemcen [DZTLM]</v>
      </c>
      <c r="AN15659" t="s">
        <v>9075</v>
      </c>
      <c r="AO15659" t="s">
        <v>9076</v>
      </c>
    </row>
    <row r="15660" spans="39:41" ht="12" customHeight="1" x14ac:dyDescent="0.2">
      <c r="AM15660" t="str">
        <f t="shared" si="245"/>
        <v>Tlmace [SKTLM]</v>
      </c>
      <c r="AN15660" t="s">
        <v>28065</v>
      </c>
      <c r="AO15660" t="s">
        <v>28066</v>
      </c>
    </row>
    <row r="15661" spans="39:41" ht="12" customHeight="1" x14ac:dyDescent="0.2">
      <c r="AM15661" t="str">
        <f t="shared" si="245"/>
        <v>Toamasina [MGTOA]</v>
      </c>
      <c r="AN15661" t="s">
        <v>22156</v>
      </c>
      <c r="AO15661" t="s">
        <v>22157</v>
      </c>
    </row>
    <row r="15662" spans="39:41" ht="12" customHeight="1" x14ac:dyDescent="0.2">
      <c r="AM15662" t="str">
        <f t="shared" si="245"/>
        <v>Toba [JPTOB]</v>
      </c>
      <c r="AN15662" t="s">
        <v>21104</v>
      </c>
      <c r="AO15662" t="s">
        <v>21105</v>
      </c>
    </row>
    <row r="15663" spans="39:41" ht="12" customHeight="1" x14ac:dyDescent="0.2">
      <c r="AM15663" t="str">
        <f t="shared" si="245"/>
        <v>Tobata/Kitakyushu [JPTBT]</v>
      </c>
      <c r="AN15663" t="s">
        <v>21106</v>
      </c>
      <c r="AO15663" t="s">
        <v>21107</v>
      </c>
    </row>
    <row r="15664" spans="39:41" ht="12" customHeight="1" x14ac:dyDescent="0.2">
      <c r="AM15664" t="str">
        <f t="shared" si="245"/>
        <v>Tobelo [IDTBO]</v>
      </c>
      <c r="AN15664" t="s">
        <v>16683</v>
      </c>
      <c r="AO15664" t="s">
        <v>16684</v>
      </c>
    </row>
    <row r="15665" spans="39:41" ht="12" customHeight="1" x14ac:dyDescent="0.2">
      <c r="AM15665" t="str">
        <f t="shared" si="245"/>
        <v>Tober [IETOB]</v>
      </c>
      <c r="AN15665" t="s">
        <v>16921</v>
      </c>
      <c r="AO15665" t="s">
        <v>16922</v>
      </c>
    </row>
    <row r="15666" spans="39:41" ht="12" customHeight="1" x14ac:dyDescent="0.2">
      <c r="AM15666" t="str">
        <f t="shared" si="245"/>
        <v>Tobermory [GBTOB]</v>
      </c>
      <c r="AN15666" t="s">
        <v>14698</v>
      </c>
      <c r="AO15666" t="s">
        <v>14699</v>
      </c>
    </row>
    <row r="15667" spans="39:41" ht="12" customHeight="1" x14ac:dyDescent="0.2">
      <c r="AM15667" t="str">
        <f t="shared" si="245"/>
        <v>Toberonochy [GBTBN]</v>
      </c>
      <c r="AN15667" t="s">
        <v>14700</v>
      </c>
      <c r="AO15667" t="s">
        <v>14701</v>
      </c>
    </row>
    <row r="15668" spans="39:41" ht="12" customHeight="1" x14ac:dyDescent="0.2">
      <c r="AM15668" t="str">
        <f t="shared" si="245"/>
        <v>Tobo [JPTBO]</v>
      </c>
      <c r="AN15668" t="s">
        <v>21108</v>
      </c>
      <c r="AO15668" t="s">
        <v>21109</v>
      </c>
    </row>
    <row r="15669" spans="39:41" ht="12" customHeight="1" x14ac:dyDescent="0.2">
      <c r="AM15669" t="str">
        <f t="shared" si="245"/>
        <v>Toboali [IDTBL]</v>
      </c>
      <c r="AN15669" t="s">
        <v>16685</v>
      </c>
      <c r="AO15669" t="s">
        <v>16686</v>
      </c>
    </row>
    <row r="15670" spans="39:41" ht="12" customHeight="1" x14ac:dyDescent="0.2">
      <c r="AM15670" t="str">
        <f t="shared" si="245"/>
        <v>Toboso/Dumaguete [PHTOB]</v>
      </c>
      <c r="AN15670" t="s">
        <v>26210</v>
      </c>
      <c r="AO15670" t="s">
        <v>26211</v>
      </c>
    </row>
    <row r="15671" spans="39:41" ht="12" customHeight="1" x14ac:dyDescent="0.2">
      <c r="AM15671" t="str">
        <f t="shared" si="245"/>
        <v>Tobruk [LYTOB]</v>
      </c>
      <c r="AN15671" t="s">
        <v>22007</v>
      </c>
      <c r="AO15671" t="s">
        <v>22008</v>
      </c>
    </row>
    <row r="15672" spans="39:41" ht="12" customHeight="1" x14ac:dyDescent="0.2">
      <c r="AM15672" t="str">
        <f t="shared" si="245"/>
        <v>Tocopilla [CLTOQ]</v>
      </c>
      <c r="AN15672" t="s">
        <v>4978</v>
      </c>
      <c r="AO15672" t="s">
        <v>4979</v>
      </c>
    </row>
    <row r="15673" spans="39:41" ht="12" customHeight="1" x14ac:dyDescent="0.2">
      <c r="AM15673" t="str">
        <f t="shared" si="245"/>
        <v>Tocumen [PATOC]</v>
      </c>
      <c r="AN15673" t="s">
        <v>25229</v>
      </c>
      <c r="AO15673" t="s">
        <v>25230</v>
      </c>
    </row>
    <row r="15674" spans="39:41" ht="12" customHeight="1" x14ac:dyDescent="0.2">
      <c r="AM15674" t="str">
        <f t="shared" si="245"/>
        <v>Todohokke [JPTOD]</v>
      </c>
      <c r="AN15674" t="s">
        <v>21110</v>
      </c>
      <c r="AO15674" t="s">
        <v>21111</v>
      </c>
    </row>
    <row r="15675" spans="39:41" ht="12" customHeight="1" x14ac:dyDescent="0.2">
      <c r="AM15675" t="str">
        <f t="shared" si="245"/>
        <v>Toepchin [DETCH]</v>
      </c>
      <c r="AN15675" t="s">
        <v>8363</v>
      </c>
      <c r="AO15675" t="s">
        <v>8364</v>
      </c>
    </row>
    <row r="15676" spans="39:41" ht="12" customHeight="1" x14ac:dyDescent="0.2">
      <c r="AM15676" t="str">
        <f t="shared" si="245"/>
        <v>Toft [GBTFT]</v>
      </c>
      <c r="AN15676" t="s">
        <v>14702</v>
      </c>
      <c r="AO15676" t="s">
        <v>14703</v>
      </c>
    </row>
    <row r="15677" spans="39:41" ht="12" customHeight="1" x14ac:dyDescent="0.2">
      <c r="AM15677" t="str">
        <f t="shared" si="245"/>
        <v>Tofte - Hurum [NOTOF]</v>
      </c>
      <c r="AN15677" t="s">
        <v>24906</v>
      </c>
      <c r="AO15677" t="s">
        <v>24907</v>
      </c>
    </row>
    <row r="15678" spans="39:41" ht="12" customHeight="1" x14ac:dyDescent="0.2">
      <c r="AM15678" t="str">
        <f t="shared" si="245"/>
        <v>Toftir [FOTOF]</v>
      </c>
      <c r="AN15678" t="s">
        <v>10698</v>
      </c>
      <c r="AO15678" t="s">
        <v>10699</v>
      </c>
    </row>
    <row r="15679" spans="39:41" ht="12" customHeight="1" x14ac:dyDescent="0.2">
      <c r="AM15679" t="str">
        <f t="shared" si="245"/>
        <v>Toga [FRJK9]</v>
      </c>
      <c r="AN15679" t="s">
        <v>12132</v>
      </c>
      <c r="AO15679" t="s">
        <v>12133</v>
      </c>
    </row>
    <row r="15680" spans="39:41" ht="12" customHeight="1" x14ac:dyDescent="0.2">
      <c r="AM15680" t="str">
        <f t="shared" si="245"/>
        <v>Toga [JPTOJ]</v>
      </c>
      <c r="AN15680" t="s">
        <v>21112</v>
      </c>
      <c r="AO15680" t="s">
        <v>12133</v>
      </c>
    </row>
    <row r="15681" spans="39:41" ht="12" customHeight="1" x14ac:dyDescent="0.2">
      <c r="AM15681" t="str">
        <f t="shared" si="245"/>
        <v>Togane [JPTOC]</v>
      </c>
      <c r="AN15681" t="s">
        <v>21113</v>
      </c>
      <c r="AO15681" t="s">
        <v>21114</v>
      </c>
    </row>
    <row r="15682" spans="39:41" ht="12" customHeight="1" x14ac:dyDescent="0.2">
      <c r="AM15682" t="str">
        <f t="shared" si="245"/>
        <v>Togi [JPTOG]</v>
      </c>
      <c r="AN15682" t="s">
        <v>21115</v>
      </c>
      <c r="AO15682" t="s">
        <v>21116</v>
      </c>
    </row>
    <row r="15683" spans="39:41" ht="12" customHeight="1" x14ac:dyDescent="0.2">
      <c r="AM15683" t="str">
        <f t="shared" si="245"/>
        <v>Togo [CFTOG]</v>
      </c>
      <c r="AN15683" t="s">
        <v>4629</v>
      </c>
      <c r="AO15683" t="s">
        <v>4630</v>
      </c>
    </row>
    <row r="15684" spans="39:41" ht="12" customHeight="1" x14ac:dyDescent="0.2">
      <c r="AM15684" t="str">
        <f t="shared" si="245"/>
        <v>Toguchi [JPTGC]</v>
      </c>
      <c r="AN15684" t="s">
        <v>21117</v>
      </c>
      <c r="AO15684" t="s">
        <v>21118</v>
      </c>
    </row>
    <row r="15685" spans="39:41" ht="12" customHeight="1" x14ac:dyDescent="0.2">
      <c r="AM15685" t="str">
        <f t="shared" si="245"/>
        <v>Tohda [JPTDA]</v>
      </c>
      <c r="AN15685" t="s">
        <v>21119</v>
      </c>
      <c r="AO15685" t="s">
        <v>21120</v>
      </c>
    </row>
    <row r="15686" spans="39:41" ht="12" customHeight="1" x14ac:dyDescent="0.2">
      <c r="AM15686" t="str">
        <f t="shared" si="245"/>
        <v>Toi [JPTOI]</v>
      </c>
      <c r="AN15686" t="s">
        <v>21121</v>
      </c>
      <c r="AO15686" t="s">
        <v>21122</v>
      </c>
    </row>
    <row r="15687" spans="39:41" ht="12" customHeight="1" x14ac:dyDescent="0.2">
      <c r="AM15687" t="str">
        <f t="shared" si="245"/>
        <v>Toila [EETOI]</v>
      </c>
      <c r="AN15687" t="s">
        <v>9385</v>
      </c>
      <c r="AO15687" t="s">
        <v>9386</v>
      </c>
    </row>
    <row r="15688" spans="39:41" ht="12" customHeight="1" x14ac:dyDescent="0.2">
      <c r="AM15688" t="str">
        <f t="shared" si="245"/>
        <v>Tojby [FITOJ]</v>
      </c>
      <c r="AN15688" t="s">
        <v>10570</v>
      </c>
      <c r="AO15688" t="s">
        <v>35756</v>
      </c>
    </row>
    <row r="15689" spans="39:41" ht="12" customHeight="1" x14ac:dyDescent="0.2">
      <c r="AM15689" t="str">
        <f t="shared" si="245"/>
        <v>Tojima [JPTJM]</v>
      </c>
      <c r="AN15689" t="s">
        <v>21123</v>
      </c>
      <c r="AO15689" t="s">
        <v>21124</v>
      </c>
    </row>
    <row r="15690" spans="39:41" ht="12" customHeight="1" x14ac:dyDescent="0.2">
      <c r="AM15690" t="str">
        <f t="shared" si="245"/>
        <v>Tokachi [JPTOK]</v>
      </c>
      <c r="AN15690" t="s">
        <v>21125</v>
      </c>
      <c r="AO15690" t="s">
        <v>21126</v>
      </c>
    </row>
    <row r="15691" spans="39:41" ht="12" customHeight="1" x14ac:dyDescent="0.2">
      <c r="AM15691" t="str">
        <f t="shared" si="245"/>
        <v>Tokai [JPTKA]</v>
      </c>
      <c r="AN15691" t="s">
        <v>21127</v>
      </c>
      <c r="AO15691" t="s">
        <v>21128</v>
      </c>
    </row>
    <row r="15692" spans="39:41" ht="12" customHeight="1" x14ac:dyDescent="0.2">
      <c r="AM15692" t="str">
        <f t="shared" si="245"/>
        <v>Tokaj [HUTOJ]</v>
      </c>
      <c r="AN15692" t="s">
        <v>16131</v>
      </c>
      <c r="AO15692" t="s">
        <v>16132</v>
      </c>
    </row>
    <row r="15693" spans="39:41" ht="12" customHeight="1" x14ac:dyDescent="0.2">
      <c r="AM15693" t="str">
        <f t="shared" si="245"/>
        <v>Tokashiki [JPTJS]</v>
      </c>
      <c r="AN15693" t="s">
        <v>21129</v>
      </c>
      <c r="AO15693" t="s">
        <v>21130</v>
      </c>
    </row>
    <row r="15694" spans="39:41" ht="12" customHeight="1" x14ac:dyDescent="0.2">
      <c r="AM15694" t="str">
        <f t="shared" si="245"/>
        <v>Tokitsu [JPTTU]</v>
      </c>
      <c r="AN15694" t="s">
        <v>21131</v>
      </c>
      <c r="AO15694" t="s">
        <v>21132</v>
      </c>
    </row>
    <row r="15695" spans="39:41" ht="12" customHeight="1" x14ac:dyDescent="0.2">
      <c r="AM15695" t="str">
        <f t="shared" si="245"/>
        <v>Tokoname [JPTXN]</v>
      </c>
      <c r="AN15695" t="s">
        <v>21133</v>
      </c>
      <c r="AO15695" t="s">
        <v>21134</v>
      </c>
    </row>
    <row r="15696" spans="39:41" ht="12" customHeight="1" x14ac:dyDescent="0.2">
      <c r="AM15696" t="str">
        <f t="shared" si="245"/>
        <v>Tokonami [JPTKO]</v>
      </c>
      <c r="AN15696" t="s">
        <v>21135</v>
      </c>
      <c r="AO15696" t="s">
        <v>21136</v>
      </c>
    </row>
    <row r="15697" spans="39:41" ht="12" customHeight="1" x14ac:dyDescent="0.2">
      <c r="AM15697" t="str">
        <f t="shared" si="245"/>
        <v>Tokoro [JPTKR]</v>
      </c>
      <c r="AN15697" t="s">
        <v>21137</v>
      </c>
      <c r="AO15697" t="s">
        <v>21138</v>
      </c>
    </row>
    <row r="15698" spans="39:41" ht="12" customHeight="1" x14ac:dyDescent="0.2">
      <c r="AM15698" t="str">
        <f t="shared" si="245"/>
        <v>Tokuchi [JPTCC]</v>
      </c>
      <c r="AN15698" t="s">
        <v>21139</v>
      </c>
      <c r="AO15698" t="s">
        <v>21140</v>
      </c>
    </row>
    <row r="15699" spans="39:41" ht="12" customHeight="1" x14ac:dyDescent="0.2">
      <c r="AM15699" t="str">
        <f t="shared" si="245"/>
        <v>Tokujin [JPTKJ]</v>
      </c>
      <c r="AN15699" t="s">
        <v>21141</v>
      </c>
      <c r="AO15699" t="s">
        <v>21142</v>
      </c>
    </row>
    <row r="15700" spans="39:41" ht="12" customHeight="1" x14ac:dyDescent="0.2">
      <c r="AM15700" t="str">
        <f t="shared" si="245"/>
        <v>Tokushima [JPTKS]</v>
      </c>
      <c r="AN15700" t="s">
        <v>21143</v>
      </c>
      <c r="AO15700" t="s">
        <v>21144</v>
      </c>
    </row>
    <row r="15701" spans="39:41" ht="12" customHeight="1" x14ac:dyDescent="0.2">
      <c r="AM15701" t="str">
        <f t="shared" si="245"/>
        <v>Tokuyama [JPTKY]</v>
      </c>
      <c r="AN15701" t="s">
        <v>21145</v>
      </c>
      <c r="AO15701" t="s">
        <v>21146</v>
      </c>
    </row>
    <row r="15702" spans="39:41" ht="12" customHeight="1" x14ac:dyDescent="0.2">
      <c r="AM15702" t="str">
        <f t="shared" si="245"/>
        <v>Tokuyamakudamatsu [JPTXD]</v>
      </c>
      <c r="AN15702" t="s">
        <v>21147</v>
      </c>
      <c r="AO15702" t="s">
        <v>21148</v>
      </c>
    </row>
    <row r="15703" spans="39:41" ht="12" customHeight="1" x14ac:dyDescent="0.2">
      <c r="AM15703" t="str">
        <f t="shared" si="245"/>
        <v>Tokyo [JPTYO]</v>
      </c>
      <c r="AN15703" t="s">
        <v>21149</v>
      </c>
      <c r="AO15703" t="s">
        <v>21150</v>
      </c>
    </row>
    <row r="15704" spans="39:41" ht="12" customHeight="1" x14ac:dyDescent="0.2">
      <c r="AM15704" t="str">
        <f t="shared" si="245"/>
        <v>Toledo [USTOL]</v>
      </c>
      <c r="AN15704" t="s">
        <v>31736</v>
      </c>
      <c r="AO15704" t="s">
        <v>31737</v>
      </c>
    </row>
    <row r="15705" spans="39:41" ht="12" customHeight="1" x14ac:dyDescent="0.2">
      <c r="AM15705" t="str">
        <f t="shared" si="245"/>
        <v>Toledo/Cebu [PHTLD]</v>
      </c>
      <c r="AN15705" t="s">
        <v>26212</v>
      </c>
      <c r="AO15705" t="s">
        <v>26213</v>
      </c>
    </row>
    <row r="15706" spans="39:41" ht="12" customHeight="1" x14ac:dyDescent="0.2">
      <c r="AM15706" t="str">
        <f t="shared" si="245"/>
        <v>Tolitoli [IDTLI]</v>
      </c>
      <c r="AN15706" t="s">
        <v>16687</v>
      </c>
      <c r="AO15706" t="s">
        <v>16688</v>
      </c>
    </row>
    <row r="15707" spans="39:41" ht="12" customHeight="1" x14ac:dyDescent="0.2">
      <c r="AM15707" t="str">
        <f t="shared" si="245"/>
        <v>Tolkamer [NLTKM]</v>
      </c>
      <c r="AN15707" t="s">
        <v>23678</v>
      </c>
      <c r="AO15707" t="s">
        <v>23679</v>
      </c>
    </row>
    <row r="15708" spans="39:41" ht="12" customHeight="1" x14ac:dyDescent="0.2">
      <c r="AM15708" t="str">
        <f t="shared" si="245"/>
        <v>Tolkis (Tolkkinen) [FITOK]</v>
      </c>
      <c r="AN15708" t="s">
        <v>10571</v>
      </c>
      <c r="AO15708" t="s">
        <v>10572</v>
      </c>
    </row>
    <row r="15709" spans="39:41" ht="12" customHeight="1" x14ac:dyDescent="0.2">
      <c r="AM15709" t="str">
        <f t="shared" si="245"/>
        <v>Tollebeek [NLTOK]</v>
      </c>
      <c r="AN15709" t="s">
        <v>23680</v>
      </c>
      <c r="AO15709" t="s">
        <v>23681</v>
      </c>
    </row>
    <row r="15710" spans="39:41" ht="12" customHeight="1" x14ac:dyDescent="0.2">
      <c r="AM15710" t="str">
        <f t="shared" si="245"/>
        <v>Tollesbury [GBTOL]</v>
      </c>
      <c r="AN15710" t="s">
        <v>14704</v>
      </c>
      <c r="AO15710" t="s">
        <v>14705</v>
      </c>
    </row>
    <row r="15711" spans="39:41" ht="12" customHeight="1" x14ac:dyDescent="0.2">
      <c r="AM15711" t="str">
        <f t="shared" si="245"/>
        <v>Tolmin [SITOL]</v>
      </c>
      <c r="AN15711" t="s">
        <v>28022</v>
      </c>
      <c r="AO15711" t="s">
        <v>28023</v>
      </c>
    </row>
    <row r="15712" spans="39:41" ht="12" customHeight="1" x14ac:dyDescent="0.2">
      <c r="AM15712" t="str">
        <f t="shared" si="245"/>
        <v>Tolo Argolidos [GRTLA]</v>
      </c>
      <c r="AN15712" t="s">
        <v>15563</v>
      </c>
      <c r="AO15712" t="s">
        <v>15564</v>
      </c>
    </row>
    <row r="15713" spans="39:41" ht="12" customHeight="1" x14ac:dyDescent="0.2">
      <c r="AM15713" t="str">
        <f t="shared" si="245"/>
        <v>Tolo Harbour [HKTOL]</v>
      </c>
      <c r="AN15713" t="s">
        <v>15656</v>
      </c>
      <c r="AO15713" t="s">
        <v>15657</v>
      </c>
    </row>
    <row r="15714" spans="39:41" ht="12" customHeight="1" x14ac:dyDescent="0.2">
      <c r="AM15714" t="str">
        <f t="shared" si="245"/>
        <v>Tolokiwa Island [PGTOI]</v>
      </c>
      <c r="AN15714" t="s">
        <v>25484</v>
      </c>
      <c r="AO15714" t="s">
        <v>25485</v>
      </c>
    </row>
    <row r="15715" spans="39:41" ht="12" customHeight="1" x14ac:dyDescent="0.2">
      <c r="AM15715" t="str">
        <f t="shared" si="245"/>
        <v>Tolong/Dumaguete [PHTLG]</v>
      </c>
      <c r="AN15715" t="s">
        <v>26214</v>
      </c>
      <c r="AO15715" t="s">
        <v>26215</v>
      </c>
    </row>
    <row r="15716" spans="39:41" ht="12" customHeight="1" x14ac:dyDescent="0.2">
      <c r="AM15716" t="str">
        <f t="shared" si="245"/>
        <v>Tolopo [PHTLP]</v>
      </c>
      <c r="AN15716" t="s">
        <v>26216</v>
      </c>
      <c r="AO15716" t="s">
        <v>26217</v>
      </c>
    </row>
    <row r="15717" spans="39:41" ht="12" customHeight="1" x14ac:dyDescent="0.2">
      <c r="AM15717" t="str">
        <f t="shared" si="245"/>
        <v>Tolosa/Tacloban [PHTLS]</v>
      </c>
      <c r="AN15717" t="s">
        <v>26218</v>
      </c>
      <c r="AO15717" t="s">
        <v>26219</v>
      </c>
    </row>
    <row r="15718" spans="39:41" ht="12" customHeight="1" x14ac:dyDescent="0.2">
      <c r="AM15718" t="str">
        <f t="shared" si="245"/>
        <v>Tolu [COTLU]</v>
      </c>
      <c r="AN15718" t="s">
        <v>6547</v>
      </c>
      <c r="AO15718" t="s">
        <v>35377</v>
      </c>
    </row>
    <row r="15719" spans="39:41" ht="12" customHeight="1" x14ac:dyDescent="0.2">
      <c r="AM15719" t="str">
        <f t="shared" si="245"/>
        <v>Tolyatti [RUTTI]</v>
      </c>
      <c r="AN15719" t="s">
        <v>27274</v>
      </c>
      <c r="AO15719" t="s">
        <v>27275</v>
      </c>
    </row>
    <row r="15720" spans="39:41" ht="12" customHeight="1" x14ac:dyDescent="0.2">
      <c r="AM15720" t="str">
        <f t="shared" si="245"/>
        <v>Tol'yatti [RUTOI]</v>
      </c>
      <c r="AN15720" t="s">
        <v>27276</v>
      </c>
      <c r="AO15720" t="s">
        <v>27277</v>
      </c>
    </row>
    <row r="15721" spans="39:41" ht="12" customHeight="1" x14ac:dyDescent="0.2">
      <c r="AM15721" t="str">
        <f t="shared" ref="AM15721:AM15784" si="246">AO15721 &amp; " [" &amp; AN15721 &amp; "]"</f>
        <v>Tom Roes Point Terminal/Drogheda [IETRP]</v>
      </c>
      <c r="AN15721" t="s">
        <v>16923</v>
      </c>
      <c r="AO15721" t="s">
        <v>16924</v>
      </c>
    </row>
    <row r="15722" spans="39:41" ht="12" customHeight="1" x14ac:dyDescent="0.2">
      <c r="AM15722" t="str">
        <f t="shared" si="246"/>
        <v>Tomah [USQTH]</v>
      </c>
      <c r="AN15722" t="s">
        <v>31738</v>
      </c>
      <c r="AO15722" t="s">
        <v>31739</v>
      </c>
    </row>
    <row r="15723" spans="39:41" ht="12" customHeight="1" x14ac:dyDescent="0.2">
      <c r="AM15723" t="str">
        <f t="shared" si="246"/>
        <v>Tomakomai [JPTMK]</v>
      </c>
      <c r="AN15723" t="s">
        <v>21151</v>
      </c>
      <c r="AO15723" t="s">
        <v>21152</v>
      </c>
    </row>
    <row r="15724" spans="39:41" ht="12" customHeight="1" x14ac:dyDescent="0.2">
      <c r="AM15724" t="str">
        <f t="shared" si="246"/>
        <v>Tomamae [JPTJJ]</v>
      </c>
      <c r="AN15724" t="s">
        <v>21153</v>
      </c>
      <c r="AO15724" t="s">
        <v>21154</v>
      </c>
    </row>
    <row r="15725" spans="39:41" ht="12" customHeight="1" x14ac:dyDescent="0.2">
      <c r="AM15725" t="str">
        <f t="shared" si="246"/>
        <v>Tomanggong [MYTMG]</v>
      </c>
      <c r="AN15725" t="s">
        <v>22817</v>
      </c>
      <c r="AO15725" t="s">
        <v>22818</v>
      </c>
    </row>
    <row r="15726" spans="39:41" ht="12" customHeight="1" x14ac:dyDescent="0.2">
      <c r="AM15726" t="str">
        <f t="shared" si="246"/>
        <v>Tomari, Okinawa [JPTMR]</v>
      </c>
      <c r="AN15726" t="s">
        <v>21155</v>
      </c>
      <c r="AO15726" t="s">
        <v>21156</v>
      </c>
    </row>
    <row r="15727" spans="39:41" ht="12" customHeight="1" x14ac:dyDescent="0.2">
      <c r="AM15727" t="str">
        <f t="shared" si="246"/>
        <v>Tomari/Shiribeshi [JPTMA]</v>
      </c>
      <c r="AN15727" t="s">
        <v>21157</v>
      </c>
      <c r="AO15727" t="s">
        <v>21158</v>
      </c>
    </row>
    <row r="15728" spans="39:41" ht="12" customHeight="1" x14ac:dyDescent="0.2">
      <c r="AM15728" t="str">
        <f t="shared" si="246"/>
        <v>Tomariura [JPTRR]</v>
      </c>
      <c r="AN15728" t="s">
        <v>21159</v>
      </c>
      <c r="AO15728" t="s">
        <v>21160</v>
      </c>
    </row>
    <row r="15729" spans="39:41" ht="12" customHeight="1" x14ac:dyDescent="0.2">
      <c r="AM15729" t="str">
        <f t="shared" si="246"/>
        <v>Tombak [IRTMB]</v>
      </c>
      <c r="AN15729" t="s">
        <v>17665</v>
      </c>
      <c r="AO15729" t="s">
        <v>17666</v>
      </c>
    </row>
    <row r="15730" spans="39:41" ht="12" customHeight="1" x14ac:dyDescent="0.2">
      <c r="AM15730" t="str">
        <f t="shared" si="246"/>
        <v>Tome [CLTOM]</v>
      </c>
      <c r="AN15730" t="s">
        <v>4980</v>
      </c>
      <c r="AO15730" t="s">
        <v>35367</v>
      </c>
    </row>
    <row r="15731" spans="39:41" ht="12" customHeight="1" x14ac:dyDescent="0.2">
      <c r="AM15731" t="str">
        <f t="shared" si="246"/>
        <v>Tomhicken [USYTO]</v>
      </c>
      <c r="AN15731" t="s">
        <v>31740</v>
      </c>
      <c r="AO15731" t="s">
        <v>31741</v>
      </c>
    </row>
    <row r="15732" spans="39:41" ht="12" customHeight="1" x14ac:dyDescent="0.2">
      <c r="AM15732" t="str">
        <f t="shared" si="246"/>
        <v>Tomie [JPTME]</v>
      </c>
      <c r="AN15732" t="s">
        <v>21161</v>
      </c>
      <c r="AO15732" t="s">
        <v>21162</v>
      </c>
    </row>
    <row r="15733" spans="39:41" ht="12" customHeight="1" x14ac:dyDescent="0.2">
      <c r="AM15733" t="str">
        <f t="shared" si="246"/>
        <v>Tomiku [JPTMM]</v>
      </c>
      <c r="AN15733" t="s">
        <v>21163</v>
      </c>
      <c r="AO15733" t="s">
        <v>21164</v>
      </c>
    </row>
    <row r="15734" spans="39:41" ht="12" customHeight="1" x14ac:dyDescent="0.2">
      <c r="AM15734" t="str">
        <f t="shared" si="246"/>
        <v>Tomioka, Kumamoto [JPTMO]</v>
      </c>
      <c r="AN15734" t="s">
        <v>21165</v>
      </c>
      <c r="AO15734" t="s">
        <v>21166</v>
      </c>
    </row>
    <row r="15735" spans="39:41" ht="12" customHeight="1" x14ac:dyDescent="0.2">
      <c r="AM15735" t="str">
        <f t="shared" si="246"/>
        <v>Tomioka, Tokushima [JPTOM]</v>
      </c>
      <c r="AN15735" t="s">
        <v>21167</v>
      </c>
      <c r="AO15735" t="s">
        <v>21168</v>
      </c>
    </row>
    <row r="15736" spans="39:41" ht="12" customHeight="1" x14ac:dyDescent="0.2">
      <c r="AM15736" t="str">
        <f t="shared" si="246"/>
        <v>Tomitsu [JPTMU]</v>
      </c>
      <c r="AN15736" t="s">
        <v>21169</v>
      </c>
      <c r="AO15736" t="s">
        <v>21170</v>
      </c>
    </row>
    <row r="15737" spans="39:41" ht="12" customHeight="1" x14ac:dyDescent="0.2">
      <c r="AM15737" t="str">
        <f t="shared" si="246"/>
        <v>Tomkins Cove [USTKN]</v>
      </c>
      <c r="AN15737" t="s">
        <v>31742</v>
      </c>
      <c r="AO15737" t="s">
        <v>31743</v>
      </c>
    </row>
    <row r="15738" spans="39:41" ht="12" customHeight="1" x14ac:dyDescent="0.2">
      <c r="AM15738" t="str">
        <f t="shared" si="246"/>
        <v>Tomrefjord [NOTOM]</v>
      </c>
      <c r="AN15738" t="s">
        <v>24908</v>
      </c>
      <c r="AO15738" t="s">
        <v>24909</v>
      </c>
    </row>
    <row r="15739" spans="39:41" ht="12" customHeight="1" x14ac:dyDescent="0.2">
      <c r="AM15739" t="str">
        <f t="shared" si="246"/>
        <v>Tomtbod [SETTD]</v>
      </c>
      <c r="AN15739" t="s">
        <v>27909</v>
      </c>
      <c r="AO15739" t="s">
        <v>27910</v>
      </c>
    </row>
    <row r="15740" spans="39:41" ht="12" customHeight="1" x14ac:dyDescent="0.2">
      <c r="AM15740" t="str">
        <f t="shared" si="246"/>
        <v>Tonda [JPTND]</v>
      </c>
      <c r="AN15740" t="s">
        <v>21171</v>
      </c>
      <c r="AO15740" t="s">
        <v>21172</v>
      </c>
    </row>
    <row r="15741" spans="39:41" ht="12" customHeight="1" x14ac:dyDescent="0.2">
      <c r="AM15741" t="str">
        <f t="shared" si="246"/>
        <v>Tondi [INTND]</v>
      </c>
      <c r="AN15741" t="s">
        <v>17491</v>
      </c>
      <c r="AO15741" t="s">
        <v>17492</v>
      </c>
    </row>
    <row r="15742" spans="39:41" ht="12" customHeight="1" x14ac:dyDescent="0.2">
      <c r="AM15742" t="str">
        <f t="shared" si="246"/>
        <v>Tongerlo [BETGL]</v>
      </c>
      <c r="AN15742" t="s">
        <v>3018</v>
      </c>
      <c r="AO15742" t="s">
        <v>3019</v>
      </c>
    </row>
    <row r="15743" spans="39:41" ht="12" customHeight="1" x14ac:dyDescent="0.2">
      <c r="AM15743" t="str">
        <f t="shared" si="246"/>
        <v>Tonghae [KRTGA]</v>
      </c>
      <c r="AN15743" t="s">
        <v>21734</v>
      </c>
      <c r="AO15743" t="s">
        <v>21735</v>
      </c>
    </row>
    <row r="15744" spans="39:41" ht="12" customHeight="1" x14ac:dyDescent="0.2">
      <c r="AM15744" t="str">
        <f t="shared" si="246"/>
        <v>Tonghe [CNTOH]</v>
      </c>
      <c r="AN15744" t="s">
        <v>6152</v>
      </c>
      <c r="AO15744" t="s">
        <v>6153</v>
      </c>
    </row>
    <row r="15745" spans="39:41" ht="12" customHeight="1" x14ac:dyDescent="0.2">
      <c r="AM15745" t="str">
        <f t="shared" si="246"/>
        <v>Tongjiang [CNTOJ]</v>
      </c>
      <c r="AN15745" t="s">
        <v>6154</v>
      </c>
      <c r="AO15745" t="s">
        <v>6155</v>
      </c>
    </row>
    <row r="15746" spans="39:41" ht="12" customHeight="1" x14ac:dyDescent="0.2">
      <c r="AM15746" t="str">
        <f t="shared" si="246"/>
        <v>Tongling Pt [CNTOL]</v>
      </c>
      <c r="AN15746" t="s">
        <v>6156</v>
      </c>
      <c r="AO15746" t="s">
        <v>6157</v>
      </c>
    </row>
    <row r="15747" spans="39:41" ht="12" customHeight="1" x14ac:dyDescent="0.2">
      <c r="AM15747" t="str">
        <f t="shared" si="246"/>
        <v>Tongoy [CLTON]</v>
      </c>
      <c r="AN15747" t="s">
        <v>4981</v>
      </c>
      <c r="AO15747" t="s">
        <v>4982</v>
      </c>
    </row>
    <row r="15748" spans="39:41" ht="12" customHeight="1" x14ac:dyDescent="0.2">
      <c r="AM15748" t="str">
        <f t="shared" si="246"/>
        <v>Tongue [GBTGU]</v>
      </c>
      <c r="AN15748" t="s">
        <v>14706</v>
      </c>
      <c r="AO15748" t="s">
        <v>14707</v>
      </c>
    </row>
    <row r="15749" spans="39:41" ht="12" customHeight="1" x14ac:dyDescent="0.2">
      <c r="AM15749" t="str">
        <f t="shared" si="246"/>
        <v>Tongxiang [CNTXZ]</v>
      </c>
      <c r="AN15749" t="s">
        <v>6158</v>
      </c>
      <c r="AO15749" t="s">
        <v>6159</v>
      </c>
    </row>
    <row r="15750" spans="39:41" ht="12" customHeight="1" x14ac:dyDescent="0.2">
      <c r="AM15750" t="str">
        <f t="shared" si="246"/>
        <v>Tongxing [CNTOX]</v>
      </c>
      <c r="AN15750" t="s">
        <v>6160</v>
      </c>
      <c r="AO15750" t="s">
        <v>6161</v>
      </c>
    </row>
    <row r="15751" spans="39:41" ht="12" customHeight="1" x14ac:dyDescent="0.2">
      <c r="AM15751" t="str">
        <f t="shared" si="246"/>
        <v>Tongyeong [KRTYG]</v>
      </c>
      <c r="AN15751" t="s">
        <v>21736</v>
      </c>
      <c r="AO15751" t="s">
        <v>21737</v>
      </c>
    </row>
    <row r="15752" spans="39:41" ht="12" customHeight="1" x14ac:dyDescent="0.2">
      <c r="AM15752" t="str">
        <f t="shared" si="246"/>
        <v>Tongzhao [CNTOZ]</v>
      </c>
      <c r="AN15752" t="s">
        <v>6162</v>
      </c>
      <c r="AO15752" t="s">
        <v>6163</v>
      </c>
    </row>
    <row r="15753" spans="39:41" ht="12" customHeight="1" x14ac:dyDescent="0.2">
      <c r="AM15753" t="str">
        <f t="shared" si="246"/>
        <v>Tonica [USQTO]</v>
      </c>
      <c r="AN15753" t="s">
        <v>31744</v>
      </c>
      <c r="AO15753" t="s">
        <v>31745</v>
      </c>
    </row>
    <row r="15754" spans="39:41" ht="12" customHeight="1" x14ac:dyDescent="0.2">
      <c r="AM15754" t="str">
        <f t="shared" si="246"/>
        <v>Tonnay-Charente [FRTON]</v>
      </c>
      <c r="AN15754" t="s">
        <v>12134</v>
      </c>
      <c r="AO15754" t="s">
        <v>12135</v>
      </c>
    </row>
    <row r="15755" spans="39:41" ht="12" customHeight="1" x14ac:dyDescent="0.2">
      <c r="AM15755" t="str">
        <f t="shared" si="246"/>
        <v>Tonnes [NOTNN]</v>
      </c>
      <c r="AN15755" t="s">
        <v>24910</v>
      </c>
      <c r="AO15755" t="s">
        <v>24911</v>
      </c>
    </row>
    <row r="15756" spans="39:41" ht="12" customHeight="1" x14ac:dyDescent="0.2">
      <c r="AM15756" t="str">
        <f t="shared" si="246"/>
        <v>Tonning [DETOE]</v>
      </c>
      <c r="AN15756" t="s">
        <v>8365</v>
      </c>
      <c r="AO15756" t="s">
        <v>35504</v>
      </c>
    </row>
    <row r="15757" spans="39:41" ht="12" customHeight="1" x14ac:dyDescent="0.2">
      <c r="AM15757" t="str">
        <f t="shared" si="246"/>
        <v>Tonosho [JPTNO]</v>
      </c>
      <c r="AN15757" t="s">
        <v>21173</v>
      </c>
      <c r="AO15757" t="s">
        <v>21174</v>
      </c>
    </row>
    <row r="15758" spans="39:41" ht="12" customHeight="1" x14ac:dyDescent="0.2">
      <c r="AM15758" t="str">
        <f t="shared" si="246"/>
        <v>Tonoshohigash [JPTNH]</v>
      </c>
      <c r="AN15758" t="s">
        <v>21175</v>
      </c>
      <c r="AO15758" t="s">
        <v>21176</v>
      </c>
    </row>
    <row r="15759" spans="39:41" ht="12" customHeight="1" x14ac:dyDescent="0.2">
      <c r="AM15759" t="str">
        <f t="shared" si="246"/>
        <v>Tonoura [JPTON]</v>
      </c>
      <c r="AN15759" t="s">
        <v>21177</v>
      </c>
      <c r="AO15759" t="s">
        <v>21178</v>
      </c>
    </row>
    <row r="15760" spans="39:41" ht="12" customHeight="1" x14ac:dyDescent="0.2">
      <c r="AM15760" t="str">
        <f t="shared" si="246"/>
        <v>Tonsberg [NOTON]</v>
      </c>
      <c r="AN15760" t="s">
        <v>24912</v>
      </c>
      <c r="AO15760" t="s">
        <v>36326</v>
      </c>
    </row>
    <row r="15761" spans="39:41" ht="12" customHeight="1" x14ac:dyDescent="0.2">
      <c r="AM15761" t="str">
        <f t="shared" si="246"/>
        <v>Tontouta [NCTON]</v>
      </c>
      <c r="AN15761" t="s">
        <v>22894</v>
      </c>
      <c r="AO15761" t="s">
        <v>22895</v>
      </c>
    </row>
    <row r="15762" spans="39:41" ht="12" customHeight="1" x14ac:dyDescent="0.2">
      <c r="AM15762" t="str">
        <f t="shared" si="246"/>
        <v>Toombul [AUTOL]</v>
      </c>
      <c r="AN15762" t="s">
        <v>2058</v>
      </c>
      <c r="AO15762" t="s">
        <v>2059</v>
      </c>
    </row>
    <row r="15763" spans="39:41" ht="12" customHeight="1" x14ac:dyDescent="0.2">
      <c r="AM15763" t="str">
        <f t="shared" si="246"/>
        <v>Tooradin [AUTRD]</v>
      </c>
      <c r="AN15763" t="s">
        <v>2060</v>
      </c>
      <c r="AO15763" t="s">
        <v>2061</v>
      </c>
    </row>
    <row r="15764" spans="39:41" ht="12" customHeight="1" x14ac:dyDescent="0.2">
      <c r="AM15764" t="str">
        <f t="shared" si="246"/>
        <v>Topo [PTTPO]</v>
      </c>
      <c r="AN15764" t="s">
        <v>26615</v>
      </c>
      <c r="AO15764" t="s">
        <v>26616</v>
      </c>
    </row>
    <row r="15765" spans="39:41" ht="12" customHeight="1" x14ac:dyDescent="0.2">
      <c r="AM15765" t="str">
        <f t="shared" si="246"/>
        <v>Topolobampo [MXTPB]</v>
      </c>
      <c r="AN15765" t="s">
        <v>22471</v>
      </c>
      <c r="AO15765" t="s">
        <v>22472</v>
      </c>
    </row>
    <row r="15766" spans="39:41" ht="12" customHeight="1" x14ac:dyDescent="0.2">
      <c r="AM15766" t="str">
        <f t="shared" si="246"/>
        <v>Topsham [GBTHM]</v>
      </c>
      <c r="AN15766" t="s">
        <v>14708</v>
      </c>
      <c r="AO15766" t="s">
        <v>14709</v>
      </c>
    </row>
    <row r="15767" spans="39:41" ht="12" customHeight="1" x14ac:dyDescent="0.2">
      <c r="AM15767" t="str">
        <f t="shared" si="246"/>
        <v>Toqqusaq [GLTOV]</v>
      </c>
      <c r="AN15767" t="s">
        <v>15031</v>
      </c>
      <c r="AO15767" t="s">
        <v>15032</v>
      </c>
    </row>
    <row r="15768" spans="39:41" ht="12" customHeight="1" x14ac:dyDescent="0.2">
      <c r="AM15768" t="str">
        <f t="shared" si="246"/>
        <v>Toranagallu [INKTK]</v>
      </c>
      <c r="AN15768" t="s">
        <v>17493</v>
      </c>
      <c r="AO15768" t="s">
        <v>17494</v>
      </c>
    </row>
    <row r="15769" spans="39:41" ht="12" customHeight="1" x14ac:dyDescent="0.2">
      <c r="AM15769" t="str">
        <f t="shared" si="246"/>
        <v>Torangsvag [NOTAV]</v>
      </c>
      <c r="AN15769" t="s">
        <v>24913</v>
      </c>
      <c r="AO15769" t="s">
        <v>36327</v>
      </c>
    </row>
    <row r="15770" spans="39:41" ht="12" customHeight="1" x14ac:dyDescent="0.2">
      <c r="AM15770" t="str">
        <f t="shared" si="246"/>
        <v>Torbay/Paignton [GBTBY]</v>
      </c>
      <c r="AN15770" t="s">
        <v>14710</v>
      </c>
      <c r="AO15770" t="s">
        <v>14711</v>
      </c>
    </row>
    <row r="15771" spans="39:41" ht="12" customHeight="1" x14ac:dyDescent="0.2">
      <c r="AM15771" t="str">
        <f t="shared" si="246"/>
        <v>Tordoya [ESTDY]</v>
      </c>
      <c r="AN15771" t="s">
        <v>10240</v>
      </c>
      <c r="AO15771" t="s">
        <v>10241</v>
      </c>
    </row>
    <row r="15772" spans="39:41" ht="12" customHeight="1" x14ac:dyDescent="0.2">
      <c r="AM15772" t="str">
        <f t="shared" si="246"/>
        <v>Tore [SETOE]</v>
      </c>
      <c r="AN15772" t="s">
        <v>27911</v>
      </c>
      <c r="AO15772" t="s">
        <v>36534</v>
      </c>
    </row>
    <row r="15773" spans="39:41" ht="12" customHeight="1" x14ac:dyDescent="0.2">
      <c r="AM15773" t="str">
        <f t="shared" si="246"/>
        <v>Toreby [DKTB4]</v>
      </c>
      <c r="AN15773" t="s">
        <v>8938</v>
      </c>
      <c r="AO15773" t="s">
        <v>8939</v>
      </c>
    </row>
    <row r="15774" spans="39:41" ht="12" customHeight="1" x14ac:dyDescent="0.2">
      <c r="AM15774" t="str">
        <f t="shared" si="246"/>
        <v>Torekov [SETOV]</v>
      </c>
      <c r="AN15774" t="s">
        <v>27912</v>
      </c>
      <c r="AO15774" t="s">
        <v>27913</v>
      </c>
    </row>
    <row r="15775" spans="39:41" ht="12" customHeight="1" x14ac:dyDescent="0.2">
      <c r="AM15775" t="str">
        <f t="shared" si="246"/>
        <v>Torfmoorholle [DETMH]</v>
      </c>
      <c r="AN15775" t="s">
        <v>8366</v>
      </c>
      <c r="AO15775" t="s">
        <v>35505</v>
      </c>
    </row>
    <row r="15776" spans="39:41" ht="12" customHeight="1" x14ac:dyDescent="0.2">
      <c r="AM15776" t="str">
        <f t="shared" si="246"/>
        <v>Tori Joesadam [EETJS]</v>
      </c>
      <c r="AN15776" t="s">
        <v>35039</v>
      </c>
      <c r="AO15776" t="s">
        <v>35040</v>
      </c>
    </row>
    <row r="15777" spans="39:41" ht="12" customHeight="1" x14ac:dyDescent="0.2">
      <c r="AM15777" t="str">
        <f t="shared" si="246"/>
        <v>Torjulvagen [NOTJU]</v>
      </c>
      <c r="AN15777" t="s">
        <v>24914</v>
      </c>
      <c r="AO15777" t="s">
        <v>36328</v>
      </c>
    </row>
    <row r="15778" spans="39:41" ht="12" customHeight="1" x14ac:dyDescent="0.2">
      <c r="AM15778" t="str">
        <f t="shared" si="246"/>
        <v>Torkham [AFRKH]</v>
      </c>
      <c r="AN15778" t="s">
        <v>792</v>
      </c>
      <c r="AO15778" t="s">
        <v>793</v>
      </c>
    </row>
    <row r="15779" spans="39:41" ht="12" customHeight="1" x14ac:dyDescent="0.2">
      <c r="AM15779" t="str">
        <f t="shared" si="246"/>
        <v>Tornavacas [ESTVC]</v>
      </c>
      <c r="AN15779" t="s">
        <v>10242</v>
      </c>
      <c r="AO15779" t="s">
        <v>10243</v>
      </c>
    </row>
    <row r="15780" spans="39:41" ht="12" customHeight="1" x14ac:dyDescent="0.2">
      <c r="AM15780" t="str">
        <f t="shared" si="246"/>
        <v>Tornea (Tornio) [FITOR]</v>
      </c>
      <c r="AN15780" t="s">
        <v>10573</v>
      </c>
      <c r="AO15780" t="s">
        <v>35757</v>
      </c>
    </row>
    <row r="15781" spans="39:41" ht="12" customHeight="1" x14ac:dyDescent="0.2">
      <c r="AM15781" t="str">
        <f t="shared" si="246"/>
        <v>Tornillo [USQTN]</v>
      </c>
      <c r="AN15781" t="s">
        <v>31746</v>
      </c>
      <c r="AO15781" t="s">
        <v>31747</v>
      </c>
    </row>
    <row r="15782" spans="39:41" ht="12" customHeight="1" x14ac:dyDescent="0.2">
      <c r="AM15782" t="str">
        <f t="shared" si="246"/>
        <v>Toronto [AUTOR]</v>
      </c>
      <c r="AN15782" t="s">
        <v>2062</v>
      </c>
      <c r="AO15782" t="s">
        <v>2063</v>
      </c>
    </row>
    <row r="15783" spans="39:41" ht="12" customHeight="1" x14ac:dyDescent="0.2">
      <c r="AM15783" t="str">
        <f t="shared" si="246"/>
        <v>Toronto [CATOR]</v>
      </c>
      <c r="AN15783" t="s">
        <v>4536</v>
      </c>
      <c r="AO15783" t="s">
        <v>2063</v>
      </c>
    </row>
    <row r="15784" spans="39:41" ht="12" customHeight="1" x14ac:dyDescent="0.2">
      <c r="AM15784" t="str">
        <f t="shared" si="246"/>
        <v>Torontostraat [NLTOR]</v>
      </c>
      <c r="AN15784" t="s">
        <v>23682</v>
      </c>
      <c r="AO15784" t="s">
        <v>23683</v>
      </c>
    </row>
    <row r="15785" spans="39:41" ht="12" customHeight="1" x14ac:dyDescent="0.2">
      <c r="AM15785" t="str">
        <f t="shared" ref="AM15785:AM15848" si="247">AO15785 &amp; " [" &amp; AN15785 &amp; "]"</f>
        <v>Tororo [JPTRO]</v>
      </c>
      <c r="AN15785" t="s">
        <v>21179</v>
      </c>
      <c r="AO15785" t="s">
        <v>21180</v>
      </c>
    </row>
    <row r="15786" spans="39:41" ht="12" customHeight="1" x14ac:dyDescent="0.2">
      <c r="AM15786" t="str">
        <f t="shared" si="247"/>
        <v>Toros Gubre Terminal, Gubre [TRTGT]</v>
      </c>
      <c r="AN15786" t="s">
        <v>28598</v>
      </c>
      <c r="AO15786" t="s">
        <v>28599</v>
      </c>
    </row>
    <row r="15787" spans="39:41" ht="12" customHeight="1" x14ac:dyDescent="0.2">
      <c r="AM15787" t="str">
        <f t="shared" si="247"/>
        <v>Torpoint [GBTPO]</v>
      </c>
      <c r="AN15787" t="s">
        <v>14712</v>
      </c>
      <c r="AO15787" t="s">
        <v>14713</v>
      </c>
    </row>
    <row r="15788" spans="39:41" ht="12" customHeight="1" x14ac:dyDescent="0.2">
      <c r="AM15788" t="str">
        <f t="shared" si="247"/>
        <v>Torquay [GBTOR]</v>
      </c>
      <c r="AN15788" t="s">
        <v>14714</v>
      </c>
      <c r="AO15788" t="s">
        <v>14715</v>
      </c>
    </row>
    <row r="15789" spans="39:41" ht="12" customHeight="1" x14ac:dyDescent="0.2">
      <c r="AM15789" t="str">
        <f t="shared" si="247"/>
        <v>Torre Annunziata [ITTOA]</v>
      </c>
      <c r="AN15789" t="s">
        <v>18362</v>
      </c>
      <c r="AO15789" t="s">
        <v>18363</v>
      </c>
    </row>
    <row r="15790" spans="39:41" ht="12" customHeight="1" x14ac:dyDescent="0.2">
      <c r="AM15790" t="str">
        <f t="shared" si="247"/>
        <v>Torre Cesarea [ITTCS]</v>
      </c>
      <c r="AN15790" t="s">
        <v>18364</v>
      </c>
      <c r="AO15790" t="s">
        <v>18365</v>
      </c>
    </row>
    <row r="15791" spans="39:41" ht="12" customHeight="1" x14ac:dyDescent="0.2">
      <c r="AM15791" t="str">
        <f t="shared" si="247"/>
        <v>Torre de Miguel Sesmero [ESTMS]</v>
      </c>
      <c r="AN15791" t="s">
        <v>10244</v>
      </c>
      <c r="AO15791" t="s">
        <v>10245</v>
      </c>
    </row>
    <row r="15792" spans="39:41" ht="12" customHeight="1" x14ac:dyDescent="0.2">
      <c r="AM15792" t="str">
        <f t="shared" si="247"/>
        <v>Torre Faro [ITTRH]</v>
      </c>
      <c r="AN15792" t="s">
        <v>18366</v>
      </c>
      <c r="AO15792" t="s">
        <v>18367</v>
      </c>
    </row>
    <row r="15793" spans="39:41" ht="12" customHeight="1" x14ac:dyDescent="0.2">
      <c r="AM15793" t="str">
        <f t="shared" si="247"/>
        <v>Torre Gaveta [ITTGV]</v>
      </c>
      <c r="AN15793" t="s">
        <v>18368</v>
      </c>
      <c r="AO15793" t="s">
        <v>18369</v>
      </c>
    </row>
    <row r="15794" spans="39:41" ht="12" customHeight="1" x14ac:dyDescent="0.2">
      <c r="AM15794" t="str">
        <f t="shared" si="247"/>
        <v>Torre Horadada [ESTHO]</v>
      </c>
      <c r="AN15794" t="s">
        <v>10246</v>
      </c>
      <c r="AO15794" t="s">
        <v>10247</v>
      </c>
    </row>
    <row r="15795" spans="39:41" ht="12" customHeight="1" x14ac:dyDescent="0.2">
      <c r="AM15795" t="str">
        <f t="shared" si="247"/>
        <v>Torre San Giovanni d'Ugento [ITTRU]</v>
      </c>
      <c r="AN15795" t="s">
        <v>18370</v>
      </c>
      <c r="AO15795" t="s">
        <v>18371</v>
      </c>
    </row>
    <row r="15796" spans="39:41" ht="12" customHeight="1" x14ac:dyDescent="0.2">
      <c r="AM15796" t="str">
        <f t="shared" si="247"/>
        <v>Torredembarra [ESTRR]</v>
      </c>
      <c r="AN15796" t="s">
        <v>10248</v>
      </c>
      <c r="AO15796" t="s">
        <v>10249</v>
      </c>
    </row>
    <row r="15797" spans="39:41" ht="12" customHeight="1" x14ac:dyDescent="0.2">
      <c r="AM15797" t="str">
        <f t="shared" si="247"/>
        <v>Torregrande [ITTGR]</v>
      </c>
      <c r="AN15797" t="s">
        <v>18372</v>
      </c>
      <c r="AO15797" t="s">
        <v>18373</v>
      </c>
    </row>
    <row r="15798" spans="39:41" ht="12" customHeight="1" x14ac:dyDescent="0.2">
      <c r="AM15798" t="str">
        <f t="shared" si="247"/>
        <v>Torreira [PTTOA]</v>
      </c>
      <c r="AN15798" t="s">
        <v>26617</v>
      </c>
      <c r="AO15798" t="s">
        <v>26618</v>
      </c>
    </row>
    <row r="15799" spans="39:41" ht="12" customHeight="1" x14ac:dyDescent="0.2">
      <c r="AM15799" t="str">
        <f t="shared" si="247"/>
        <v>Torrensville [AULKU]</v>
      </c>
      <c r="AN15799" t="s">
        <v>2064</v>
      </c>
      <c r="AO15799" t="s">
        <v>2065</v>
      </c>
    </row>
    <row r="15800" spans="39:41" ht="12" customHeight="1" x14ac:dyDescent="0.2">
      <c r="AM15800" t="str">
        <f t="shared" si="247"/>
        <v>Torrente [ESLE6]</v>
      </c>
      <c r="AN15800" t="s">
        <v>10250</v>
      </c>
      <c r="AO15800" t="s">
        <v>10251</v>
      </c>
    </row>
    <row r="15801" spans="39:41" ht="12" customHeight="1" x14ac:dyDescent="0.2">
      <c r="AM15801" t="str">
        <f t="shared" si="247"/>
        <v>Torrevieja [ESTOR]</v>
      </c>
      <c r="AN15801" t="s">
        <v>10252</v>
      </c>
      <c r="AO15801" t="s">
        <v>10253</v>
      </c>
    </row>
    <row r="15802" spans="39:41" ht="12" customHeight="1" x14ac:dyDescent="0.2">
      <c r="AM15802" t="str">
        <f t="shared" si="247"/>
        <v>Torridon [GBTRD]</v>
      </c>
      <c r="AN15802" t="s">
        <v>14716</v>
      </c>
      <c r="AO15802" t="s">
        <v>14717</v>
      </c>
    </row>
    <row r="15803" spans="39:41" ht="12" customHeight="1" x14ac:dyDescent="0.2">
      <c r="AM15803" t="str">
        <f t="shared" si="247"/>
        <v>Torrig [DKTRG]</v>
      </c>
      <c r="AN15803" t="s">
        <v>8940</v>
      </c>
      <c r="AO15803" t="s">
        <v>8941</v>
      </c>
    </row>
    <row r="15804" spans="39:41" ht="12" customHeight="1" x14ac:dyDescent="0.2">
      <c r="AM15804" t="str">
        <f t="shared" si="247"/>
        <v>Torshalla [SETOA]</v>
      </c>
      <c r="AN15804" t="s">
        <v>27914</v>
      </c>
      <c r="AO15804" t="s">
        <v>36535</v>
      </c>
    </row>
    <row r="15805" spans="39:41" ht="12" customHeight="1" x14ac:dyDescent="0.2">
      <c r="AM15805" t="str">
        <f t="shared" si="247"/>
        <v>Torshavn [FOTOR]</v>
      </c>
      <c r="AN15805" t="s">
        <v>10700</v>
      </c>
      <c r="AO15805" t="s">
        <v>35769</v>
      </c>
    </row>
    <row r="15806" spans="39:41" ht="12" customHeight="1" x14ac:dyDescent="0.2">
      <c r="AM15806" t="str">
        <f t="shared" si="247"/>
        <v>Torsken [NOTOR]</v>
      </c>
      <c r="AN15806" t="s">
        <v>24915</v>
      </c>
      <c r="AO15806" t="s">
        <v>24916</v>
      </c>
    </row>
    <row r="15807" spans="39:41" ht="12" customHeight="1" x14ac:dyDescent="0.2">
      <c r="AM15807" t="str">
        <f t="shared" si="247"/>
        <v>Torsminde [DKTMD]</v>
      </c>
      <c r="AN15807" t="s">
        <v>8942</v>
      </c>
      <c r="AO15807" t="s">
        <v>8943</v>
      </c>
    </row>
    <row r="15808" spans="39:41" ht="12" customHeight="1" x14ac:dyDescent="0.2">
      <c r="AM15808" t="str">
        <f t="shared" si="247"/>
        <v>Torsvag [NOTVA]</v>
      </c>
      <c r="AN15808" t="s">
        <v>24917</v>
      </c>
      <c r="AO15808" t="s">
        <v>36329</v>
      </c>
    </row>
    <row r="15809" spans="39:41" ht="12" customHeight="1" x14ac:dyDescent="0.2">
      <c r="AM15809" t="str">
        <f t="shared" si="247"/>
        <v>Tortel [CLTOR]</v>
      </c>
      <c r="AN15809" t="s">
        <v>4983</v>
      </c>
      <c r="AO15809" t="s">
        <v>4984</v>
      </c>
    </row>
    <row r="15810" spans="39:41" ht="12" customHeight="1" x14ac:dyDescent="0.2">
      <c r="AM15810" t="str">
        <f t="shared" si="247"/>
        <v>Tortola [VGTOV]</v>
      </c>
      <c r="AN15810" t="s">
        <v>32276</v>
      </c>
      <c r="AO15810" t="s">
        <v>32277</v>
      </c>
    </row>
    <row r="15811" spans="39:41" ht="12" customHeight="1" x14ac:dyDescent="0.2">
      <c r="AM15811" t="str">
        <f t="shared" si="247"/>
        <v>Tortosa [ESTOT]</v>
      </c>
      <c r="AN15811" t="s">
        <v>10254</v>
      </c>
      <c r="AO15811" t="s">
        <v>10255</v>
      </c>
    </row>
    <row r="15812" spans="39:41" ht="12" customHeight="1" x14ac:dyDescent="0.2">
      <c r="AM15812" t="str">
        <f t="shared" si="247"/>
        <v>Torvaianica [ITICA]</v>
      </c>
      <c r="AN15812" t="s">
        <v>18374</v>
      </c>
      <c r="AO15812" t="s">
        <v>18375</v>
      </c>
    </row>
    <row r="15813" spans="39:41" ht="12" customHeight="1" x14ac:dyDescent="0.2">
      <c r="AM15813" t="str">
        <f t="shared" si="247"/>
        <v>Torvastad [NOTSD]</v>
      </c>
      <c r="AN15813" t="s">
        <v>37124</v>
      </c>
      <c r="AO15813" t="s">
        <v>37125</v>
      </c>
    </row>
    <row r="15814" spans="39:41" ht="12" customHeight="1" x14ac:dyDescent="0.2">
      <c r="AM15814" t="str">
        <f t="shared" si="247"/>
        <v>Torvika [NOTVI]</v>
      </c>
      <c r="AN15814" t="s">
        <v>24918</v>
      </c>
      <c r="AO15814" t="s">
        <v>24919</v>
      </c>
    </row>
    <row r="15815" spans="39:41" ht="12" customHeight="1" x14ac:dyDescent="0.2">
      <c r="AM15815" t="str">
        <f t="shared" si="247"/>
        <v>Torviscosa [ITTVC]</v>
      </c>
      <c r="AN15815" t="s">
        <v>18376</v>
      </c>
      <c r="AO15815" t="s">
        <v>18377</v>
      </c>
    </row>
    <row r="15816" spans="39:41" ht="12" customHeight="1" x14ac:dyDescent="0.2">
      <c r="AM15816" t="str">
        <f t="shared" si="247"/>
        <v>Tosashimizu [JPTSZ]</v>
      </c>
      <c r="AN15816" t="s">
        <v>21181</v>
      </c>
      <c r="AO15816" t="s">
        <v>21182</v>
      </c>
    </row>
    <row r="15817" spans="39:41" ht="12" customHeight="1" x14ac:dyDescent="0.2">
      <c r="AM15817" t="str">
        <f t="shared" si="247"/>
        <v>Toshima, Hyogo [JPTJO]</v>
      </c>
      <c r="AN15817" t="s">
        <v>21183</v>
      </c>
      <c r="AO15817" t="s">
        <v>21184</v>
      </c>
    </row>
    <row r="15818" spans="39:41" ht="12" customHeight="1" x14ac:dyDescent="0.2">
      <c r="AM15818" t="str">
        <f t="shared" si="247"/>
        <v>Toshima/Tokyo [JPTOX]</v>
      </c>
      <c r="AN15818" t="s">
        <v>21185</v>
      </c>
      <c r="AO15818" t="s">
        <v>21186</v>
      </c>
    </row>
    <row r="15819" spans="39:41" ht="12" customHeight="1" x14ac:dyDescent="0.2">
      <c r="AM15819" t="str">
        <f t="shared" si="247"/>
        <v>Tossa (Tossa de Mar) [ESTKG]</v>
      </c>
      <c r="AN15819" t="s">
        <v>10256</v>
      </c>
      <c r="AO15819" t="s">
        <v>10257</v>
      </c>
    </row>
    <row r="15820" spans="39:41" ht="12" customHeight="1" x14ac:dyDescent="0.2">
      <c r="AM15820" t="str">
        <f t="shared" si="247"/>
        <v>Tossens [DETOS]</v>
      </c>
      <c r="AN15820" t="s">
        <v>8367</v>
      </c>
      <c r="AO15820" t="s">
        <v>8368</v>
      </c>
    </row>
    <row r="15821" spans="39:41" ht="12" customHeight="1" x14ac:dyDescent="0.2">
      <c r="AM15821" t="str">
        <f t="shared" si="247"/>
        <v>Totogalpa [NI8LG]</v>
      </c>
      <c r="AN15821" t="s">
        <v>23014</v>
      </c>
      <c r="AO15821" t="s">
        <v>23015</v>
      </c>
    </row>
    <row r="15822" spans="39:41" ht="12" customHeight="1" x14ac:dyDescent="0.2">
      <c r="AM15822" t="str">
        <f t="shared" si="247"/>
        <v>Totoro [JPTOT]</v>
      </c>
      <c r="AN15822" t="s">
        <v>21187</v>
      </c>
      <c r="AO15822" t="s">
        <v>21188</v>
      </c>
    </row>
    <row r="15823" spans="39:41" ht="12" customHeight="1" x14ac:dyDescent="0.2">
      <c r="AM15823" t="str">
        <f t="shared" si="247"/>
        <v>Tottenville, Staten Island [USTTV]</v>
      </c>
      <c r="AN15823" t="s">
        <v>31748</v>
      </c>
      <c r="AO15823" t="s">
        <v>31749</v>
      </c>
    </row>
    <row r="15824" spans="39:41" ht="12" customHeight="1" x14ac:dyDescent="0.2">
      <c r="AM15824" t="str">
        <f t="shared" si="247"/>
        <v>Tottesund [FITOT]</v>
      </c>
      <c r="AN15824" t="s">
        <v>10574</v>
      </c>
      <c r="AO15824" t="s">
        <v>10575</v>
      </c>
    </row>
    <row r="15825" spans="39:41" ht="12" customHeight="1" x14ac:dyDescent="0.2">
      <c r="AM15825" t="str">
        <f t="shared" si="247"/>
        <v>Tottori [JPTTJ]</v>
      </c>
      <c r="AN15825" t="s">
        <v>21189</v>
      </c>
      <c r="AO15825" t="s">
        <v>21190</v>
      </c>
    </row>
    <row r="15826" spans="39:41" ht="12" customHeight="1" x14ac:dyDescent="0.2">
      <c r="AM15826" t="str">
        <f t="shared" si="247"/>
        <v>Toucy [FRTUU]</v>
      </c>
      <c r="AN15826" t="s">
        <v>12136</v>
      </c>
      <c r="AO15826" t="s">
        <v>12137</v>
      </c>
    </row>
    <row r="15827" spans="39:41" ht="12" customHeight="1" x14ac:dyDescent="0.2">
      <c r="AM15827" t="str">
        <f t="shared" si="247"/>
        <v>Toughkenamon [USZTU]</v>
      </c>
      <c r="AN15827" t="s">
        <v>31750</v>
      </c>
      <c r="AO15827" t="s">
        <v>31751</v>
      </c>
    </row>
    <row r="15828" spans="39:41" ht="12" customHeight="1" x14ac:dyDescent="0.2">
      <c r="AM15828" t="str">
        <f t="shared" si="247"/>
        <v>Toulenne [FRRF3]</v>
      </c>
      <c r="AN15828" t="s">
        <v>12138</v>
      </c>
      <c r="AO15828" t="s">
        <v>12139</v>
      </c>
    </row>
    <row r="15829" spans="39:41" ht="12" customHeight="1" x14ac:dyDescent="0.2">
      <c r="AM15829" t="str">
        <f t="shared" si="247"/>
        <v>Toulmeitha [LYTOA]</v>
      </c>
      <c r="AN15829" t="s">
        <v>22009</v>
      </c>
      <c r="AO15829" t="s">
        <v>22010</v>
      </c>
    </row>
    <row r="15830" spans="39:41" ht="12" customHeight="1" x14ac:dyDescent="0.2">
      <c r="AM15830" t="str">
        <f t="shared" si="247"/>
        <v>Toulon [FRTLN]</v>
      </c>
      <c r="AN15830" t="s">
        <v>12140</v>
      </c>
      <c r="AO15830" t="s">
        <v>12141</v>
      </c>
    </row>
    <row r="15831" spans="39:41" ht="12" customHeight="1" x14ac:dyDescent="0.2">
      <c r="AM15831" t="str">
        <f t="shared" si="247"/>
        <v>Tourinnes-St-Lambert [BETSL]</v>
      </c>
      <c r="AN15831" t="s">
        <v>3020</v>
      </c>
      <c r="AO15831" t="s">
        <v>3021</v>
      </c>
    </row>
    <row r="15832" spans="39:41" ht="12" customHeight="1" x14ac:dyDescent="0.2">
      <c r="AM15832" t="str">
        <f t="shared" si="247"/>
        <v>Tourlaville [FRTOV]</v>
      </c>
      <c r="AN15832" t="s">
        <v>12142</v>
      </c>
      <c r="AO15832" t="s">
        <v>12143</v>
      </c>
    </row>
    <row r="15833" spans="39:41" ht="12" customHeight="1" x14ac:dyDescent="0.2">
      <c r="AM15833" t="str">
        <f t="shared" si="247"/>
        <v>Tournebride [BETBE]</v>
      </c>
      <c r="AN15833" t="s">
        <v>3022</v>
      </c>
      <c r="AO15833" t="s">
        <v>3023</v>
      </c>
    </row>
    <row r="15834" spans="39:41" ht="12" customHeight="1" x14ac:dyDescent="0.2">
      <c r="AM15834" t="str">
        <f t="shared" si="247"/>
        <v>Tourouzelle [FRAD5]</v>
      </c>
      <c r="AN15834" t="s">
        <v>12144</v>
      </c>
      <c r="AO15834" t="s">
        <v>12145</v>
      </c>
    </row>
    <row r="15835" spans="39:41" ht="12" customHeight="1" x14ac:dyDescent="0.2">
      <c r="AM15835" t="str">
        <f t="shared" si="247"/>
        <v>Touyo [JPTOU]</v>
      </c>
      <c r="AN15835" t="s">
        <v>21191</v>
      </c>
      <c r="AO15835" t="s">
        <v>21192</v>
      </c>
    </row>
    <row r="15836" spans="39:41" ht="12" customHeight="1" x14ac:dyDescent="0.2">
      <c r="AM15836" t="str">
        <f t="shared" si="247"/>
        <v>Touzim [CZTOM]</v>
      </c>
      <c r="AN15836" t="s">
        <v>6955</v>
      </c>
      <c r="AO15836" t="s">
        <v>6956</v>
      </c>
    </row>
    <row r="15837" spans="39:41" ht="12" customHeight="1" x14ac:dyDescent="0.2">
      <c r="AM15837" t="str">
        <f t="shared" si="247"/>
        <v>Tovik [NOTOV]</v>
      </c>
      <c r="AN15837" t="s">
        <v>24920</v>
      </c>
      <c r="AO15837" t="s">
        <v>24921</v>
      </c>
    </row>
    <row r="15838" spans="39:41" ht="12" customHeight="1" x14ac:dyDescent="0.2">
      <c r="AM15838" t="str">
        <f t="shared" si="247"/>
        <v>Tow [UST5W]</v>
      </c>
      <c r="AN15838" t="s">
        <v>31752</v>
      </c>
      <c r="AO15838" t="s">
        <v>31753</v>
      </c>
    </row>
    <row r="15839" spans="39:41" ht="12" customHeight="1" x14ac:dyDescent="0.2">
      <c r="AM15839" t="str">
        <f t="shared" si="247"/>
        <v>Towford Bay [AUTOB]</v>
      </c>
      <c r="AN15839" t="s">
        <v>2066</v>
      </c>
      <c r="AO15839" t="s">
        <v>2067</v>
      </c>
    </row>
    <row r="15840" spans="39:41" ht="12" customHeight="1" x14ac:dyDescent="0.2">
      <c r="AM15840" t="str">
        <f t="shared" si="247"/>
        <v>Town and Country [USTC4]</v>
      </c>
      <c r="AN15840" t="s">
        <v>31754</v>
      </c>
      <c r="AO15840" t="s">
        <v>31755</v>
      </c>
    </row>
    <row r="15841" spans="39:41" ht="12" customHeight="1" x14ac:dyDescent="0.2">
      <c r="AM15841" t="str">
        <f t="shared" si="247"/>
        <v>Town Quays/Drogheda [IETQY]</v>
      </c>
      <c r="AN15841" t="s">
        <v>16925</v>
      </c>
      <c r="AO15841" t="s">
        <v>16926</v>
      </c>
    </row>
    <row r="15842" spans="39:41" ht="12" customHeight="1" x14ac:dyDescent="0.2">
      <c r="AM15842" t="str">
        <f t="shared" si="247"/>
        <v>Townsville [AUTSV]</v>
      </c>
      <c r="AN15842" t="s">
        <v>2068</v>
      </c>
      <c r="AO15842" t="s">
        <v>2069</v>
      </c>
    </row>
    <row r="15843" spans="39:41" ht="12" customHeight="1" x14ac:dyDescent="0.2">
      <c r="AM15843" t="str">
        <f t="shared" si="247"/>
        <v>Toyama [JPTOY]</v>
      </c>
      <c r="AN15843" t="s">
        <v>21193</v>
      </c>
      <c r="AO15843" t="s">
        <v>21194</v>
      </c>
    </row>
    <row r="15844" spans="39:41" ht="12" customHeight="1" x14ac:dyDescent="0.2">
      <c r="AM15844" t="str">
        <f t="shared" si="247"/>
        <v>Toyamashinko [JPTOS]</v>
      </c>
      <c r="AN15844" t="s">
        <v>21195</v>
      </c>
      <c r="AO15844" t="s">
        <v>21196</v>
      </c>
    </row>
    <row r="15845" spans="39:41" ht="12" customHeight="1" x14ac:dyDescent="0.2">
      <c r="AM15845" t="str">
        <f t="shared" si="247"/>
        <v>Toyo [JPTOA]</v>
      </c>
      <c r="AN15845" t="s">
        <v>35041</v>
      </c>
      <c r="AO15845" t="s">
        <v>35042</v>
      </c>
    </row>
    <row r="15846" spans="39:41" ht="12" customHeight="1" x14ac:dyDescent="0.2">
      <c r="AM15846" t="str">
        <f t="shared" si="247"/>
        <v>Toyohama, Aichi [JPTYJ]</v>
      </c>
      <c r="AN15846" t="s">
        <v>21197</v>
      </c>
      <c r="AO15846" t="s">
        <v>21198</v>
      </c>
    </row>
    <row r="15847" spans="39:41" ht="12" customHeight="1" x14ac:dyDescent="0.2">
      <c r="AM15847" t="str">
        <f t="shared" si="247"/>
        <v>Toyohama, Kagawa [JPTYH]</v>
      </c>
      <c r="AN15847" t="s">
        <v>21199</v>
      </c>
      <c r="AO15847" t="s">
        <v>21200</v>
      </c>
    </row>
    <row r="15848" spans="39:41" ht="12" customHeight="1" x14ac:dyDescent="0.2">
      <c r="AM15848" t="str">
        <f t="shared" si="247"/>
        <v>Toyohashi [JPTHS]</v>
      </c>
      <c r="AN15848" t="s">
        <v>21201</v>
      </c>
      <c r="AO15848" t="s">
        <v>21202</v>
      </c>
    </row>
    <row r="15849" spans="39:41" ht="12" customHeight="1" x14ac:dyDescent="0.2">
      <c r="AM15849" t="str">
        <f t="shared" ref="AM15849:AM15912" si="248">AO15849 &amp; " [" &amp; AN15849 &amp; "]"</f>
        <v>Toyoshige [JPTUS]</v>
      </c>
      <c r="AN15849" t="s">
        <v>21203</v>
      </c>
      <c r="AO15849" t="s">
        <v>21204</v>
      </c>
    </row>
    <row r="15850" spans="39:41" ht="12" customHeight="1" x14ac:dyDescent="0.2">
      <c r="AM15850" t="str">
        <f t="shared" si="248"/>
        <v>Toyota [JPTYA]</v>
      </c>
      <c r="AN15850" t="s">
        <v>21205</v>
      </c>
      <c r="AO15850" t="s">
        <v>21206</v>
      </c>
    </row>
    <row r="15851" spans="39:41" ht="12" customHeight="1" x14ac:dyDescent="0.2">
      <c r="AM15851" t="str">
        <f t="shared" si="248"/>
        <v>Toyoura [JPTYR]</v>
      </c>
      <c r="AN15851" t="s">
        <v>21207</v>
      </c>
      <c r="AO15851" t="s">
        <v>21208</v>
      </c>
    </row>
    <row r="15852" spans="39:41" ht="12" customHeight="1" x14ac:dyDescent="0.2">
      <c r="AM15852" t="str">
        <f t="shared" si="248"/>
        <v>Tra Noc [VNTNO]</v>
      </c>
      <c r="AN15852" t="s">
        <v>32505</v>
      </c>
      <c r="AO15852" t="s">
        <v>32506</v>
      </c>
    </row>
    <row r="15853" spans="39:41" ht="12" customHeight="1" x14ac:dyDescent="0.2">
      <c r="AM15853" t="str">
        <f t="shared" si="248"/>
        <v>Traben-Trarbach [DETRT]</v>
      </c>
      <c r="AN15853" t="s">
        <v>8369</v>
      </c>
      <c r="AO15853" t="s">
        <v>8370</v>
      </c>
    </row>
    <row r="15854" spans="39:41" ht="12" customHeight="1" x14ac:dyDescent="0.2">
      <c r="AM15854" t="str">
        <f t="shared" si="248"/>
        <v>Trabzon [TRTZX]</v>
      </c>
      <c r="AN15854" t="s">
        <v>28600</v>
      </c>
      <c r="AO15854" t="s">
        <v>28601</v>
      </c>
    </row>
    <row r="15855" spans="39:41" ht="12" customHeight="1" x14ac:dyDescent="0.2">
      <c r="AM15855" t="str">
        <f t="shared" si="248"/>
        <v>Tracy [CATRC]</v>
      </c>
      <c r="AN15855" t="s">
        <v>4537</v>
      </c>
      <c r="AO15855" t="s">
        <v>4538</v>
      </c>
    </row>
    <row r="15856" spans="39:41" ht="12" customHeight="1" x14ac:dyDescent="0.2">
      <c r="AM15856" t="str">
        <f t="shared" si="248"/>
        <v>Tracy-sur-Loire [FRXYR]</v>
      </c>
      <c r="AN15856" t="s">
        <v>12146</v>
      </c>
      <c r="AO15856" t="s">
        <v>12147</v>
      </c>
    </row>
    <row r="15857" spans="39:41" ht="12" customHeight="1" x14ac:dyDescent="0.2">
      <c r="AM15857" t="str">
        <f t="shared" si="248"/>
        <v>Trade Town [LRTRT]</v>
      </c>
      <c r="AN15857" t="s">
        <v>21889</v>
      </c>
      <c r="AO15857" t="s">
        <v>21890</v>
      </c>
    </row>
    <row r="15858" spans="39:41" ht="12" customHeight="1" x14ac:dyDescent="0.2">
      <c r="AM15858" t="str">
        <f t="shared" si="248"/>
        <v>Trafalgar [USTFG]</v>
      </c>
      <c r="AN15858" t="s">
        <v>31756</v>
      </c>
      <c r="AO15858" t="s">
        <v>31757</v>
      </c>
    </row>
    <row r="15859" spans="39:41" ht="12" customHeight="1" x14ac:dyDescent="0.2">
      <c r="AM15859" t="str">
        <f t="shared" si="248"/>
        <v>Trafaria [PTTRF]</v>
      </c>
      <c r="AN15859" t="s">
        <v>26619</v>
      </c>
      <c r="AO15859" t="s">
        <v>26620</v>
      </c>
    </row>
    <row r="15860" spans="39:41" ht="12" customHeight="1" x14ac:dyDescent="0.2">
      <c r="AM15860" t="str">
        <f t="shared" si="248"/>
        <v>Traismauer [ATTMR]</v>
      </c>
      <c r="AN15860" t="s">
        <v>1361</v>
      </c>
      <c r="AO15860" t="s">
        <v>1362</v>
      </c>
    </row>
    <row r="15861" spans="39:41" ht="12" customHeight="1" x14ac:dyDescent="0.2">
      <c r="AM15861" t="str">
        <f t="shared" si="248"/>
        <v>Tralee [IETRA]</v>
      </c>
      <c r="AN15861" t="s">
        <v>16927</v>
      </c>
      <c r="AO15861" t="s">
        <v>16928</v>
      </c>
    </row>
    <row r="15862" spans="39:41" ht="12" customHeight="1" x14ac:dyDescent="0.2">
      <c r="AM15862" t="str">
        <f t="shared" si="248"/>
        <v>Tramandai [BRTRM]</v>
      </c>
      <c r="AN15862" t="s">
        <v>3406</v>
      </c>
      <c r="AO15862" t="s">
        <v>35315</v>
      </c>
    </row>
    <row r="15863" spans="39:41" ht="12" customHeight="1" x14ac:dyDescent="0.2">
      <c r="AM15863" t="str">
        <f t="shared" si="248"/>
        <v>Tramore [IETME]</v>
      </c>
      <c r="AN15863" t="s">
        <v>16929</v>
      </c>
      <c r="AO15863" t="s">
        <v>16930</v>
      </c>
    </row>
    <row r="15864" spans="39:41" ht="12" customHeight="1" x14ac:dyDescent="0.2">
      <c r="AM15864" t="str">
        <f t="shared" si="248"/>
        <v>Trana [NOTRN]</v>
      </c>
      <c r="AN15864" t="s">
        <v>24922</v>
      </c>
      <c r="AO15864" t="s">
        <v>36330</v>
      </c>
    </row>
    <row r="15865" spans="39:41" ht="12" customHeight="1" x14ac:dyDescent="0.2">
      <c r="AM15865" t="str">
        <f t="shared" si="248"/>
        <v>Trang [THTRG]</v>
      </c>
      <c r="AN15865" t="s">
        <v>34223</v>
      </c>
      <c r="AO15865" t="s">
        <v>28299</v>
      </c>
    </row>
    <row r="15866" spans="39:41" ht="12" customHeight="1" x14ac:dyDescent="0.2">
      <c r="AM15866" t="str">
        <f t="shared" si="248"/>
        <v>Trani [ITTNI]</v>
      </c>
      <c r="AN15866" t="s">
        <v>18378</v>
      </c>
      <c r="AO15866" t="s">
        <v>18379</v>
      </c>
    </row>
    <row r="15867" spans="39:41" ht="12" customHeight="1" x14ac:dyDescent="0.2">
      <c r="AM15867" t="str">
        <f t="shared" si="248"/>
        <v>Tranmere [GBTRA]</v>
      </c>
      <c r="AN15867" t="s">
        <v>14718</v>
      </c>
      <c r="AO15867" t="s">
        <v>14719</v>
      </c>
    </row>
    <row r="15868" spans="39:41" ht="12" customHeight="1" x14ac:dyDescent="0.2">
      <c r="AM15868" t="str">
        <f t="shared" si="248"/>
        <v>Tranoy [NOTRY]</v>
      </c>
      <c r="AN15868" t="s">
        <v>24923</v>
      </c>
      <c r="AO15868" t="s">
        <v>36331</v>
      </c>
    </row>
    <row r="15869" spans="39:41" ht="12" customHeight="1" x14ac:dyDescent="0.2">
      <c r="AM15869" t="str">
        <f t="shared" si="248"/>
        <v>Tranquebar [INTRA]</v>
      </c>
      <c r="AN15869" t="s">
        <v>17495</v>
      </c>
      <c r="AO15869" t="s">
        <v>17496</v>
      </c>
    </row>
    <row r="15870" spans="39:41" ht="12" customHeight="1" x14ac:dyDescent="0.2">
      <c r="AM15870" t="str">
        <f t="shared" si="248"/>
        <v>Transfer [USTFR]</v>
      </c>
      <c r="AN15870" t="s">
        <v>31758</v>
      </c>
      <c r="AO15870" t="s">
        <v>31759</v>
      </c>
    </row>
    <row r="15871" spans="39:41" ht="12" customHeight="1" x14ac:dyDescent="0.2">
      <c r="AM15871" t="str">
        <f t="shared" si="248"/>
        <v>Transvina Terminal [VNTVN]</v>
      </c>
      <c r="AN15871" t="s">
        <v>32507</v>
      </c>
      <c r="AO15871" t="s">
        <v>32508</v>
      </c>
    </row>
    <row r="15872" spans="39:41" ht="12" customHeight="1" x14ac:dyDescent="0.2">
      <c r="AM15872" t="str">
        <f t="shared" si="248"/>
        <v>Trapani [ITTPS]</v>
      </c>
      <c r="AN15872" t="s">
        <v>18380</v>
      </c>
      <c r="AO15872" t="s">
        <v>18381</v>
      </c>
    </row>
    <row r="15873" spans="39:41" ht="12" customHeight="1" x14ac:dyDescent="0.2">
      <c r="AM15873" t="str">
        <f t="shared" si="248"/>
        <v>Traslovslage [SETSL]</v>
      </c>
      <c r="AN15873" t="s">
        <v>27915</v>
      </c>
      <c r="AO15873" t="s">
        <v>36536</v>
      </c>
    </row>
    <row r="15874" spans="39:41" ht="12" customHeight="1" x14ac:dyDescent="0.2">
      <c r="AM15874" t="str">
        <f t="shared" si="248"/>
        <v>Travemunde [DETRV]</v>
      </c>
      <c r="AN15874" t="s">
        <v>8371</v>
      </c>
      <c r="AO15874" t="s">
        <v>35506</v>
      </c>
    </row>
    <row r="15875" spans="39:41" ht="12" customHeight="1" x14ac:dyDescent="0.2">
      <c r="AM15875" t="str">
        <f t="shared" si="248"/>
        <v>Trearddur [GBTRR]</v>
      </c>
      <c r="AN15875" t="s">
        <v>14720</v>
      </c>
      <c r="AO15875" t="s">
        <v>14721</v>
      </c>
    </row>
    <row r="15876" spans="39:41" ht="12" customHeight="1" x14ac:dyDescent="0.2">
      <c r="AM15876" t="str">
        <f t="shared" si="248"/>
        <v>Treasure Cay, Great Abaco Island [BSTCB]</v>
      </c>
      <c r="AN15876" t="s">
        <v>3480</v>
      </c>
      <c r="AO15876" t="s">
        <v>3481</v>
      </c>
    </row>
    <row r="15877" spans="39:41" ht="12" customHeight="1" x14ac:dyDescent="0.2">
      <c r="AM15877" t="str">
        <f t="shared" si="248"/>
        <v>Trebbin [DETBN]</v>
      </c>
      <c r="AN15877" t="s">
        <v>8372</v>
      </c>
      <c r="AO15877" t="s">
        <v>8373</v>
      </c>
    </row>
    <row r="15878" spans="39:41" ht="12" customHeight="1" x14ac:dyDescent="0.2">
      <c r="AM15878" t="str">
        <f t="shared" si="248"/>
        <v>Trebisacce [ITTCC]</v>
      </c>
      <c r="AN15878" t="s">
        <v>18382</v>
      </c>
      <c r="AO15878" t="s">
        <v>18383</v>
      </c>
    </row>
    <row r="15879" spans="39:41" ht="12" customHeight="1" x14ac:dyDescent="0.2">
      <c r="AM15879" t="str">
        <f t="shared" si="248"/>
        <v>Trebujena [ESTRE]</v>
      </c>
      <c r="AN15879" t="s">
        <v>10258</v>
      </c>
      <c r="AO15879" t="s">
        <v>10259</v>
      </c>
    </row>
    <row r="15880" spans="39:41" ht="12" customHeight="1" x14ac:dyDescent="0.2">
      <c r="AM15880" t="str">
        <f t="shared" si="248"/>
        <v>Trechtingshausen [DETRH]</v>
      </c>
      <c r="AN15880" t="s">
        <v>8374</v>
      </c>
      <c r="AO15880" t="s">
        <v>8375</v>
      </c>
    </row>
    <row r="15881" spans="39:41" ht="12" customHeight="1" x14ac:dyDescent="0.2">
      <c r="AM15881" t="str">
        <f t="shared" si="248"/>
        <v>Trefforest [GBTFR]</v>
      </c>
      <c r="AN15881" t="s">
        <v>14722</v>
      </c>
      <c r="AO15881" t="s">
        <v>14723</v>
      </c>
    </row>
    <row r="15882" spans="39:41" ht="12" customHeight="1" x14ac:dyDescent="0.2">
      <c r="AM15882" t="str">
        <f t="shared" si="248"/>
        <v>Trefor [GBTRO]</v>
      </c>
      <c r="AN15882" t="s">
        <v>14724</v>
      </c>
      <c r="AO15882" t="s">
        <v>14725</v>
      </c>
    </row>
    <row r="15883" spans="39:41" ht="12" customHeight="1" x14ac:dyDescent="0.2">
      <c r="AM15883" t="str">
        <f t="shared" si="248"/>
        <v>Treguier [FRTRE]</v>
      </c>
      <c r="AN15883" t="s">
        <v>12148</v>
      </c>
      <c r="AO15883" t="s">
        <v>35858</v>
      </c>
    </row>
    <row r="15884" spans="39:41" ht="12" customHeight="1" x14ac:dyDescent="0.2">
      <c r="AM15884" t="str">
        <f t="shared" si="248"/>
        <v>Tregunc [FRTR9]</v>
      </c>
      <c r="AN15884" t="s">
        <v>12149</v>
      </c>
      <c r="AO15884" t="s">
        <v>12150</v>
      </c>
    </row>
    <row r="15885" spans="39:41" ht="12" customHeight="1" x14ac:dyDescent="0.2">
      <c r="AM15885" t="str">
        <f t="shared" si="248"/>
        <v>Treimani [EETRE]</v>
      </c>
      <c r="AN15885" t="s">
        <v>9387</v>
      </c>
      <c r="AO15885" t="s">
        <v>9388</v>
      </c>
    </row>
    <row r="15886" spans="39:41" ht="12" customHeight="1" x14ac:dyDescent="0.2">
      <c r="AM15886" t="str">
        <f t="shared" si="248"/>
        <v>Treis-Karden [DETKD]</v>
      </c>
      <c r="AN15886" t="s">
        <v>8376</v>
      </c>
      <c r="AO15886" t="s">
        <v>8377</v>
      </c>
    </row>
    <row r="15887" spans="39:41" ht="12" customHeight="1" x14ac:dyDescent="0.2">
      <c r="AM15887" t="str">
        <f t="shared" si="248"/>
        <v>Trelleborg [SETRG]</v>
      </c>
      <c r="AN15887" t="s">
        <v>27916</v>
      </c>
      <c r="AO15887" t="s">
        <v>27917</v>
      </c>
    </row>
    <row r="15888" spans="39:41" ht="12" customHeight="1" x14ac:dyDescent="0.2">
      <c r="AM15888" t="str">
        <f t="shared" si="248"/>
        <v>Tremiti [ITTMT]</v>
      </c>
      <c r="AN15888" t="s">
        <v>18384</v>
      </c>
      <c r="AO15888" t="s">
        <v>18385</v>
      </c>
    </row>
    <row r="15889" spans="39:41" ht="12" customHeight="1" x14ac:dyDescent="0.2">
      <c r="AM15889" t="str">
        <f t="shared" si="248"/>
        <v>Trempealeau [UST2R]</v>
      </c>
      <c r="AN15889" t="s">
        <v>31760</v>
      </c>
      <c r="AO15889" t="s">
        <v>31761</v>
      </c>
    </row>
    <row r="15890" spans="39:41" ht="12" customHeight="1" x14ac:dyDescent="0.2">
      <c r="AM15890" t="str">
        <f t="shared" si="248"/>
        <v>Trencianske Bohuslavice [SKTBE]</v>
      </c>
      <c r="AN15890" t="s">
        <v>28067</v>
      </c>
      <c r="AO15890" t="s">
        <v>28068</v>
      </c>
    </row>
    <row r="15891" spans="39:41" ht="12" customHeight="1" x14ac:dyDescent="0.2">
      <c r="AM15891" t="str">
        <f t="shared" si="248"/>
        <v>Trenton [CATTC]</v>
      </c>
      <c r="AN15891" t="s">
        <v>4539</v>
      </c>
      <c r="AO15891" t="s">
        <v>4540</v>
      </c>
    </row>
    <row r="15892" spans="39:41" ht="12" customHeight="1" x14ac:dyDescent="0.2">
      <c r="AM15892" t="str">
        <f t="shared" si="248"/>
        <v>Tres Arroyos [AROYO]</v>
      </c>
      <c r="AN15892" t="s">
        <v>1141</v>
      </c>
      <c r="AO15892" t="s">
        <v>1142</v>
      </c>
    </row>
    <row r="15893" spans="39:41" ht="12" customHeight="1" x14ac:dyDescent="0.2">
      <c r="AM15893" t="str">
        <f t="shared" si="248"/>
        <v>Tres Coroas [BRROA]</v>
      </c>
      <c r="AN15893" t="s">
        <v>3407</v>
      </c>
      <c r="AO15893" t="s">
        <v>35316</v>
      </c>
    </row>
    <row r="15894" spans="39:41" ht="12" customHeight="1" x14ac:dyDescent="0.2">
      <c r="AM15894" t="str">
        <f t="shared" si="248"/>
        <v>Tres Pinos [US8YI]</v>
      </c>
      <c r="AN15894" t="s">
        <v>31762</v>
      </c>
      <c r="AO15894" t="s">
        <v>31763</v>
      </c>
    </row>
    <row r="15895" spans="39:41" ht="12" customHeight="1" x14ac:dyDescent="0.2">
      <c r="AM15895" t="str">
        <f t="shared" si="248"/>
        <v>Tres Puentes [CLTPT]</v>
      </c>
      <c r="AN15895" t="s">
        <v>4985</v>
      </c>
      <c r="AO15895" t="s">
        <v>4986</v>
      </c>
    </row>
    <row r="15896" spans="39:41" ht="12" customHeight="1" x14ac:dyDescent="0.2">
      <c r="AM15896" t="str">
        <f t="shared" si="248"/>
        <v>Tres Rios [CRTRE]</v>
      </c>
      <c r="AN15896" t="s">
        <v>6658</v>
      </c>
      <c r="AO15896" t="s">
        <v>35383</v>
      </c>
    </row>
    <row r="15897" spans="39:41" ht="12" customHeight="1" x14ac:dyDescent="0.2">
      <c r="AM15897" t="str">
        <f t="shared" si="248"/>
        <v>Tresco [GBTSO]</v>
      </c>
      <c r="AN15897" t="s">
        <v>14726</v>
      </c>
      <c r="AO15897" t="s">
        <v>14727</v>
      </c>
    </row>
    <row r="15898" spans="39:41" ht="12" customHeight="1" x14ac:dyDescent="0.2">
      <c r="AM15898" t="str">
        <f t="shared" si="248"/>
        <v>Treto [ESTTO]</v>
      </c>
      <c r="AN15898" t="s">
        <v>10260</v>
      </c>
      <c r="AO15898" t="s">
        <v>10261</v>
      </c>
    </row>
    <row r="15899" spans="39:41" ht="12" customHeight="1" x14ac:dyDescent="0.2">
      <c r="AM15899" t="str">
        <f t="shared" si="248"/>
        <v>Trial Bay [AUTRB]</v>
      </c>
      <c r="AN15899" t="s">
        <v>2070</v>
      </c>
      <c r="AO15899" t="s">
        <v>2071</v>
      </c>
    </row>
    <row r="15900" spans="39:41" ht="12" customHeight="1" x14ac:dyDescent="0.2">
      <c r="AM15900" t="str">
        <f t="shared" si="248"/>
        <v>Triangle [USTNV]</v>
      </c>
      <c r="AN15900" t="s">
        <v>31764</v>
      </c>
      <c r="AO15900" t="s">
        <v>31765</v>
      </c>
    </row>
    <row r="15901" spans="39:41" ht="12" customHeight="1" x14ac:dyDescent="0.2">
      <c r="AM15901" t="str">
        <f t="shared" si="248"/>
        <v>Tribunj [HRTRI]</v>
      </c>
      <c r="AN15901" t="s">
        <v>15968</v>
      </c>
      <c r="AO15901" t="s">
        <v>15969</v>
      </c>
    </row>
    <row r="15902" spans="39:41" ht="12" customHeight="1" x14ac:dyDescent="0.2">
      <c r="AM15902" t="str">
        <f t="shared" si="248"/>
        <v>Tri-Cities [USYTC]</v>
      </c>
      <c r="AN15902" t="s">
        <v>31766</v>
      </c>
      <c r="AO15902" t="s">
        <v>31767</v>
      </c>
    </row>
    <row r="15903" spans="39:41" ht="12" customHeight="1" x14ac:dyDescent="0.2">
      <c r="AM15903" t="str">
        <f t="shared" si="248"/>
        <v>Trier [DETRI]</v>
      </c>
      <c r="AN15903" t="s">
        <v>8378</v>
      </c>
      <c r="AO15903" t="s">
        <v>8379</v>
      </c>
    </row>
    <row r="15904" spans="39:41" ht="12" customHeight="1" x14ac:dyDescent="0.2">
      <c r="AM15904" t="str">
        <f t="shared" si="248"/>
        <v>Trieste [ITTRS]</v>
      </c>
      <c r="AN15904" t="s">
        <v>18386</v>
      </c>
      <c r="AO15904" t="s">
        <v>18387</v>
      </c>
    </row>
    <row r="15905" spans="39:41" ht="12" customHeight="1" x14ac:dyDescent="0.2">
      <c r="AM15905" t="str">
        <f t="shared" si="248"/>
        <v>Trifonov Ruchey [RUTRR]</v>
      </c>
      <c r="AN15905" t="s">
        <v>27278</v>
      </c>
      <c r="AO15905" t="s">
        <v>27279</v>
      </c>
    </row>
    <row r="15906" spans="39:41" ht="12" customHeight="1" x14ac:dyDescent="0.2">
      <c r="AM15906" t="str">
        <f t="shared" si="248"/>
        <v>Trignac [FRTRI]</v>
      </c>
      <c r="AN15906" t="s">
        <v>12151</v>
      </c>
      <c r="AO15906" t="s">
        <v>12152</v>
      </c>
    </row>
    <row r="15907" spans="39:41" ht="12" customHeight="1" x14ac:dyDescent="0.2">
      <c r="AM15907" t="str">
        <f t="shared" si="248"/>
        <v>Triigi [EETGI]</v>
      </c>
      <c r="AN15907" t="s">
        <v>9389</v>
      </c>
      <c r="AO15907" t="s">
        <v>9390</v>
      </c>
    </row>
    <row r="15908" spans="39:41" ht="12" customHeight="1" x14ac:dyDescent="0.2">
      <c r="AM15908" t="str">
        <f t="shared" si="248"/>
        <v>Trikeri [GRTRK]</v>
      </c>
      <c r="AN15908" t="s">
        <v>15565</v>
      </c>
      <c r="AO15908" t="s">
        <v>15566</v>
      </c>
    </row>
    <row r="15909" spans="39:41" ht="12" customHeight="1" x14ac:dyDescent="0.2">
      <c r="AM15909" t="str">
        <f t="shared" si="248"/>
        <v>Trilport [FRTPO]</v>
      </c>
      <c r="AN15909" t="s">
        <v>12153</v>
      </c>
      <c r="AO15909" t="s">
        <v>12154</v>
      </c>
    </row>
    <row r="15910" spans="39:41" ht="12" customHeight="1" x14ac:dyDescent="0.2">
      <c r="AM15910" t="str">
        <f t="shared" si="248"/>
        <v>Trincomalee [LKTRR]</v>
      </c>
      <c r="AN15910" t="s">
        <v>21855</v>
      </c>
      <c r="AO15910" t="s">
        <v>21856</v>
      </c>
    </row>
    <row r="15911" spans="39:41" ht="12" customHeight="1" x14ac:dyDescent="0.2">
      <c r="AM15911" t="str">
        <f t="shared" si="248"/>
        <v>Tring Jonction [CATJN]</v>
      </c>
      <c r="AN15911" t="s">
        <v>4541</v>
      </c>
      <c r="AO15911" t="s">
        <v>4542</v>
      </c>
    </row>
    <row r="15912" spans="39:41" ht="12" customHeight="1" x14ac:dyDescent="0.2">
      <c r="AM15912" t="str">
        <f t="shared" si="248"/>
        <v>Trinidad [BOTDD]</v>
      </c>
      <c r="AN15912" t="s">
        <v>3235</v>
      </c>
      <c r="AO15912" t="s">
        <v>3236</v>
      </c>
    </row>
    <row r="15913" spans="39:41" ht="12" customHeight="1" x14ac:dyDescent="0.2">
      <c r="AM15913" t="str">
        <f t="shared" ref="AM15913:AM15976" si="249">AO15913 &amp; " [" &amp; AN15913 &amp; "]"</f>
        <v>Trinity [USQTI]</v>
      </c>
      <c r="AN15913" t="s">
        <v>31768</v>
      </c>
      <c r="AO15913" t="s">
        <v>31769</v>
      </c>
    </row>
    <row r="15914" spans="39:41" ht="12" customHeight="1" x14ac:dyDescent="0.2">
      <c r="AM15914" t="str">
        <f t="shared" si="249"/>
        <v>Trinity Bay [CATRB]</v>
      </c>
      <c r="AN15914" t="s">
        <v>4543</v>
      </c>
      <c r="AO15914" t="s">
        <v>4544</v>
      </c>
    </row>
    <row r="15915" spans="39:41" ht="12" customHeight="1" x14ac:dyDescent="0.2">
      <c r="AM15915" t="str">
        <f t="shared" si="249"/>
        <v>Tripoli [LBKYE]</v>
      </c>
      <c r="AN15915" t="s">
        <v>21805</v>
      </c>
      <c r="AO15915" t="s">
        <v>21806</v>
      </c>
    </row>
    <row r="15916" spans="39:41" ht="12" customHeight="1" x14ac:dyDescent="0.2">
      <c r="AM15916" t="str">
        <f t="shared" si="249"/>
        <v>Tripoli [LYTIP]</v>
      </c>
      <c r="AN15916" t="s">
        <v>22011</v>
      </c>
      <c r="AO15916" t="s">
        <v>21806</v>
      </c>
    </row>
    <row r="15917" spans="39:41" ht="12" customHeight="1" x14ac:dyDescent="0.2">
      <c r="AM15917" t="str">
        <f t="shared" si="249"/>
        <v>Tristan da Cunha [SHTDC]</v>
      </c>
      <c r="AN15917" t="s">
        <v>27996</v>
      </c>
      <c r="AO15917" t="s">
        <v>27997</v>
      </c>
    </row>
    <row r="15918" spans="39:41" ht="12" customHeight="1" x14ac:dyDescent="0.2">
      <c r="AM15918" t="str">
        <f t="shared" si="249"/>
        <v>Triton [GBTOI]</v>
      </c>
      <c r="AN15918" t="s">
        <v>14728</v>
      </c>
      <c r="AO15918" t="s">
        <v>14729</v>
      </c>
    </row>
    <row r="15919" spans="39:41" ht="12" customHeight="1" x14ac:dyDescent="0.2">
      <c r="AM15919" t="str">
        <f t="shared" si="249"/>
        <v>Triunfo [BRTFO]</v>
      </c>
      <c r="AN15919" t="s">
        <v>36831</v>
      </c>
      <c r="AO15919" t="s">
        <v>36832</v>
      </c>
    </row>
    <row r="15920" spans="39:41" ht="12" customHeight="1" x14ac:dyDescent="0.2">
      <c r="AM15920" t="str">
        <f t="shared" si="249"/>
        <v>Trnava [SKTNA]</v>
      </c>
      <c r="AN15920" t="s">
        <v>28069</v>
      </c>
      <c r="AO15920" t="s">
        <v>28070</v>
      </c>
    </row>
    <row r="15921" spans="39:41" ht="12" customHeight="1" x14ac:dyDescent="0.2">
      <c r="AM15921" t="str">
        <f t="shared" si="249"/>
        <v>Trnavka [CZVKA]</v>
      </c>
      <c r="AN15921" t="s">
        <v>6957</v>
      </c>
      <c r="AO15921" t="s">
        <v>6958</v>
      </c>
    </row>
    <row r="15922" spans="39:41" ht="12" customHeight="1" x14ac:dyDescent="0.2">
      <c r="AM15922" t="str">
        <f t="shared" si="249"/>
        <v>Trobajo del Cerecedo [ESTDC]</v>
      </c>
      <c r="AN15922" t="s">
        <v>10262</v>
      </c>
      <c r="AO15922" t="s">
        <v>10263</v>
      </c>
    </row>
    <row r="15923" spans="39:41" ht="12" customHeight="1" x14ac:dyDescent="0.2">
      <c r="AM15923" t="str">
        <f t="shared" si="249"/>
        <v>Trochtelfingen [DETRF]</v>
      </c>
      <c r="AN15923" t="s">
        <v>8380</v>
      </c>
      <c r="AO15923" t="s">
        <v>8381</v>
      </c>
    </row>
    <row r="15924" spans="39:41" ht="12" customHeight="1" x14ac:dyDescent="0.2">
      <c r="AM15924" t="str">
        <f t="shared" si="249"/>
        <v>Trochu [CATRO]</v>
      </c>
      <c r="AN15924" t="s">
        <v>4545</v>
      </c>
      <c r="AO15924" t="s">
        <v>4546</v>
      </c>
    </row>
    <row r="15925" spans="39:41" ht="12" customHeight="1" x14ac:dyDescent="0.2">
      <c r="AM15925" t="str">
        <f t="shared" si="249"/>
        <v>Troense [DKTRO]</v>
      </c>
      <c r="AN15925" t="s">
        <v>8944</v>
      </c>
      <c r="AO15925" t="s">
        <v>8945</v>
      </c>
    </row>
    <row r="15926" spans="39:41" ht="12" customHeight="1" x14ac:dyDescent="0.2">
      <c r="AM15926" t="str">
        <f t="shared" si="249"/>
        <v>Trogir [HRTRO]</v>
      </c>
      <c r="AN15926" t="s">
        <v>15970</v>
      </c>
      <c r="AO15926" t="s">
        <v>15971</v>
      </c>
    </row>
    <row r="15927" spans="39:41" ht="12" customHeight="1" x14ac:dyDescent="0.2">
      <c r="AM15927" t="str">
        <f t="shared" si="249"/>
        <v>Trois-Rivieres (Three Rivers) [CATRR]</v>
      </c>
      <c r="AN15927" t="s">
        <v>4547</v>
      </c>
      <c r="AO15927" t="s">
        <v>4548</v>
      </c>
    </row>
    <row r="15928" spans="39:41" ht="12" customHeight="1" x14ac:dyDescent="0.2">
      <c r="AM15928" t="str">
        <f t="shared" si="249"/>
        <v>Trojane [SILU6]</v>
      </c>
      <c r="AN15928" t="s">
        <v>28024</v>
      </c>
      <c r="AO15928" t="s">
        <v>28025</v>
      </c>
    </row>
    <row r="15929" spans="39:41" ht="12" customHeight="1" x14ac:dyDescent="0.2">
      <c r="AM15929" t="str">
        <f t="shared" si="249"/>
        <v>Trollasen [NOTRO]</v>
      </c>
      <c r="AN15929" t="s">
        <v>24924</v>
      </c>
      <c r="AO15929" t="s">
        <v>36332</v>
      </c>
    </row>
    <row r="15930" spans="39:41" ht="12" customHeight="1" x14ac:dyDescent="0.2">
      <c r="AM15930" t="str">
        <f t="shared" si="249"/>
        <v>Trollhattan [SETHN]</v>
      </c>
      <c r="AN15930" t="s">
        <v>27918</v>
      </c>
      <c r="AO15930" t="s">
        <v>36537</v>
      </c>
    </row>
    <row r="15931" spans="39:41" ht="12" customHeight="1" x14ac:dyDescent="0.2">
      <c r="AM15931" t="str">
        <f t="shared" si="249"/>
        <v>Trombay [INTMP]</v>
      </c>
      <c r="AN15931" t="s">
        <v>17497</v>
      </c>
      <c r="AO15931" t="s">
        <v>17498</v>
      </c>
    </row>
    <row r="15932" spans="39:41" ht="12" customHeight="1" x14ac:dyDescent="0.2">
      <c r="AM15932" t="str">
        <f t="shared" si="249"/>
        <v>Trombetas [BRTMT]</v>
      </c>
      <c r="AN15932" t="s">
        <v>36833</v>
      </c>
      <c r="AO15932" t="s">
        <v>36834</v>
      </c>
    </row>
    <row r="15933" spans="39:41" ht="12" customHeight="1" x14ac:dyDescent="0.2">
      <c r="AM15933" t="str">
        <f t="shared" si="249"/>
        <v>Tromsdalen [NONZY]</v>
      </c>
      <c r="AN15933" t="s">
        <v>24925</v>
      </c>
      <c r="AO15933" t="s">
        <v>24926</v>
      </c>
    </row>
    <row r="15934" spans="39:41" ht="12" customHeight="1" x14ac:dyDescent="0.2">
      <c r="AM15934" t="str">
        <f t="shared" si="249"/>
        <v>Tromso [NOTOS]</v>
      </c>
      <c r="AN15934" t="s">
        <v>24927</v>
      </c>
      <c r="AO15934" t="s">
        <v>36333</v>
      </c>
    </row>
    <row r="15935" spans="39:41" ht="12" customHeight="1" x14ac:dyDescent="0.2">
      <c r="AM15935" t="str">
        <f t="shared" si="249"/>
        <v>Tromvik [NOTMV]</v>
      </c>
      <c r="AN15935" t="s">
        <v>24928</v>
      </c>
      <c r="AO15935" t="s">
        <v>24929</v>
      </c>
    </row>
    <row r="15936" spans="39:41" ht="12" customHeight="1" x14ac:dyDescent="0.2">
      <c r="AM15936" t="str">
        <f t="shared" si="249"/>
        <v>Trondheim [NOTRD]</v>
      </c>
      <c r="AN15936" t="s">
        <v>24930</v>
      </c>
      <c r="AO15936" t="s">
        <v>24931</v>
      </c>
    </row>
    <row r="15937" spans="39:41" ht="12" customHeight="1" x14ac:dyDescent="0.2">
      <c r="AM15937" t="str">
        <f t="shared" si="249"/>
        <v>Troon [GBTRN]</v>
      </c>
      <c r="AN15937" t="s">
        <v>14730</v>
      </c>
      <c r="AO15937" t="s">
        <v>14731</v>
      </c>
    </row>
    <row r="15938" spans="39:41" ht="12" customHeight="1" x14ac:dyDescent="0.2">
      <c r="AM15938" t="str">
        <f t="shared" si="249"/>
        <v>Troughton Island [AUTRI]</v>
      </c>
      <c r="AN15938" t="s">
        <v>2072</v>
      </c>
      <c r="AO15938" t="s">
        <v>2073</v>
      </c>
    </row>
    <row r="15939" spans="39:41" ht="12" customHeight="1" x14ac:dyDescent="0.2">
      <c r="AM15939" t="str">
        <f t="shared" si="249"/>
        <v>Trouville-sur-Mer [FRTJE]</v>
      </c>
      <c r="AN15939" t="s">
        <v>12155</v>
      </c>
      <c r="AO15939" t="s">
        <v>12156</v>
      </c>
    </row>
    <row r="15940" spans="39:41" ht="12" customHeight="1" x14ac:dyDescent="0.2">
      <c r="AM15940" t="str">
        <f t="shared" si="249"/>
        <v>Troy [USOYY]</v>
      </c>
      <c r="AN15940" t="s">
        <v>31770</v>
      </c>
      <c r="AO15940" t="s">
        <v>31771</v>
      </c>
    </row>
    <row r="15941" spans="39:41" ht="12" customHeight="1" x14ac:dyDescent="0.2">
      <c r="AM15941" t="str">
        <f t="shared" si="249"/>
        <v>Troy [USTRY]</v>
      </c>
      <c r="AN15941" t="s">
        <v>31772</v>
      </c>
      <c r="AO15941" t="s">
        <v>31771</v>
      </c>
    </row>
    <row r="15942" spans="39:41" ht="12" customHeight="1" x14ac:dyDescent="0.2">
      <c r="AM15942" t="str">
        <f t="shared" si="249"/>
        <v>Troyes [FRQYR]</v>
      </c>
      <c r="AN15942" t="s">
        <v>12157</v>
      </c>
      <c r="AO15942" t="s">
        <v>12158</v>
      </c>
    </row>
    <row r="15943" spans="39:41" ht="12" customHeight="1" x14ac:dyDescent="0.2">
      <c r="AM15943" t="str">
        <f t="shared" si="249"/>
        <v>Trpanj [HRTRJ]</v>
      </c>
      <c r="AN15943" t="s">
        <v>15972</v>
      </c>
      <c r="AO15943" t="s">
        <v>15973</v>
      </c>
    </row>
    <row r="15944" spans="39:41" ht="12" customHeight="1" x14ac:dyDescent="0.2">
      <c r="AM15944" t="str">
        <f t="shared" si="249"/>
        <v>Trstenik [HRTRK]</v>
      </c>
      <c r="AN15944" t="s">
        <v>15974</v>
      </c>
      <c r="AO15944" t="s">
        <v>15975</v>
      </c>
    </row>
    <row r="15945" spans="39:41" ht="12" customHeight="1" x14ac:dyDescent="0.2">
      <c r="AM15945" t="str">
        <f t="shared" si="249"/>
        <v>Trubia [ESTRU]</v>
      </c>
      <c r="AN15945" t="s">
        <v>10264</v>
      </c>
      <c r="AO15945" t="s">
        <v>10265</v>
      </c>
    </row>
    <row r="15946" spans="39:41" ht="12" customHeight="1" x14ac:dyDescent="0.2">
      <c r="AM15946" t="str">
        <f t="shared" si="249"/>
        <v>Trudfront [RUTDO]</v>
      </c>
      <c r="AN15946" t="s">
        <v>27280</v>
      </c>
      <c r="AO15946" t="s">
        <v>27281</v>
      </c>
    </row>
    <row r="15947" spans="39:41" ht="12" customHeight="1" x14ac:dyDescent="0.2">
      <c r="AM15947" t="str">
        <f t="shared" si="249"/>
        <v>Trujillo [HNTJI]</v>
      </c>
      <c r="AN15947" t="s">
        <v>15690</v>
      </c>
      <c r="AO15947" t="s">
        <v>15691</v>
      </c>
    </row>
    <row r="15948" spans="39:41" ht="12" customHeight="1" x14ac:dyDescent="0.2">
      <c r="AM15948" t="str">
        <f t="shared" si="249"/>
        <v>Trujillo [PETRU]</v>
      </c>
      <c r="AN15948" t="s">
        <v>25311</v>
      </c>
      <c r="AO15948" t="s">
        <v>15691</v>
      </c>
    </row>
    <row r="15949" spans="39:41" ht="12" customHeight="1" x14ac:dyDescent="0.2">
      <c r="AM15949" t="str">
        <f t="shared" si="249"/>
        <v>Trumann [USTMN]</v>
      </c>
      <c r="AN15949" t="s">
        <v>31773</v>
      </c>
      <c r="AO15949" t="s">
        <v>31774</v>
      </c>
    </row>
    <row r="15950" spans="39:41" ht="12" customHeight="1" x14ac:dyDescent="0.2">
      <c r="AM15950" t="str">
        <f t="shared" si="249"/>
        <v>Truro [GBTRU]</v>
      </c>
      <c r="AN15950" t="s">
        <v>14732</v>
      </c>
      <c r="AO15950" t="s">
        <v>14733</v>
      </c>
    </row>
    <row r="15951" spans="39:41" ht="12" customHeight="1" x14ac:dyDescent="0.2">
      <c r="AM15951" t="str">
        <f t="shared" si="249"/>
        <v>Tryon [USZNT]</v>
      </c>
      <c r="AN15951" t="s">
        <v>31775</v>
      </c>
      <c r="AO15951" t="s">
        <v>31776</v>
      </c>
    </row>
    <row r="15952" spans="39:41" ht="12" customHeight="1" x14ac:dyDescent="0.2">
      <c r="AM15952" t="str">
        <f t="shared" si="249"/>
        <v>Tryphena [NZTRY]</v>
      </c>
      <c r="AN15952" t="s">
        <v>25125</v>
      </c>
      <c r="AO15952" t="s">
        <v>25126</v>
      </c>
    </row>
    <row r="15953" spans="39:41" ht="12" customHeight="1" x14ac:dyDescent="0.2">
      <c r="AM15953" t="str">
        <f t="shared" si="249"/>
        <v>Trypiti Chalkidikis [GRTRY]</v>
      </c>
      <c r="AN15953" t="s">
        <v>15567</v>
      </c>
      <c r="AO15953" t="s">
        <v>15568</v>
      </c>
    </row>
    <row r="15954" spans="39:41" ht="12" customHeight="1" x14ac:dyDescent="0.2">
      <c r="AM15954" t="str">
        <f t="shared" si="249"/>
        <v>Trzebiez [PLTBZ]</v>
      </c>
      <c r="AN15954" t="s">
        <v>26391</v>
      </c>
      <c r="AO15954" t="s">
        <v>26392</v>
      </c>
    </row>
    <row r="15955" spans="39:41" ht="12" customHeight="1" x14ac:dyDescent="0.2">
      <c r="AM15955" t="str">
        <f t="shared" si="249"/>
        <v>Tsim Sha Tsui [HKTST]</v>
      </c>
      <c r="AN15955" t="s">
        <v>15658</v>
      </c>
      <c r="AO15955" t="s">
        <v>15659</v>
      </c>
    </row>
    <row r="15956" spans="39:41" ht="12" customHeight="1" x14ac:dyDescent="0.2">
      <c r="AM15956" t="str">
        <f t="shared" si="249"/>
        <v>Tsingeli [GRTSI]</v>
      </c>
      <c r="AN15956" t="s">
        <v>15569</v>
      </c>
      <c r="AO15956" t="s">
        <v>35990</v>
      </c>
    </row>
    <row r="15957" spans="39:41" ht="12" customHeight="1" x14ac:dyDescent="0.2">
      <c r="AM15957" t="str">
        <f t="shared" si="249"/>
        <v>Tsu [JPTSU]</v>
      </c>
      <c r="AN15957" t="s">
        <v>21209</v>
      </c>
      <c r="AO15957" t="s">
        <v>21210</v>
      </c>
    </row>
    <row r="15958" spans="39:41" ht="12" customHeight="1" x14ac:dyDescent="0.2">
      <c r="AM15958" t="str">
        <f t="shared" si="249"/>
        <v>Tsuchiura [JPTCH]</v>
      </c>
      <c r="AN15958" t="s">
        <v>21211</v>
      </c>
      <c r="AO15958" t="s">
        <v>21212</v>
      </c>
    </row>
    <row r="15959" spans="39:41" ht="12" customHeight="1" x14ac:dyDescent="0.2">
      <c r="AM15959" t="str">
        <f t="shared" si="249"/>
        <v>Tsuda [JPTUD]</v>
      </c>
      <c r="AN15959" t="s">
        <v>21213</v>
      </c>
      <c r="AO15959" t="s">
        <v>21214</v>
      </c>
    </row>
    <row r="15960" spans="39:41" ht="12" customHeight="1" x14ac:dyDescent="0.2">
      <c r="AM15960" t="str">
        <f t="shared" si="249"/>
        <v>Tsui [JPTUI]</v>
      </c>
      <c r="AN15960" t="s">
        <v>21215</v>
      </c>
      <c r="AO15960" t="s">
        <v>21216</v>
      </c>
    </row>
    <row r="15961" spans="39:41" ht="12" customHeight="1" x14ac:dyDescent="0.2">
      <c r="AM15961" t="str">
        <f t="shared" si="249"/>
        <v>Tsuiyama [JPTYN]</v>
      </c>
      <c r="AN15961" t="s">
        <v>21217</v>
      </c>
      <c r="AO15961" t="s">
        <v>21218</v>
      </c>
    </row>
    <row r="15962" spans="39:41" ht="12" customHeight="1" x14ac:dyDescent="0.2">
      <c r="AM15962" t="str">
        <f t="shared" si="249"/>
        <v>Tsukinokawa [JPTWA]</v>
      </c>
      <c r="AN15962" t="s">
        <v>21219</v>
      </c>
      <c r="AO15962" t="s">
        <v>21220</v>
      </c>
    </row>
    <row r="15963" spans="39:41" ht="12" customHeight="1" x14ac:dyDescent="0.2">
      <c r="AM15963" t="str">
        <f t="shared" si="249"/>
        <v>Tsukumi [JPTMI]</v>
      </c>
      <c r="AN15963" t="s">
        <v>21221</v>
      </c>
      <c r="AO15963" t="s">
        <v>21222</v>
      </c>
    </row>
    <row r="15964" spans="39:41" ht="12" customHeight="1" x14ac:dyDescent="0.2">
      <c r="AM15964" t="str">
        <f t="shared" si="249"/>
        <v>Tsukumo [JPTUU]</v>
      </c>
      <c r="AN15964" t="s">
        <v>21223</v>
      </c>
      <c r="AO15964" t="s">
        <v>21224</v>
      </c>
    </row>
    <row r="15965" spans="39:41" ht="12" customHeight="1" x14ac:dyDescent="0.2">
      <c r="AM15965" t="str">
        <f t="shared" si="249"/>
        <v>Tsuna [JPTNA]</v>
      </c>
      <c r="AN15965" t="s">
        <v>21225</v>
      </c>
      <c r="AO15965" t="s">
        <v>21226</v>
      </c>
    </row>
    <row r="15966" spans="39:41" ht="12" customHeight="1" x14ac:dyDescent="0.2">
      <c r="AM15966" t="str">
        <f t="shared" si="249"/>
        <v>Tsuneishi [JPTNI]</v>
      </c>
      <c r="AN15966" t="s">
        <v>21227</v>
      </c>
      <c r="AO15966" t="s">
        <v>21228</v>
      </c>
    </row>
    <row r="15967" spans="39:41" ht="12" customHeight="1" x14ac:dyDescent="0.2">
      <c r="AM15967" t="str">
        <f t="shared" si="249"/>
        <v>Tsunoshima [JPTNS]</v>
      </c>
      <c r="AN15967" t="s">
        <v>21229</v>
      </c>
      <c r="AO15967" t="s">
        <v>21230</v>
      </c>
    </row>
    <row r="15968" spans="39:41" ht="12" customHeight="1" x14ac:dyDescent="0.2">
      <c r="AM15968" t="str">
        <f t="shared" si="249"/>
        <v>Tsuruga [JPTRG]</v>
      </c>
      <c r="AN15968" t="s">
        <v>21231</v>
      </c>
      <c r="AO15968" t="s">
        <v>21232</v>
      </c>
    </row>
    <row r="15969" spans="39:41" ht="12" customHeight="1" x14ac:dyDescent="0.2">
      <c r="AM15969" t="str">
        <f t="shared" si="249"/>
        <v>Tsurumi, Okayama [JPTRU]</v>
      </c>
      <c r="AN15969" t="s">
        <v>21233</v>
      </c>
      <c r="AO15969" t="s">
        <v>21234</v>
      </c>
    </row>
    <row r="15970" spans="39:41" ht="12" customHeight="1" x14ac:dyDescent="0.2">
      <c r="AM15970" t="str">
        <f t="shared" si="249"/>
        <v>Tsurusaki [JPTSK]</v>
      </c>
      <c r="AN15970" t="s">
        <v>21235</v>
      </c>
      <c r="AO15970" t="s">
        <v>21236</v>
      </c>
    </row>
    <row r="15971" spans="39:41" ht="12" customHeight="1" x14ac:dyDescent="0.2">
      <c r="AM15971" t="str">
        <f t="shared" si="249"/>
        <v>Tsuruuchi [JPTRC]</v>
      </c>
      <c r="AN15971" t="s">
        <v>21237</v>
      </c>
      <c r="AO15971" t="s">
        <v>21238</v>
      </c>
    </row>
    <row r="15972" spans="39:41" ht="12" customHeight="1" x14ac:dyDescent="0.2">
      <c r="AM15972" t="str">
        <f t="shared" si="249"/>
        <v>Tsushi [JPTSH]</v>
      </c>
      <c r="AN15972" t="s">
        <v>21239</v>
      </c>
      <c r="AO15972" t="s">
        <v>21240</v>
      </c>
    </row>
    <row r="15973" spans="39:41" ht="12" customHeight="1" x14ac:dyDescent="0.2">
      <c r="AM15973" t="str">
        <f t="shared" si="249"/>
        <v>Tsutsu [JPTST]</v>
      </c>
      <c r="AN15973" t="s">
        <v>21241</v>
      </c>
      <c r="AO15973" t="s">
        <v>21242</v>
      </c>
    </row>
    <row r="15974" spans="39:41" ht="12" customHeight="1" x14ac:dyDescent="0.2">
      <c r="AM15974" t="str">
        <f t="shared" si="249"/>
        <v>Tsutsumi [JPTTM]</v>
      </c>
      <c r="AN15974" t="s">
        <v>21243</v>
      </c>
      <c r="AO15974" t="s">
        <v>21244</v>
      </c>
    </row>
    <row r="15975" spans="39:41" ht="12" customHeight="1" x14ac:dyDescent="0.2">
      <c r="AM15975" t="str">
        <f t="shared" si="249"/>
        <v>Tsuyoshi [JPTYP]</v>
      </c>
      <c r="AN15975" t="s">
        <v>21245</v>
      </c>
      <c r="AO15975" t="s">
        <v>21246</v>
      </c>
    </row>
    <row r="15976" spans="39:41" ht="12" customHeight="1" x14ac:dyDescent="0.2">
      <c r="AM15976" t="str">
        <f t="shared" si="249"/>
        <v>Tsuzu Yamaguchi [JPTUZ]</v>
      </c>
      <c r="AN15976" t="s">
        <v>35043</v>
      </c>
      <c r="AO15976" t="s">
        <v>35044</v>
      </c>
    </row>
    <row r="15977" spans="39:41" ht="12" customHeight="1" x14ac:dyDescent="0.2">
      <c r="AM15977" t="str">
        <f t="shared" ref="AM15977:AM16040" si="250">AO15977 &amp; " [" &amp; AN15977 &amp; "]"</f>
        <v>Tsuzuki Ku [JPTTK]</v>
      </c>
      <c r="AN15977" t="s">
        <v>21247</v>
      </c>
      <c r="AO15977" t="s">
        <v>21248</v>
      </c>
    </row>
    <row r="15978" spans="39:41" ht="12" customHeight="1" x14ac:dyDescent="0.2">
      <c r="AM15978" t="str">
        <f t="shared" si="250"/>
        <v>Tual [IDTUA]</v>
      </c>
      <c r="AN15978" t="s">
        <v>16689</v>
      </c>
      <c r="AO15978" t="s">
        <v>16690</v>
      </c>
    </row>
    <row r="15979" spans="39:41" ht="12" customHeight="1" x14ac:dyDescent="0.2">
      <c r="AM15979" t="str">
        <f t="shared" si="250"/>
        <v>Tuanfeng [CNTFG]</v>
      </c>
      <c r="AN15979" t="s">
        <v>6164</v>
      </c>
      <c r="AO15979" t="s">
        <v>6165</v>
      </c>
    </row>
    <row r="15980" spans="39:41" ht="12" customHeight="1" x14ac:dyDescent="0.2">
      <c r="AM15980" t="str">
        <f t="shared" si="250"/>
        <v>Tuapse [RUTUA]</v>
      </c>
      <c r="AN15980" t="s">
        <v>27282</v>
      </c>
      <c r="AO15980" t="s">
        <v>27283</v>
      </c>
    </row>
    <row r="15981" spans="39:41" ht="12" customHeight="1" x14ac:dyDescent="0.2">
      <c r="AM15981" t="str">
        <f t="shared" si="250"/>
        <v>Tuas [SGTUA]</v>
      </c>
      <c r="AN15981" t="s">
        <v>27989</v>
      </c>
      <c r="AO15981" t="s">
        <v>27990</v>
      </c>
    </row>
    <row r="15982" spans="39:41" ht="12" customHeight="1" x14ac:dyDescent="0.2">
      <c r="AM15982" t="str">
        <f t="shared" si="250"/>
        <v>Tubac [USTBZ]</v>
      </c>
      <c r="AN15982" t="s">
        <v>31777</v>
      </c>
      <c r="AO15982" t="s">
        <v>31778</v>
      </c>
    </row>
    <row r="15983" spans="39:41" ht="12" customHeight="1" x14ac:dyDescent="0.2">
      <c r="AM15983" t="str">
        <f t="shared" si="250"/>
        <v>Tuban, Jv [IDTBN]</v>
      </c>
      <c r="AN15983" t="s">
        <v>16691</v>
      </c>
      <c r="AO15983" t="s">
        <v>16692</v>
      </c>
    </row>
    <row r="15984" spans="39:41" ht="12" customHeight="1" x14ac:dyDescent="0.2">
      <c r="AM15984" t="str">
        <f t="shared" si="250"/>
        <v>Tubarao [BRTUB]</v>
      </c>
      <c r="AN15984" t="s">
        <v>3408</v>
      </c>
      <c r="AO15984" t="s">
        <v>35317</v>
      </c>
    </row>
    <row r="15985" spans="39:41" ht="12" customHeight="1" x14ac:dyDescent="0.2">
      <c r="AM15985" t="str">
        <f t="shared" si="250"/>
        <v>Tubau [MYTUB]</v>
      </c>
      <c r="AN15985" t="s">
        <v>22819</v>
      </c>
      <c r="AO15985" t="s">
        <v>22820</v>
      </c>
    </row>
    <row r="15986" spans="39:41" ht="12" customHeight="1" x14ac:dyDescent="0.2">
      <c r="AM15986" t="str">
        <f t="shared" si="250"/>
        <v>Tubigon [PHTON]</v>
      </c>
      <c r="AN15986" t="s">
        <v>26220</v>
      </c>
      <c r="AO15986" t="s">
        <v>26221</v>
      </c>
    </row>
    <row r="15987" spans="39:41" ht="12" customHeight="1" x14ac:dyDescent="0.2">
      <c r="AM15987" t="str">
        <f t="shared" si="250"/>
        <v>Tuborg [DKTUB]</v>
      </c>
      <c r="AN15987" t="s">
        <v>8946</v>
      </c>
      <c r="AO15987" t="s">
        <v>8947</v>
      </c>
    </row>
    <row r="15988" spans="39:41" ht="12" customHeight="1" x14ac:dyDescent="0.2">
      <c r="AM15988" t="str">
        <f t="shared" si="250"/>
        <v>Tuchomerice [CZTUC]</v>
      </c>
      <c r="AN15988" t="s">
        <v>6959</v>
      </c>
      <c r="AO15988" t="s">
        <v>6960</v>
      </c>
    </row>
    <row r="15989" spans="39:41" ht="12" customHeight="1" x14ac:dyDescent="0.2">
      <c r="AM15989" t="str">
        <f t="shared" si="250"/>
        <v>Tuckahoe [USXTY]</v>
      </c>
      <c r="AN15989" t="s">
        <v>31779</v>
      </c>
      <c r="AO15989" t="s">
        <v>31780</v>
      </c>
    </row>
    <row r="15990" spans="39:41" ht="12" customHeight="1" x14ac:dyDescent="0.2">
      <c r="AM15990" t="str">
        <f t="shared" si="250"/>
        <v>Tucuman [ARTUC]</v>
      </c>
      <c r="AN15990" t="s">
        <v>1143</v>
      </c>
      <c r="AO15990" t="s">
        <v>35251</v>
      </c>
    </row>
    <row r="15991" spans="39:41" ht="12" customHeight="1" x14ac:dyDescent="0.2">
      <c r="AM15991" t="str">
        <f t="shared" si="250"/>
        <v>Tudweiliog [GBTDI]</v>
      </c>
      <c r="AN15991" t="s">
        <v>14734</v>
      </c>
      <c r="AO15991" t="s">
        <v>14735</v>
      </c>
    </row>
    <row r="15992" spans="39:41" ht="12" customHeight="1" x14ac:dyDescent="0.2">
      <c r="AM15992" t="str">
        <f t="shared" si="250"/>
        <v>Tufi [PGTFI]</v>
      </c>
      <c r="AN15992" t="s">
        <v>25486</v>
      </c>
      <c r="AO15992" t="s">
        <v>25487</v>
      </c>
    </row>
    <row r="15993" spans="39:41" ht="12" customHeight="1" x14ac:dyDescent="0.2">
      <c r="AM15993" t="str">
        <f t="shared" si="250"/>
        <v>Tufjorden [NOTUF]</v>
      </c>
      <c r="AN15993" t="s">
        <v>24932</v>
      </c>
      <c r="AO15993" t="s">
        <v>24933</v>
      </c>
    </row>
    <row r="15994" spans="39:41" ht="12" customHeight="1" x14ac:dyDescent="0.2">
      <c r="AM15994" t="str">
        <f t="shared" si="250"/>
        <v>Tuguis/Dadiangas [PHTGI]</v>
      </c>
      <c r="AN15994" t="s">
        <v>26222</v>
      </c>
      <c r="AO15994" t="s">
        <v>26223</v>
      </c>
    </row>
    <row r="15995" spans="39:41" ht="12" customHeight="1" x14ac:dyDescent="0.2">
      <c r="AM15995" t="str">
        <f t="shared" si="250"/>
        <v>Tuil [NLTUL]</v>
      </c>
      <c r="AN15995" t="s">
        <v>23684</v>
      </c>
      <c r="AO15995" t="s">
        <v>23685</v>
      </c>
    </row>
    <row r="15996" spans="39:41" ht="12" customHeight="1" x14ac:dyDescent="0.2">
      <c r="AM15996" t="str">
        <f t="shared" si="250"/>
        <v>Tukrah [LYTUK]</v>
      </c>
      <c r="AN15996" t="s">
        <v>22012</v>
      </c>
      <c r="AO15996" t="s">
        <v>22013</v>
      </c>
    </row>
    <row r="15997" spans="39:41" ht="12" customHeight="1" x14ac:dyDescent="0.2">
      <c r="AM15997" t="str">
        <f t="shared" si="250"/>
        <v>Tuktoyaktuk [CATUK]</v>
      </c>
      <c r="AN15997" t="s">
        <v>4549</v>
      </c>
      <c r="AO15997" t="s">
        <v>4550</v>
      </c>
    </row>
    <row r="15998" spans="39:41" ht="12" customHeight="1" x14ac:dyDescent="0.2">
      <c r="AM15998" t="str">
        <f t="shared" si="250"/>
        <v>Tulagi, Ngella [SBTLG]</v>
      </c>
      <c r="AN15998" t="s">
        <v>27461</v>
      </c>
      <c r="AO15998" t="s">
        <v>27462</v>
      </c>
    </row>
    <row r="15999" spans="39:41" ht="12" customHeight="1" x14ac:dyDescent="0.2">
      <c r="AM15999" t="str">
        <f t="shared" si="250"/>
        <v>Tulalip [USUQQ]</v>
      </c>
      <c r="AN15999" t="s">
        <v>31781</v>
      </c>
      <c r="AO15999" t="s">
        <v>31782</v>
      </c>
    </row>
    <row r="16000" spans="39:41" ht="12" customHeight="1" x14ac:dyDescent="0.2">
      <c r="AM16000" t="str">
        <f t="shared" si="250"/>
        <v>Tulcea [ROTCE]</v>
      </c>
      <c r="AN16000" t="s">
        <v>26820</v>
      </c>
      <c r="AO16000" t="s">
        <v>26821</v>
      </c>
    </row>
    <row r="16001" spans="39:41" ht="12" customHeight="1" x14ac:dyDescent="0.2">
      <c r="AM16001" t="str">
        <f t="shared" si="250"/>
        <v>Tulear (Toliara) [MGTLE]</v>
      </c>
      <c r="AN16001" t="s">
        <v>22158</v>
      </c>
      <c r="AO16001" t="s">
        <v>22159</v>
      </c>
    </row>
    <row r="16002" spans="39:41" ht="12" customHeight="1" x14ac:dyDescent="0.2">
      <c r="AM16002" t="str">
        <f t="shared" si="250"/>
        <v>Tuletorni [EETLT]</v>
      </c>
      <c r="AN16002" t="s">
        <v>9391</v>
      </c>
      <c r="AO16002" t="s">
        <v>9392</v>
      </c>
    </row>
    <row r="16003" spans="39:41" ht="12" customHeight="1" x14ac:dyDescent="0.2">
      <c r="AM16003" t="str">
        <f t="shared" si="250"/>
        <v>Tumaco [COTCO]</v>
      </c>
      <c r="AN16003" t="s">
        <v>6548</v>
      </c>
      <c r="AO16003" t="s">
        <v>6549</v>
      </c>
    </row>
    <row r="16004" spans="39:41" ht="12" customHeight="1" x14ac:dyDescent="0.2">
      <c r="AM16004" t="str">
        <f t="shared" si="250"/>
        <v>Tumbum [MYTMB]</v>
      </c>
      <c r="AN16004" t="s">
        <v>22821</v>
      </c>
      <c r="AO16004" t="s">
        <v>22822</v>
      </c>
    </row>
    <row r="16005" spans="39:41" ht="12" customHeight="1" x14ac:dyDescent="0.2">
      <c r="AM16005" t="str">
        <f t="shared" si="250"/>
        <v>Tumkur [INZUM]</v>
      </c>
      <c r="AN16005" t="s">
        <v>17499</v>
      </c>
      <c r="AO16005" t="s">
        <v>17500</v>
      </c>
    </row>
    <row r="16006" spans="39:41" ht="12" customHeight="1" x14ac:dyDescent="0.2">
      <c r="AM16006" t="str">
        <f t="shared" si="250"/>
        <v>Tumpat [MYTUM]</v>
      </c>
      <c r="AN16006" t="s">
        <v>22823</v>
      </c>
      <c r="AO16006" t="s">
        <v>22824</v>
      </c>
    </row>
    <row r="16007" spans="39:41" ht="12" customHeight="1" x14ac:dyDescent="0.2">
      <c r="AM16007" t="str">
        <f t="shared" si="250"/>
        <v>Tuna [INTUN]</v>
      </c>
      <c r="AN16007" t="s">
        <v>17501</v>
      </c>
      <c r="AO16007" t="s">
        <v>17502</v>
      </c>
    </row>
    <row r="16008" spans="39:41" ht="12" customHeight="1" x14ac:dyDescent="0.2">
      <c r="AM16008" t="str">
        <f t="shared" si="250"/>
        <v>Tunadal [SETUN]</v>
      </c>
      <c r="AN16008" t="s">
        <v>27919</v>
      </c>
      <c r="AO16008" t="s">
        <v>27920</v>
      </c>
    </row>
    <row r="16009" spans="39:41" ht="12" customHeight="1" x14ac:dyDescent="0.2">
      <c r="AM16009" t="str">
        <f t="shared" si="250"/>
        <v>Tunarica [HRTNR]</v>
      </c>
      <c r="AN16009" t="s">
        <v>15976</v>
      </c>
      <c r="AO16009" t="s">
        <v>15977</v>
      </c>
    </row>
    <row r="16010" spans="39:41" ht="12" customHeight="1" x14ac:dyDescent="0.2">
      <c r="AM16010" t="str">
        <f t="shared" si="250"/>
        <v>Tunas de Zaza [CUTDZ]</v>
      </c>
      <c r="AN16010" t="s">
        <v>6731</v>
      </c>
      <c r="AO16010" t="s">
        <v>6732</v>
      </c>
    </row>
    <row r="16011" spans="39:41" ht="12" customHeight="1" x14ac:dyDescent="0.2">
      <c r="AM16011" t="str">
        <f t="shared" si="250"/>
        <v>Tune [DKTN3]</v>
      </c>
      <c r="AN16011" t="s">
        <v>8948</v>
      </c>
      <c r="AO16011" t="s">
        <v>8949</v>
      </c>
    </row>
    <row r="16012" spans="39:41" ht="12" customHeight="1" x14ac:dyDescent="0.2">
      <c r="AM16012" t="str">
        <f t="shared" si="250"/>
        <v>Tune [XZTUN]</v>
      </c>
      <c r="AN16012" t="s">
        <v>32607</v>
      </c>
      <c r="AO16012" t="s">
        <v>8949</v>
      </c>
    </row>
    <row r="16013" spans="39:41" ht="12" customHeight="1" x14ac:dyDescent="0.2">
      <c r="AM16013" t="str">
        <f t="shared" si="250"/>
        <v>Tunes [PTTUN]</v>
      </c>
      <c r="AN16013" t="s">
        <v>26621</v>
      </c>
      <c r="AO16013" t="s">
        <v>26622</v>
      </c>
    </row>
    <row r="16014" spans="39:41" ht="12" customHeight="1" x14ac:dyDescent="0.2">
      <c r="AM16014" t="str">
        <f t="shared" si="250"/>
        <v>Tungawan Bay/Zamboanga [PHTGW]</v>
      </c>
      <c r="AN16014" t="s">
        <v>26224</v>
      </c>
      <c r="AO16014" t="s">
        <v>26225</v>
      </c>
    </row>
    <row r="16015" spans="39:41" ht="12" customHeight="1" x14ac:dyDescent="0.2">
      <c r="AM16015" t="str">
        <f t="shared" si="250"/>
        <v>Tungku [MYTUN]</v>
      </c>
      <c r="AN16015" t="s">
        <v>22825</v>
      </c>
      <c r="AO16015" t="s">
        <v>22826</v>
      </c>
    </row>
    <row r="16016" spans="39:41" ht="12" customHeight="1" x14ac:dyDescent="0.2">
      <c r="AM16016" t="str">
        <f t="shared" si="250"/>
        <v>Tungprong Pt [THTPP]</v>
      </c>
      <c r="AN16016" t="s">
        <v>28300</v>
      </c>
      <c r="AO16016" t="s">
        <v>28301</v>
      </c>
    </row>
    <row r="16017" spans="39:41" ht="12" customHeight="1" x14ac:dyDescent="0.2">
      <c r="AM16017" t="str">
        <f t="shared" si="250"/>
        <v>Tunica [USTNI]</v>
      </c>
      <c r="AN16017" t="s">
        <v>31783</v>
      </c>
      <c r="AO16017" t="s">
        <v>31784</v>
      </c>
    </row>
    <row r="16018" spans="39:41" ht="12" customHeight="1" x14ac:dyDescent="0.2">
      <c r="AM16018" t="str">
        <f t="shared" si="250"/>
        <v>Tunis [TNTUN]</v>
      </c>
      <c r="AN16018" t="s">
        <v>28371</v>
      </c>
      <c r="AO16018" t="s">
        <v>28372</v>
      </c>
    </row>
    <row r="16019" spans="39:41" ht="12" customHeight="1" x14ac:dyDescent="0.2">
      <c r="AM16019" t="str">
        <f t="shared" si="250"/>
        <v>Tuno [DKTNO]</v>
      </c>
      <c r="AN16019" t="s">
        <v>8950</v>
      </c>
      <c r="AO16019" t="s">
        <v>35596</v>
      </c>
    </row>
    <row r="16020" spans="39:41" ht="12" customHeight="1" x14ac:dyDescent="0.2">
      <c r="AM16020" t="str">
        <f t="shared" si="250"/>
        <v>Tunuyan [ARTUN]</v>
      </c>
      <c r="AN16020" t="s">
        <v>1144</v>
      </c>
      <c r="AO16020" t="s">
        <v>1145</v>
      </c>
    </row>
    <row r="16021" spans="39:41" ht="12" customHeight="1" x14ac:dyDescent="0.2">
      <c r="AM16021" t="str">
        <f t="shared" si="250"/>
        <v>Tuojidao [CNTJD]</v>
      </c>
      <c r="AN16021" t="s">
        <v>6166</v>
      </c>
      <c r="AO16021" t="s">
        <v>6167</v>
      </c>
    </row>
    <row r="16022" spans="39:41" ht="12" customHeight="1" x14ac:dyDescent="0.2">
      <c r="AM16022" t="str">
        <f t="shared" si="250"/>
        <v>Tupana [PFTUP]</v>
      </c>
      <c r="AN16022" t="s">
        <v>25338</v>
      </c>
      <c r="AO16022" t="s">
        <v>25339</v>
      </c>
    </row>
    <row r="16023" spans="39:41" ht="12" customHeight="1" x14ac:dyDescent="0.2">
      <c r="AM16023" t="str">
        <f t="shared" si="250"/>
        <v>Tupper Lake [USTP2]</v>
      </c>
      <c r="AN16023" t="s">
        <v>31785</v>
      </c>
      <c r="AO16023" t="s">
        <v>31786</v>
      </c>
    </row>
    <row r="16024" spans="39:41" ht="12" customHeight="1" x14ac:dyDescent="0.2">
      <c r="AM16024" t="str">
        <f t="shared" si="250"/>
        <v>Tuqiao [CNTQO]</v>
      </c>
      <c r="AN16024" t="s">
        <v>6168</v>
      </c>
      <c r="AO16024" t="s">
        <v>6169</v>
      </c>
    </row>
    <row r="16025" spans="39:41" ht="12" customHeight="1" x14ac:dyDescent="0.2">
      <c r="AM16025" t="str">
        <f t="shared" si="250"/>
        <v>Turan [TRTUR]</v>
      </c>
      <c r="AN16025" t="s">
        <v>28602</v>
      </c>
      <c r="AO16025" t="s">
        <v>28603</v>
      </c>
    </row>
    <row r="16026" spans="39:41" ht="12" customHeight="1" x14ac:dyDescent="0.2">
      <c r="AM16026" t="str">
        <f t="shared" si="250"/>
        <v>Turanj [HRTUR]</v>
      </c>
      <c r="AN16026" t="s">
        <v>15978</v>
      </c>
      <c r="AO16026" t="s">
        <v>15979</v>
      </c>
    </row>
    <row r="16027" spans="39:41" ht="12" customHeight="1" x14ac:dyDescent="0.2">
      <c r="AM16027" t="str">
        <f t="shared" si="250"/>
        <v>Turbo [COTRB]</v>
      </c>
      <c r="AN16027" t="s">
        <v>6550</v>
      </c>
      <c r="AO16027" t="s">
        <v>6551</v>
      </c>
    </row>
    <row r="16028" spans="39:41" ht="12" customHeight="1" x14ac:dyDescent="0.2">
      <c r="AM16028" t="str">
        <f t="shared" si="250"/>
        <v>Turcianske Teplice [SKTUT]</v>
      </c>
      <c r="AN16028" t="s">
        <v>28071</v>
      </c>
      <c r="AO16028" t="s">
        <v>28072</v>
      </c>
    </row>
    <row r="16029" spans="39:41" ht="12" customHeight="1" x14ac:dyDescent="0.2">
      <c r="AM16029" t="str">
        <f t="shared" si="250"/>
        <v>Tureni [ROTR5]</v>
      </c>
      <c r="AN16029" t="s">
        <v>26822</v>
      </c>
      <c r="AO16029" t="s">
        <v>26823</v>
      </c>
    </row>
    <row r="16030" spans="39:41" ht="12" customHeight="1" x14ac:dyDescent="0.2">
      <c r="AM16030" t="str">
        <f t="shared" si="250"/>
        <v>Turiamo [VETUR]</v>
      </c>
      <c r="AN16030" t="s">
        <v>32261</v>
      </c>
      <c r="AO16030" t="s">
        <v>32262</v>
      </c>
    </row>
    <row r="16031" spans="39:41" ht="12" customHeight="1" x14ac:dyDescent="0.2">
      <c r="AM16031" t="str">
        <f t="shared" si="250"/>
        <v>Turja Sadam [EETJA]</v>
      </c>
      <c r="AN16031" t="s">
        <v>34079</v>
      </c>
      <c r="AO16031" t="s">
        <v>34125</v>
      </c>
    </row>
    <row r="16032" spans="39:41" ht="12" customHeight="1" x14ac:dyDescent="0.2">
      <c r="AM16032" t="str">
        <f t="shared" si="250"/>
        <v>Turkmenbashi [TMKRW]</v>
      </c>
      <c r="AN16032" t="s">
        <v>28325</v>
      </c>
      <c r="AO16032" t="s">
        <v>28326</v>
      </c>
    </row>
    <row r="16033" spans="39:41" ht="12" customHeight="1" x14ac:dyDescent="0.2">
      <c r="AM16033" t="str">
        <f t="shared" si="250"/>
        <v>Turner Falls [USM4U]</v>
      </c>
      <c r="AN16033" t="s">
        <v>31787</v>
      </c>
      <c r="AO16033" t="s">
        <v>31788</v>
      </c>
    </row>
    <row r="16034" spans="39:41" ht="12" customHeight="1" x14ac:dyDescent="0.2">
      <c r="AM16034" t="str">
        <f t="shared" si="250"/>
        <v>Turnhout [BETUR]</v>
      </c>
      <c r="AN16034" t="s">
        <v>3024</v>
      </c>
      <c r="AO16034" t="s">
        <v>3025</v>
      </c>
    </row>
    <row r="16035" spans="39:41" ht="12" customHeight="1" x14ac:dyDescent="0.2">
      <c r="AM16035" t="str">
        <f t="shared" si="250"/>
        <v>Turnu Magurele [ROTUM]</v>
      </c>
      <c r="AN16035" t="s">
        <v>26824</v>
      </c>
      <c r="AO16035" t="s">
        <v>26825</v>
      </c>
    </row>
    <row r="16036" spans="39:41" ht="12" customHeight="1" x14ac:dyDescent="0.2">
      <c r="AM16036" t="str">
        <f t="shared" si="250"/>
        <v>Turrubares [CRTUA]</v>
      </c>
      <c r="AN16036" t="s">
        <v>6659</v>
      </c>
      <c r="AO16036" t="s">
        <v>6660</v>
      </c>
    </row>
    <row r="16037" spans="39:41" ht="12" customHeight="1" x14ac:dyDescent="0.2">
      <c r="AM16037" t="str">
        <f t="shared" si="250"/>
        <v>Turturesti [ROTUT]</v>
      </c>
      <c r="AN16037" t="s">
        <v>26826</v>
      </c>
      <c r="AO16037" t="s">
        <v>26827</v>
      </c>
    </row>
    <row r="16038" spans="39:41" ht="12" customHeight="1" x14ac:dyDescent="0.2">
      <c r="AM16038" t="str">
        <f t="shared" si="250"/>
        <v>Turusadam [EETRU]</v>
      </c>
      <c r="AN16038" t="s">
        <v>34080</v>
      </c>
      <c r="AO16038" t="s">
        <v>34126</v>
      </c>
    </row>
    <row r="16039" spans="39:41" ht="12" customHeight="1" x14ac:dyDescent="0.2">
      <c r="AM16039" t="str">
        <f t="shared" si="250"/>
        <v>Tuscan [USTT9]</v>
      </c>
      <c r="AN16039" t="s">
        <v>31789</v>
      </c>
      <c r="AO16039" t="s">
        <v>31790</v>
      </c>
    </row>
    <row r="16040" spans="39:41" ht="12" customHeight="1" x14ac:dyDescent="0.2">
      <c r="AM16040" t="str">
        <f t="shared" si="250"/>
        <v>Tustna [NOTUS]</v>
      </c>
      <c r="AN16040" t="s">
        <v>24934</v>
      </c>
      <c r="AO16040" t="s">
        <v>24935</v>
      </c>
    </row>
    <row r="16041" spans="39:41" ht="12" customHeight="1" x14ac:dyDescent="0.2">
      <c r="AM16041" t="str">
        <f t="shared" ref="AM16041:AM16104" si="251">AO16041 &amp; " [" &amp; AN16041 &amp; "]"</f>
        <v>Tuticorin [INTUT]</v>
      </c>
      <c r="AN16041" t="s">
        <v>17503</v>
      </c>
      <c r="AO16041" t="s">
        <v>17504</v>
      </c>
    </row>
    <row r="16042" spans="39:41" ht="12" customHeight="1" x14ac:dyDescent="0.2">
      <c r="AM16042" t="str">
        <f t="shared" si="251"/>
        <v>Tutoia [BRTUT]</v>
      </c>
      <c r="AN16042" t="s">
        <v>3409</v>
      </c>
      <c r="AO16042" t="s">
        <v>35318</v>
      </c>
    </row>
    <row r="16043" spans="39:41" ht="12" customHeight="1" x14ac:dyDescent="0.2">
      <c r="AM16043" t="str">
        <f t="shared" si="251"/>
        <v>Tutunciftlik [TRTUT]</v>
      </c>
      <c r="AN16043" t="s">
        <v>28604</v>
      </c>
      <c r="AO16043" t="s">
        <v>28605</v>
      </c>
    </row>
    <row r="16044" spans="39:41" ht="12" customHeight="1" x14ac:dyDescent="0.2">
      <c r="AM16044" t="str">
        <f t="shared" si="251"/>
        <v>Tuxpan [MXTUX]</v>
      </c>
      <c r="AN16044" t="s">
        <v>22473</v>
      </c>
      <c r="AO16044" t="s">
        <v>22474</v>
      </c>
    </row>
    <row r="16045" spans="39:41" ht="12" customHeight="1" x14ac:dyDescent="0.2">
      <c r="AM16045" t="str">
        <f t="shared" si="251"/>
        <v>Tuy Hoa [VNTBB]</v>
      </c>
      <c r="AN16045" t="s">
        <v>32509</v>
      </c>
      <c r="AO16045" t="s">
        <v>32510</v>
      </c>
    </row>
    <row r="16046" spans="39:41" ht="12" customHeight="1" x14ac:dyDescent="0.2">
      <c r="AM16046" t="str">
        <f t="shared" si="251"/>
        <v>Tuzla [TRTUZ]</v>
      </c>
      <c r="AN16046" t="s">
        <v>28606</v>
      </c>
      <c r="AO16046" t="s">
        <v>28607</v>
      </c>
    </row>
    <row r="16047" spans="39:41" ht="12" customHeight="1" x14ac:dyDescent="0.2">
      <c r="AM16047" t="str">
        <f t="shared" si="251"/>
        <v>Tvarminne [FITVA]</v>
      </c>
      <c r="AN16047" t="s">
        <v>10576</v>
      </c>
      <c r="AO16047" t="s">
        <v>35758</v>
      </c>
    </row>
    <row r="16048" spans="39:41" ht="12" customHeight="1" x14ac:dyDescent="0.2">
      <c r="AM16048" t="str">
        <f t="shared" si="251"/>
        <v>Tvedestrand [NOTVE]</v>
      </c>
      <c r="AN16048" t="s">
        <v>24936</v>
      </c>
      <c r="AO16048" t="s">
        <v>24937</v>
      </c>
    </row>
    <row r="16049" spans="39:41" ht="12" customHeight="1" x14ac:dyDescent="0.2">
      <c r="AM16049" t="str">
        <f t="shared" si="251"/>
        <v>Tvoroyri [FOTVO]</v>
      </c>
      <c r="AN16049" t="s">
        <v>10701</v>
      </c>
      <c r="AO16049" t="s">
        <v>10702</v>
      </c>
    </row>
    <row r="16050" spans="39:41" ht="12" customHeight="1" x14ac:dyDescent="0.2">
      <c r="AM16050" t="str">
        <f t="shared" si="251"/>
        <v>Twann [CHTAN]</v>
      </c>
      <c r="AN16050" t="s">
        <v>4756</v>
      </c>
      <c r="AO16050" t="s">
        <v>4757</v>
      </c>
    </row>
    <row r="16051" spans="39:41" ht="12" customHeight="1" x14ac:dyDescent="0.2">
      <c r="AM16051" t="str">
        <f t="shared" si="251"/>
        <v>Tweed Heads South [AUTHS]</v>
      </c>
      <c r="AN16051" t="s">
        <v>2074</v>
      </c>
      <c r="AO16051" t="s">
        <v>2075</v>
      </c>
    </row>
    <row r="16052" spans="39:41" ht="12" customHeight="1" x14ac:dyDescent="0.2">
      <c r="AM16052" t="str">
        <f t="shared" si="251"/>
        <v>Twillingate [CATWI]</v>
      </c>
      <c r="AN16052" t="s">
        <v>4551</v>
      </c>
      <c r="AO16052" t="s">
        <v>4552</v>
      </c>
    </row>
    <row r="16053" spans="39:41" ht="12" customHeight="1" x14ac:dyDescent="0.2">
      <c r="AM16053" t="str">
        <f t="shared" si="251"/>
        <v>Twin Lake [USTW2]</v>
      </c>
      <c r="AN16053" t="s">
        <v>31791</v>
      </c>
      <c r="AO16053" t="s">
        <v>31792</v>
      </c>
    </row>
    <row r="16054" spans="39:41" ht="12" customHeight="1" x14ac:dyDescent="0.2">
      <c r="AM16054" t="str">
        <f t="shared" si="251"/>
        <v>Twowells [AUDA5]</v>
      </c>
      <c r="AN16054" t="s">
        <v>2076</v>
      </c>
      <c r="AO16054" t="s">
        <v>2077</v>
      </c>
    </row>
    <row r="16055" spans="39:41" ht="12" customHeight="1" x14ac:dyDescent="0.2">
      <c r="AM16055" t="str">
        <f t="shared" si="251"/>
        <v>Tybee Island [USZYI]</v>
      </c>
      <c r="AN16055" t="s">
        <v>31793</v>
      </c>
      <c r="AO16055" t="s">
        <v>31794</v>
      </c>
    </row>
    <row r="16056" spans="39:41" ht="12" customHeight="1" x14ac:dyDescent="0.2">
      <c r="AM16056" t="str">
        <f t="shared" si="251"/>
        <v>Tyboron [DKTYB]</v>
      </c>
      <c r="AN16056" t="s">
        <v>8951</v>
      </c>
      <c r="AO16056" t="s">
        <v>35597</v>
      </c>
    </row>
    <row r="16057" spans="39:41" ht="12" customHeight="1" x14ac:dyDescent="0.2">
      <c r="AM16057" t="str">
        <f t="shared" si="251"/>
        <v>Tyddewi (St David's) [GBTYD]</v>
      </c>
      <c r="AN16057" t="s">
        <v>14736</v>
      </c>
      <c r="AO16057" t="s">
        <v>14737</v>
      </c>
    </row>
    <row r="16058" spans="39:41" ht="12" customHeight="1" x14ac:dyDescent="0.2">
      <c r="AM16058" t="str">
        <f t="shared" si="251"/>
        <v>Tyee [USTE8]</v>
      </c>
      <c r="AN16058" t="s">
        <v>31795</v>
      </c>
      <c r="AO16058" t="s">
        <v>31796</v>
      </c>
    </row>
    <row r="16059" spans="39:41" ht="12" customHeight="1" x14ac:dyDescent="0.2">
      <c r="AM16059" t="str">
        <f t="shared" si="251"/>
        <v>Tyne [GBTYN]</v>
      </c>
      <c r="AN16059" t="s">
        <v>14738</v>
      </c>
      <c r="AO16059" t="s">
        <v>14739</v>
      </c>
    </row>
    <row r="16060" spans="39:41" ht="12" customHeight="1" x14ac:dyDescent="0.2">
      <c r="AM16060" t="str">
        <f t="shared" si="251"/>
        <v>Tynemouth [GBTYM]</v>
      </c>
      <c r="AN16060" t="s">
        <v>14740</v>
      </c>
      <c r="AO16060" t="s">
        <v>14741</v>
      </c>
    </row>
    <row r="16061" spans="39:41" ht="12" customHeight="1" x14ac:dyDescent="0.2">
      <c r="AM16061" t="str">
        <f t="shared" si="251"/>
        <v>Tyrihans [XZTHA]</v>
      </c>
      <c r="AN16061" t="s">
        <v>32608</v>
      </c>
      <c r="AO16061" t="s">
        <v>32609</v>
      </c>
    </row>
    <row r="16062" spans="39:41" ht="12" customHeight="1" x14ac:dyDescent="0.2">
      <c r="AM16062" t="str">
        <f t="shared" si="251"/>
        <v>Tysfjord [NOTYF]</v>
      </c>
      <c r="AN16062" t="s">
        <v>24938</v>
      </c>
      <c r="AO16062" t="s">
        <v>24939</v>
      </c>
    </row>
    <row r="16063" spans="39:41" ht="12" customHeight="1" x14ac:dyDescent="0.2">
      <c r="AM16063" t="str">
        <f t="shared" si="251"/>
        <v>Tysnes [NOTYN]</v>
      </c>
      <c r="AN16063" t="s">
        <v>24940</v>
      </c>
      <c r="AO16063" t="s">
        <v>24941</v>
      </c>
    </row>
    <row r="16064" spans="39:41" ht="12" customHeight="1" x14ac:dyDescent="0.2">
      <c r="AM16064" t="str">
        <f t="shared" si="251"/>
        <v>Tyssebotn [NOTSB]</v>
      </c>
      <c r="AN16064" t="s">
        <v>24942</v>
      </c>
      <c r="AO16064" t="s">
        <v>24943</v>
      </c>
    </row>
    <row r="16065" spans="39:41" ht="12" customHeight="1" x14ac:dyDescent="0.2">
      <c r="AM16065" t="str">
        <f t="shared" si="251"/>
        <v>Tyssedal [NOTSX]</v>
      </c>
      <c r="AN16065" t="s">
        <v>24944</v>
      </c>
      <c r="AO16065" t="s">
        <v>24945</v>
      </c>
    </row>
    <row r="16066" spans="39:41" ht="12" customHeight="1" x14ac:dyDescent="0.2">
      <c r="AM16066" t="str">
        <f t="shared" si="251"/>
        <v>Tysvar [NOTYV]</v>
      </c>
      <c r="AN16066" t="s">
        <v>24946</v>
      </c>
      <c r="AO16066" t="s">
        <v>36334</v>
      </c>
    </row>
    <row r="16067" spans="39:41" ht="12" customHeight="1" x14ac:dyDescent="0.2">
      <c r="AM16067" t="str">
        <f t="shared" si="251"/>
        <v>Tytebarvika [NOTYT]</v>
      </c>
      <c r="AN16067" t="s">
        <v>24947</v>
      </c>
      <c r="AO16067" t="s">
        <v>36335</v>
      </c>
    </row>
    <row r="16068" spans="39:41" ht="12" customHeight="1" x14ac:dyDescent="0.2">
      <c r="AM16068" t="str">
        <f t="shared" si="251"/>
        <v>Ube [JPUBJ]</v>
      </c>
      <c r="AN16068" t="s">
        <v>21249</v>
      </c>
      <c r="AO16068" t="s">
        <v>21250</v>
      </c>
    </row>
    <row r="16069" spans="39:41" ht="12" customHeight="1" x14ac:dyDescent="0.2">
      <c r="AM16069" t="str">
        <f t="shared" si="251"/>
        <v>Uberlingen [DEUEB]</v>
      </c>
      <c r="AN16069" t="s">
        <v>8382</v>
      </c>
      <c r="AO16069" t="s">
        <v>35507</v>
      </c>
    </row>
    <row r="16070" spans="39:41" ht="12" customHeight="1" x14ac:dyDescent="0.2">
      <c r="AM16070" t="str">
        <f t="shared" si="251"/>
        <v>Ubli [HRUBL]</v>
      </c>
      <c r="AN16070" t="s">
        <v>15980</v>
      </c>
      <c r="AO16070" t="s">
        <v>15981</v>
      </c>
    </row>
    <row r="16071" spans="39:41" ht="12" customHeight="1" x14ac:dyDescent="0.2">
      <c r="AM16071" t="str">
        <f t="shared" si="251"/>
        <v>Ubuyu [JPUBY]</v>
      </c>
      <c r="AN16071" t="s">
        <v>21251</v>
      </c>
      <c r="AO16071" t="s">
        <v>21252</v>
      </c>
    </row>
    <row r="16072" spans="39:41" ht="12" customHeight="1" x14ac:dyDescent="0.2">
      <c r="AM16072" t="str">
        <f t="shared" si="251"/>
        <v>Uchihana [JPUHH]</v>
      </c>
      <c r="AN16072" t="s">
        <v>21253</v>
      </c>
      <c r="AO16072" t="s">
        <v>21254</v>
      </c>
    </row>
    <row r="16073" spans="39:41" ht="12" customHeight="1" x14ac:dyDescent="0.2">
      <c r="AM16073" t="str">
        <f t="shared" si="251"/>
        <v>Uchinomi [JPUCN]</v>
      </c>
      <c r="AN16073" t="s">
        <v>21255</v>
      </c>
      <c r="AO16073" t="s">
        <v>21256</v>
      </c>
    </row>
    <row r="16074" spans="39:41" ht="12" customHeight="1" x14ac:dyDescent="0.2">
      <c r="AM16074" t="str">
        <f t="shared" si="251"/>
        <v>Uchinoura [JPUUR]</v>
      </c>
      <c r="AN16074" t="s">
        <v>21257</v>
      </c>
      <c r="AO16074" t="s">
        <v>21258</v>
      </c>
    </row>
    <row r="16075" spans="39:41" ht="12" customHeight="1" x14ac:dyDescent="0.2">
      <c r="AM16075" t="str">
        <f t="shared" si="251"/>
        <v>Uchinourahetsuka [JPUNU]</v>
      </c>
      <c r="AN16075" t="s">
        <v>21259</v>
      </c>
      <c r="AO16075" t="s">
        <v>21260</v>
      </c>
    </row>
    <row r="16076" spans="39:41" ht="12" customHeight="1" x14ac:dyDescent="0.2">
      <c r="AM16076" t="str">
        <f t="shared" si="251"/>
        <v>Uchiumi [JPUCH]</v>
      </c>
      <c r="AN16076" t="s">
        <v>21261</v>
      </c>
      <c r="AO16076" t="s">
        <v>21262</v>
      </c>
    </row>
    <row r="16077" spans="39:41" ht="12" customHeight="1" x14ac:dyDescent="0.2">
      <c r="AM16077" t="str">
        <f t="shared" si="251"/>
        <v>Uchiura, Fukui [JPUCU]</v>
      </c>
      <c r="AN16077" t="s">
        <v>21263</v>
      </c>
      <c r="AO16077" t="s">
        <v>21264</v>
      </c>
    </row>
    <row r="16078" spans="39:41" ht="12" customHeight="1" x14ac:dyDescent="0.2">
      <c r="AM16078" t="str">
        <f t="shared" si="251"/>
        <v>Uchiura, Ishikawa [JPUCR]</v>
      </c>
      <c r="AN16078" t="s">
        <v>21265</v>
      </c>
      <c r="AO16078" t="s">
        <v>21266</v>
      </c>
    </row>
    <row r="16079" spans="39:41" ht="12" customHeight="1" x14ac:dyDescent="0.2">
      <c r="AM16079" t="str">
        <f t="shared" si="251"/>
        <v>Ucluelet [CAUCL]</v>
      </c>
      <c r="AN16079" t="s">
        <v>4553</v>
      </c>
      <c r="AO16079" t="s">
        <v>4554</v>
      </c>
    </row>
    <row r="16080" spans="39:41" ht="12" customHeight="1" x14ac:dyDescent="0.2">
      <c r="AM16080" t="str">
        <f t="shared" si="251"/>
        <v>Udang Natuna Terminal [IDUDG]</v>
      </c>
      <c r="AN16080" t="s">
        <v>16693</v>
      </c>
      <c r="AO16080" t="s">
        <v>16694</v>
      </c>
    </row>
    <row r="16081" spans="39:41" ht="12" customHeight="1" x14ac:dyDescent="0.2">
      <c r="AM16081" t="str">
        <f t="shared" si="251"/>
        <v>Uddevalla [SEUDD]</v>
      </c>
      <c r="AN16081" t="s">
        <v>27921</v>
      </c>
      <c r="AO16081" t="s">
        <v>27922</v>
      </c>
    </row>
    <row r="16082" spans="39:41" ht="12" customHeight="1" x14ac:dyDescent="0.2">
      <c r="AM16082" t="str">
        <f t="shared" si="251"/>
        <v>Udenheim [DEUH7]</v>
      </c>
      <c r="AN16082" t="s">
        <v>8383</v>
      </c>
      <c r="AO16082" t="s">
        <v>8384</v>
      </c>
    </row>
    <row r="16083" spans="39:41" ht="12" customHeight="1" x14ac:dyDescent="0.2">
      <c r="AM16083" t="str">
        <f t="shared" si="251"/>
        <v>Udo [JPUDD]</v>
      </c>
      <c r="AN16083" t="s">
        <v>21267</v>
      </c>
      <c r="AO16083" t="s">
        <v>21268</v>
      </c>
    </row>
    <row r="16084" spans="39:41" ht="12" customHeight="1" x14ac:dyDescent="0.2">
      <c r="AM16084" t="str">
        <f t="shared" si="251"/>
        <v>Udono [JPUDO]</v>
      </c>
      <c r="AN16084" t="s">
        <v>21269</v>
      </c>
      <c r="AO16084" t="s">
        <v>21270</v>
      </c>
    </row>
    <row r="16085" spans="39:41" ht="12" customHeight="1" x14ac:dyDescent="0.2">
      <c r="AM16085" t="str">
        <f t="shared" si="251"/>
        <v>Uechi [JPUEC]</v>
      </c>
      <c r="AN16085" t="s">
        <v>21271</v>
      </c>
      <c r="AO16085" t="s">
        <v>21272</v>
      </c>
    </row>
    <row r="16086" spans="39:41" ht="12" customHeight="1" x14ac:dyDescent="0.2">
      <c r="AM16086" t="str">
        <f t="shared" si="251"/>
        <v>Ueckermunde [DEUCK]</v>
      </c>
      <c r="AN16086" t="s">
        <v>8385</v>
      </c>
      <c r="AO16086" t="s">
        <v>35508</v>
      </c>
    </row>
    <row r="16087" spans="39:41" ht="12" customHeight="1" x14ac:dyDescent="0.2">
      <c r="AM16087" t="str">
        <f t="shared" si="251"/>
        <v>Uelen [RUUEL]</v>
      </c>
      <c r="AN16087" t="s">
        <v>27284</v>
      </c>
      <c r="AO16087" t="s">
        <v>27285</v>
      </c>
    </row>
    <row r="16088" spans="39:41" ht="12" customHeight="1" x14ac:dyDescent="0.2">
      <c r="AM16088" t="str">
        <f t="shared" si="251"/>
        <v>Uelzen [DEUEL]</v>
      </c>
      <c r="AN16088" t="s">
        <v>8386</v>
      </c>
      <c r="AO16088" t="s">
        <v>8387</v>
      </c>
    </row>
    <row r="16089" spans="39:41" ht="12" customHeight="1" x14ac:dyDescent="0.2">
      <c r="AM16089" t="str">
        <f t="shared" si="251"/>
        <v>Uesen [DEUES]</v>
      </c>
      <c r="AN16089" t="s">
        <v>8388</v>
      </c>
      <c r="AO16089" t="s">
        <v>8389</v>
      </c>
    </row>
    <row r="16090" spans="39:41" ht="12" customHeight="1" x14ac:dyDescent="0.2">
      <c r="AM16090" t="str">
        <f t="shared" si="251"/>
        <v>Uetersen [DEUET]</v>
      </c>
      <c r="AN16090" t="s">
        <v>8390</v>
      </c>
      <c r="AO16090" t="s">
        <v>8391</v>
      </c>
    </row>
    <row r="16091" spans="39:41" ht="12" customHeight="1" x14ac:dyDescent="0.2">
      <c r="AM16091" t="str">
        <f t="shared" si="251"/>
        <v>Uetikon am See [CHUKS]</v>
      </c>
      <c r="AN16091" t="s">
        <v>4758</v>
      </c>
      <c r="AO16091" t="s">
        <v>4759</v>
      </c>
    </row>
    <row r="16092" spans="39:41" ht="12" customHeight="1" x14ac:dyDescent="0.2">
      <c r="AM16092" t="str">
        <f t="shared" si="251"/>
        <v>Uffelte [NLUFE]</v>
      </c>
      <c r="AN16092" t="s">
        <v>23686</v>
      </c>
      <c r="AO16092" t="s">
        <v>23687</v>
      </c>
    </row>
    <row r="16093" spans="39:41" ht="12" customHeight="1" x14ac:dyDescent="0.2">
      <c r="AM16093" t="str">
        <f t="shared" si="251"/>
        <v>Uga [JPUGA]</v>
      </c>
      <c r="AN16093" t="s">
        <v>21273</v>
      </c>
      <c r="AO16093" t="s">
        <v>21274</v>
      </c>
    </row>
    <row r="16094" spans="39:41" ht="12" customHeight="1" x14ac:dyDescent="0.2">
      <c r="AM16094" t="str">
        <f t="shared" si="251"/>
        <v>Uglegorsk [RUUGL]</v>
      </c>
      <c r="AN16094" t="s">
        <v>27286</v>
      </c>
      <c r="AO16094" t="s">
        <v>27287</v>
      </c>
    </row>
    <row r="16095" spans="39:41" ht="12" customHeight="1" x14ac:dyDescent="0.2">
      <c r="AM16095" t="str">
        <f t="shared" si="251"/>
        <v>Uglich [RUUGC]</v>
      </c>
      <c r="AN16095" t="s">
        <v>27288</v>
      </c>
      <c r="AO16095" t="s">
        <v>27289</v>
      </c>
    </row>
    <row r="16096" spans="39:41" ht="12" customHeight="1" x14ac:dyDescent="0.2">
      <c r="AM16096" t="str">
        <f t="shared" si="251"/>
        <v>Ugusu [JPUGU]</v>
      </c>
      <c r="AN16096" t="s">
        <v>21275</v>
      </c>
      <c r="AO16096" t="s">
        <v>21276</v>
      </c>
    </row>
    <row r="16097" spans="39:41" ht="12" customHeight="1" x14ac:dyDescent="0.2">
      <c r="AM16097" t="str">
        <f t="shared" si="251"/>
        <v>Uig [GBUIG]</v>
      </c>
      <c r="AN16097" t="s">
        <v>14742</v>
      </c>
      <c r="AO16097" t="s">
        <v>14743</v>
      </c>
    </row>
    <row r="16098" spans="39:41" ht="12" customHeight="1" x14ac:dyDescent="0.2">
      <c r="AM16098" t="str">
        <f t="shared" si="251"/>
        <v>Uimaharju [FIUIM]</v>
      </c>
      <c r="AN16098" t="s">
        <v>10577</v>
      </c>
      <c r="AO16098" t="s">
        <v>10578</v>
      </c>
    </row>
    <row r="16099" spans="39:41" ht="12" customHeight="1" x14ac:dyDescent="0.2">
      <c r="AM16099" t="str">
        <f t="shared" si="251"/>
        <v>Uitbergen [BEUIT]</v>
      </c>
      <c r="AN16099" t="s">
        <v>3026</v>
      </c>
      <c r="AO16099" t="s">
        <v>3027</v>
      </c>
    </row>
    <row r="16100" spans="39:41" ht="12" customHeight="1" x14ac:dyDescent="0.2">
      <c r="AM16100" t="str">
        <f t="shared" si="251"/>
        <v>Uitermeer [NLUTR]</v>
      </c>
      <c r="AN16100" t="s">
        <v>23688</v>
      </c>
      <c r="AO16100" t="s">
        <v>23689</v>
      </c>
    </row>
    <row r="16101" spans="39:41" ht="12" customHeight="1" x14ac:dyDescent="0.2">
      <c r="AM16101" t="str">
        <f t="shared" si="251"/>
        <v>Uitgeest [NLUTG]</v>
      </c>
      <c r="AN16101" t="s">
        <v>23690</v>
      </c>
      <c r="AO16101" t="s">
        <v>23691</v>
      </c>
    </row>
    <row r="16102" spans="39:41" ht="12" customHeight="1" x14ac:dyDescent="0.2">
      <c r="AM16102" t="str">
        <f t="shared" si="251"/>
        <v>Ujina [JPUJI]</v>
      </c>
      <c r="AN16102" t="s">
        <v>21277</v>
      </c>
      <c r="AO16102" t="s">
        <v>21278</v>
      </c>
    </row>
    <row r="16103" spans="39:41" ht="12" customHeight="1" x14ac:dyDescent="0.2">
      <c r="AM16103" t="str">
        <f t="shared" si="251"/>
        <v>Ujiyamada [JPUJY]</v>
      </c>
      <c r="AN16103" t="s">
        <v>21279</v>
      </c>
      <c r="AO16103" t="s">
        <v>21280</v>
      </c>
    </row>
    <row r="16104" spans="39:41" ht="12" customHeight="1" x14ac:dyDescent="0.2">
      <c r="AM16104" t="str">
        <f t="shared" si="251"/>
        <v>Ujpest [HUUPS]</v>
      </c>
      <c r="AN16104" t="s">
        <v>16133</v>
      </c>
      <c r="AO16104" t="s">
        <v>36030</v>
      </c>
    </row>
    <row r="16105" spans="39:41" ht="12" customHeight="1" x14ac:dyDescent="0.2">
      <c r="AM16105" t="str">
        <f t="shared" ref="AM16105:AM16168" si="252">AO16105 &amp; " [" &amp; AN16105 &amp; "]"</f>
        <v>Ujung Pandang, Sulawesi [IDUPG]</v>
      </c>
      <c r="AN16105" t="s">
        <v>16695</v>
      </c>
      <c r="AO16105" t="s">
        <v>16696</v>
      </c>
    </row>
    <row r="16106" spans="39:41" ht="12" customHeight="1" x14ac:dyDescent="0.2">
      <c r="AM16106" t="str">
        <f t="shared" si="252"/>
        <v>Ukejima [JPUKJ]</v>
      </c>
      <c r="AN16106" t="s">
        <v>21281</v>
      </c>
      <c r="AO16106" t="s">
        <v>21282</v>
      </c>
    </row>
    <row r="16107" spans="39:41" ht="12" customHeight="1" x14ac:dyDescent="0.2">
      <c r="AM16107" t="str">
        <f t="shared" si="252"/>
        <v>Uken [JPUKN]</v>
      </c>
      <c r="AN16107" t="s">
        <v>21283</v>
      </c>
      <c r="AO16107" t="s">
        <v>21284</v>
      </c>
    </row>
    <row r="16108" spans="39:41" ht="12" customHeight="1" x14ac:dyDescent="0.2">
      <c r="AM16108" t="str">
        <f t="shared" si="252"/>
        <v>Ukitsu [JPUKT]</v>
      </c>
      <c r="AN16108" t="s">
        <v>21285</v>
      </c>
      <c r="AO16108" t="s">
        <v>21286</v>
      </c>
    </row>
    <row r="16109" spans="39:41" ht="12" customHeight="1" x14ac:dyDescent="0.2">
      <c r="AM16109" t="str">
        <f t="shared" si="252"/>
        <v>Ukpokiti [NGUKP]</v>
      </c>
      <c r="AN16109" t="s">
        <v>22982</v>
      </c>
      <c r="AO16109" t="s">
        <v>22983</v>
      </c>
    </row>
    <row r="16110" spans="39:41" ht="12" customHeight="1" x14ac:dyDescent="0.2">
      <c r="AM16110" t="str">
        <f t="shared" si="252"/>
        <v>Ukui [JPUKI]</v>
      </c>
      <c r="AN16110" t="s">
        <v>21287</v>
      </c>
      <c r="AO16110" t="s">
        <v>21288</v>
      </c>
    </row>
    <row r="16111" spans="39:41" ht="12" customHeight="1" x14ac:dyDescent="0.2">
      <c r="AM16111" t="str">
        <f t="shared" si="252"/>
        <v>Ulamona [PGULA]</v>
      </c>
      <c r="AN16111" t="s">
        <v>25488</v>
      </c>
      <c r="AO16111" t="s">
        <v>25489</v>
      </c>
    </row>
    <row r="16112" spans="39:41" ht="12" customHeight="1" x14ac:dyDescent="0.2">
      <c r="AM16112" t="str">
        <f t="shared" si="252"/>
        <v>Ulcinj [MEULC]</v>
      </c>
      <c r="AN16112" t="s">
        <v>22094</v>
      </c>
      <c r="AO16112" t="s">
        <v>22095</v>
      </c>
    </row>
    <row r="16113" spans="39:41" ht="12" customHeight="1" x14ac:dyDescent="0.2">
      <c r="AM16113" t="str">
        <f t="shared" si="252"/>
        <v>Ulebergshamn [SEUGN]</v>
      </c>
      <c r="AN16113" t="s">
        <v>27923</v>
      </c>
      <c r="AO16113" t="s">
        <v>27924</v>
      </c>
    </row>
    <row r="16114" spans="39:41" ht="12" customHeight="1" x14ac:dyDescent="0.2">
      <c r="AM16114" t="str">
        <f t="shared" si="252"/>
        <v>Ulfvik [SEULF]</v>
      </c>
      <c r="AN16114" t="s">
        <v>27925</v>
      </c>
      <c r="AO16114" t="s">
        <v>27926</v>
      </c>
    </row>
    <row r="16115" spans="39:41" ht="12" customHeight="1" x14ac:dyDescent="0.2">
      <c r="AM16115" t="str">
        <f t="shared" si="252"/>
        <v>Ulladulla [AUULA]</v>
      </c>
      <c r="AN16115" t="s">
        <v>2078</v>
      </c>
      <c r="AO16115" t="s">
        <v>2079</v>
      </c>
    </row>
    <row r="16116" spans="39:41" ht="12" customHeight="1" x14ac:dyDescent="0.2">
      <c r="AM16116" t="str">
        <f t="shared" si="252"/>
        <v>Ullapool [GBULL]</v>
      </c>
      <c r="AN16116" t="s">
        <v>14744</v>
      </c>
      <c r="AO16116" t="s">
        <v>14745</v>
      </c>
    </row>
    <row r="16117" spans="39:41" ht="12" customHeight="1" x14ac:dyDescent="0.2">
      <c r="AM16117" t="str">
        <f t="shared" si="252"/>
        <v>Ullensvang [NOULL]</v>
      </c>
      <c r="AN16117" t="s">
        <v>24948</v>
      </c>
      <c r="AO16117" t="s">
        <v>24949</v>
      </c>
    </row>
    <row r="16118" spans="39:41" ht="12" customHeight="1" x14ac:dyDescent="0.2">
      <c r="AM16118" t="str">
        <f t="shared" si="252"/>
        <v>Ulleung [KRULL]</v>
      </c>
      <c r="AN16118" t="s">
        <v>21738</v>
      </c>
      <c r="AO16118" t="s">
        <v>21739</v>
      </c>
    </row>
    <row r="16119" spans="39:41" ht="12" customHeight="1" x14ac:dyDescent="0.2">
      <c r="AM16119" t="str">
        <f t="shared" si="252"/>
        <v>Ulm [DEULM]</v>
      </c>
      <c r="AN16119" t="s">
        <v>8392</v>
      </c>
      <c r="AO16119" t="s">
        <v>8393</v>
      </c>
    </row>
    <row r="16120" spans="39:41" ht="12" customHeight="1" x14ac:dyDescent="0.2">
      <c r="AM16120" t="str">
        <f t="shared" si="252"/>
        <v>Ulm [US4TP]</v>
      </c>
      <c r="AN16120" t="s">
        <v>31797</v>
      </c>
      <c r="AO16120" t="s">
        <v>8393</v>
      </c>
    </row>
    <row r="16121" spans="39:41" ht="12" customHeight="1" x14ac:dyDescent="0.2">
      <c r="AM16121" t="str">
        <f t="shared" si="252"/>
        <v>Uloybukt [NOUBO]</v>
      </c>
      <c r="AN16121" t="s">
        <v>24950</v>
      </c>
      <c r="AO16121" t="s">
        <v>36336</v>
      </c>
    </row>
    <row r="16122" spans="39:41" ht="12" customHeight="1" x14ac:dyDescent="0.2">
      <c r="AM16122" t="str">
        <f t="shared" si="252"/>
        <v>Ulrum [NLULR]</v>
      </c>
      <c r="AN16122" t="s">
        <v>23692</v>
      </c>
      <c r="AO16122" t="s">
        <v>23693</v>
      </c>
    </row>
    <row r="16123" spans="39:41" ht="12" customHeight="1" x14ac:dyDescent="0.2">
      <c r="AM16123" t="str">
        <f t="shared" si="252"/>
        <v>Ulsan [KRUSN]</v>
      </c>
      <c r="AN16123" t="s">
        <v>21740</v>
      </c>
      <c r="AO16123" t="s">
        <v>21741</v>
      </c>
    </row>
    <row r="16124" spans="39:41" ht="12" customHeight="1" x14ac:dyDescent="0.2">
      <c r="AM16124" t="str">
        <f t="shared" si="252"/>
        <v>Ulsta, Yell [GBULS]</v>
      </c>
      <c r="AN16124" t="s">
        <v>14746</v>
      </c>
      <c r="AO16124" t="s">
        <v>14747</v>
      </c>
    </row>
    <row r="16125" spans="39:41" ht="12" customHeight="1" x14ac:dyDescent="0.2">
      <c r="AM16125" t="str">
        <f t="shared" si="252"/>
        <v>Ulstein [NOULE]</v>
      </c>
      <c r="AN16125" t="s">
        <v>24951</v>
      </c>
      <c r="AO16125" t="s">
        <v>24952</v>
      </c>
    </row>
    <row r="16126" spans="39:41" ht="12" customHeight="1" x14ac:dyDescent="0.2">
      <c r="AM16126" t="str">
        <f t="shared" si="252"/>
        <v>Ulsteinvik [NOULS]</v>
      </c>
      <c r="AN16126" t="s">
        <v>24953</v>
      </c>
      <c r="AO16126" t="s">
        <v>24954</v>
      </c>
    </row>
    <row r="16127" spans="39:41" ht="12" customHeight="1" x14ac:dyDescent="0.2">
      <c r="AM16127" t="str">
        <f t="shared" si="252"/>
        <v>Ultimo [AUULT]</v>
      </c>
      <c r="AN16127" t="s">
        <v>2080</v>
      </c>
      <c r="AO16127" t="s">
        <v>2081</v>
      </c>
    </row>
    <row r="16128" spans="39:41" ht="12" customHeight="1" x14ac:dyDescent="0.2">
      <c r="AM16128" t="str">
        <f t="shared" si="252"/>
        <v>Ulugan Bay [PHULY]</v>
      </c>
      <c r="AN16128" t="s">
        <v>26226</v>
      </c>
      <c r="AO16128" t="s">
        <v>26227</v>
      </c>
    </row>
    <row r="16129" spans="39:41" ht="12" customHeight="1" x14ac:dyDescent="0.2">
      <c r="AM16129" t="str">
        <f t="shared" si="252"/>
        <v>Ulupalakua [US3DV]</v>
      </c>
      <c r="AN16129" t="s">
        <v>31798</v>
      </c>
      <c r="AO16129" t="s">
        <v>31799</v>
      </c>
    </row>
    <row r="16130" spans="39:41" ht="12" customHeight="1" x14ac:dyDescent="0.2">
      <c r="AM16130" t="str">
        <f t="shared" si="252"/>
        <v>Ulva Ferry [GBULF]</v>
      </c>
      <c r="AN16130" t="s">
        <v>14748</v>
      </c>
      <c r="AO16130" t="s">
        <v>14749</v>
      </c>
    </row>
    <row r="16131" spans="39:41" ht="12" customHeight="1" x14ac:dyDescent="0.2">
      <c r="AM16131" t="str">
        <f t="shared" si="252"/>
        <v>Ulvik [NOUVK]</v>
      </c>
      <c r="AN16131" t="s">
        <v>24955</v>
      </c>
      <c r="AO16131" t="s">
        <v>24956</v>
      </c>
    </row>
    <row r="16132" spans="39:41" ht="12" customHeight="1" x14ac:dyDescent="0.2">
      <c r="AM16132" t="str">
        <f t="shared" si="252"/>
        <v>Ulvila [FIULV]</v>
      </c>
      <c r="AN16132" t="s">
        <v>10579</v>
      </c>
      <c r="AO16132" t="s">
        <v>10580</v>
      </c>
    </row>
    <row r="16133" spans="39:41" ht="12" customHeight="1" x14ac:dyDescent="0.2">
      <c r="AM16133" t="str">
        <f t="shared" si="252"/>
        <v>Ulwa [INULW]</v>
      </c>
      <c r="AN16133" t="s">
        <v>17505</v>
      </c>
      <c r="AO16133" t="s">
        <v>17506</v>
      </c>
    </row>
    <row r="16134" spans="39:41" ht="12" customHeight="1" x14ac:dyDescent="0.2">
      <c r="AM16134" t="str">
        <f t="shared" si="252"/>
        <v>Umag [HRUMG]</v>
      </c>
      <c r="AN16134" t="s">
        <v>15982</v>
      </c>
      <c r="AO16134" t="s">
        <v>15983</v>
      </c>
    </row>
    <row r="16135" spans="39:41" ht="12" customHeight="1" x14ac:dyDescent="0.2">
      <c r="AM16135" t="str">
        <f t="shared" si="252"/>
        <v>Umagoe [JPUMG]</v>
      </c>
      <c r="AN16135" t="s">
        <v>21289</v>
      </c>
      <c r="AO16135" t="s">
        <v>21290</v>
      </c>
    </row>
    <row r="16136" spans="39:41" ht="12" customHeight="1" x14ac:dyDescent="0.2">
      <c r="AM16136" t="str">
        <f t="shared" si="252"/>
        <v>Umarsadi [INUMR]</v>
      </c>
      <c r="AN16136" t="s">
        <v>17507</v>
      </c>
      <c r="AO16136" t="s">
        <v>17508</v>
      </c>
    </row>
    <row r="16137" spans="39:41" ht="12" customHeight="1" x14ac:dyDescent="0.2">
      <c r="AM16137" t="str">
        <f t="shared" si="252"/>
        <v>Umba [RUUMB]</v>
      </c>
      <c r="AN16137" t="s">
        <v>27290</v>
      </c>
      <c r="AO16137" t="s">
        <v>27291</v>
      </c>
    </row>
    <row r="16138" spans="39:41" ht="12" customHeight="1" x14ac:dyDescent="0.2">
      <c r="AM16138" t="str">
        <f t="shared" si="252"/>
        <v>Umbakumba [AUUMB]</v>
      </c>
      <c r="AN16138" t="s">
        <v>2082</v>
      </c>
      <c r="AO16138" t="s">
        <v>2083</v>
      </c>
    </row>
    <row r="16139" spans="39:41" ht="12" customHeight="1" x14ac:dyDescent="0.2">
      <c r="AM16139" t="str">
        <f t="shared" si="252"/>
        <v>Umbergoan [INUMB]</v>
      </c>
      <c r="AN16139" t="s">
        <v>17509</v>
      </c>
      <c r="AO16139" t="s">
        <v>17510</v>
      </c>
    </row>
    <row r="16140" spans="39:41" ht="12" customHeight="1" x14ac:dyDescent="0.2">
      <c r="AM16140" t="str">
        <f t="shared" si="252"/>
        <v>Umea [SEUME]</v>
      </c>
      <c r="AN16140" t="s">
        <v>27927</v>
      </c>
      <c r="AO16140" t="s">
        <v>36538</v>
      </c>
    </row>
    <row r="16141" spans="39:41" ht="12" customHeight="1" x14ac:dyDescent="0.2">
      <c r="AM16141" t="str">
        <f t="shared" si="252"/>
        <v>Umm Al Nar [AEULR]</v>
      </c>
      <c r="AN16141" t="s">
        <v>780</v>
      </c>
      <c r="AO16141" t="s">
        <v>781</v>
      </c>
    </row>
    <row r="16142" spans="39:41" ht="12" customHeight="1" x14ac:dyDescent="0.2">
      <c r="AM16142" t="str">
        <f t="shared" si="252"/>
        <v>Umm al Qaiwain [AEQIW]</v>
      </c>
      <c r="AN16142" t="s">
        <v>782</v>
      </c>
      <c r="AO16142" t="s">
        <v>783</v>
      </c>
    </row>
    <row r="16143" spans="39:41" ht="12" customHeight="1" x14ac:dyDescent="0.2">
      <c r="AM16143" t="str">
        <f t="shared" si="252"/>
        <v>Umm Lajj [SAVLA]</v>
      </c>
      <c r="AN16143" t="s">
        <v>27421</v>
      </c>
      <c r="AO16143" t="s">
        <v>27422</v>
      </c>
    </row>
    <row r="16144" spans="39:41" ht="12" customHeight="1" x14ac:dyDescent="0.2">
      <c r="AM16144" t="str">
        <f t="shared" si="252"/>
        <v>Umm Qasr Port [IQUQR]</v>
      </c>
      <c r="AN16144" t="s">
        <v>17586</v>
      </c>
      <c r="AO16144" t="s">
        <v>17587</v>
      </c>
    </row>
    <row r="16145" spans="39:41" ht="12" customHeight="1" x14ac:dyDescent="0.2">
      <c r="AM16145" t="str">
        <f t="shared" si="252"/>
        <v>Umm Sa'id (Mesaieed) [QAUMS]</v>
      </c>
      <c r="AN16145" t="s">
        <v>26707</v>
      </c>
      <c r="AO16145" t="s">
        <v>26708</v>
      </c>
    </row>
    <row r="16146" spans="39:41" ht="12" customHeight="1" x14ac:dyDescent="0.2">
      <c r="AM16146" t="str">
        <f t="shared" si="252"/>
        <v>Umpqua [US9QA]</v>
      </c>
      <c r="AN16146" t="s">
        <v>31800</v>
      </c>
      <c r="AO16146" t="s">
        <v>31801</v>
      </c>
    </row>
    <row r="16147" spans="39:41" ht="12" customHeight="1" x14ac:dyDescent="0.2">
      <c r="AM16147" t="str">
        <f t="shared" si="252"/>
        <v>Umrur [PHURR]</v>
      </c>
      <c r="AN16147" t="s">
        <v>26228</v>
      </c>
      <c r="AO16147" t="s">
        <v>26229</v>
      </c>
    </row>
    <row r="16148" spans="39:41" ht="12" customHeight="1" x14ac:dyDescent="0.2">
      <c r="AM16148" t="str">
        <f t="shared" si="252"/>
        <v>Umuroa FPSO [NZUMU]</v>
      </c>
      <c r="AN16148" t="s">
        <v>25127</v>
      </c>
      <c r="AO16148" t="s">
        <v>25128</v>
      </c>
    </row>
    <row r="16149" spans="39:41" ht="12" customHeight="1" x14ac:dyDescent="0.2">
      <c r="AM16149" t="str">
        <f t="shared" si="252"/>
        <v>Underas [SEUND]</v>
      </c>
      <c r="AN16149" t="s">
        <v>27928</v>
      </c>
      <c r="AO16149" t="s">
        <v>36539</v>
      </c>
    </row>
    <row r="16150" spans="39:41" ht="12" customHeight="1" x14ac:dyDescent="0.2">
      <c r="AM16150" t="str">
        <f t="shared" si="252"/>
        <v>Ungurpils [LVLM8]</v>
      </c>
      <c r="AN16150" t="s">
        <v>21959</v>
      </c>
      <c r="AO16150" t="s">
        <v>21960</v>
      </c>
    </row>
    <row r="16151" spans="39:41" ht="12" customHeight="1" x14ac:dyDescent="0.2">
      <c r="AM16151" t="str">
        <f t="shared" si="252"/>
        <v>Unije [HRUNJ]</v>
      </c>
      <c r="AN16151" t="s">
        <v>15984</v>
      </c>
      <c r="AO16151" t="s">
        <v>15985</v>
      </c>
    </row>
    <row r="16152" spans="39:41" ht="12" customHeight="1" x14ac:dyDescent="0.2">
      <c r="AM16152" t="str">
        <f t="shared" si="252"/>
        <v>Union Center [USZUC]</v>
      </c>
      <c r="AN16152" t="s">
        <v>31802</v>
      </c>
      <c r="AO16152" t="s">
        <v>31803</v>
      </c>
    </row>
    <row r="16153" spans="39:41" ht="12" customHeight="1" x14ac:dyDescent="0.2">
      <c r="AM16153" t="str">
        <f t="shared" si="252"/>
        <v>Union Gap [USYUG]</v>
      </c>
      <c r="AN16153" t="s">
        <v>31804</v>
      </c>
      <c r="AO16153" t="s">
        <v>31805</v>
      </c>
    </row>
    <row r="16154" spans="39:41" ht="12" customHeight="1" x14ac:dyDescent="0.2">
      <c r="AM16154" t="str">
        <f t="shared" si="252"/>
        <v>Union Island [VCUNI]</v>
      </c>
      <c r="AN16154" t="s">
        <v>32146</v>
      </c>
      <c r="AO16154" t="s">
        <v>32147</v>
      </c>
    </row>
    <row r="16155" spans="39:41" ht="12" customHeight="1" x14ac:dyDescent="0.2">
      <c r="AM16155" t="str">
        <f t="shared" si="252"/>
        <v>Uniontown [USUT2]</v>
      </c>
      <c r="AN16155" t="s">
        <v>31806</v>
      </c>
      <c r="AO16155" t="s">
        <v>31807</v>
      </c>
    </row>
    <row r="16156" spans="39:41" ht="12" customHeight="1" x14ac:dyDescent="0.2">
      <c r="AM16156" t="str">
        <f t="shared" si="252"/>
        <v>Unithai Container Terminal [THUCT]</v>
      </c>
      <c r="AN16156" t="s">
        <v>28302</v>
      </c>
      <c r="AO16156" t="s">
        <v>28303</v>
      </c>
    </row>
    <row r="16157" spans="39:41" ht="12" customHeight="1" x14ac:dyDescent="0.2">
      <c r="AM16157" t="str">
        <f t="shared" si="252"/>
        <v>Unity [USUHI]</v>
      </c>
      <c r="AN16157" t="s">
        <v>31808</v>
      </c>
      <c r="AO16157" t="s">
        <v>31809</v>
      </c>
    </row>
    <row r="16158" spans="39:41" ht="12" customHeight="1" x14ac:dyDescent="0.2">
      <c r="AM16158" t="str">
        <f t="shared" si="252"/>
        <v>Unity Container Terminal [LKUCT]</v>
      </c>
      <c r="AN16158" t="s">
        <v>21857</v>
      </c>
      <c r="AO16158" t="s">
        <v>21858</v>
      </c>
    </row>
    <row r="16159" spans="39:41" ht="12" customHeight="1" x14ac:dyDescent="0.2">
      <c r="AM16159" t="str">
        <f t="shared" si="252"/>
        <v>University Park [USUKK]</v>
      </c>
      <c r="AN16159" t="s">
        <v>31810</v>
      </c>
      <c r="AO16159" t="s">
        <v>31811</v>
      </c>
    </row>
    <row r="16160" spans="39:41" ht="12" customHeight="1" x14ac:dyDescent="0.2">
      <c r="AM16160" t="str">
        <f t="shared" si="252"/>
        <v>Unknown [ZZUKN]</v>
      </c>
      <c r="AN16160" t="s">
        <v>32869</v>
      </c>
      <c r="AO16160" t="s">
        <v>37203</v>
      </c>
    </row>
    <row r="16161" spans="39:41" ht="12" customHeight="1" x14ac:dyDescent="0.2">
      <c r="AM16161" t="str">
        <f t="shared" si="252"/>
        <v>Unknown -  Afghanistan [AF888]</v>
      </c>
      <c r="AN16161" t="s">
        <v>34331</v>
      </c>
      <c r="AO16161" t="s">
        <v>34580</v>
      </c>
    </row>
    <row r="16162" spans="39:41" ht="12" customHeight="1" x14ac:dyDescent="0.2">
      <c r="AM16162" t="str">
        <f t="shared" si="252"/>
        <v>Unknown -  Åland Islands [AX888]</v>
      </c>
      <c r="AN16162" t="s">
        <v>34378</v>
      </c>
      <c r="AO16162" t="s">
        <v>34627</v>
      </c>
    </row>
    <row r="16163" spans="39:41" ht="12" customHeight="1" x14ac:dyDescent="0.2">
      <c r="AM16163" t="str">
        <f t="shared" si="252"/>
        <v>Unknown -  Albania [AL888]</v>
      </c>
      <c r="AN16163" t="s">
        <v>34332</v>
      </c>
      <c r="AO16163" t="s">
        <v>34581</v>
      </c>
    </row>
    <row r="16164" spans="39:41" ht="12" customHeight="1" x14ac:dyDescent="0.2">
      <c r="AM16164" t="str">
        <f t="shared" si="252"/>
        <v>Unknown -  Algeria [DZ888]</v>
      </c>
      <c r="AN16164" t="s">
        <v>34333</v>
      </c>
      <c r="AO16164" t="s">
        <v>34582</v>
      </c>
    </row>
    <row r="16165" spans="39:41" ht="12" customHeight="1" x14ac:dyDescent="0.2">
      <c r="AM16165" t="str">
        <f t="shared" si="252"/>
        <v>Unknown -  American Samoa [AS888]</v>
      </c>
      <c r="AN16165" t="s">
        <v>34334</v>
      </c>
      <c r="AO16165" t="s">
        <v>34583</v>
      </c>
    </row>
    <row r="16166" spans="39:41" ht="12" customHeight="1" x14ac:dyDescent="0.2">
      <c r="AM16166" t="str">
        <f t="shared" si="252"/>
        <v>Unknown -  Andorra [AD888]</v>
      </c>
      <c r="AN16166" t="s">
        <v>34335</v>
      </c>
      <c r="AO16166" t="s">
        <v>34584</v>
      </c>
    </row>
    <row r="16167" spans="39:41" ht="12" customHeight="1" x14ac:dyDescent="0.2">
      <c r="AM16167" t="str">
        <f t="shared" si="252"/>
        <v>Unknown -  Angola [AO888]</v>
      </c>
      <c r="AN16167" t="s">
        <v>34336</v>
      </c>
      <c r="AO16167" t="s">
        <v>34585</v>
      </c>
    </row>
    <row r="16168" spans="39:41" ht="12" customHeight="1" x14ac:dyDescent="0.2">
      <c r="AM16168" t="str">
        <f t="shared" si="252"/>
        <v>Unknown -  Anguilla [AI888]</v>
      </c>
      <c r="AN16168" t="s">
        <v>34337</v>
      </c>
      <c r="AO16168" t="s">
        <v>34586</v>
      </c>
    </row>
    <row r="16169" spans="39:41" ht="12" customHeight="1" x14ac:dyDescent="0.2">
      <c r="AM16169" t="str">
        <f t="shared" ref="AM16169:AM16232" si="253">AO16169 &amp; " [" &amp; AN16169 &amp; "]"</f>
        <v>Unknown -  Antarctica [AQ888]</v>
      </c>
      <c r="AN16169" t="s">
        <v>34338</v>
      </c>
      <c r="AO16169" t="s">
        <v>34587</v>
      </c>
    </row>
    <row r="16170" spans="39:41" ht="12" customHeight="1" x14ac:dyDescent="0.2">
      <c r="AM16170" t="str">
        <f t="shared" si="253"/>
        <v>Unknown -  Antigua and Barbuda [AG888]</v>
      </c>
      <c r="AN16170" t="s">
        <v>34339</v>
      </c>
      <c r="AO16170" t="s">
        <v>34588</v>
      </c>
    </row>
    <row r="16171" spans="39:41" ht="12" customHeight="1" x14ac:dyDescent="0.2">
      <c r="AM16171" t="str">
        <f t="shared" si="253"/>
        <v>Unknown -  Argentina [AR888]</v>
      </c>
      <c r="AN16171" t="s">
        <v>34340</v>
      </c>
      <c r="AO16171" t="s">
        <v>34589</v>
      </c>
    </row>
    <row r="16172" spans="39:41" ht="12" customHeight="1" x14ac:dyDescent="0.2">
      <c r="AM16172" t="str">
        <f t="shared" si="253"/>
        <v>Unknown -  Armenia [AM888]</v>
      </c>
      <c r="AN16172" t="s">
        <v>34341</v>
      </c>
      <c r="AO16172" t="s">
        <v>34590</v>
      </c>
    </row>
    <row r="16173" spans="39:41" ht="12" customHeight="1" x14ac:dyDescent="0.2">
      <c r="AM16173" t="str">
        <f t="shared" si="253"/>
        <v>Unknown -  Aruba [AW888]</v>
      </c>
      <c r="AN16173" t="s">
        <v>34342</v>
      </c>
      <c r="AO16173" t="s">
        <v>34591</v>
      </c>
    </row>
    <row r="16174" spans="39:41" ht="12" customHeight="1" x14ac:dyDescent="0.2">
      <c r="AM16174" t="str">
        <f t="shared" si="253"/>
        <v>Unknown -  Australia [AU888]</v>
      </c>
      <c r="AN16174" t="s">
        <v>34343</v>
      </c>
      <c r="AO16174" t="s">
        <v>34592</v>
      </c>
    </row>
    <row r="16175" spans="39:41" ht="12" customHeight="1" x14ac:dyDescent="0.2">
      <c r="AM16175" t="str">
        <f t="shared" si="253"/>
        <v>Unknown -  Austria [AT888]</v>
      </c>
      <c r="AN16175" t="s">
        <v>34344</v>
      </c>
      <c r="AO16175" t="s">
        <v>34593</v>
      </c>
    </row>
    <row r="16176" spans="39:41" ht="12" customHeight="1" x14ac:dyDescent="0.2">
      <c r="AM16176" t="str">
        <f t="shared" si="253"/>
        <v>Unknown -  Azerbaijan [AZ888]</v>
      </c>
      <c r="AN16176" t="s">
        <v>34345</v>
      </c>
      <c r="AO16176" t="s">
        <v>34594</v>
      </c>
    </row>
    <row r="16177" spans="39:41" ht="12" customHeight="1" x14ac:dyDescent="0.2">
      <c r="AM16177" t="str">
        <f t="shared" si="253"/>
        <v>Unknown -  Bahamas [BS888]</v>
      </c>
      <c r="AN16177" t="s">
        <v>34346</v>
      </c>
      <c r="AO16177" t="s">
        <v>34595</v>
      </c>
    </row>
    <row r="16178" spans="39:41" ht="12" customHeight="1" x14ac:dyDescent="0.2">
      <c r="AM16178" t="str">
        <f t="shared" si="253"/>
        <v>Unknown -  Bahrain [BH888]</v>
      </c>
      <c r="AN16178" t="s">
        <v>34347</v>
      </c>
      <c r="AO16178" t="s">
        <v>34596</v>
      </c>
    </row>
    <row r="16179" spans="39:41" ht="12" customHeight="1" x14ac:dyDescent="0.2">
      <c r="AM16179" t="str">
        <f t="shared" si="253"/>
        <v>Unknown -  Bangladesh [BD888]</v>
      </c>
      <c r="AN16179" t="s">
        <v>34348</v>
      </c>
      <c r="AO16179" t="s">
        <v>34597</v>
      </c>
    </row>
    <row r="16180" spans="39:41" ht="12" customHeight="1" x14ac:dyDescent="0.2">
      <c r="AM16180" t="str">
        <f t="shared" si="253"/>
        <v>Unknown -  Barbados [BB888]</v>
      </c>
      <c r="AN16180" t="s">
        <v>34349</v>
      </c>
      <c r="AO16180" t="s">
        <v>34598</v>
      </c>
    </row>
    <row r="16181" spans="39:41" ht="12" customHeight="1" x14ac:dyDescent="0.2">
      <c r="AM16181" t="str">
        <f t="shared" si="253"/>
        <v>Unknown -  Belarus [BY888]</v>
      </c>
      <c r="AN16181" t="s">
        <v>34350</v>
      </c>
      <c r="AO16181" t="s">
        <v>34599</v>
      </c>
    </row>
    <row r="16182" spans="39:41" ht="12" customHeight="1" x14ac:dyDescent="0.2">
      <c r="AM16182" t="str">
        <f t="shared" si="253"/>
        <v>Unknown -  Belgium [BE888]</v>
      </c>
      <c r="AN16182" t="s">
        <v>34351</v>
      </c>
      <c r="AO16182" t="s">
        <v>34600</v>
      </c>
    </row>
    <row r="16183" spans="39:41" ht="12" customHeight="1" x14ac:dyDescent="0.2">
      <c r="AM16183" t="str">
        <f t="shared" si="253"/>
        <v>Unknown -  Belize [BZ888]</v>
      </c>
      <c r="AN16183" t="s">
        <v>34352</v>
      </c>
      <c r="AO16183" t="s">
        <v>34601</v>
      </c>
    </row>
    <row r="16184" spans="39:41" ht="12" customHeight="1" x14ac:dyDescent="0.2">
      <c r="AM16184" t="str">
        <f t="shared" si="253"/>
        <v>Unknown -  Benin [BJ888]</v>
      </c>
      <c r="AN16184" t="s">
        <v>34353</v>
      </c>
      <c r="AO16184" t="s">
        <v>34602</v>
      </c>
    </row>
    <row r="16185" spans="39:41" ht="12" customHeight="1" x14ac:dyDescent="0.2">
      <c r="AM16185" t="str">
        <f t="shared" si="253"/>
        <v>Unknown -  Bermuda [BM888]</v>
      </c>
      <c r="AN16185" t="s">
        <v>34354</v>
      </c>
      <c r="AO16185" t="s">
        <v>34603</v>
      </c>
    </row>
    <row r="16186" spans="39:41" ht="12" customHeight="1" x14ac:dyDescent="0.2">
      <c r="AM16186" t="str">
        <f t="shared" si="253"/>
        <v>Unknown -  Bhutan [BT888]</v>
      </c>
      <c r="AN16186" t="s">
        <v>34355</v>
      </c>
      <c r="AO16186" t="s">
        <v>34604</v>
      </c>
    </row>
    <row r="16187" spans="39:41" ht="12" customHeight="1" x14ac:dyDescent="0.2">
      <c r="AM16187" t="str">
        <f t="shared" si="253"/>
        <v>Unknown -  Bolivia, Plurinational State of [BO888]</v>
      </c>
      <c r="AN16187" t="s">
        <v>34356</v>
      </c>
      <c r="AO16187" t="s">
        <v>34605</v>
      </c>
    </row>
    <row r="16188" spans="39:41" ht="12" customHeight="1" x14ac:dyDescent="0.2">
      <c r="AM16188" t="str">
        <f t="shared" si="253"/>
        <v>Unknown -  Bonaire, Sint Eustatius and Saba [BQ888]</v>
      </c>
      <c r="AN16188" t="s">
        <v>34357</v>
      </c>
      <c r="AO16188" t="s">
        <v>34606</v>
      </c>
    </row>
    <row r="16189" spans="39:41" ht="12" customHeight="1" x14ac:dyDescent="0.2">
      <c r="AM16189" t="str">
        <f t="shared" si="253"/>
        <v>Unknown -  Bosnia and Herzegovina [BA888]</v>
      </c>
      <c r="AN16189" t="s">
        <v>34358</v>
      </c>
      <c r="AO16189" t="s">
        <v>34607</v>
      </c>
    </row>
    <row r="16190" spans="39:41" ht="12" customHeight="1" x14ac:dyDescent="0.2">
      <c r="AM16190" t="str">
        <f t="shared" si="253"/>
        <v>Unknown -  Botswana [BW888]</v>
      </c>
      <c r="AN16190" t="s">
        <v>34359</v>
      </c>
      <c r="AO16190" t="s">
        <v>34608</v>
      </c>
    </row>
    <row r="16191" spans="39:41" ht="12" customHeight="1" x14ac:dyDescent="0.2">
      <c r="AM16191" t="str">
        <f t="shared" si="253"/>
        <v>Unknown -  Bouvet Island [BV888]</v>
      </c>
      <c r="AN16191" t="s">
        <v>34360</v>
      </c>
      <c r="AO16191" t="s">
        <v>34609</v>
      </c>
    </row>
    <row r="16192" spans="39:41" ht="12" customHeight="1" x14ac:dyDescent="0.2">
      <c r="AM16192" t="str">
        <f t="shared" si="253"/>
        <v>Unknown -  Brazil [BR888]</v>
      </c>
      <c r="AN16192" t="s">
        <v>34361</v>
      </c>
      <c r="AO16192" t="s">
        <v>34610</v>
      </c>
    </row>
    <row r="16193" spans="39:41" ht="12" customHeight="1" x14ac:dyDescent="0.2">
      <c r="AM16193" t="str">
        <f t="shared" si="253"/>
        <v>Unknown -  British Indian Ocean Territory [IO888]</v>
      </c>
      <c r="AN16193" t="s">
        <v>34362</v>
      </c>
      <c r="AO16193" t="s">
        <v>34611</v>
      </c>
    </row>
    <row r="16194" spans="39:41" ht="12" customHeight="1" x14ac:dyDescent="0.2">
      <c r="AM16194" t="str">
        <f t="shared" si="253"/>
        <v>Unknown -  Brunei Darussalam [BN888]</v>
      </c>
      <c r="AN16194" t="s">
        <v>34363</v>
      </c>
      <c r="AO16194" t="s">
        <v>34612</v>
      </c>
    </row>
    <row r="16195" spans="39:41" ht="12" customHeight="1" x14ac:dyDescent="0.2">
      <c r="AM16195" t="str">
        <f t="shared" si="253"/>
        <v>Unknown -  Bulgaria [BG888]</v>
      </c>
      <c r="AN16195" t="s">
        <v>34364</v>
      </c>
      <c r="AO16195" t="s">
        <v>34613</v>
      </c>
    </row>
    <row r="16196" spans="39:41" ht="12" customHeight="1" x14ac:dyDescent="0.2">
      <c r="AM16196" t="str">
        <f t="shared" si="253"/>
        <v>Unknown -  Burkina Faso [BF888]</v>
      </c>
      <c r="AN16196" t="s">
        <v>34365</v>
      </c>
      <c r="AO16196" t="s">
        <v>34614</v>
      </c>
    </row>
    <row r="16197" spans="39:41" ht="12" customHeight="1" x14ac:dyDescent="0.2">
      <c r="AM16197" t="str">
        <f t="shared" si="253"/>
        <v>Unknown -  Burundi [BI888]</v>
      </c>
      <c r="AN16197" t="s">
        <v>34366</v>
      </c>
      <c r="AO16197" t="s">
        <v>34615</v>
      </c>
    </row>
    <row r="16198" spans="39:41" ht="12" customHeight="1" x14ac:dyDescent="0.2">
      <c r="AM16198" t="str">
        <f t="shared" si="253"/>
        <v>Unknown -  Cambodia [KH888]</v>
      </c>
      <c r="AN16198" t="s">
        <v>34367</v>
      </c>
      <c r="AO16198" t="s">
        <v>34616</v>
      </c>
    </row>
    <row r="16199" spans="39:41" ht="12" customHeight="1" x14ac:dyDescent="0.2">
      <c r="AM16199" t="str">
        <f t="shared" si="253"/>
        <v>Unknown -  Cameroon [CM888]</v>
      </c>
      <c r="AN16199" t="s">
        <v>34368</v>
      </c>
      <c r="AO16199" t="s">
        <v>34617</v>
      </c>
    </row>
    <row r="16200" spans="39:41" ht="12" customHeight="1" x14ac:dyDescent="0.2">
      <c r="AM16200" t="str">
        <f t="shared" si="253"/>
        <v>Unknown -  Canada [CA888]</v>
      </c>
      <c r="AN16200" t="s">
        <v>34369</v>
      </c>
      <c r="AO16200" t="s">
        <v>34618</v>
      </c>
    </row>
    <row r="16201" spans="39:41" ht="12" customHeight="1" x14ac:dyDescent="0.2">
      <c r="AM16201" t="str">
        <f t="shared" si="253"/>
        <v>Unknown -  Cape Verde [CV888]</v>
      </c>
      <c r="AN16201" t="s">
        <v>34370</v>
      </c>
      <c r="AO16201" t="s">
        <v>34619</v>
      </c>
    </row>
    <row r="16202" spans="39:41" ht="12" customHeight="1" x14ac:dyDescent="0.2">
      <c r="AM16202" t="str">
        <f t="shared" si="253"/>
        <v>Unknown -  Cayman Islands [KY888]</v>
      </c>
      <c r="AN16202" t="s">
        <v>34371</v>
      </c>
      <c r="AO16202" t="s">
        <v>34620</v>
      </c>
    </row>
    <row r="16203" spans="39:41" ht="12" customHeight="1" x14ac:dyDescent="0.2">
      <c r="AM16203" t="str">
        <f t="shared" si="253"/>
        <v>Unknown -  Central African Republic [CF888]</v>
      </c>
      <c r="AN16203" t="s">
        <v>34372</v>
      </c>
      <c r="AO16203" t="s">
        <v>34621</v>
      </c>
    </row>
    <row r="16204" spans="39:41" ht="12" customHeight="1" x14ac:dyDescent="0.2">
      <c r="AM16204" t="str">
        <f t="shared" si="253"/>
        <v>Unknown -  Chad [TD888]</v>
      </c>
      <c r="AN16204" t="s">
        <v>34373</v>
      </c>
      <c r="AO16204" t="s">
        <v>34622</v>
      </c>
    </row>
    <row r="16205" spans="39:41" ht="12" customHeight="1" x14ac:dyDescent="0.2">
      <c r="AM16205" t="str">
        <f t="shared" si="253"/>
        <v>Unknown -  Chad [TD888]</v>
      </c>
      <c r="AN16205" t="s">
        <v>34373</v>
      </c>
      <c r="AO16205" t="s">
        <v>34622</v>
      </c>
    </row>
    <row r="16206" spans="39:41" ht="12" customHeight="1" x14ac:dyDescent="0.2">
      <c r="AM16206" t="str">
        <f t="shared" si="253"/>
        <v>Unknown -  Chile [CL888]</v>
      </c>
      <c r="AN16206" t="s">
        <v>34374</v>
      </c>
      <c r="AO16206" t="s">
        <v>34623</v>
      </c>
    </row>
    <row r="16207" spans="39:41" ht="12" customHeight="1" x14ac:dyDescent="0.2">
      <c r="AM16207" t="str">
        <f t="shared" si="253"/>
        <v>Unknown -  China [CN888]</v>
      </c>
      <c r="AN16207" t="s">
        <v>34375</v>
      </c>
      <c r="AO16207" t="s">
        <v>34624</v>
      </c>
    </row>
    <row r="16208" spans="39:41" ht="12" customHeight="1" x14ac:dyDescent="0.2">
      <c r="AM16208" t="str">
        <f t="shared" si="253"/>
        <v>Unknown -  Christmas Island [CX888]</v>
      </c>
      <c r="AN16208" t="s">
        <v>34376</v>
      </c>
      <c r="AO16208" t="s">
        <v>34625</v>
      </c>
    </row>
    <row r="16209" spans="39:41" ht="12" customHeight="1" x14ac:dyDescent="0.2">
      <c r="AM16209" t="str">
        <f t="shared" si="253"/>
        <v>Unknown -  Cocos (Keeling) Islands [CC888]</v>
      </c>
      <c r="AN16209" t="s">
        <v>34377</v>
      </c>
      <c r="AO16209" t="s">
        <v>34626</v>
      </c>
    </row>
    <row r="16210" spans="39:41" ht="12" customHeight="1" x14ac:dyDescent="0.2">
      <c r="AM16210" t="str">
        <f t="shared" si="253"/>
        <v>Unknown -  Colombia [CO888]</v>
      </c>
      <c r="AN16210" t="s">
        <v>34379</v>
      </c>
      <c r="AO16210" t="s">
        <v>34628</v>
      </c>
    </row>
    <row r="16211" spans="39:41" ht="12" customHeight="1" x14ac:dyDescent="0.2">
      <c r="AM16211" t="str">
        <f t="shared" si="253"/>
        <v>Unknown -  Comoros [KM888]</v>
      </c>
      <c r="AN16211" t="s">
        <v>34380</v>
      </c>
      <c r="AO16211" t="s">
        <v>34629</v>
      </c>
    </row>
    <row r="16212" spans="39:41" ht="12" customHeight="1" x14ac:dyDescent="0.2">
      <c r="AM16212" t="str">
        <f t="shared" si="253"/>
        <v>Unknown -  Congo [CG888]</v>
      </c>
      <c r="AN16212" t="s">
        <v>34381</v>
      </c>
      <c r="AO16212" t="s">
        <v>34630</v>
      </c>
    </row>
    <row r="16213" spans="39:41" ht="12" customHeight="1" x14ac:dyDescent="0.2">
      <c r="AM16213" t="str">
        <f t="shared" si="253"/>
        <v>Unknown -  Congo (Democratic Republic of the) [CD888]</v>
      </c>
      <c r="AN16213" t="s">
        <v>34382</v>
      </c>
      <c r="AO16213" t="s">
        <v>34631</v>
      </c>
    </row>
    <row r="16214" spans="39:41" ht="12" customHeight="1" x14ac:dyDescent="0.2">
      <c r="AM16214" t="str">
        <f t="shared" si="253"/>
        <v>Unknown -  Cook Islands [CK888]</v>
      </c>
      <c r="AN16214" t="s">
        <v>34383</v>
      </c>
      <c r="AO16214" t="s">
        <v>34632</v>
      </c>
    </row>
    <row r="16215" spans="39:41" ht="12" customHeight="1" x14ac:dyDescent="0.2">
      <c r="AM16215" t="str">
        <f t="shared" si="253"/>
        <v>Unknown -  Costa Rica [CR888]</v>
      </c>
      <c r="AN16215" t="s">
        <v>34384</v>
      </c>
      <c r="AO16215" t="s">
        <v>34633</v>
      </c>
    </row>
    <row r="16216" spans="39:41" ht="12" customHeight="1" x14ac:dyDescent="0.2">
      <c r="AM16216" t="str">
        <f t="shared" si="253"/>
        <v>Unknown -  Côte d'Ivoire [CI888]</v>
      </c>
      <c r="AN16216" t="s">
        <v>34385</v>
      </c>
      <c r="AO16216" t="s">
        <v>34634</v>
      </c>
    </row>
    <row r="16217" spans="39:41" ht="12" customHeight="1" x14ac:dyDescent="0.2">
      <c r="AM16217" t="str">
        <f t="shared" si="253"/>
        <v>Unknown -  Croatia [HR888]</v>
      </c>
      <c r="AN16217" t="s">
        <v>34386</v>
      </c>
      <c r="AO16217" t="s">
        <v>34635</v>
      </c>
    </row>
    <row r="16218" spans="39:41" ht="12" customHeight="1" x14ac:dyDescent="0.2">
      <c r="AM16218" t="str">
        <f t="shared" si="253"/>
        <v>Unknown -  Cuba [CU888]</v>
      </c>
      <c r="AN16218" t="s">
        <v>34387</v>
      </c>
      <c r="AO16218" t="s">
        <v>34636</v>
      </c>
    </row>
    <row r="16219" spans="39:41" ht="12" customHeight="1" x14ac:dyDescent="0.2">
      <c r="AM16219" t="str">
        <f t="shared" si="253"/>
        <v>Unknown -  Curaçao [CW888]</v>
      </c>
      <c r="AN16219" t="s">
        <v>34388</v>
      </c>
      <c r="AO16219" t="s">
        <v>34637</v>
      </c>
    </row>
    <row r="16220" spans="39:41" ht="12" customHeight="1" x14ac:dyDescent="0.2">
      <c r="AM16220" t="str">
        <f t="shared" si="253"/>
        <v>Unknown -  Cyprus [CY888]</v>
      </c>
      <c r="AN16220" t="s">
        <v>34389</v>
      </c>
      <c r="AO16220" t="s">
        <v>34638</v>
      </c>
    </row>
    <row r="16221" spans="39:41" ht="12" customHeight="1" x14ac:dyDescent="0.2">
      <c r="AM16221" t="str">
        <f t="shared" si="253"/>
        <v>Unknown -  Czech Republic [CZ888]</v>
      </c>
      <c r="AN16221" t="s">
        <v>34390</v>
      </c>
      <c r="AO16221" t="s">
        <v>34639</v>
      </c>
    </row>
    <row r="16222" spans="39:41" ht="12" customHeight="1" x14ac:dyDescent="0.2">
      <c r="AM16222" t="str">
        <f t="shared" si="253"/>
        <v>Unknown -  Denmark [DK888]</v>
      </c>
      <c r="AN16222" t="s">
        <v>34391</v>
      </c>
      <c r="AO16222" t="s">
        <v>34640</v>
      </c>
    </row>
    <row r="16223" spans="39:41" ht="12" customHeight="1" x14ac:dyDescent="0.2">
      <c r="AM16223" t="str">
        <f t="shared" si="253"/>
        <v>Unknown -  Djibouti [DJ888]</v>
      </c>
      <c r="AN16223" t="s">
        <v>34392</v>
      </c>
      <c r="AO16223" t="s">
        <v>34641</v>
      </c>
    </row>
    <row r="16224" spans="39:41" ht="12" customHeight="1" x14ac:dyDescent="0.2">
      <c r="AM16224" t="str">
        <f t="shared" si="253"/>
        <v>Unknown -  Dominica [DM888]</v>
      </c>
      <c r="AN16224" t="s">
        <v>34393</v>
      </c>
      <c r="AO16224" t="s">
        <v>34642</v>
      </c>
    </row>
    <row r="16225" spans="39:41" ht="12" customHeight="1" x14ac:dyDescent="0.2">
      <c r="AM16225" t="str">
        <f t="shared" si="253"/>
        <v>Unknown -  Dominican Republic [DO888]</v>
      </c>
      <c r="AN16225" t="s">
        <v>34394</v>
      </c>
      <c r="AO16225" t="s">
        <v>34643</v>
      </c>
    </row>
    <row r="16226" spans="39:41" ht="12" customHeight="1" x14ac:dyDescent="0.2">
      <c r="AM16226" t="str">
        <f t="shared" si="253"/>
        <v>Unknown -  Ecuador [EC888]</v>
      </c>
      <c r="AN16226" t="s">
        <v>34395</v>
      </c>
      <c r="AO16226" t="s">
        <v>34644</v>
      </c>
    </row>
    <row r="16227" spans="39:41" ht="12" customHeight="1" x14ac:dyDescent="0.2">
      <c r="AM16227" t="str">
        <f t="shared" si="253"/>
        <v>Unknown -  Egypt [EG888]</v>
      </c>
      <c r="AN16227" t="s">
        <v>34396</v>
      </c>
      <c r="AO16227" t="s">
        <v>34645</v>
      </c>
    </row>
    <row r="16228" spans="39:41" ht="12" customHeight="1" x14ac:dyDescent="0.2">
      <c r="AM16228" t="str">
        <f t="shared" si="253"/>
        <v>Unknown -  El Salvador [SV888]</v>
      </c>
      <c r="AN16228" t="s">
        <v>34397</v>
      </c>
      <c r="AO16228" t="s">
        <v>34646</v>
      </c>
    </row>
    <row r="16229" spans="39:41" ht="12" customHeight="1" x14ac:dyDescent="0.2">
      <c r="AM16229" t="str">
        <f t="shared" si="253"/>
        <v>Unknown -  Equatorial Guinea [GQ888]</v>
      </c>
      <c r="AN16229" t="s">
        <v>34398</v>
      </c>
      <c r="AO16229" t="s">
        <v>34647</v>
      </c>
    </row>
    <row r="16230" spans="39:41" ht="12" customHeight="1" x14ac:dyDescent="0.2">
      <c r="AM16230" t="str">
        <f t="shared" si="253"/>
        <v>Unknown -  Eritrea [ER888]</v>
      </c>
      <c r="AN16230" t="s">
        <v>34399</v>
      </c>
      <c r="AO16230" t="s">
        <v>34648</v>
      </c>
    </row>
    <row r="16231" spans="39:41" ht="12" customHeight="1" x14ac:dyDescent="0.2">
      <c r="AM16231" t="str">
        <f t="shared" si="253"/>
        <v>Unknown -  Estonia [EE888]</v>
      </c>
      <c r="AN16231" t="s">
        <v>34400</v>
      </c>
      <c r="AO16231" t="s">
        <v>34649</v>
      </c>
    </row>
    <row r="16232" spans="39:41" ht="12" customHeight="1" x14ac:dyDescent="0.2">
      <c r="AM16232" t="str">
        <f t="shared" si="253"/>
        <v>Unknown -  Ethiopia [ET888]</v>
      </c>
      <c r="AN16232" t="s">
        <v>34401</v>
      </c>
      <c r="AO16232" t="s">
        <v>34650</v>
      </c>
    </row>
    <row r="16233" spans="39:41" ht="12" customHeight="1" x14ac:dyDescent="0.2">
      <c r="AM16233" t="str">
        <f t="shared" ref="AM16233:AM16296" si="254">AO16233 &amp; " [" &amp; AN16233 &amp; "]"</f>
        <v>Unknown -  Falkland Islands (Malvinas) [FK888]</v>
      </c>
      <c r="AN16233" t="s">
        <v>34402</v>
      </c>
      <c r="AO16233" t="s">
        <v>34651</v>
      </c>
    </row>
    <row r="16234" spans="39:41" ht="12" customHeight="1" x14ac:dyDescent="0.2">
      <c r="AM16234" t="str">
        <f t="shared" si="254"/>
        <v>Unknown -  Faroe Islands [FO888]</v>
      </c>
      <c r="AN16234" t="s">
        <v>34403</v>
      </c>
      <c r="AO16234" t="s">
        <v>34652</v>
      </c>
    </row>
    <row r="16235" spans="39:41" ht="12" customHeight="1" x14ac:dyDescent="0.2">
      <c r="AM16235" t="str">
        <f t="shared" si="254"/>
        <v>Unknown -  Fiji [FJ888]</v>
      </c>
      <c r="AN16235" t="s">
        <v>34404</v>
      </c>
      <c r="AO16235" t="s">
        <v>34653</v>
      </c>
    </row>
    <row r="16236" spans="39:41" ht="12" customHeight="1" x14ac:dyDescent="0.2">
      <c r="AM16236" t="str">
        <f t="shared" si="254"/>
        <v>Unknown -  Finland [FI888]</v>
      </c>
      <c r="AN16236" t="s">
        <v>34405</v>
      </c>
      <c r="AO16236" t="s">
        <v>34654</v>
      </c>
    </row>
    <row r="16237" spans="39:41" ht="12" customHeight="1" x14ac:dyDescent="0.2">
      <c r="AM16237" t="str">
        <f t="shared" si="254"/>
        <v>Unknown -  France [FR888]</v>
      </c>
      <c r="AN16237" t="s">
        <v>34406</v>
      </c>
      <c r="AO16237" t="s">
        <v>34655</v>
      </c>
    </row>
    <row r="16238" spans="39:41" ht="12" customHeight="1" x14ac:dyDescent="0.2">
      <c r="AM16238" t="str">
        <f t="shared" si="254"/>
        <v>Unknown -  French Guiana [GF888]</v>
      </c>
      <c r="AN16238" t="s">
        <v>34407</v>
      </c>
      <c r="AO16238" t="s">
        <v>34656</v>
      </c>
    </row>
    <row r="16239" spans="39:41" ht="12" customHeight="1" x14ac:dyDescent="0.2">
      <c r="AM16239" t="str">
        <f t="shared" si="254"/>
        <v>Unknown -  French Polynesia [PF888]</v>
      </c>
      <c r="AN16239" t="s">
        <v>34408</v>
      </c>
      <c r="AO16239" t="s">
        <v>34657</v>
      </c>
    </row>
    <row r="16240" spans="39:41" ht="12" customHeight="1" x14ac:dyDescent="0.2">
      <c r="AM16240" t="str">
        <f t="shared" si="254"/>
        <v>Unknown -  French Southern Territories [TF888]</v>
      </c>
      <c r="AN16240" t="s">
        <v>34409</v>
      </c>
      <c r="AO16240" t="s">
        <v>34658</v>
      </c>
    </row>
    <row r="16241" spans="39:41" ht="12" customHeight="1" x14ac:dyDescent="0.2">
      <c r="AM16241" t="str">
        <f t="shared" si="254"/>
        <v>Unknown -  Gabon [GA888]</v>
      </c>
      <c r="AN16241" t="s">
        <v>34410</v>
      </c>
      <c r="AO16241" t="s">
        <v>34659</v>
      </c>
    </row>
    <row r="16242" spans="39:41" ht="12" customHeight="1" x14ac:dyDescent="0.2">
      <c r="AM16242" t="str">
        <f t="shared" si="254"/>
        <v>Unknown -  Gambia [GM888]</v>
      </c>
      <c r="AN16242" t="s">
        <v>34411</v>
      </c>
      <c r="AO16242" t="s">
        <v>34660</v>
      </c>
    </row>
    <row r="16243" spans="39:41" ht="12" customHeight="1" x14ac:dyDescent="0.2">
      <c r="AM16243" t="str">
        <f t="shared" si="254"/>
        <v>Unknown -  Georgia [GE888]</v>
      </c>
      <c r="AN16243" t="s">
        <v>34412</v>
      </c>
      <c r="AO16243" t="s">
        <v>34661</v>
      </c>
    </row>
    <row r="16244" spans="39:41" ht="12" customHeight="1" x14ac:dyDescent="0.2">
      <c r="AM16244" t="str">
        <f t="shared" si="254"/>
        <v>Unknown -  Germany [DE888]</v>
      </c>
      <c r="AN16244" t="s">
        <v>34413</v>
      </c>
      <c r="AO16244" t="s">
        <v>34662</v>
      </c>
    </row>
    <row r="16245" spans="39:41" ht="12" customHeight="1" x14ac:dyDescent="0.2">
      <c r="AM16245" t="str">
        <f t="shared" si="254"/>
        <v>Unknown -  Ghana [GH888]</v>
      </c>
      <c r="AN16245" t="s">
        <v>34414</v>
      </c>
      <c r="AO16245" t="s">
        <v>34663</v>
      </c>
    </row>
    <row r="16246" spans="39:41" ht="12" customHeight="1" x14ac:dyDescent="0.2">
      <c r="AM16246" t="str">
        <f t="shared" si="254"/>
        <v>Unknown -  Gibraltar [GI888]</v>
      </c>
      <c r="AN16246" t="s">
        <v>34415</v>
      </c>
      <c r="AO16246" t="s">
        <v>34664</v>
      </c>
    </row>
    <row r="16247" spans="39:41" ht="12" customHeight="1" x14ac:dyDescent="0.2">
      <c r="AM16247" t="str">
        <f t="shared" si="254"/>
        <v>Unknown -  Greece [GR888]</v>
      </c>
      <c r="AN16247" t="s">
        <v>34416</v>
      </c>
      <c r="AO16247" t="s">
        <v>34665</v>
      </c>
    </row>
    <row r="16248" spans="39:41" ht="12" customHeight="1" x14ac:dyDescent="0.2">
      <c r="AM16248" t="str">
        <f t="shared" si="254"/>
        <v>Unknown -  Greenland [GL888]</v>
      </c>
      <c r="AN16248" t="s">
        <v>34417</v>
      </c>
      <c r="AO16248" t="s">
        <v>34666</v>
      </c>
    </row>
    <row r="16249" spans="39:41" ht="12" customHeight="1" x14ac:dyDescent="0.2">
      <c r="AM16249" t="str">
        <f t="shared" si="254"/>
        <v>Unknown -  Grenada [GD888]</v>
      </c>
      <c r="AN16249" t="s">
        <v>34418</v>
      </c>
      <c r="AO16249" t="s">
        <v>34667</v>
      </c>
    </row>
    <row r="16250" spans="39:41" ht="12" customHeight="1" x14ac:dyDescent="0.2">
      <c r="AM16250" t="str">
        <f t="shared" si="254"/>
        <v>Unknown -  Guadeloupe [GP888]</v>
      </c>
      <c r="AN16250" t="s">
        <v>34419</v>
      </c>
      <c r="AO16250" t="s">
        <v>34668</v>
      </c>
    </row>
    <row r="16251" spans="39:41" ht="12" customHeight="1" x14ac:dyDescent="0.2">
      <c r="AM16251" t="str">
        <f t="shared" si="254"/>
        <v>Unknown -  Guam [GU888]</v>
      </c>
      <c r="AN16251" t="s">
        <v>34420</v>
      </c>
      <c r="AO16251" t="s">
        <v>34669</v>
      </c>
    </row>
    <row r="16252" spans="39:41" ht="12" customHeight="1" x14ac:dyDescent="0.2">
      <c r="AM16252" t="str">
        <f t="shared" si="254"/>
        <v>Unknown -  Guatemala [GT888]</v>
      </c>
      <c r="AN16252" t="s">
        <v>34421</v>
      </c>
      <c r="AO16252" t="s">
        <v>34670</v>
      </c>
    </row>
    <row r="16253" spans="39:41" ht="12" customHeight="1" x14ac:dyDescent="0.2">
      <c r="AM16253" t="str">
        <f t="shared" si="254"/>
        <v>Unknown -  Guernsey [GG888]</v>
      </c>
      <c r="AN16253" t="s">
        <v>34422</v>
      </c>
      <c r="AO16253" t="s">
        <v>34671</v>
      </c>
    </row>
    <row r="16254" spans="39:41" ht="12" customHeight="1" x14ac:dyDescent="0.2">
      <c r="AM16254" t="str">
        <f t="shared" si="254"/>
        <v>Unknown -  Guinea [GN888]</v>
      </c>
      <c r="AN16254" t="s">
        <v>34423</v>
      </c>
      <c r="AO16254" t="s">
        <v>34672</v>
      </c>
    </row>
    <row r="16255" spans="39:41" ht="12" customHeight="1" x14ac:dyDescent="0.2">
      <c r="AM16255" t="str">
        <f t="shared" si="254"/>
        <v>Unknown -  Guinea-Bissau [GW888]</v>
      </c>
      <c r="AN16255" t="s">
        <v>34424</v>
      </c>
      <c r="AO16255" t="s">
        <v>34673</v>
      </c>
    </row>
    <row r="16256" spans="39:41" ht="12" customHeight="1" x14ac:dyDescent="0.2">
      <c r="AM16256" t="str">
        <f t="shared" si="254"/>
        <v>Unknown -  Guyana [GY888]</v>
      </c>
      <c r="AN16256" t="s">
        <v>34425</v>
      </c>
      <c r="AO16256" t="s">
        <v>34674</v>
      </c>
    </row>
    <row r="16257" spans="39:41" ht="12" customHeight="1" x14ac:dyDescent="0.2">
      <c r="AM16257" t="str">
        <f t="shared" si="254"/>
        <v>Unknown -  Haiti [HT888]</v>
      </c>
      <c r="AN16257" t="s">
        <v>34426</v>
      </c>
      <c r="AO16257" t="s">
        <v>34675</v>
      </c>
    </row>
    <row r="16258" spans="39:41" ht="12" customHeight="1" x14ac:dyDescent="0.2">
      <c r="AM16258" t="str">
        <f t="shared" si="254"/>
        <v>Unknown -  Heard Island and McDonald Islands [HM888]</v>
      </c>
      <c r="AN16258" t="s">
        <v>34427</v>
      </c>
      <c r="AO16258" t="s">
        <v>34676</v>
      </c>
    </row>
    <row r="16259" spans="39:41" ht="12" customHeight="1" x14ac:dyDescent="0.2">
      <c r="AM16259" t="str">
        <f t="shared" si="254"/>
        <v>Unknown -  Holy See [VA888]</v>
      </c>
      <c r="AN16259" t="s">
        <v>34428</v>
      </c>
      <c r="AO16259" t="s">
        <v>34677</v>
      </c>
    </row>
    <row r="16260" spans="39:41" ht="12" customHeight="1" x14ac:dyDescent="0.2">
      <c r="AM16260" t="str">
        <f t="shared" si="254"/>
        <v>Unknown -  Honduras [HN888]</v>
      </c>
      <c r="AN16260" t="s">
        <v>34429</v>
      </c>
      <c r="AO16260" t="s">
        <v>34678</v>
      </c>
    </row>
    <row r="16261" spans="39:41" ht="12" customHeight="1" x14ac:dyDescent="0.2">
      <c r="AM16261" t="str">
        <f t="shared" si="254"/>
        <v>Unknown -  Hong Kong [HK888]</v>
      </c>
      <c r="AN16261" t="s">
        <v>34430</v>
      </c>
      <c r="AO16261" t="s">
        <v>34679</v>
      </c>
    </row>
    <row r="16262" spans="39:41" ht="12" customHeight="1" x14ac:dyDescent="0.2">
      <c r="AM16262" t="str">
        <f t="shared" si="254"/>
        <v>Unknown -  Hungary [HU888]</v>
      </c>
      <c r="AN16262" t="s">
        <v>34431</v>
      </c>
      <c r="AO16262" t="s">
        <v>34680</v>
      </c>
    </row>
    <row r="16263" spans="39:41" ht="12" customHeight="1" x14ac:dyDescent="0.2">
      <c r="AM16263" t="str">
        <f t="shared" si="254"/>
        <v>Unknown -  Iceland [IS888]</v>
      </c>
      <c r="AN16263" t="s">
        <v>34432</v>
      </c>
      <c r="AO16263" t="s">
        <v>34681</v>
      </c>
    </row>
    <row r="16264" spans="39:41" ht="12" customHeight="1" x14ac:dyDescent="0.2">
      <c r="AM16264" t="str">
        <f t="shared" si="254"/>
        <v>Unknown -  India [IN888]</v>
      </c>
      <c r="AN16264" t="s">
        <v>34433</v>
      </c>
      <c r="AO16264" t="s">
        <v>34682</v>
      </c>
    </row>
    <row r="16265" spans="39:41" ht="12" customHeight="1" x14ac:dyDescent="0.2">
      <c r="AM16265" t="str">
        <f t="shared" si="254"/>
        <v>Unknown -  Indonesia [ID888]</v>
      </c>
      <c r="AN16265" t="s">
        <v>34434</v>
      </c>
      <c r="AO16265" t="s">
        <v>34683</v>
      </c>
    </row>
    <row r="16266" spans="39:41" ht="12" customHeight="1" x14ac:dyDescent="0.2">
      <c r="AM16266" t="str">
        <f t="shared" si="254"/>
        <v>Unknown -  Iran (Islamic Republic of) [IR888]</v>
      </c>
      <c r="AN16266" t="s">
        <v>34435</v>
      </c>
      <c r="AO16266" t="s">
        <v>34684</v>
      </c>
    </row>
    <row r="16267" spans="39:41" ht="12" customHeight="1" x14ac:dyDescent="0.2">
      <c r="AM16267" t="str">
        <f t="shared" si="254"/>
        <v>Unknown -  Iraq [IQ888]</v>
      </c>
      <c r="AN16267" t="s">
        <v>34436</v>
      </c>
      <c r="AO16267" t="s">
        <v>34685</v>
      </c>
    </row>
    <row r="16268" spans="39:41" ht="12" customHeight="1" x14ac:dyDescent="0.2">
      <c r="AM16268" t="str">
        <f t="shared" si="254"/>
        <v>Unknown -  Ireland [IE888]</v>
      </c>
      <c r="AN16268" t="s">
        <v>34437</v>
      </c>
      <c r="AO16268" t="s">
        <v>34686</v>
      </c>
    </row>
    <row r="16269" spans="39:41" ht="12" customHeight="1" x14ac:dyDescent="0.2">
      <c r="AM16269" t="str">
        <f t="shared" si="254"/>
        <v>Unknown -  Isle of Man [IM888]</v>
      </c>
      <c r="AN16269" t="s">
        <v>34438</v>
      </c>
      <c r="AO16269" t="s">
        <v>34687</v>
      </c>
    </row>
    <row r="16270" spans="39:41" ht="12" customHeight="1" x14ac:dyDescent="0.2">
      <c r="AM16270" t="str">
        <f t="shared" si="254"/>
        <v>Unknown -  Israel [IL888]</v>
      </c>
      <c r="AN16270" t="s">
        <v>34439</v>
      </c>
      <c r="AO16270" t="s">
        <v>34688</v>
      </c>
    </row>
    <row r="16271" spans="39:41" ht="12" customHeight="1" x14ac:dyDescent="0.2">
      <c r="AM16271" t="str">
        <f t="shared" si="254"/>
        <v>Unknown -  Italy [IT888]</v>
      </c>
      <c r="AN16271" t="s">
        <v>34440</v>
      </c>
      <c r="AO16271" t="s">
        <v>34689</v>
      </c>
    </row>
    <row r="16272" spans="39:41" ht="12" customHeight="1" x14ac:dyDescent="0.2">
      <c r="AM16272" t="str">
        <f t="shared" si="254"/>
        <v>Unknown -  Jamaica [JM888]</v>
      </c>
      <c r="AN16272" t="s">
        <v>34441</v>
      </c>
      <c r="AO16272" t="s">
        <v>34690</v>
      </c>
    </row>
    <row r="16273" spans="39:41" ht="12" customHeight="1" x14ac:dyDescent="0.2">
      <c r="AM16273" t="str">
        <f t="shared" si="254"/>
        <v>Unknown -  Japan [JP888]</v>
      </c>
      <c r="AN16273" t="s">
        <v>34442</v>
      </c>
      <c r="AO16273" t="s">
        <v>34691</v>
      </c>
    </row>
    <row r="16274" spans="39:41" ht="12" customHeight="1" x14ac:dyDescent="0.2">
      <c r="AM16274" t="str">
        <f t="shared" si="254"/>
        <v>Unknown -  Jersey [JE888]</v>
      </c>
      <c r="AN16274" t="s">
        <v>34443</v>
      </c>
      <c r="AO16274" t="s">
        <v>34692</v>
      </c>
    </row>
    <row r="16275" spans="39:41" ht="12" customHeight="1" x14ac:dyDescent="0.2">
      <c r="AM16275" t="str">
        <f t="shared" si="254"/>
        <v>Unknown -  Jordan [JO888]</v>
      </c>
      <c r="AN16275" t="s">
        <v>34444</v>
      </c>
      <c r="AO16275" t="s">
        <v>34693</v>
      </c>
    </row>
    <row r="16276" spans="39:41" ht="12" customHeight="1" x14ac:dyDescent="0.2">
      <c r="AM16276" t="str">
        <f t="shared" si="254"/>
        <v>Unknown -  Kazakhstan [KZ888]</v>
      </c>
      <c r="AN16276" t="s">
        <v>34445</v>
      </c>
      <c r="AO16276" t="s">
        <v>34694</v>
      </c>
    </row>
    <row r="16277" spans="39:41" ht="12" customHeight="1" x14ac:dyDescent="0.2">
      <c r="AM16277" t="str">
        <f t="shared" si="254"/>
        <v>Unknown -  Kenya [KE888]</v>
      </c>
      <c r="AN16277" t="s">
        <v>34446</v>
      </c>
      <c r="AO16277" t="s">
        <v>34695</v>
      </c>
    </row>
    <row r="16278" spans="39:41" ht="12" customHeight="1" x14ac:dyDescent="0.2">
      <c r="AM16278" t="str">
        <f t="shared" si="254"/>
        <v>Unknown -  Kiribati [KI888]</v>
      </c>
      <c r="AN16278" t="s">
        <v>34447</v>
      </c>
      <c r="AO16278" t="s">
        <v>34696</v>
      </c>
    </row>
    <row r="16279" spans="39:41" ht="12" customHeight="1" x14ac:dyDescent="0.2">
      <c r="AM16279" t="str">
        <f t="shared" si="254"/>
        <v>Unknown -  Korea (Democratic People's Republic of) [KP888]</v>
      </c>
      <c r="AN16279" t="s">
        <v>34448</v>
      </c>
      <c r="AO16279" t="s">
        <v>34697</v>
      </c>
    </row>
    <row r="16280" spans="39:41" ht="12" customHeight="1" x14ac:dyDescent="0.2">
      <c r="AM16280" t="str">
        <f t="shared" si="254"/>
        <v>Unknown -  Korea (Republic of) [KR888]</v>
      </c>
      <c r="AN16280" t="s">
        <v>34449</v>
      </c>
      <c r="AO16280" t="s">
        <v>34698</v>
      </c>
    </row>
    <row r="16281" spans="39:41" ht="12" customHeight="1" x14ac:dyDescent="0.2">
      <c r="AM16281" t="str">
        <f t="shared" si="254"/>
        <v>Unknown -  Kuwait [KW888]</v>
      </c>
      <c r="AN16281" t="s">
        <v>34450</v>
      </c>
      <c r="AO16281" t="s">
        <v>34699</v>
      </c>
    </row>
    <row r="16282" spans="39:41" ht="12" customHeight="1" x14ac:dyDescent="0.2">
      <c r="AM16282" t="str">
        <f t="shared" si="254"/>
        <v>Unknown -  Kyrgyzstan [KG888]</v>
      </c>
      <c r="AN16282" t="s">
        <v>34451</v>
      </c>
      <c r="AO16282" t="s">
        <v>34700</v>
      </c>
    </row>
    <row r="16283" spans="39:41" ht="12" customHeight="1" x14ac:dyDescent="0.2">
      <c r="AM16283" t="str">
        <f t="shared" si="254"/>
        <v>Unknown -  Lao People's Democratic Republic [LA888]</v>
      </c>
      <c r="AN16283" t="s">
        <v>34452</v>
      </c>
      <c r="AO16283" t="s">
        <v>34701</v>
      </c>
    </row>
    <row r="16284" spans="39:41" ht="12" customHeight="1" x14ac:dyDescent="0.2">
      <c r="AM16284" t="str">
        <f t="shared" si="254"/>
        <v>Unknown -  Latvia [LV888]</v>
      </c>
      <c r="AN16284" t="s">
        <v>34453</v>
      </c>
      <c r="AO16284" t="s">
        <v>34702</v>
      </c>
    </row>
    <row r="16285" spans="39:41" ht="12" customHeight="1" x14ac:dyDescent="0.2">
      <c r="AM16285" t="str">
        <f t="shared" si="254"/>
        <v>Unknown -  Lebanon [LB888]</v>
      </c>
      <c r="AN16285" t="s">
        <v>34454</v>
      </c>
      <c r="AO16285" t="s">
        <v>34703</v>
      </c>
    </row>
    <row r="16286" spans="39:41" ht="12" customHeight="1" x14ac:dyDescent="0.2">
      <c r="AM16286" t="str">
        <f t="shared" si="254"/>
        <v>Unknown -  Lesotho [LS888]</v>
      </c>
      <c r="AN16286" t="s">
        <v>34455</v>
      </c>
      <c r="AO16286" t="s">
        <v>34704</v>
      </c>
    </row>
    <row r="16287" spans="39:41" ht="12" customHeight="1" x14ac:dyDescent="0.2">
      <c r="AM16287" t="str">
        <f t="shared" si="254"/>
        <v>Unknown -  Liberia [LR888]</v>
      </c>
      <c r="AN16287" t="s">
        <v>34456</v>
      </c>
      <c r="AO16287" t="s">
        <v>34705</v>
      </c>
    </row>
    <row r="16288" spans="39:41" ht="12" customHeight="1" x14ac:dyDescent="0.2">
      <c r="AM16288" t="str">
        <f t="shared" si="254"/>
        <v>Unknown -  Libya [LY888]</v>
      </c>
      <c r="AN16288" t="s">
        <v>34457</v>
      </c>
      <c r="AO16288" t="s">
        <v>34706</v>
      </c>
    </row>
    <row r="16289" spans="39:41" ht="12" customHeight="1" x14ac:dyDescent="0.2">
      <c r="AM16289" t="str">
        <f t="shared" si="254"/>
        <v>Unknown -  Liechtenstein [LI888]</v>
      </c>
      <c r="AN16289" t="s">
        <v>34458</v>
      </c>
      <c r="AO16289" t="s">
        <v>34707</v>
      </c>
    </row>
    <row r="16290" spans="39:41" ht="12" customHeight="1" x14ac:dyDescent="0.2">
      <c r="AM16290" t="str">
        <f t="shared" si="254"/>
        <v>Unknown -  Lithuania [LT888]</v>
      </c>
      <c r="AN16290" t="s">
        <v>34459</v>
      </c>
      <c r="AO16290" t="s">
        <v>34708</v>
      </c>
    </row>
    <row r="16291" spans="39:41" ht="12" customHeight="1" x14ac:dyDescent="0.2">
      <c r="AM16291" t="str">
        <f t="shared" si="254"/>
        <v>Unknown -  Luxembourg [LU888]</v>
      </c>
      <c r="AN16291" t="s">
        <v>34460</v>
      </c>
      <c r="AO16291" t="s">
        <v>34709</v>
      </c>
    </row>
    <row r="16292" spans="39:41" ht="12" customHeight="1" x14ac:dyDescent="0.2">
      <c r="AM16292" t="str">
        <f t="shared" si="254"/>
        <v>Unknown -  Macao [MO888]</v>
      </c>
      <c r="AN16292" t="s">
        <v>34461</v>
      </c>
      <c r="AO16292" t="s">
        <v>34710</v>
      </c>
    </row>
    <row r="16293" spans="39:41" ht="12" customHeight="1" x14ac:dyDescent="0.2">
      <c r="AM16293" t="str">
        <f t="shared" si="254"/>
        <v>Unknown -  Macedonia (the former Yugoslav Republic of) [MK888]</v>
      </c>
      <c r="AN16293" t="s">
        <v>34462</v>
      </c>
      <c r="AO16293" t="s">
        <v>34711</v>
      </c>
    </row>
    <row r="16294" spans="39:41" ht="12" customHeight="1" x14ac:dyDescent="0.2">
      <c r="AM16294" t="str">
        <f t="shared" si="254"/>
        <v>Unknown -  Madagascar [MG888]</v>
      </c>
      <c r="AN16294" t="s">
        <v>34463</v>
      </c>
      <c r="AO16294" t="s">
        <v>34712</v>
      </c>
    </row>
    <row r="16295" spans="39:41" ht="12" customHeight="1" x14ac:dyDescent="0.2">
      <c r="AM16295" t="str">
        <f t="shared" si="254"/>
        <v>Unknown -  Malawi [MW888]</v>
      </c>
      <c r="AN16295" t="s">
        <v>34464</v>
      </c>
      <c r="AO16295" t="s">
        <v>34713</v>
      </c>
    </row>
    <row r="16296" spans="39:41" ht="12" customHeight="1" x14ac:dyDescent="0.2">
      <c r="AM16296" t="str">
        <f t="shared" si="254"/>
        <v>Unknown -  Malaysia [MY888]</v>
      </c>
      <c r="AN16296" t="s">
        <v>34465</v>
      </c>
      <c r="AO16296" t="s">
        <v>34714</v>
      </c>
    </row>
    <row r="16297" spans="39:41" ht="12" customHeight="1" x14ac:dyDescent="0.2">
      <c r="AM16297" t="str">
        <f t="shared" ref="AM16297:AM16360" si="255">AO16297 &amp; " [" &amp; AN16297 &amp; "]"</f>
        <v>Unknown -  Maldives [MV888]</v>
      </c>
      <c r="AN16297" t="s">
        <v>34466</v>
      </c>
      <c r="AO16297" t="s">
        <v>34715</v>
      </c>
    </row>
    <row r="16298" spans="39:41" ht="12" customHeight="1" x14ac:dyDescent="0.2">
      <c r="AM16298" t="str">
        <f t="shared" si="255"/>
        <v>Unknown -  Mali [ML888]</v>
      </c>
      <c r="AN16298" t="s">
        <v>34467</v>
      </c>
      <c r="AO16298" t="s">
        <v>34716</v>
      </c>
    </row>
    <row r="16299" spans="39:41" ht="12" customHeight="1" x14ac:dyDescent="0.2">
      <c r="AM16299" t="str">
        <f t="shared" si="255"/>
        <v>Unknown -  Malta [MT888]</v>
      </c>
      <c r="AN16299" t="s">
        <v>34468</v>
      </c>
      <c r="AO16299" t="s">
        <v>34717</v>
      </c>
    </row>
    <row r="16300" spans="39:41" ht="12" customHeight="1" x14ac:dyDescent="0.2">
      <c r="AM16300" t="str">
        <f t="shared" si="255"/>
        <v>Unknown -  Marshall Islands [MH888]</v>
      </c>
      <c r="AN16300" t="s">
        <v>34469</v>
      </c>
      <c r="AO16300" t="s">
        <v>34718</v>
      </c>
    </row>
    <row r="16301" spans="39:41" ht="12" customHeight="1" x14ac:dyDescent="0.2">
      <c r="AM16301" t="str">
        <f t="shared" si="255"/>
        <v>Unknown -  Martinique [MQ888]</v>
      </c>
      <c r="AN16301" t="s">
        <v>34470</v>
      </c>
      <c r="AO16301" t="s">
        <v>34719</v>
      </c>
    </row>
    <row r="16302" spans="39:41" ht="12" customHeight="1" x14ac:dyDescent="0.2">
      <c r="AM16302" t="str">
        <f t="shared" si="255"/>
        <v>Unknown -  Mauritania [MR888]</v>
      </c>
      <c r="AN16302" t="s">
        <v>34471</v>
      </c>
      <c r="AO16302" t="s">
        <v>34720</v>
      </c>
    </row>
    <row r="16303" spans="39:41" ht="12" customHeight="1" x14ac:dyDescent="0.2">
      <c r="AM16303" t="str">
        <f t="shared" si="255"/>
        <v>Unknown -  Mauritius [MU888]</v>
      </c>
      <c r="AN16303" t="s">
        <v>34472</v>
      </c>
      <c r="AO16303" t="s">
        <v>34721</v>
      </c>
    </row>
    <row r="16304" spans="39:41" ht="12" customHeight="1" x14ac:dyDescent="0.2">
      <c r="AM16304" t="str">
        <f t="shared" si="255"/>
        <v>Unknown -  Mayotte [YT888]</v>
      </c>
      <c r="AN16304" t="s">
        <v>34473</v>
      </c>
      <c r="AO16304" t="s">
        <v>34722</v>
      </c>
    </row>
    <row r="16305" spans="39:41" ht="12" customHeight="1" x14ac:dyDescent="0.2">
      <c r="AM16305" t="str">
        <f t="shared" si="255"/>
        <v>Unknown -  Mexico [MX888]</v>
      </c>
      <c r="AN16305" t="s">
        <v>34474</v>
      </c>
      <c r="AO16305" t="s">
        <v>34723</v>
      </c>
    </row>
    <row r="16306" spans="39:41" ht="12" customHeight="1" x14ac:dyDescent="0.2">
      <c r="AM16306" t="str">
        <f t="shared" si="255"/>
        <v>Unknown -  Micronesia (Federated States of) [FM888]</v>
      </c>
      <c r="AN16306" t="s">
        <v>34475</v>
      </c>
      <c r="AO16306" t="s">
        <v>34724</v>
      </c>
    </row>
    <row r="16307" spans="39:41" ht="12" customHeight="1" x14ac:dyDescent="0.2">
      <c r="AM16307" t="str">
        <f t="shared" si="255"/>
        <v>Unknown -  Moldova (Republic of) [MD888]</v>
      </c>
      <c r="AN16307" t="s">
        <v>34476</v>
      </c>
      <c r="AO16307" t="s">
        <v>34725</v>
      </c>
    </row>
    <row r="16308" spans="39:41" ht="12" customHeight="1" x14ac:dyDescent="0.2">
      <c r="AM16308" t="str">
        <f t="shared" si="255"/>
        <v>Unknown -  Monaco [MC888]</v>
      </c>
      <c r="AN16308" t="s">
        <v>34477</v>
      </c>
      <c r="AO16308" t="s">
        <v>34726</v>
      </c>
    </row>
    <row r="16309" spans="39:41" ht="12" customHeight="1" x14ac:dyDescent="0.2">
      <c r="AM16309" t="str">
        <f t="shared" si="255"/>
        <v>Unknown -  Mongolia [MN888]</v>
      </c>
      <c r="AN16309" t="s">
        <v>34478</v>
      </c>
      <c r="AO16309" t="s">
        <v>34727</v>
      </c>
    </row>
    <row r="16310" spans="39:41" ht="12" customHeight="1" x14ac:dyDescent="0.2">
      <c r="AM16310" t="str">
        <f t="shared" si="255"/>
        <v>Unknown -  Montenegro [ME888]</v>
      </c>
      <c r="AN16310" t="s">
        <v>34479</v>
      </c>
      <c r="AO16310" t="s">
        <v>34728</v>
      </c>
    </row>
    <row r="16311" spans="39:41" ht="12" customHeight="1" x14ac:dyDescent="0.2">
      <c r="AM16311" t="str">
        <f t="shared" si="255"/>
        <v>Unknown -  Montserrat [MS888]</v>
      </c>
      <c r="AN16311" t="s">
        <v>34480</v>
      </c>
      <c r="AO16311" t="s">
        <v>34729</v>
      </c>
    </row>
    <row r="16312" spans="39:41" ht="12" customHeight="1" x14ac:dyDescent="0.2">
      <c r="AM16312" t="str">
        <f t="shared" si="255"/>
        <v>Unknown -  Morocco [MA888]</v>
      </c>
      <c r="AN16312" t="s">
        <v>34481</v>
      </c>
      <c r="AO16312" t="s">
        <v>34730</v>
      </c>
    </row>
    <row r="16313" spans="39:41" ht="12" customHeight="1" x14ac:dyDescent="0.2">
      <c r="AM16313" t="str">
        <f t="shared" si="255"/>
        <v>Unknown -  Mozambique [MZ888]</v>
      </c>
      <c r="AN16313" t="s">
        <v>34482</v>
      </c>
      <c r="AO16313" t="s">
        <v>34731</v>
      </c>
    </row>
    <row r="16314" spans="39:41" ht="12" customHeight="1" x14ac:dyDescent="0.2">
      <c r="AM16314" t="str">
        <f t="shared" si="255"/>
        <v>Unknown -  Myanmar [MM888]</v>
      </c>
      <c r="AN16314" t="s">
        <v>34483</v>
      </c>
      <c r="AO16314" t="s">
        <v>34732</v>
      </c>
    </row>
    <row r="16315" spans="39:41" ht="12" customHeight="1" x14ac:dyDescent="0.2">
      <c r="AM16315" t="str">
        <f t="shared" si="255"/>
        <v>Unknown -  Namibia [NA888]</v>
      </c>
      <c r="AN16315" t="s">
        <v>34484</v>
      </c>
      <c r="AO16315" t="s">
        <v>34733</v>
      </c>
    </row>
    <row r="16316" spans="39:41" ht="12" customHeight="1" x14ac:dyDescent="0.2">
      <c r="AM16316" t="str">
        <f t="shared" si="255"/>
        <v>Unknown -  Nauru [NR888]</v>
      </c>
      <c r="AN16316" t="s">
        <v>34485</v>
      </c>
      <c r="AO16316" t="s">
        <v>34734</v>
      </c>
    </row>
    <row r="16317" spans="39:41" ht="12" customHeight="1" x14ac:dyDescent="0.2">
      <c r="AM16317" t="str">
        <f t="shared" si="255"/>
        <v>Unknown -  Nepal [NP888]</v>
      </c>
      <c r="AN16317" t="s">
        <v>34486</v>
      </c>
      <c r="AO16317" t="s">
        <v>34735</v>
      </c>
    </row>
    <row r="16318" spans="39:41" ht="12" customHeight="1" x14ac:dyDescent="0.2">
      <c r="AM16318" t="str">
        <f t="shared" si="255"/>
        <v>Unknown -  Netherlands [NL888]</v>
      </c>
      <c r="AN16318" t="s">
        <v>34487</v>
      </c>
      <c r="AO16318" t="s">
        <v>34736</v>
      </c>
    </row>
    <row r="16319" spans="39:41" ht="12" customHeight="1" x14ac:dyDescent="0.2">
      <c r="AM16319" t="str">
        <f t="shared" si="255"/>
        <v>Unknown -  New Caledonia [NC888]</v>
      </c>
      <c r="AN16319" t="s">
        <v>34488</v>
      </c>
      <c r="AO16319" t="s">
        <v>34737</v>
      </c>
    </row>
    <row r="16320" spans="39:41" ht="12" customHeight="1" x14ac:dyDescent="0.2">
      <c r="AM16320" t="str">
        <f t="shared" si="255"/>
        <v>Unknown -  New Zealand [NZ888]</v>
      </c>
      <c r="AN16320" t="s">
        <v>34489</v>
      </c>
      <c r="AO16320" t="s">
        <v>34738</v>
      </c>
    </row>
    <row r="16321" spans="39:41" ht="12" customHeight="1" x14ac:dyDescent="0.2">
      <c r="AM16321" t="str">
        <f t="shared" si="255"/>
        <v>Unknown -  Nicaragua [NI888]</v>
      </c>
      <c r="AN16321" t="s">
        <v>34490</v>
      </c>
      <c r="AO16321" t="s">
        <v>34739</v>
      </c>
    </row>
    <row r="16322" spans="39:41" ht="12" customHeight="1" x14ac:dyDescent="0.2">
      <c r="AM16322" t="str">
        <f t="shared" si="255"/>
        <v>Unknown -  Niger [NE888]</v>
      </c>
      <c r="AN16322" t="s">
        <v>34491</v>
      </c>
      <c r="AO16322" t="s">
        <v>34740</v>
      </c>
    </row>
    <row r="16323" spans="39:41" ht="12" customHeight="1" x14ac:dyDescent="0.2">
      <c r="AM16323" t="str">
        <f t="shared" si="255"/>
        <v>Unknown -  Nigeria [NG888]</v>
      </c>
      <c r="AN16323" t="s">
        <v>34492</v>
      </c>
      <c r="AO16323" t="s">
        <v>34741</v>
      </c>
    </row>
    <row r="16324" spans="39:41" ht="12" customHeight="1" x14ac:dyDescent="0.2">
      <c r="AM16324" t="str">
        <f t="shared" si="255"/>
        <v>Unknown -  Niue [NU888]</v>
      </c>
      <c r="AN16324" t="s">
        <v>34493</v>
      </c>
      <c r="AO16324" t="s">
        <v>34742</v>
      </c>
    </row>
    <row r="16325" spans="39:41" ht="12" customHeight="1" x14ac:dyDescent="0.2">
      <c r="AM16325" t="str">
        <f t="shared" si="255"/>
        <v>Unknown -  Norfolk Island [NF888]</v>
      </c>
      <c r="AN16325" t="s">
        <v>34494</v>
      </c>
      <c r="AO16325" t="s">
        <v>34743</v>
      </c>
    </row>
    <row r="16326" spans="39:41" ht="12" customHeight="1" x14ac:dyDescent="0.2">
      <c r="AM16326" t="str">
        <f t="shared" si="255"/>
        <v>Unknown -  Northern Mariana Islands [MP888]</v>
      </c>
      <c r="AN16326" t="s">
        <v>34495</v>
      </c>
      <c r="AO16326" t="s">
        <v>34744</v>
      </c>
    </row>
    <row r="16327" spans="39:41" ht="12" customHeight="1" x14ac:dyDescent="0.2">
      <c r="AM16327" t="str">
        <f t="shared" si="255"/>
        <v>Unknown -  Norway [NO888]</v>
      </c>
      <c r="AN16327" t="s">
        <v>34496</v>
      </c>
      <c r="AO16327" t="s">
        <v>34745</v>
      </c>
    </row>
    <row r="16328" spans="39:41" ht="12" customHeight="1" x14ac:dyDescent="0.2">
      <c r="AM16328" t="str">
        <f t="shared" si="255"/>
        <v>Unknown -  Oman [OM888]</v>
      </c>
      <c r="AN16328" t="s">
        <v>34497</v>
      </c>
      <c r="AO16328" t="s">
        <v>34746</v>
      </c>
    </row>
    <row r="16329" spans="39:41" ht="12" customHeight="1" x14ac:dyDescent="0.2">
      <c r="AM16329" t="str">
        <f t="shared" si="255"/>
        <v>Unknown -  Pakistan [PK888]</v>
      </c>
      <c r="AN16329" t="s">
        <v>34498</v>
      </c>
      <c r="AO16329" t="s">
        <v>34747</v>
      </c>
    </row>
    <row r="16330" spans="39:41" ht="12" customHeight="1" x14ac:dyDescent="0.2">
      <c r="AM16330" t="str">
        <f t="shared" si="255"/>
        <v>Unknown -  Palau [PW888]</v>
      </c>
      <c r="AN16330" t="s">
        <v>34499</v>
      </c>
      <c r="AO16330" t="s">
        <v>34748</v>
      </c>
    </row>
    <row r="16331" spans="39:41" ht="12" customHeight="1" x14ac:dyDescent="0.2">
      <c r="AM16331" t="str">
        <f t="shared" si="255"/>
        <v>Unknown -  Palestine, State of [PS888]</v>
      </c>
      <c r="AN16331" t="s">
        <v>34500</v>
      </c>
      <c r="AO16331" t="s">
        <v>34749</v>
      </c>
    </row>
    <row r="16332" spans="39:41" ht="12" customHeight="1" x14ac:dyDescent="0.2">
      <c r="AM16332" t="str">
        <f t="shared" si="255"/>
        <v>Unknown -  Panama [PA888]</v>
      </c>
      <c r="AN16332" t="s">
        <v>34501</v>
      </c>
      <c r="AO16332" t="s">
        <v>34750</v>
      </c>
    </row>
    <row r="16333" spans="39:41" ht="12" customHeight="1" x14ac:dyDescent="0.2">
      <c r="AM16333" t="str">
        <f t="shared" si="255"/>
        <v>Unknown -  Papua New Guinea [PG888]</v>
      </c>
      <c r="AN16333" t="s">
        <v>34502</v>
      </c>
      <c r="AO16333" t="s">
        <v>34751</v>
      </c>
    </row>
    <row r="16334" spans="39:41" ht="12" customHeight="1" x14ac:dyDescent="0.2">
      <c r="AM16334" t="str">
        <f t="shared" si="255"/>
        <v>Unknown -  Paraguay [PY888]</v>
      </c>
      <c r="AN16334" t="s">
        <v>34503</v>
      </c>
      <c r="AO16334" t="s">
        <v>34752</v>
      </c>
    </row>
    <row r="16335" spans="39:41" ht="12" customHeight="1" x14ac:dyDescent="0.2">
      <c r="AM16335" t="str">
        <f t="shared" si="255"/>
        <v>Unknown -  Peru [PE888]</v>
      </c>
      <c r="AN16335" t="s">
        <v>34504</v>
      </c>
      <c r="AO16335" t="s">
        <v>34753</v>
      </c>
    </row>
    <row r="16336" spans="39:41" ht="12" customHeight="1" x14ac:dyDescent="0.2">
      <c r="AM16336" t="str">
        <f t="shared" si="255"/>
        <v>Unknown -  Philippines [PH888]</v>
      </c>
      <c r="AN16336" t="s">
        <v>34505</v>
      </c>
      <c r="AO16336" t="s">
        <v>34754</v>
      </c>
    </row>
    <row r="16337" spans="39:41" ht="12" customHeight="1" x14ac:dyDescent="0.2">
      <c r="AM16337" t="str">
        <f t="shared" si="255"/>
        <v>Unknown -  Pitcairn [PN888]</v>
      </c>
      <c r="AN16337" t="s">
        <v>34506</v>
      </c>
      <c r="AO16337" t="s">
        <v>34755</v>
      </c>
    </row>
    <row r="16338" spans="39:41" ht="12" customHeight="1" x14ac:dyDescent="0.2">
      <c r="AM16338" t="str">
        <f t="shared" si="255"/>
        <v>Unknown -  Poland [PL888]</v>
      </c>
      <c r="AN16338" t="s">
        <v>34507</v>
      </c>
      <c r="AO16338" t="s">
        <v>34756</v>
      </c>
    </row>
    <row r="16339" spans="39:41" ht="12" customHeight="1" x14ac:dyDescent="0.2">
      <c r="AM16339" t="str">
        <f t="shared" si="255"/>
        <v>Unknown -  Portugal [PT888]</v>
      </c>
      <c r="AN16339" t="s">
        <v>34508</v>
      </c>
      <c r="AO16339" t="s">
        <v>34757</v>
      </c>
    </row>
    <row r="16340" spans="39:41" ht="12" customHeight="1" x14ac:dyDescent="0.2">
      <c r="AM16340" t="str">
        <f t="shared" si="255"/>
        <v>Unknown -  Puerto Rico [PR888]</v>
      </c>
      <c r="AN16340" t="s">
        <v>34509</v>
      </c>
      <c r="AO16340" t="s">
        <v>34758</v>
      </c>
    </row>
    <row r="16341" spans="39:41" ht="12" customHeight="1" x14ac:dyDescent="0.2">
      <c r="AM16341" t="str">
        <f t="shared" si="255"/>
        <v>Unknown -  Qatar [QA888]</v>
      </c>
      <c r="AN16341" t="s">
        <v>34510</v>
      </c>
      <c r="AO16341" t="s">
        <v>34759</v>
      </c>
    </row>
    <row r="16342" spans="39:41" ht="12" customHeight="1" x14ac:dyDescent="0.2">
      <c r="AM16342" t="str">
        <f t="shared" si="255"/>
        <v>Unknown -  Réunion [RE888]</v>
      </c>
      <c r="AN16342" t="s">
        <v>34511</v>
      </c>
      <c r="AO16342" t="s">
        <v>34760</v>
      </c>
    </row>
    <row r="16343" spans="39:41" ht="12" customHeight="1" x14ac:dyDescent="0.2">
      <c r="AM16343" t="str">
        <f t="shared" si="255"/>
        <v>Unknown -  Romania [RO888]</v>
      </c>
      <c r="AN16343" t="s">
        <v>34512</v>
      </c>
      <c r="AO16343" t="s">
        <v>34761</v>
      </c>
    </row>
    <row r="16344" spans="39:41" ht="12" customHeight="1" x14ac:dyDescent="0.2">
      <c r="AM16344" t="str">
        <f t="shared" si="255"/>
        <v>Unknown -  Russian Federation [RU888]</v>
      </c>
      <c r="AN16344" t="s">
        <v>34513</v>
      </c>
      <c r="AO16344" t="s">
        <v>34762</v>
      </c>
    </row>
    <row r="16345" spans="39:41" ht="12" customHeight="1" x14ac:dyDescent="0.2">
      <c r="AM16345" t="str">
        <f t="shared" si="255"/>
        <v>Unknown -  Rwanda [RW888]</v>
      </c>
      <c r="AN16345" t="s">
        <v>34514</v>
      </c>
      <c r="AO16345" t="s">
        <v>34763</v>
      </c>
    </row>
    <row r="16346" spans="39:41" ht="12" customHeight="1" x14ac:dyDescent="0.2">
      <c r="AM16346" t="str">
        <f t="shared" si="255"/>
        <v>Unknown -  Saint Barthélemy [BL888]</v>
      </c>
      <c r="AN16346" t="s">
        <v>34515</v>
      </c>
      <c r="AO16346" t="s">
        <v>34764</v>
      </c>
    </row>
    <row r="16347" spans="39:41" ht="12" customHeight="1" x14ac:dyDescent="0.2">
      <c r="AM16347" t="str">
        <f t="shared" si="255"/>
        <v>Unknown -  Saint Helena, Ascension and Tristan da Cunha [SH888]</v>
      </c>
      <c r="AN16347" t="s">
        <v>34516</v>
      </c>
      <c r="AO16347" t="s">
        <v>34765</v>
      </c>
    </row>
    <row r="16348" spans="39:41" ht="12" customHeight="1" x14ac:dyDescent="0.2">
      <c r="AM16348" t="str">
        <f t="shared" si="255"/>
        <v>Unknown -  Saint Kitts and Nevis [KN888]</v>
      </c>
      <c r="AN16348" t="s">
        <v>34517</v>
      </c>
      <c r="AO16348" t="s">
        <v>34766</v>
      </c>
    </row>
    <row r="16349" spans="39:41" ht="12" customHeight="1" x14ac:dyDescent="0.2">
      <c r="AM16349" t="str">
        <f t="shared" si="255"/>
        <v>Unknown -  Saint Lucia [LC888]</v>
      </c>
      <c r="AN16349" t="s">
        <v>34518</v>
      </c>
      <c r="AO16349" t="s">
        <v>34767</v>
      </c>
    </row>
    <row r="16350" spans="39:41" ht="12" customHeight="1" x14ac:dyDescent="0.2">
      <c r="AM16350" t="str">
        <f t="shared" si="255"/>
        <v>Unknown -  Saint Martin (French part) [MF888]</v>
      </c>
      <c r="AN16350" t="s">
        <v>34519</v>
      </c>
      <c r="AO16350" t="s">
        <v>34768</v>
      </c>
    </row>
    <row r="16351" spans="39:41" ht="12" customHeight="1" x14ac:dyDescent="0.2">
      <c r="AM16351" t="str">
        <f t="shared" si="255"/>
        <v>Unknown -  Saint Pierre and Miquelon [PM888]</v>
      </c>
      <c r="AN16351" t="s">
        <v>34520</v>
      </c>
      <c r="AO16351" t="s">
        <v>34769</v>
      </c>
    </row>
    <row r="16352" spans="39:41" ht="12" customHeight="1" x14ac:dyDescent="0.2">
      <c r="AM16352" t="str">
        <f t="shared" si="255"/>
        <v>Unknown -  Saint Vincent and the Grenadines [VC888]</v>
      </c>
      <c r="AN16352" t="s">
        <v>34521</v>
      </c>
      <c r="AO16352" t="s">
        <v>34770</v>
      </c>
    </row>
    <row r="16353" spans="39:41" ht="12" customHeight="1" x14ac:dyDescent="0.2">
      <c r="AM16353" t="str">
        <f t="shared" si="255"/>
        <v>Unknown -  Samoa [WS888]</v>
      </c>
      <c r="AN16353" t="s">
        <v>34522</v>
      </c>
      <c r="AO16353" t="s">
        <v>34771</v>
      </c>
    </row>
    <row r="16354" spans="39:41" ht="12" customHeight="1" x14ac:dyDescent="0.2">
      <c r="AM16354" t="str">
        <f t="shared" si="255"/>
        <v>Unknown -  San Marino [SM888]</v>
      </c>
      <c r="AN16354" t="s">
        <v>34523</v>
      </c>
      <c r="AO16354" t="s">
        <v>34772</v>
      </c>
    </row>
    <row r="16355" spans="39:41" ht="12" customHeight="1" x14ac:dyDescent="0.2">
      <c r="AM16355" t="str">
        <f t="shared" si="255"/>
        <v>Unknown -  Sao Tome and Principe [ST888]</v>
      </c>
      <c r="AN16355" t="s">
        <v>34524</v>
      </c>
      <c r="AO16355" t="s">
        <v>34773</v>
      </c>
    </row>
    <row r="16356" spans="39:41" ht="12" customHeight="1" x14ac:dyDescent="0.2">
      <c r="AM16356" t="str">
        <f t="shared" si="255"/>
        <v>Unknown -  Saudi Arabia [SA888]</v>
      </c>
      <c r="AN16356" t="s">
        <v>34525</v>
      </c>
      <c r="AO16356" t="s">
        <v>34774</v>
      </c>
    </row>
    <row r="16357" spans="39:41" ht="12" customHeight="1" x14ac:dyDescent="0.2">
      <c r="AM16357" t="str">
        <f t="shared" si="255"/>
        <v>Unknown -  Senegal [SN888]</v>
      </c>
      <c r="AN16357" t="s">
        <v>34526</v>
      </c>
      <c r="AO16357" t="s">
        <v>34775</v>
      </c>
    </row>
    <row r="16358" spans="39:41" ht="12" customHeight="1" x14ac:dyDescent="0.2">
      <c r="AM16358" t="str">
        <f t="shared" si="255"/>
        <v>Unknown -  Serbia [RS888]</v>
      </c>
      <c r="AN16358" t="s">
        <v>34527</v>
      </c>
      <c r="AO16358" t="s">
        <v>34776</v>
      </c>
    </row>
    <row r="16359" spans="39:41" ht="12" customHeight="1" x14ac:dyDescent="0.2">
      <c r="AM16359" t="str">
        <f t="shared" si="255"/>
        <v>Unknown -  Seychelles [SC888]</v>
      </c>
      <c r="AN16359" t="s">
        <v>34528</v>
      </c>
      <c r="AO16359" t="s">
        <v>34777</v>
      </c>
    </row>
    <row r="16360" spans="39:41" ht="12" customHeight="1" x14ac:dyDescent="0.2">
      <c r="AM16360" t="str">
        <f t="shared" si="255"/>
        <v>Unknown -  Sierra Leone [SL888]</v>
      </c>
      <c r="AN16360" t="s">
        <v>34529</v>
      </c>
      <c r="AO16360" t="s">
        <v>34778</v>
      </c>
    </row>
    <row r="16361" spans="39:41" ht="12" customHeight="1" x14ac:dyDescent="0.2">
      <c r="AM16361" t="str">
        <f t="shared" ref="AM16361:AM16424" si="256">AO16361 &amp; " [" &amp; AN16361 &amp; "]"</f>
        <v>Unknown -  Singapore [SG888]</v>
      </c>
      <c r="AN16361" t="s">
        <v>34530</v>
      </c>
      <c r="AO16361" t="s">
        <v>34779</v>
      </c>
    </row>
    <row r="16362" spans="39:41" ht="12" customHeight="1" x14ac:dyDescent="0.2">
      <c r="AM16362" t="str">
        <f t="shared" si="256"/>
        <v>Unknown -  Sint Maarten (Dutch part) [SX888]</v>
      </c>
      <c r="AN16362" t="s">
        <v>34531</v>
      </c>
      <c r="AO16362" t="s">
        <v>34780</v>
      </c>
    </row>
    <row r="16363" spans="39:41" ht="12" customHeight="1" x14ac:dyDescent="0.2">
      <c r="AM16363" t="str">
        <f t="shared" si="256"/>
        <v>Unknown -  Slovakia [SK888]</v>
      </c>
      <c r="AN16363" t="s">
        <v>34532</v>
      </c>
      <c r="AO16363" t="s">
        <v>34781</v>
      </c>
    </row>
    <row r="16364" spans="39:41" ht="12" customHeight="1" x14ac:dyDescent="0.2">
      <c r="AM16364" t="str">
        <f t="shared" si="256"/>
        <v>Unknown -  Slovenia [SI888]</v>
      </c>
      <c r="AN16364" t="s">
        <v>34533</v>
      </c>
      <c r="AO16364" t="s">
        <v>34782</v>
      </c>
    </row>
    <row r="16365" spans="39:41" ht="12" customHeight="1" x14ac:dyDescent="0.2">
      <c r="AM16365" t="str">
        <f t="shared" si="256"/>
        <v>Unknown -  Solomon Islands [SB888]</v>
      </c>
      <c r="AN16365" t="s">
        <v>34534</v>
      </c>
      <c r="AO16365" t="s">
        <v>34783</v>
      </c>
    </row>
    <row r="16366" spans="39:41" ht="12" customHeight="1" x14ac:dyDescent="0.2">
      <c r="AM16366" t="str">
        <f t="shared" si="256"/>
        <v>Unknown -  Somalia [SO888]</v>
      </c>
      <c r="AN16366" t="s">
        <v>34535</v>
      </c>
      <c r="AO16366" t="s">
        <v>34784</v>
      </c>
    </row>
    <row r="16367" spans="39:41" ht="12" customHeight="1" x14ac:dyDescent="0.2">
      <c r="AM16367" t="str">
        <f t="shared" si="256"/>
        <v>Unknown -  South Africa [ZA888]</v>
      </c>
      <c r="AN16367" t="s">
        <v>34536</v>
      </c>
      <c r="AO16367" t="s">
        <v>34785</v>
      </c>
    </row>
    <row r="16368" spans="39:41" ht="12" customHeight="1" x14ac:dyDescent="0.2">
      <c r="AM16368" t="str">
        <f t="shared" si="256"/>
        <v>Unknown -  South Georgia and the South Sandwich Islands [GS888]</v>
      </c>
      <c r="AN16368" t="s">
        <v>34537</v>
      </c>
      <c r="AO16368" t="s">
        <v>34786</v>
      </c>
    </row>
    <row r="16369" spans="39:41" ht="12" customHeight="1" x14ac:dyDescent="0.2">
      <c r="AM16369" t="str">
        <f t="shared" si="256"/>
        <v>Unknown -  South Sudan [SS888]</v>
      </c>
      <c r="AN16369" t="s">
        <v>34538</v>
      </c>
      <c r="AO16369" t="s">
        <v>34787</v>
      </c>
    </row>
    <row r="16370" spans="39:41" ht="12" customHeight="1" x14ac:dyDescent="0.2">
      <c r="AM16370" t="str">
        <f t="shared" si="256"/>
        <v>Unknown -  Spain [ES888]</v>
      </c>
      <c r="AN16370" t="s">
        <v>34539</v>
      </c>
      <c r="AO16370" t="s">
        <v>34788</v>
      </c>
    </row>
    <row r="16371" spans="39:41" ht="12" customHeight="1" x14ac:dyDescent="0.2">
      <c r="AM16371" t="str">
        <f t="shared" si="256"/>
        <v>Unknown -  Sri Lanka [LK888]</v>
      </c>
      <c r="AN16371" t="s">
        <v>34540</v>
      </c>
      <c r="AO16371" t="s">
        <v>34789</v>
      </c>
    </row>
    <row r="16372" spans="39:41" ht="12" customHeight="1" x14ac:dyDescent="0.2">
      <c r="AM16372" t="str">
        <f t="shared" si="256"/>
        <v>Unknown -  Sudan [SD888]</v>
      </c>
      <c r="AN16372" t="s">
        <v>34541</v>
      </c>
      <c r="AO16372" t="s">
        <v>34790</v>
      </c>
    </row>
    <row r="16373" spans="39:41" ht="12" customHeight="1" x14ac:dyDescent="0.2">
      <c r="AM16373" t="str">
        <f t="shared" si="256"/>
        <v>Unknown -  Suriname [SR888]</v>
      </c>
      <c r="AN16373" t="s">
        <v>34542</v>
      </c>
      <c r="AO16373" t="s">
        <v>34791</v>
      </c>
    </row>
    <row r="16374" spans="39:41" ht="12" customHeight="1" x14ac:dyDescent="0.2">
      <c r="AM16374" t="str">
        <f t="shared" si="256"/>
        <v>Unknown -  Svalbard and Jan Mayen [SJ888]</v>
      </c>
      <c r="AN16374" t="s">
        <v>34543</v>
      </c>
      <c r="AO16374" t="s">
        <v>34792</v>
      </c>
    </row>
    <row r="16375" spans="39:41" ht="12" customHeight="1" x14ac:dyDescent="0.2">
      <c r="AM16375" t="str">
        <f t="shared" si="256"/>
        <v>Unknown -  Swaziland [SZ888]</v>
      </c>
      <c r="AN16375" t="s">
        <v>34544</v>
      </c>
      <c r="AO16375" t="s">
        <v>34793</v>
      </c>
    </row>
    <row r="16376" spans="39:41" ht="12" customHeight="1" x14ac:dyDescent="0.2">
      <c r="AM16376" t="str">
        <f t="shared" si="256"/>
        <v>Unknown -  Sweden [SE888]</v>
      </c>
      <c r="AN16376" t="s">
        <v>34545</v>
      </c>
      <c r="AO16376" t="s">
        <v>34794</v>
      </c>
    </row>
    <row r="16377" spans="39:41" ht="12" customHeight="1" x14ac:dyDescent="0.2">
      <c r="AM16377" t="str">
        <f t="shared" si="256"/>
        <v>Unknown -  Switzerland [CH888]</v>
      </c>
      <c r="AN16377" t="s">
        <v>34546</v>
      </c>
      <c r="AO16377" t="s">
        <v>34795</v>
      </c>
    </row>
    <row r="16378" spans="39:41" ht="12" customHeight="1" x14ac:dyDescent="0.2">
      <c r="AM16378" t="str">
        <f t="shared" si="256"/>
        <v>Unknown -  Syrian Arab Republic [SY888]</v>
      </c>
      <c r="AN16378" t="s">
        <v>34547</v>
      </c>
      <c r="AO16378" t="s">
        <v>34796</v>
      </c>
    </row>
    <row r="16379" spans="39:41" ht="12" customHeight="1" x14ac:dyDescent="0.2">
      <c r="AM16379" t="str">
        <f t="shared" si="256"/>
        <v>Unknown -  Taiwan, Province of China[a] [TW888]</v>
      </c>
      <c r="AN16379" t="s">
        <v>34548</v>
      </c>
      <c r="AO16379" t="s">
        <v>34797</v>
      </c>
    </row>
    <row r="16380" spans="39:41" ht="12" customHeight="1" x14ac:dyDescent="0.2">
      <c r="AM16380" t="str">
        <f t="shared" si="256"/>
        <v>Unknown -  Tajikistan [TJ888]</v>
      </c>
      <c r="AN16380" t="s">
        <v>34549</v>
      </c>
      <c r="AO16380" t="s">
        <v>34798</v>
      </c>
    </row>
    <row r="16381" spans="39:41" ht="12" customHeight="1" x14ac:dyDescent="0.2">
      <c r="AM16381" t="str">
        <f t="shared" si="256"/>
        <v>Unknown -  Tanzania, United Republic of [TZ888]</v>
      </c>
      <c r="AN16381" t="s">
        <v>34550</v>
      </c>
      <c r="AO16381" t="s">
        <v>34799</v>
      </c>
    </row>
    <row r="16382" spans="39:41" ht="12" customHeight="1" x14ac:dyDescent="0.2">
      <c r="AM16382" t="str">
        <f t="shared" si="256"/>
        <v>Unknown -  Thailand [TH888]</v>
      </c>
      <c r="AN16382" t="s">
        <v>34551</v>
      </c>
      <c r="AO16382" t="s">
        <v>34800</v>
      </c>
    </row>
    <row r="16383" spans="39:41" ht="12" customHeight="1" x14ac:dyDescent="0.2">
      <c r="AM16383" t="str">
        <f t="shared" si="256"/>
        <v>Unknown -  Timor-Leste [TL888]</v>
      </c>
      <c r="AN16383" t="s">
        <v>34552</v>
      </c>
      <c r="AO16383" t="s">
        <v>34801</v>
      </c>
    </row>
    <row r="16384" spans="39:41" ht="12" customHeight="1" x14ac:dyDescent="0.2">
      <c r="AM16384" t="str">
        <f t="shared" si="256"/>
        <v>Unknown -  Togo [TG888]</v>
      </c>
      <c r="AN16384" t="s">
        <v>34553</v>
      </c>
      <c r="AO16384" t="s">
        <v>34802</v>
      </c>
    </row>
    <row r="16385" spans="39:41" ht="12" customHeight="1" x14ac:dyDescent="0.2">
      <c r="AM16385" t="str">
        <f t="shared" si="256"/>
        <v>Unknown -  Tokelau [TK888]</v>
      </c>
      <c r="AN16385" t="s">
        <v>34554</v>
      </c>
      <c r="AO16385" t="s">
        <v>34803</v>
      </c>
    </row>
    <row r="16386" spans="39:41" ht="12" customHeight="1" x14ac:dyDescent="0.2">
      <c r="AM16386" t="str">
        <f t="shared" si="256"/>
        <v>Unknown -  Tonga [TO888]</v>
      </c>
      <c r="AN16386" t="s">
        <v>34555</v>
      </c>
      <c r="AO16386" t="s">
        <v>34804</v>
      </c>
    </row>
    <row r="16387" spans="39:41" ht="12" customHeight="1" x14ac:dyDescent="0.2">
      <c r="AM16387" t="str">
        <f t="shared" si="256"/>
        <v>Unknown -  Trinidad and Tobago [TT888]</v>
      </c>
      <c r="AN16387" t="s">
        <v>34556</v>
      </c>
      <c r="AO16387" t="s">
        <v>34805</v>
      </c>
    </row>
    <row r="16388" spans="39:41" ht="12" customHeight="1" x14ac:dyDescent="0.2">
      <c r="AM16388" t="str">
        <f t="shared" si="256"/>
        <v>Unknown -  Tunisia [TN888]</v>
      </c>
      <c r="AN16388" t="s">
        <v>34557</v>
      </c>
      <c r="AO16388" t="s">
        <v>34806</v>
      </c>
    </row>
    <row r="16389" spans="39:41" ht="12" customHeight="1" x14ac:dyDescent="0.2">
      <c r="AM16389" t="str">
        <f t="shared" si="256"/>
        <v>Unknown -  Turkey [TR888]</v>
      </c>
      <c r="AN16389" t="s">
        <v>34558</v>
      </c>
      <c r="AO16389" t="s">
        <v>34807</v>
      </c>
    </row>
    <row r="16390" spans="39:41" ht="12" customHeight="1" x14ac:dyDescent="0.2">
      <c r="AM16390" t="str">
        <f t="shared" si="256"/>
        <v>Unknown -  Turkmenistan [TM888]</v>
      </c>
      <c r="AN16390" t="s">
        <v>34559</v>
      </c>
      <c r="AO16390" t="s">
        <v>34808</v>
      </c>
    </row>
    <row r="16391" spans="39:41" ht="12" customHeight="1" x14ac:dyDescent="0.2">
      <c r="AM16391" t="str">
        <f t="shared" si="256"/>
        <v>Unknown -  Turks and Caicos Islands [TC888]</v>
      </c>
      <c r="AN16391" t="s">
        <v>34560</v>
      </c>
      <c r="AO16391" t="s">
        <v>34809</v>
      </c>
    </row>
    <row r="16392" spans="39:41" ht="12" customHeight="1" x14ac:dyDescent="0.2">
      <c r="AM16392" t="str">
        <f t="shared" si="256"/>
        <v>Unknown -  Tuvalu [TV888]</v>
      </c>
      <c r="AN16392" t="s">
        <v>34561</v>
      </c>
      <c r="AO16392" t="s">
        <v>34810</v>
      </c>
    </row>
    <row r="16393" spans="39:41" ht="12" customHeight="1" x14ac:dyDescent="0.2">
      <c r="AM16393" t="str">
        <f t="shared" si="256"/>
        <v>Unknown -  Uganda [UG888]</v>
      </c>
      <c r="AN16393" t="s">
        <v>34562</v>
      </c>
      <c r="AO16393" t="s">
        <v>34811</v>
      </c>
    </row>
    <row r="16394" spans="39:41" ht="12" customHeight="1" x14ac:dyDescent="0.2">
      <c r="AM16394" t="str">
        <f t="shared" si="256"/>
        <v>Unknown -  Ukraine [UA888]</v>
      </c>
      <c r="AN16394" t="s">
        <v>34563</v>
      </c>
      <c r="AO16394" t="s">
        <v>34812</v>
      </c>
    </row>
    <row r="16395" spans="39:41" ht="12" customHeight="1" x14ac:dyDescent="0.2">
      <c r="AM16395" t="str">
        <f t="shared" si="256"/>
        <v>Unknown -  United Arab Emirates [AE888]</v>
      </c>
      <c r="AN16395" t="s">
        <v>34564</v>
      </c>
      <c r="AO16395" t="s">
        <v>34813</v>
      </c>
    </row>
    <row r="16396" spans="39:41" ht="12" customHeight="1" x14ac:dyDescent="0.2">
      <c r="AM16396" t="str">
        <f t="shared" si="256"/>
        <v>Unknown -  United Kingdom [GB888]</v>
      </c>
      <c r="AN16396" t="s">
        <v>34565</v>
      </c>
      <c r="AO16396" t="s">
        <v>34814</v>
      </c>
    </row>
    <row r="16397" spans="39:41" ht="12" customHeight="1" x14ac:dyDescent="0.2">
      <c r="AM16397" t="str">
        <f t="shared" si="256"/>
        <v>Unknown -  United States Minor Outlying Islands [UM888]</v>
      </c>
      <c r="AN16397" t="s">
        <v>34567</v>
      </c>
      <c r="AO16397" t="s">
        <v>34816</v>
      </c>
    </row>
    <row r="16398" spans="39:41" ht="12" customHeight="1" x14ac:dyDescent="0.2">
      <c r="AM16398" t="str">
        <f t="shared" si="256"/>
        <v>Unknown -  United States of America [US888]</v>
      </c>
      <c r="AN16398" t="s">
        <v>34566</v>
      </c>
      <c r="AO16398" t="s">
        <v>34815</v>
      </c>
    </row>
    <row r="16399" spans="39:41" ht="12" customHeight="1" x14ac:dyDescent="0.2">
      <c r="AM16399" t="str">
        <f t="shared" si="256"/>
        <v>Unknown -  Uruguay [UY888]</v>
      </c>
      <c r="AN16399" t="s">
        <v>34568</v>
      </c>
      <c r="AO16399" t="s">
        <v>34817</v>
      </c>
    </row>
    <row r="16400" spans="39:41" ht="12" customHeight="1" x14ac:dyDescent="0.2">
      <c r="AM16400" t="str">
        <f t="shared" si="256"/>
        <v>Unknown -  Uzbekistan [UZ888]</v>
      </c>
      <c r="AN16400" t="s">
        <v>34569</v>
      </c>
      <c r="AO16400" t="s">
        <v>34818</v>
      </c>
    </row>
    <row r="16401" spans="39:41" ht="12" customHeight="1" x14ac:dyDescent="0.2">
      <c r="AM16401" t="str">
        <f t="shared" si="256"/>
        <v>Unknown -  Vanuatu [VU888]</v>
      </c>
      <c r="AN16401" t="s">
        <v>34570</v>
      </c>
      <c r="AO16401" t="s">
        <v>34819</v>
      </c>
    </row>
    <row r="16402" spans="39:41" ht="12" customHeight="1" x14ac:dyDescent="0.2">
      <c r="AM16402" t="str">
        <f t="shared" si="256"/>
        <v>Unknown -  Venezuela (Bolivarian Republic of) [VE888]</v>
      </c>
      <c r="AN16402" t="s">
        <v>34571</v>
      </c>
      <c r="AO16402" t="s">
        <v>34820</v>
      </c>
    </row>
    <row r="16403" spans="39:41" ht="12" customHeight="1" x14ac:dyDescent="0.2">
      <c r="AM16403" t="str">
        <f t="shared" si="256"/>
        <v>Unknown -  Viet Nam [VN888]</v>
      </c>
      <c r="AN16403" t="s">
        <v>34572</v>
      </c>
      <c r="AO16403" t="s">
        <v>34821</v>
      </c>
    </row>
    <row r="16404" spans="39:41" ht="12" customHeight="1" x14ac:dyDescent="0.2">
      <c r="AM16404" t="str">
        <f t="shared" si="256"/>
        <v>Unknown -  Virgin Islands (British) [VG888]</v>
      </c>
      <c r="AN16404" t="s">
        <v>34573</v>
      </c>
      <c r="AO16404" t="s">
        <v>34822</v>
      </c>
    </row>
    <row r="16405" spans="39:41" ht="12" customHeight="1" x14ac:dyDescent="0.2">
      <c r="AM16405" t="str">
        <f t="shared" si="256"/>
        <v>Unknown -  Virgin Islands (U.S.) [VI888]</v>
      </c>
      <c r="AN16405" t="s">
        <v>34574</v>
      </c>
      <c r="AO16405" t="s">
        <v>34823</v>
      </c>
    </row>
    <row r="16406" spans="39:41" ht="12" customHeight="1" x14ac:dyDescent="0.2">
      <c r="AM16406" t="str">
        <f t="shared" si="256"/>
        <v>Unknown -  Wallis and Futuna [WF888]</v>
      </c>
      <c r="AN16406" t="s">
        <v>34575</v>
      </c>
      <c r="AO16406" t="s">
        <v>34824</v>
      </c>
    </row>
    <row r="16407" spans="39:41" ht="12" customHeight="1" x14ac:dyDescent="0.2">
      <c r="AM16407" t="str">
        <f t="shared" si="256"/>
        <v>Unknown -  Western Sahara [EH888]</v>
      </c>
      <c r="AN16407" t="s">
        <v>34576</v>
      </c>
      <c r="AO16407" t="s">
        <v>34825</v>
      </c>
    </row>
    <row r="16408" spans="39:41" ht="12" customHeight="1" x14ac:dyDescent="0.2">
      <c r="AM16408" t="str">
        <f t="shared" si="256"/>
        <v>Unknown -  Yemen [YE888]</v>
      </c>
      <c r="AN16408" t="s">
        <v>34577</v>
      </c>
      <c r="AO16408" t="s">
        <v>34826</v>
      </c>
    </row>
    <row r="16409" spans="39:41" ht="12" customHeight="1" x14ac:dyDescent="0.2">
      <c r="AM16409" t="str">
        <f t="shared" si="256"/>
        <v>Unknown -  Zambia [ZM888]</v>
      </c>
      <c r="AN16409" t="s">
        <v>34578</v>
      </c>
      <c r="AO16409" t="s">
        <v>34827</v>
      </c>
    </row>
    <row r="16410" spans="39:41" ht="12" customHeight="1" x14ac:dyDescent="0.2">
      <c r="AM16410" t="str">
        <f t="shared" si="256"/>
        <v>Unknown -  Zimbabwe [ZW888]</v>
      </c>
      <c r="AN16410" t="s">
        <v>34579</v>
      </c>
      <c r="AO16410" t="s">
        <v>34828</v>
      </c>
    </row>
    <row r="16411" spans="39:41" ht="12" customHeight="1" x14ac:dyDescent="0.2">
      <c r="AM16411" t="str">
        <f t="shared" si="256"/>
        <v>Uno [JPUNO]</v>
      </c>
      <c r="AN16411" t="s">
        <v>21291</v>
      </c>
      <c r="AO16411" t="s">
        <v>21292</v>
      </c>
    </row>
    <row r="16412" spans="39:41" ht="12" customHeight="1" x14ac:dyDescent="0.2">
      <c r="AM16412" t="str">
        <f t="shared" si="256"/>
        <v>Unoshima [JPUNS]</v>
      </c>
      <c r="AN16412" t="s">
        <v>21293</v>
      </c>
      <c r="AO16412" t="s">
        <v>21294</v>
      </c>
    </row>
    <row r="16413" spans="39:41" ht="12" customHeight="1" x14ac:dyDescent="0.2">
      <c r="AM16413" t="str">
        <f t="shared" si="256"/>
        <v>Unten [JPUNT]</v>
      </c>
      <c r="AN16413" t="s">
        <v>21295</v>
      </c>
      <c r="AO16413" t="s">
        <v>21296</v>
      </c>
    </row>
    <row r="16414" spans="39:41" ht="12" customHeight="1" x14ac:dyDescent="0.2">
      <c r="AM16414" t="str">
        <f t="shared" si="256"/>
        <v>Unye [TRUNY]</v>
      </c>
      <c r="AN16414" t="s">
        <v>28608</v>
      </c>
      <c r="AO16414" t="s">
        <v>36580</v>
      </c>
    </row>
    <row r="16415" spans="39:41" ht="12" customHeight="1" x14ac:dyDescent="0.2">
      <c r="AM16415" t="str">
        <f t="shared" si="256"/>
        <v>Uomi [JPUOM]</v>
      </c>
      <c r="AN16415" t="s">
        <v>21297</v>
      </c>
      <c r="AO16415" t="s">
        <v>21298</v>
      </c>
    </row>
    <row r="16416" spans="39:41" ht="12" customHeight="1" x14ac:dyDescent="0.2">
      <c r="AM16416" t="str">
        <f t="shared" si="256"/>
        <v>Uozu, Shimane [JPUOU]</v>
      </c>
      <c r="AN16416" t="s">
        <v>21299</v>
      </c>
      <c r="AO16416" t="s">
        <v>21300</v>
      </c>
    </row>
    <row r="16417" spans="39:41" ht="12" customHeight="1" x14ac:dyDescent="0.2">
      <c r="AM16417" t="str">
        <f t="shared" si="256"/>
        <v>Uozu, Toyama [JPUOZ]</v>
      </c>
      <c r="AN16417" t="s">
        <v>21301</v>
      </c>
      <c r="AO16417" t="s">
        <v>21302</v>
      </c>
    </row>
    <row r="16418" spans="39:41" ht="12" customHeight="1" x14ac:dyDescent="0.2">
      <c r="AM16418" t="str">
        <f t="shared" si="256"/>
        <v>Upholland [GBUPH]</v>
      </c>
      <c r="AN16418" t="s">
        <v>14750</v>
      </c>
      <c r="AO16418" t="s">
        <v>14751</v>
      </c>
    </row>
    <row r="16419" spans="39:41" ht="12" customHeight="1" x14ac:dyDescent="0.2">
      <c r="AM16419" t="str">
        <f t="shared" si="256"/>
        <v>Upnor [GBUPR]</v>
      </c>
      <c r="AN16419" t="s">
        <v>14752</v>
      </c>
      <c r="AO16419" t="s">
        <v>14753</v>
      </c>
    </row>
    <row r="16420" spans="39:41" ht="12" customHeight="1" x14ac:dyDescent="0.2">
      <c r="AM16420" t="str">
        <f t="shared" si="256"/>
        <v>Upper Brookville [USYUP]</v>
      </c>
      <c r="AN16420" t="s">
        <v>31812</v>
      </c>
      <c r="AO16420" t="s">
        <v>31813</v>
      </c>
    </row>
    <row r="16421" spans="39:41" ht="12" customHeight="1" x14ac:dyDescent="0.2">
      <c r="AM16421" t="str">
        <f t="shared" si="256"/>
        <v>Upper Froyle [GBUFY]</v>
      </c>
      <c r="AN16421" t="s">
        <v>14754</v>
      </c>
      <c r="AO16421" t="s">
        <v>14755</v>
      </c>
    </row>
    <row r="16422" spans="39:41" ht="12" customHeight="1" x14ac:dyDescent="0.2">
      <c r="AM16422" t="str">
        <f t="shared" si="256"/>
        <v>Upper Saint Regis [USQUS]</v>
      </c>
      <c r="AN16422" t="s">
        <v>31814</v>
      </c>
      <c r="AO16422" t="s">
        <v>31815</v>
      </c>
    </row>
    <row r="16423" spans="39:41" ht="12" customHeight="1" x14ac:dyDescent="0.2">
      <c r="AM16423" t="str">
        <f t="shared" si="256"/>
        <v>Uppingham [GBUPI]</v>
      </c>
      <c r="AN16423" t="s">
        <v>14756</v>
      </c>
      <c r="AO16423" t="s">
        <v>14757</v>
      </c>
    </row>
    <row r="16424" spans="39:41" ht="12" customHeight="1" x14ac:dyDescent="0.2">
      <c r="AM16424" t="str">
        <f t="shared" si="256"/>
        <v>Uppsala [SEUPP]</v>
      </c>
      <c r="AN16424" t="s">
        <v>27929</v>
      </c>
      <c r="AO16424" t="s">
        <v>27930</v>
      </c>
    </row>
    <row r="16425" spans="39:41" ht="12" customHeight="1" x14ac:dyDescent="0.2">
      <c r="AM16425" t="str">
        <f t="shared" ref="AM16425:AM16488" si="257">AO16425 &amp; " [" &amp; AN16425 &amp; "]"</f>
        <v>Upschort [DEUPS]</v>
      </c>
      <c r="AN16425" t="s">
        <v>8394</v>
      </c>
      <c r="AO16425" t="s">
        <v>35509</v>
      </c>
    </row>
    <row r="16426" spans="39:41" ht="12" customHeight="1" x14ac:dyDescent="0.2">
      <c r="AM16426" t="str">
        <f t="shared" si="257"/>
        <v>Upton [CAUPT]</v>
      </c>
      <c r="AN16426" t="s">
        <v>4555</v>
      </c>
      <c r="AO16426" t="s">
        <v>4556</v>
      </c>
    </row>
    <row r="16427" spans="39:41" ht="12" customHeight="1" x14ac:dyDescent="0.2">
      <c r="AM16427" t="str">
        <f t="shared" si="257"/>
        <v>Ura [JPURA]</v>
      </c>
      <c r="AN16427" t="s">
        <v>21303</v>
      </c>
      <c r="AO16427" t="s">
        <v>21304</v>
      </c>
    </row>
    <row r="16428" spans="39:41" ht="12" customHeight="1" x14ac:dyDescent="0.2">
      <c r="AM16428" t="str">
        <f t="shared" si="257"/>
        <v>Urad [PLURD]</v>
      </c>
      <c r="AN16428" t="s">
        <v>26393</v>
      </c>
      <c r="AO16428" t="s">
        <v>26394</v>
      </c>
    </row>
    <row r="16429" spans="39:41" ht="12" customHeight="1" x14ac:dyDescent="0.2">
      <c r="AM16429" t="str">
        <f t="shared" si="257"/>
        <v>Uraga [JPURG]</v>
      </c>
      <c r="AN16429" t="s">
        <v>21305</v>
      </c>
      <c r="AO16429" t="s">
        <v>21306</v>
      </c>
    </row>
    <row r="16430" spans="39:41" ht="12" customHeight="1" x14ac:dyDescent="0.2">
      <c r="AM16430" t="str">
        <f t="shared" si="257"/>
        <v>Uragami [JPURM]</v>
      </c>
      <c r="AN16430" t="s">
        <v>21307</v>
      </c>
      <c r="AO16430" t="s">
        <v>21308</v>
      </c>
    </row>
    <row r="16431" spans="39:41" ht="12" customHeight="1" x14ac:dyDescent="0.2">
      <c r="AM16431" t="str">
        <f t="shared" si="257"/>
        <v>Urago [JPUAO]</v>
      </c>
      <c r="AN16431" t="s">
        <v>21309</v>
      </c>
      <c r="AO16431" t="s">
        <v>21310</v>
      </c>
    </row>
    <row r="16432" spans="39:41" ht="12" customHeight="1" x14ac:dyDescent="0.2">
      <c r="AM16432" t="str">
        <f t="shared" si="257"/>
        <v>Ura-Guba [RUURA]</v>
      </c>
      <c r="AN16432" t="s">
        <v>27292</v>
      </c>
      <c r="AO16432" t="s">
        <v>27293</v>
      </c>
    </row>
    <row r="16433" spans="39:41" ht="12" customHeight="1" x14ac:dyDescent="0.2">
      <c r="AM16433" t="str">
        <f t="shared" si="257"/>
        <v>Urahara [JPURH]</v>
      </c>
      <c r="AN16433" t="s">
        <v>21311</v>
      </c>
      <c r="AO16433" t="s">
        <v>21312</v>
      </c>
    </row>
    <row r="16434" spans="39:41" ht="12" customHeight="1" x14ac:dyDescent="0.2">
      <c r="AM16434" t="str">
        <f t="shared" si="257"/>
        <v>Urakawa [JPURK]</v>
      </c>
      <c r="AN16434" t="s">
        <v>21313</v>
      </c>
      <c r="AO16434" t="s">
        <v>21314</v>
      </c>
    </row>
    <row r="16435" spans="39:41" ht="12" customHeight="1" x14ac:dyDescent="0.2">
      <c r="AM16435" t="str">
        <f t="shared" si="257"/>
        <v>Uran [INURA]</v>
      </c>
      <c r="AN16435" t="s">
        <v>17511</v>
      </c>
      <c r="AO16435" t="s">
        <v>17512</v>
      </c>
    </row>
    <row r="16436" spans="39:41" ht="12" customHeight="1" x14ac:dyDescent="0.2">
      <c r="AM16436" t="str">
        <f t="shared" si="257"/>
        <v>Urangan [AUURN]</v>
      </c>
      <c r="AN16436" t="s">
        <v>2084</v>
      </c>
      <c r="AO16436" t="s">
        <v>2085</v>
      </c>
    </row>
    <row r="16437" spans="39:41" ht="12" customHeight="1" x14ac:dyDescent="0.2">
      <c r="AM16437" t="str">
        <f t="shared" si="257"/>
        <v>Uranomae [JPUNM]</v>
      </c>
      <c r="AN16437" t="s">
        <v>21315</v>
      </c>
      <c r="AO16437" t="s">
        <v>21316</v>
      </c>
    </row>
    <row r="16438" spans="39:41" ht="12" customHeight="1" x14ac:dyDescent="0.2">
      <c r="AM16438" t="str">
        <f t="shared" si="257"/>
        <v>Urashiro [JPURR]</v>
      </c>
      <c r="AN16438" t="s">
        <v>21317</v>
      </c>
      <c r="AO16438" t="s">
        <v>21318</v>
      </c>
    </row>
    <row r="16439" spans="39:41" ht="12" customHeight="1" x14ac:dyDescent="0.2">
      <c r="AM16439" t="str">
        <f t="shared" si="257"/>
        <v>Urasoko [JPURS]</v>
      </c>
      <c r="AN16439" t="s">
        <v>21319</v>
      </c>
      <c r="AO16439" t="s">
        <v>21320</v>
      </c>
    </row>
    <row r="16440" spans="39:41" ht="12" customHeight="1" x14ac:dyDescent="0.2">
      <c r="AM16440" t="str">
        <f t="shared" si="257"/>
        <v>Urbancrest [USUCR]</v>
      </c>
      <c r="AN16440" t="s">
        <v>31816</v>
      </c>
      <c r="AO16440" t="s">
        <v>31817</v>
      </c>
    </row>
    <row r="16441" spans="39:41" ht="12" customHeight="1" x14ac:dyDescent="0.2">
      <c r="AM16441" t="str">
        <f t="shared" si="257"/>
        <v>Urd [XZURD]</v>
      </c>
      <c r="AN16441" t="s">
        <v>32610</v>
      </c>
      <c r="AO16441" t="s">
        <v>32611</v>
      </c>
    </row>
    <row r="16442" spans="39:41" ht="12" customHeight="1" x14ac:dyDescent="0.2">
      <c r="AM16442" t="str">
        <f t="shared" si="257"/>
        <v>Urdurrain [ARURD]</v>
      </c>
      <c r="AN16442" t="s">
        <v>1146</v>
      </c>
      <c r="AO16442" t="s">
        <v>1147</v>
      </c>
    </row>
    <row r="16443" spans="39:41" ht="12" customHeight="1" x14ac:dyDescent="0.2">
      <c r="AM16443" t="str">
        <f t="shared" si="257"/>
        <v>Urena [VEYUR]</v>
      </c>
      <c r="AN16443" t="s">
        <v>32263</v>
      </c>
      <c r="AO16443" t="s">
        <v>36591</v>
      </c>
    </row>
    <row r="16444" spans="39:41" ht="12" customHeight="1" x14ac:dyDescent="0.2">
      <c r="AM16444" t="str">
        <f t="shared" si="257"/>
        <v>Urgoru Paadisadam [EEURG]</v>
      </c>
      <c r="AN16444" t="s">
        <v>35045</v>
      </c>
      <c r="AO16444" t="s">
        <v>35046</v>
      </c>
    </row>
    <row r="16445" spans="39:41" ht="12" customHeight="1" x14ac:dyDescent="0.2">
      <c r="AM16445" t="str">
        <f t="shared" si="257"/>
        <v>Urk [NLURK]</v>
      </c>
      <c r="AN16445" t="s">
        <v>34112</v>
      </c>
      <c r="AO16445" t="s">
        <v>34158</v>
      </c>
    </row>
    <row r="16446" spans="39:41" ht="12" customHeight="1" x14ac:dyDescent="0.2">
      <c r="AM16446" t="str">
        <f t="shared" si="257"/>
        <v>Urla [TRURL]</v>
      </c>
      <c r="AN16446" t="s">
        <v>28609</v>
      </c>
      <c r="AO16446" t="s">
        <v>28610</v>
      </c>
    </row>
    <row r="16447" spans="39:41" ht="12" customHeight="1" x14ac:dyDescent="0.2">
      <c r="AM16447" t="str">
        <f t="shared" si="257"/>
        <v>Urmitz [DEGUZ]</v>
      </c>
      <c r="AN16447" t="s">
        <v>8395</v>
      </c>
      <c r="AO16447" t="s">
        <v>8396</v>
      </c>
    </row>
    <row r="16448" spans="39:41" ht="12" customHeight="1" x14ac:dyDescent="0.2">
      <c r="AM16448" t="str">
        <f t="shared" si="257"/>
        <v>Urmond [NLUMO]</v>
      </c>
      <c r="AN16448" t="s">
        <v>23694</v>
      </c>
      <c r="AO16448" t="s">
        <v>23695</v>
      </c>
    </row>
    <row r="16449" spans="39:41" ht="12" customHeight="1" x14ac:dyDescent="0.2">
      <c r="AM16449" t="str">
        <f t="shared" si="257"/>
        <v>Urroz [ESURZ]</v>
      </c>
      <c r="AN16449" t="s">
        <v>10266</v>
      </c>
      <c r="AO16449" t="s">
        <v>10267</v>
      </c>
    </row>
    <row r="16450" spans="39:41" ht="12" customHeight="1" x14ac:dyDescent="0.2">
      <c r="AM16450" t="str">
        <f t="shared" si="257"/>
        <v>Ursviken [SEURS]</v>
      </c>
      <c r="AN16450" t="s">
        <v>27931</v>
      </c>
      <c r="AO16450" t="s">
        <v>27932</v>
      </c>
    </row>
    <row r="16451" spans="39:41" ht="12" customHeight="1" x14ac:dyDescent="0.2">
      <c r="AM16451" t="str">
        <f t="shared" si="257"/>
        <v>Usa/Tosa [JPUSA]</v>
      </c>
      <c r="AN16451" t="s">
        <v>21321</v>
      </c>
      <c r="AO16451" t="s">
        <v>21322</v>
      </c>
    </row>
    <row r="16452" spans="39:41" ht="12" customHeight="1" x14ac:dyDescent="0.2">
      <c r="AM16452" t="str">
        <f t="shared" si="257"/>
        <v>Usan FPSO [NGUSA]</v>
      </c>
      <c r="AN16452" t="s">
        <v>22984</v>
      </c>
      <c r="AO16452" t="s">
        <v>22985</v>
      </c>
    </row>
    <row r="16453" spans="39:41" ht="12" customHeight="1" x14ac:dyDescent="0.2">
      <c r="AM16453" t="str">
        <f t="shared" si="257"/>
        <v>Useless Loop [AUUSL]</v>
      </c>
      <c r="AN16453" t="s">
        <v>2086</v>
      </c>
      <c r="AO16453" t="s">
        <v>2087</v>
      </c>
    </row>
    <row r="16454" spans="39:41" ht="12" customHeight="1" x14ac:dyDescent="0.2">
      <c r="AM16454" t="str">
        <f t="shared" si="257"/>
        <v>Ushibuka [JPUBK]</v>
      </c>
      <c r="AN16454" t="s">
        <v>21323</v>
      </c>
      <c r="AO16454" t="s">
        <v>21324</v>
      </c>
    </row>
    <row r="16455" spans="39:41" ht="12" customHeight="1" x14ac:dyDescent="0.2">
      <c r="AM16455" t="str">
        <f t="shared" si="257"/>
        <v>Ushigakubijima [JPUSG]</v>
      </c>
      <c r="AN16455" t="s">
        <v>21325</v>
      </c>
      <c r="AO16455" t="s">
        <v>21326</v>
      </c>
    </row>
    <row r="16456" spans="39:41" ht="12" customHeight="1" x14ac:dyDescent="0.2">
      <c r="AM16456" t="str">
        <f t="shared" si="257"/>
        <v>Ushimado [JPUSH]</v>
      </c>
      <c r="AN16456" t="s">
        <v>21327</v>
      </c>
      <c r="AO16456" t="s">
        <v>21328</v>
      </c>
    </row>
    <row r="16457" spans="39:41" ht="12" customHeight="1" x14ac:dyDescent="0.2">
      <c r="AM16457" t="str">
        <f t="shared" si="257"/>
        <v>Ushine [JPUSI]</v>
      </c>
      <c r="AN16457" t="s">
        <v>21329</v>
      </c>
      <c r="AO16457" t="s">
        <v>21330</v>
      </c>
    </row>
    <row r="16458" spans="39:41" ht="12" customHeight="1" x14ac:dyDescent="0.2">
      <c r="AM16458" t="str">
        <f t="shared" si="257"/>
        <v>Ushitsu [JPUST]</v>
      </c>
      <c r="AN16458" t="s">
        <v>21331</v>
      </c>
      <c r="AO16458" t="s">
        <v>21332</v>
      </c>
    </row>
    <row r="16459" spans="39:41" ht="12" customHeight="1" x14ac:dyDescent="0.2">
      <c r="AM16459" t="str">
        <f t="shared" si="257"/>
        <v>Ushuaia [ARUSH]</v>
      </c>
      <c r="AN16459" t="s">
        <v>1148</v>
      </c>
      <c r="AO16459" t="s">
        <v>1149</v>
      </c>
    </row>
    <row r="16460" spans="39:41" ht="12" customHeight="1" x14ac:dyDescent="0.2">
      <c r="AM16460" t="str">
        <f t="shared" si="257"/>
        <v>Uskedalen [NOUSD]</v>
      </c>
      <c r="AN16460" t="s">
        <v>24957</v>
      </c>
      <c r="AO16460" t="s">
        <v>24958</v>
      </c>
    </row>
    <row r="16461" spans="39:41" ht="12" customHeight="1" x14ac:dyDescent="0.2">
      <c r="AM16461" t="str">
        <f t="shared" si="257"/>
        <v>Uskila [FIUSK]</v>
      </c>
      <c r="AN16461" t="s">
        <v>10581</v>
      </c>
      <c r="AO16461" t="s">
        <v>10582</v>
      </c>
    </row>
    <row r="16462" spans="39:41" ht="12" customHeight="1" x14ac:dyDescent="0.2">
      <c r="AM16462" t="str">
        <f t="shared" si="257"/>
        <v>Uskudar [TRUSK]</v>
      </c>
      <c r="AN16462" t="s">
        <v>28611</v>
      </c>
      <c r="AO16462" t="s">
        <v>36581</v>
      </c>
    </row>
    <row r="16463" spans="39:41" ht="12" customHeight="1" x14ac:dyDescent="0.2">
      <c r="AM16463" t="str">
        <f t="shared" si="257"/>
        <v>Usquert [NLNPZ]</v>
      </c>
      <c r="AN16463" t="s">
        <v>23696</v>
      </c>
      <c r="AO16463" t="s">
        <v>23697</v>
      </c>
    </row>
    <row r="16464" spans="39:41" ht="12" customHeight="1" x14ac:dyDescent="0.2">
      <c r="AM16464" t="str">
        <f t="shared" si="257"/>
        <v>Ust Chaun [RUUCH]</v>
      </c>
      <c r="AN16464" t="s">
        <v>27294</v>
      </c>
      <c r="AO16464" t="s">
        <v>27295</v>
      </c>
    </row>
    <row r="16465" spans="39:41" ht="12" customHeight="1" x14ac:dyDescent="0.2">
      <c r="AM16465" t="str">
        <f t="shared" si="257"/>
        <v>Ust Dunaysk [UAUDY]</v>
      </c>
      <c r="AN16465" t="s">
        <v>28767</v>
      </c>
      <c r="AO16465" t="s">
        <v>28768</v>
      </c>
    </row>
    <row r="16466" spans="39:41" ht="12" customHeight="1" x14ac:dyDescent="0.2">
      <c r="AM16466" t="str">
        <f t="shared" si="257"/>
        <v>Usti nad Labem [CZULN]</v>
      </c>
      <c r="AN16466" t="s">
        <v>6961</v>
      </c>
      <c r="AO16466" t="s">
        <v>35408</v>
      </c>
    </row>
    <row r="16467" spans="39:41" ht="12" customHeight="1" x14ac:dyDescent="0.2">
      <c r="AM16467" t="str">
        <f t="shared" si="257"/>
        <v>Ustica [ITUST]</v>
      </c>
      <c r="AN16467" t="s">
        <v>18388</v>
      </c>
      <c r="AO16467" t="s">
        <v>18389</v>
      </c>
    </row>
    <row r="16468" spans="39:41" ht="12" customHeight="1" x14ac:dyDescent="0.2">
      <c r="AM16468" t="str">
        <f t="shared" si="257"/>
        <v>Ustka [PLUST]</v>
      </c>
      <c r="AN16468" t="s">
        <v>26395</v>
      </c>
      <c r="AO16468" t="s">
        <v>26396</v>
      </c>
    </row>
    <row r="16469" spans="39:41" ht="12" customHeight="1" x14ac:dyDescent="0.2">
      <c r="AM16469" t="str">
        <f t="shared" si="257"/>
        <v>Ust-Kamchatsk [RUUKK]</v>
      </c>
      <c r="AN16469" t="s">
        <v>27296</v>
      </c>
      <c r="AO16469" t="s">
        <v>27297</v>
      </c>
    </row>
    <row r="16470" spans="39:41" ht="12" customHeight="1" x14ac:dyDescent="0.2">
      <c r="AM16470" t="str">
        <f t="shared" si="257"/>
        <v>Ust'-Luga [RUULU]</v>
      </c>
      <c r="AN16470" t="s">
        <v>27298</v>
      </c>
      <c r="AO16470" t="s">
        <v>27299</v>
      </c>
    </row>
    <row r="16471" spans="39:41" ht="12" customHeight="1" x14ac:dyDescent="0.2">
      <c r="AM16471" t="str">
        <f t="shared" si="257"/>
        <v>Ustronie Morskie [PLUMS]</v>
      </c>
      <c r="AN16471" t="s">
        <v>26397</v>
      </c>
      <c r="AO16471" t="s">
        <v>26398</v>
      </c>
    </row>
    <row r="16472" spans="39:41" ht="12" customHeight="1" x14ac:dyDescent="0.2">
      <c r="AM16472" t="str">
        <f t="shared" si="257"/>
        <v>Usujiri [JPUSJ]</v>
      </c>
      <c r="AN16472" t="s">
        <v>21333</v>
      </c>
      <c r="AO16472" t="s">
        <v>21334</v>
      </c>
    </row>
    <row r="16473" spans="39:41" ht="12" customHeight="1" x14ac:dyDescent="0.2">
      <c r="AM16473" t="str">
        <f t="shared" si="257"/>
        <v>Usuka [JPUKA]</v>
      </c>
      <c r="AN16473" t="s">
        <v>21335</v>
      </c>
      <c r="AO16473" t="s">
        <v>21336</v>
      </c>
    </row>
    <row r="16474" spans="39:41" ht="12" customHeight="1" x14ac:dyDescent="0.2">
      <c r="AM16474" t="str">
        <f t="shared" si="257"/>
        <v>Usuki [JPUSK]</v>
      </c>
      <c r="AN16474" t="s">
        <v>21337</v>
      </c>
      <c r="AO16474" t="s">
        <v>21338</v>
      </c>
    </row>
    <row r="16475" spans="39:41" ht="12" customHeight="1" x14ac:dyDescent="0.2">
      <c r="AM16475" t="str">
        <f t="shared" si="257"/>
        <v>Usuno [JPUSN]</v>
      </c>
      <c r="AN16475" t="s">
        <v>21339</v>
      </c>
      <c r="AO16475" t="s">
        <v>21340</v>
      </c>
    </row>
    <row r="16476" spans="39:41" ht="12" customHeight="1" x14ac:dyDescent="0.2">
      <c r="AM16476" t="str">
        <f t="shared" si="257"/>
        <v>Usunoura [JPUSU]</v>
      </c>
      <c r="AN16476" t="s">
        <v>21341</v>
      </c>
      <c r="AO16476" t="s">
        <v>21342</v>
      </c>
    </row>
    <row r="16477" spans="39:41" ht="12" customHeight="1" x14ac:dyDescent="0.2">
      <c r="AM16477" t="str">
        <f t="shared" si="257"/>
        <v>Utansjo [SEUTA]</v>
      </c>
      <c r="AN16477" t="s">
        <v>27933</v>
      </c>
      <c r="AO16477" t="s">
        <v>36540</v>
      </c>
    </row>
    <row r="16478" spans="39:41" ht="12" customHeight="1" x14ac:dyDescent="0.2">
      <c r="AM16478" t="str">
        <f t="shared" si="257"/>
        <v>Utazu [JPUTZ]</v>
      </c>
      <c r="AN16478" t="s">
        <v>21343</v>
      </c>
      <c r="AO16478" t="s">
        <v>21344</v>
      </c>
    </row>
    <row r="16479" spans="39:41" ht="12" customHeight="1" x14ac:dyDescent="0.2">
      <c r="AM16479" t="str">
        <f t="shared" si="257"/>
        <v>Utgardskilen [NOUTG]</v>
      </c>
      <c r="AN16479" t="s">
        <v>24959</v>
      </c>
      <c r="AO16479" t="s">
        <v>36337</v>
      </c>
    </row>
    <row r="16480" spans="39:41" ht="12" customHeight="1" x14ac:dyDescent="0.2">
      <c r="AM16480" t="str">
        <f t="shared" si="257"/>
        <v>Uthaug [NOUTH]</v>
      </c>
      <c r="AN16480" t="s">
        <v>24960</v>
      </c>
      <c r="AO16480" t="s">
        <v>24961</v>
      </c>
    </row>
    <row r="16481" spans="39:41" ht="12" customHeight="1" x14ac:dyDescent="0.2">
      <c r="AM16481" t="str">
        <f t="shared" si="257"/>
        <v>Utne [NOUTN]</v>
      </c>
      <c r="AN16481" t="s">
        <v>24962</v>
      </c>
      <c r="AO16481" t="s">
        <v>24963</v>
      </c>
    </row>
    <row r="16482" spans="39:41" ht="12" customHeight="1" x14ac:dyDescent="0.2">
      <c r="AM16482" t="str">
        <f t="shared" si="257"/>
        <v>Utsira [NOUTS]</v>
      </c>
      <c r="AN16482" t="s">
        <v>24964</v>
      </c>
      <c r="AO16482" t="s">
        <v>24965</v>
      </c>
    </row>
    <row r="16483" spans="39:41" ht="12" customHeight="1" x14ac:dyDescent="0.2">
      <c r="AM16483" t="str">
        <f t="shared" si="257"/>
        <v>Utsumi, Aichi [JPUTM]</v>
      </c>
      <c r="AN16483" t="s">
        <v>21345</v>
      </c>
      <c r="AO16483" t="s">
        <v>21346</v>
      </c>
    </row>
    <row r="16484" spans="39:41" ht="12" customHeight="1" x14ac:dyDescent="0.2">
      <c r="AM16484" t="str">
        <f t="shared" si="257"/>
        <v>Utsumi, Hiroshima [JPUTS]</v>
      </c>
      <c r="AN16484" t="s">
        <v>21347</v>
      </c>
      <c r="AO16484" t="s">
        <v>21348</v>
      </c>
    </row>
    <row r="16485" spans="39:41" ht="12" customHeight="1" x14ac:dyDescent="0.2">
      <c r="AM16485" t="str">
        <f t="shared" si="257"/>
        <v>Uttan [INUTN]</v>
      </c>
      <c r="AN16485" t="s">
        <v>17513</v>
      </c>
      <c r="AO16485" t="s">
        <v>17514</v>
      </c>
    </row>
    <row r="16486" spans="39:41" ht="12" customHeight="1" x14ac:dyDescent="0.2">
      <c r="AM16486" t="str">
        <f t="shared" si="257"/>
        <v>Uturoa [PFUTU]</v>
      </c>
      <c r="AN16486" t="s">
        <v>25340</v>
      </c>
      <c r="AO16486" t="s">
        <v>25341</v>
      </c>
    </row>
    <row r="16487" spans="39:41" ht="12" customHeight="1" x14ac:dyDescent="0.2">
      <c r="AM16487" t="str">
        <f t="shared" si="257"/>
        <v>Utvorda [NOUTV]</v>
      </c>
      <c r="AN16487" t="s">
        <v>24966</v>
      </c>
      <c r="AO16487" t="s">
        <v>24967</v>
      </c>
    </row>
    <row r="16488" spans="39:41" ht="12" customHeight="1" x14ac:dyDescent="0.2">
      <c r="AM16488" t="str">
        <f t="shared" si="257"/>
        <v>Utzenstorf [CHTZE]</v>
      </c>
      <c r="AN16488" t="s">
        <v>4760</v>
      </c>
      <c r="AO16488" t="s">
        <v>4761</v>
      </c>
    </row>
    <row r="16489" spans="39:41" ht="12" customHeight="1" x14ac:dyDescent="0.2">
      <c r="AM16489" t="str">
        <f t="shared" ref="AM16489:AM16552" si="258">AO16489 &amp; " [" &amp; AN16489 &amp; "]"</f>
        <v>Uummannaq [GLUMD]</v>
      </c>
      <c r="AN16489" t="s">
        <v>15033</v>
      </c>
      <c r="AO16489" t="s">
        <v>15034</v>
      </c>
    </row>
    <row r="16490" spans="39:41" ht="12" customHeight="1" x14ac:dyDescent="0.2">
      <c r="AM16490" t="str">
        <f t="shared" si="258"/>
        <v>Uusi-Valamo/Heinavesi [FIUUS]</v>
      </c>
      <c r="AN16490" t="s">
        <v>10583</v>
      </c>
      <c r="AO16490" t="s">
        <v>35759</v>
      </c>
    </row>
    <row r="16491" spans="39:41" ht="12" customHeight="1" x14ac:dyDescent="0.2">
      <c r="AM16491" t="str">
        <f t="shared" si="258"/>
        <v>Uvala Mir [HRUVM]</v>
      </c>
      <c r="AN16491" t="s">
        <v>15986</v>
      </c>
      <c r="AO16491" t="s">
        <v>15987</v>
      </c>
    </row>
    <row r="16492" spans="39:41" ht="12" customHeight="1" x14ac:dyDescent="0.2">
      <c r="AM16492" t="str">
        <f t="shared" si="258"/>
        <v>Uwajima [JPUWA]</v>
      </c>
      <c r="AN16492" t="s">
        <v>21349</v>
      </c>
      <c r="AO16492" t="s">
        <v>21350</v>
      </c>
    </row>
    <row r="16493" spans="39:41" ht="12" customHeight="1" x14ac:dyDescent="0.2">
      <c r="AM16493" t="str">
        <f t="shared" si="258"/>
        <v>Uwchland [USUWC]</v>
      </c>
      <c r="AN16493" t="s">
        <v>31818</v>
      </c>
      <c r="AO16493" t="s">
        <v>31819</v>
      </c>
    </row>
    <row r="16494" spans="39:41" ht="12" customHeight="1" x14ac:dyDescent="0.2">
      <c r="AM16494" t="str">
        <f t="shared" si="258"/>
        <v>Uxbridge [USUXX]</v>
      </c>
      <c r="AN16494" t="s">
        <v>31820</v>
      </c>
      <c r="AO16494" t="s">
        <v>31821</v>
      </c>
    </row>
    <row r="16495" spans="39:41" ht="12" customHeight="1" x14ac:dyDescent="0.2">
      <c r="AM16495" t="str">
        <f t="shared" si="258"/>
        <v>Uyeasound, Unst [GBUYE]</v>
      </c>
      <c r="AN16495" t="s">
        <v>14758</v>
      </c>
      <c r="AO16495" t="s">
        <v>14759</v>
      </c>
    </row>
    <row r="16496" spans="39:41" ht="12" customHeight="1" x14ac:dyDescent="0.2">
      <c r="AM16496" t="str">
        <f t="shared" si="258"/>
        <v>Uzemain [FR8AY]</v>
      </c>
      <c r="AN16496" t="s">
        <v>12159</v>
      </c>
      <c r="AO16496" t="s">
        <v>12160</v>
      </c>
    </row>
    <row r="16497" spans="39:41" ht="12" customHeight="1" x14ac:dyDescent="0.2">
      <c r="AM16497" t="str">
        <f t="shared" si="258"/>
        <v>Uzuki [JPUZK]</v>
      </c>
      <c r="AN16497" t="s">
        <v>21351</v>
      </c>
      <c r="AO16497" t="s">
        <v>21352</v>
      </c>
    </row>
    <row r="16498" spans="39:41" ht="12" customHeight="1" x14ac:dyDescent="0.2">
      <c r="AM16498" t="str">
        <f t="shared" si="258"/>
        <v>Vaalcon [ZAVAC]</v>
      </c>
      <c r="AN16498" t="s">
        <v>32746</v>
      </c>
      <c r="AO16498" t="s">
        <v>32747</v>
      </c>
    </row>
    <row r="16499" spans="39:41" ht="12" customHeight="1" x14ac:dyDescent="0.2">
      <c r="AM16499" t="str">
        <f t="shared" si="258"/>
        <v>Vaasa (Vasa) [FIVAA]</v>
      </c>
      <c r="AN16499" t="s">
        <v>10584</v>
      </c>
      <c r="AO16499" t="s">
        <v>10585</v>
      </c>
    </row>
    <row r="16500" spans="39:41" ht="12" customHeight="1" x14ac:dyDescent="0.2">
      <c r="AM16500" t="str">
        <f t="shared" si="258"/>
        <v>Vacamonte [PAVAC]</v>
      </c>
      <c r="AN16500" t="s">
        <v>25231</v>
      </c>
      <c r="AO16500" t="s">
        <v>25232</v>
      </c>
    </row>
    <row r="16501" spans="39:41" ht="12" customHeight="1" x14ac:dyDescent="0.2">
      <c r="AM16501" t="str">
        <f t="shared" si="258"/>
        <v>Vada [ITVDA]</v>
      </c>
      <c r="AN16501" t="s">
        <v>18390</v>
      </c>
      <c r="AO16501" t="s">
        <v>18391</v>
      </c>
    </row>
    <row r="16502" spans="39:41" ht="12" customHeight="1" x14ac:dyDescent="0.2">
      <c r="AM16502" t="str">
        <f t="shared" si="258"/>
        <v>Vadair [FOVID]</v>
      </c>
      <c r="AN16502" t="s">
        <v>10703</v>
      </c>
      <c r="AO16502" t="s">
        <v>10704</v>
      </c>
    </row>
    <row r="16503" spans="39:41" ht="12" customHeight="1" x14ac:dyDescent="0.2">
      <c r="AM16503" t="str">
        <f t="shared" si="258"/>
        <v>Vadarevu [INVRU]</v>
      </c>
      <c r="AN16503" t="s">
        <v>17515</v>
      </c>
      <c r="AO16503" t="s">
        <v>17516</v>
      </c>
    </row>
    <row r="16504" spans="39:41" ht="12" customHeight="1" x14ac:dyDescent="0.2">
      <c r="AM16504" t="str">
        <f t="shared" si="258"/>
        <v>Vadheim [NOVHM]</v>
      </c>
      <c r="AN16504" t="s">
        <v>24968</v>
      </c>
      <c r="AO16504" t="s">
        <v>24969</v>
      </c>
    </row>
    <row r="16505" spans="39:41" ht="12" customHeight="1" x14ac:dyDescent="0.2">
      <c r="AM16505" t="str">
        <f t="shared" si="258"/>
        <v>Vadinar [INVAD]</v>
      </c>
      <c r="AN16505" t="s">
        <v>17517</v>
      </c>
      <c r="AO16505" t="s">
        <v>17518</v>
      </c>
    </row>
    <row r="16506" spans="39:41" ht="12" customHeight="1" x14ac:dyDescent="0.2">
      <c r="AM16506" t="str">
        <f t="shared" si="258"/>
        <v>Vado Ligure [ITVDL]</v>
      </c>
      <c r="AN16506" t="s">
        <v>18392</v>
      </c>
      <c r="AO16506" t="s">
        <v>18393</v>
      </c>
    </row>
    <row r="16507" spans="39:41" ht="12" customHeight="1" x14ac:dyDescent="0.2">
      <c r="AM16507" t="str">
        <f t="shared" si="258"/>
        <v>Vadodara [INBDQ]</v>
      </c>
      <c r="AN16507" t="s">
        <v>17519</v>
      </c>
      <c r="AO16507" t="s">
        <v>17520</v>
      </c>
    </row>
    <row r="16508" spans="39:41" ht="12" customHeight="1" x14ac:dyDescent="0.2">
      <c r="AM16508" t="str">
        <f t="shared" si="258"/>
        <v>Vadso [NOVDS]</v>
      </c>
      <c r="AN16508" t="s">
        <v>24970</v>
      </c>
      <c r="AO16508" t="s">
        <v>36338</v>
      </c>
    </row>
    <row r="16509" spans="39:41" ht="12" customHeight="1" x14ac:dyDescent="0.2">
      <c r="AM16509" t="str">
        <f t="shared" si="258"/>
        <v>Vagaholmen [NOVOH]</v>
      </c>
      <c r="AN16509" t="s">
        <v>24971</v>
      </c>
      <c r="AO16509" t="s">
        <v>36339</v>
      </c>
    </row>
    <row r="16510" spans="39:41" ht="12" customHeight="1" x14ac:dyDescent="0.2">
      <c r="AM16510" t="str">
        <f t="shared" si="258"/>
        <v>Vagan [NOVGN]</v>
      </c>
      <c r="AN16510" t="s">
        <v>24972</v>
      </c>
      <c r="AO16510" t="s">
        <v>36340</v>
      </c>
    </row>
    <row r="16511" spans="39:41" ht="12" customHeight="1" x14ac:dyDescent="0.2">
      <c r="AM16511" t="str">
        <f t="shared" si="258"/>
        <v>Vaggerlose [DKVG4]</v>
      </c>
      <c r="AN16511" t="s">
        <v>8952</v>
      </c>
      <c r="AO16511" t="s">
        <v>35598</v>
      </c>
    </row>
    <row r="16512" spans="39:41" ht="12" customHeight="1" x14ac:dyDescent="0.2">
      <c r="AM16512" t="str">
        <f t="shared" si="258"/>
        <v>Vagsoy [NOVGY]</v>
      </c>
      <c r="AN16512" t="s">
        <v>24973</v>
      </c>
      <c r="AO16512" t="s">
        <v>36341</v>
      </c>
    </row>
    <row r="16513" spans="39:41" ht="12" customHeight="1" x14ac:dyDescent="0.2">
      <c r="AM16513" t="str">
        <f t="shared" si="258"/>
        <v>Vagsvag [NOVVG]</v>
      </c>
      <c r="AN16513" t="s">
        <v>24974</v>
      </c>
      <c r="AO16513" t="s">
        <v>36342</v>
      </c>
    </row>
    <row r="16514" spans="39:41" ht="12" customHeight="1" x14ac:dyDescent="0.2">
      <c r="AM16514" t="str">
        <f t="shared" si="258"/>
        <v>Vagueira [PTVAG]</v>
      </c>
      <c r="AN16514" t="s">
        <v>26623</v>
      </c>
      <c r="AO16514" t="s">
        <v>26624</v>
      </c>
    </row>
    <row r="16515" spans="39:41" ht="12" customHeight="1" x14ac:dyDescent="0.2">
      <c r="AM16515" t="str">
        <f t="shared" si="258"/>
        <v>Vagur [FOVAG]</v>
      </c>
      <c r="AN16515" t="s">
        <v>10705</v>
      </c>
      <c r="AO16515" t="s">
        <v>35770</v>
      </c>
    </row>
    <row r="16516" spans="39:41" ht="12" customHeight="1" x14ac:dyDescent="0.2">
      <c r="AM16516" t="str">
        <f t="shared" si="258"/>
        <v>Vaike-Turu [EEVTR]</v>
      </c>
      <c r="AN16516" t="s">
        <v>9393</v>
      </c>
      <c r="AO16516" t="s">
        <v>35649</v>
      </c>
    </row>
    <row r="16517" spans="39:41" ht="12" customHeight="1" x14ac:dyDescent="0.2">
      <c r="AM16517" t="str">
        <f t="shared" si="258"/>
        <v>Vailala [PGVLA]</v>
      </c>
      <c r="AN16517" t="s">
        <v>25490</v>
      </c>
      <c r="AO16517" t="s">
        <v>25491</v>
      </c>
    </row>
    <row r="16518" spans="39:41" ht="12" customHeight="1" x14ac:dyDescent="0.2">
      <c r="AM16518" t="str">
        <f t="shared" si="258"/>
        <v>Vaitape [PFVAI]</v>
      </c>
      <c r="AN16518" t="s">
        <v>25342</v>
      </c>
      <c r="AO16518" t="s">
        <v>25343</v>
      </c>
    </row>
    <row r="16519" spans="39:41" ht="12" customHeight="1" x14ac:dyDescent="0.2">
      <c r="AM16519" t="str">
        <f t="shared" si="258"/>
        <v>Vaja [SEVAJ]</v>
      </c>
      <c r="AN16519" t="s">
        <v>27934</v>
      </c>
      <c r="AO16519" t="s">
        <v>36541</v>
      </c>
    </row>
    <row r="16520" spans="39:41" ht="12" customHeight="1" x14ac:dyDescent="0.2">
      <c r="AM16520" t="str">
        <f t="shared" si="258"/>
        <v>Vakfikebir [TRVAK]</v>
      </c>
      <c r="AN16520" t="s">
        <v>28612</v>
      </c>
      <c r="AO16520" t="s">
        <v>28613</v>
      </c>
    </row>
    <row r="16521" spans="39:41" ht="12" customHeight="1" x14ac:dyDescent="0.2">
      <c r="AM16521" t="str">
        <f t="shared" si="258"/>
        <v>Vaksdal [NOVAK]</v>
      </c>
      <c r="AN16521" t="s">
        <v>24975</v>
      </c>
      <c r="AO16521" t="s">
        <v>24976</v>
      </c>
    </row>
    <row r="16522" spans="39:41" ht="12" customHeight="1" x14ac:dyDescent="0.2">
      <c r="AM16522" t="str">
        <f t="shared" si="258"/>
        <v>Val Saint-Lambert [BEVSB]</v>
      </c>
      <c r="AN16522" t="s">
        <v>3028</v>
      </c>
      <c r="AO16522" t="s">
        <v>3029</v>
      </c>
    </row>
    <row r="16523" spans="39:41" ht="12" customHeight="1" x14ac:dyDescent="0.2">
      <c r="AM16523" t="str">
        <f t="shared" si="258"/>
        <v>Valaska [SKDXZ]</v>
      </c>
      <c r="AN16523" t="s">
        <v>28073</v>
      </c>
      <c r="AO16523" t="s">
        <v>28074</v>
      </c>
    </row>
    <row r="16524" spans="39:41" ht="12" customHeight="1" x14ac:dyDescent="0.2">
      <c r="AM16524" t="str">
        <f t="shared" si="258"/>
        <v>Valberg [NOVBE]</v>
      </c>
      <c r="AN16524" t="s">
        <v>24977</v>
      </c>
      <c r="AO16524" t="s">
        <v>24978</v>
      </c>
    </row>
    <row r="16525" spans="39:41" ht="12" customHeight="1" x14ac:dyDescent="0.2">
      <c r="AM16525" t="str">
        <f t="shared" si="258"/>
        <v>Valberg [SEVAA]</v>
      </c>
      <c r="AN16525" t="s">
        <v>27935</v>
      </c>
      <c r="AO16525" t="s">
        <v>24978</v>
      </c>
    </row>
    <row r="16526" spans="39:41" ht="12" customHeight="1" x14ac:dyDescent="0.2">
      <c r="AM16526" t="str">
        <f t="shared" si="258"/>
        <v>Valbiska [HRVLB]</v>
      </c>
      <c r="AN16526" t="s">
        <v>15988</v>
      </c>
      <c r="AO16526" t="s">
        <v>15989</v>
      </c>
    </row>
    <row r="16527" spans="39:41" ht="12" customHeight="1" x14ac:dyDescent="0.2">
      <c r="AM16527" t="str">
        <f t="shared" si="258"/>
        <v>Valbom [PTVAB]</v>
      </c>
      <c r="AN16527" t="s">
        <v>26625</v>
      </c>
      <c r="AO16527" t="s">
        <v>26626</v>
      </c>
    </row>
    <row r="16528" spans="39:41" ht="12" customHeight="1" x14ac:dyDescent="0.2">
      <c r="AM16528" t="str">
        <f t="shared" si="258"/>
        <v>Valdemarsvik [SEVAK]</v>
      </c>
      <c r="AN16528" t="s">
        <v>27936</v>
      </c>
      <c r="AO16528" t="s">
        <v>27937</v>
      </c>
    </row>
    <row r="16529" spans="39:41" ht="12" customHeight="1" x14ac:dyDescent="0.2">
      <c r="AM16529" t="str">
        <f t="shared" si="258"/>
        <v>Valdetorres de Jarama [ESDEJ]</v>
      </c>
      <c r="AN16529" t="s">
        <v>10268</v>
      </c>
      <c r="AO16529" t="s">
        <v>10269</v>
      </c>
    </row>
    <row r="16530" spans="39:41" ht="12" customHeight="1" x14ac:dyDescent="0.2">
      <c r="AM16530" t="str">
        <f t="shared" si="258"/>
        <v>Valdez [USVDZ]</v>
      </c>
      <c r="AN16530" t="s">
        <v>31822</v>
      </c>
      <c r="AO16530" t="s">
        <v>31823</v>
      </c>
    </row>
    <row r="16531" spans="39:41" ht="12" customHeight="1" x14ac:dyDescent="0.2">
      <c r="AM16531" t="str">
        <f t="shared" si="258"/>
        <v>Valdivia [CLZAL]</v>
      </c>
      <c r="AN16531" t="s">
        <v>4987</v>
      </c>
      <c r="AO16531" t="s">
        <v>4988</v>
      </c>
    </row>
    <row r="16532" spans="39:41" ht="12" customHeight="1" x14ac:dyDescent="0.2">
      <c r="AM16532" t="str">
        <f t="shared" si="258"/>
        <v>Valence [FRVAF]</v>
      </c>
      <c r="AN16532" t="s">
        <v>12161</v>
      </c>
      <c r="AO16532" t="s">
        <v>12162</v>
      </c>
    </row>
    <row r="16533" spans="39:41" ht="12" customHeight="1" x14ac:dyDescent="0.2">
      <c r="AM16533" t="str">
        <f t="shared" si="258"/>
        <v>Valencia [ESVLC]</v>
      </c>
      <c r="AN16533" t="s">
        <v>10270</v>
      </c>
      <c r="AO16533" t="s">
        <v>10271</v>
      </c>
    </row>
    <row r="16534" spans="39:41" ht="12" customHeight="1" x14ac:dyDescent="0.2">
      <c r="AM16534" t="str">
        <f t="shared" si="258"/>
        <v>Valenciennes [FRVAL]</v>
      </c>
      <c r="AN16534" t="s">
        <v>12163</v>
      </c>
      <c r="AO16534" t="s">
        <v>12164</v>
      </c>
    </row>
    <row r="16535" spans="39:41" ht="12" customHeight="1" x14ac:dyDescent="0.2">
      <c r="AM16535" t="str">
        <f t="shared" si="258"/>
        <v>Valera de Abajo [ESVJO]</v>
      </c>
      <c r="AN16535" t="s">
        <v>10272</v>
      </c>
      <c r="AO16535" t="s">
        <v>10273</v>
      </c>
    </row>
    <row r="16536" spans="39:41" ht="12" customHeight="1" x14ac:dyDescent="0.2">
      <c r="AM16536" t="str">
        <f t="shared" si="258"/>
        <v>Valevag [NOVAG]</v>
      </c>
      <c r="AN16536" t="s">
        <v>24979</v>
      </c>
      <c r="AO16536" t="s">
        <v>36343</v>
      </c>
    </row>
    <row r="16537" spans="39:41" ht="12" customHeight="1" x14ac:dyDescent="0.2">
      <c r="AM16537" t="str">
        <f t="shared" si="258"/>
        <v>Valinokkam [INVKM]</v>
      </c>
      <c r="AN16537" t="s">
        <v>17521</v>
      </c>
      <c r="AO16537" t="s">
        <v>17522</v>
      </c>
    </row>
    <row r="16538" spans="39:41" ht="12" customHeight="1" x14ac:dyDescent="0.2">
      <c r="AM16538" t="str">
        <f t="shared" si="258"/>
        <v>Valkenisse [NLVKS]</v>
      </c>
      <c r="AN16538" t="s">
        <v>23698</v>
      </c>
      <c r="AO16538" t="s">
        <v>23699</v>
      </c>
    </row>
    <row r="16539" spans="39:41" ht="12" customHeight="1" x14ac:dyDescent="0.2">
      <c r="AM16539" t="str">
        <f t="shared" si="258"/>
        <v>Valko (Valkom) [FIVKO]</v>
      </c>
      <c r="AN16539" t="s">
        <v>10586</v>
      </c>
      <c r="AO16539" t="s">
        <v>10587</v>
      </c>
    </row>
    <row r="16540" spans="39:41" ht="12" customHeight="1" x14ac:dyDescent="0.2">
      <c r="AM16540" t="str">
        <f t="shared" si="258"/>
        <v>Vallabregues [FREG5]</v>
      </c>
      <c r="AN16540" t="s">
        <v>12165</v>
      </c>
      <c r="AO16540" t="s">
        <v>35859</v>
      </c>
    </row>
    <row r="16541" spans="39:41" ht="12" customHeight="1" x14ac:dyDescent="0.2">
      <c r="AM16541" t="str">
        <f t="shared" si="258"/>
        <v>Vallcarca [ESVCC]</v>
      </c>
      <c r="AN16541" t="s">
        <v>10274</v>
      </c>
      <c r="AO16541" t="s">
        <v>10275</v>
      </c>
    </row>
    <row r="16542" spans="39:41" ht="12" customHeight="1" x14ac:dyDescent="0.2">
      <c r="AM16542" t="str">
        <f t="shared" si="258"/>
        <v>Valldal [NOVAD]</v>
      </c>
      <c r="AN16542" t="s">
        <v>24980</v>
      </c>
      <c r="AO16542" t="s">
        <v>24981</v>
      </c>
    </row>
    <row r="16543" spans="39:41" ht="12" customHeight="1" x14ac:dyDescent="0.2">
      <c r="AM16543" t="str">
        <f t="shared" si="258"/>
        <v>Valle Gran Rey [ESVGR]</v>
      </c>
      <c r="AN16543" t="s">
        <v>10276</v>
      </c>
      <c r="AO16543" t="s">
        <v>10277</v>
      </c>
    </row>
    <row r="16544" spans="39:41" ht="12" customHeight="1" x14ac:dyDescent="0.2">
      <c r="AM16544" t="str">
        <f t="shared" si="258"/>
        <v>Vallecito [US8QA]</v>
      </c>
      <c r="AN16544" t="s">
        <v>31824</v>
      </c>
      <c r="AO16544" t="s">
        <v>31825</v>
      </c>
    </row>
    <row r="16545" spans="39:41" ht="12" customHeight="1" x14ac:dyDescent="0.2">
      <c r="AM16545" t="str">
        <f t="shared" si="258"/>
        <v>Vallensbak [DKVAE]</v>
      </c>
      <c r="AN16545" t="s">
        <v>8953</v>
      </c>
      <c r="AO16545" t="s">
        <v>35599</v>
      </c>
    </row>
    <row r="16546" spans="39:41" ht="12" customHeight="1" x14ac:dyDescent="0.2">
      <c r="AM16546" t="str">
        <f t="shared" si="258"/>
        <v>Vallersund [NOVLS]</v>
      </c>
      <c r="AN16546" t="s">
        <v>24982</v>
      </c>
      <c r="AO16546" t="s">
        <v>24983</v>
      </c>
    </row>
    <row r="16547" spans="39:41" ht="12" customHeight="1" x14ac:dyDescent="0.2">
      <c r="AM16547" t="str">
        <f t="shared" si="258"/>
        <v>Valletta [MTMLA]</v>
      </c>
      <c r="AN16547" t="s">
        <v>22278</v>
      </c>
      <c r="AO16547" t="s">
        <v>22279</v>
      </c>
    </row>
    <row r="16548" spans="39:41" ht="12" customHeight="1" x14ac:dyDescent="0.2">
      <c r="AM16548" t="str">
        <f t="shared" si="258"/>
        <v>Valleyfield [CAVLF]</v>
      </c>
      <c r="AN16548" t="s">
        <v>4557</v>
      </c>
      <c r="AO16548" t="s">
        <v>4558</v>
      </c>
    </row>
    <row r="16549" spans="39:41" ht="12" customHeight="1" x14ac:dyDescent="0.2">
      <c r="AM16549" t="str">
        <f t="shared" si="258"/>
        <v>Valloy [NOVAL]</v>
      </c>
      <c r="AN16549" t="s">
        <v>24984</v>
      </c>
      <c r="AO16549" t="s">
        <v>36344</v>
      </c>
    </row>
    <row r="16550" spans="39:41" ht="12" customHeight="1" x14ac:dyDescent="0.2">
      <c r="AM16550" t="str">
        <f t="shared" si="258"/>
        <v>Vallvik [SEVAL]</v>
      </c>
      <c r="AN16550" t="s">
        <v>27938</v>
      </c>
      <c r="AO16550" t="s">
        <v>27939</v>
      </c>
    </row>
    <row r="16551" spans="39:41" ht="12" customHeight="1" x14ac:dyDescent="0.2">
      <c r="AM16551" t="str">
        <f t="shared" si="258"/>
        <v>Valmeranna [EEVLR]</v>
      </c>
      <c r="AN16551" t="s">
        <v>34174</v>
      </c>
      <c r="AO16551" t="s">
        <v>34248</v>
      </c>
    </row>
    <row r="16552" spans="39:41" ht="12" customHeight="1" x14ac:dyDescent="0.2">
      <c r="AM16552" t="str">
        <f t="shared" si="258"/>
        <v>Valongo [PTNGV]</v>
      </c>
      <c r="AN16552" t="s">
        <v>26627</v>
      </c>
      <c r="AO16552" t="s">
        <v>26628</v>
      </c>
    </row>
    <row r="16553" spans="39:41" ht="12" customHeight="1" x14ac:dyDescent="0.2">
      <c r="AM16553" t="str">
        <f t="shared" ref="AM16553:AM16616" si="259">AO16553 &amp; " [" &amp; AN16553 &amp; "]"</f>
        <v>Valparaiso [CLVAP]</v>
      </c>
      <c r="AN16553" t="s">
        <v>4989</v>
      </c>
      <c r="AO16553" t="s">
        <v>4990</v>
      </c>
    </row>
    <row r="16554" spans="39:41" ht="12" customHeight="1" x14ac:dyDescent="0.2">
      <c r="AM16554" t="str">
        <f t="shared" si="259"/>
        <v>Valsneset [NOVAE]</v>
      </c>
      <c r="AN16554" t="s">
        <v>24985</v>
      </c>
      <c r="AO16554" t="s">
        <v>24986</v>
      </c>
    </row>
    <row r="16555" spans="39:41" ht="12" customHeight="1" x14ac:dyDescent="0.2">
      <c r="AM16555" t="str">
        <f t="shared" si="259"/>
        <v>Van Alstyne [USVLS]</v>
      </c>
      <c r="AN16555" t="s">
        <v>31826</v>
      </c>
      <c r="AO16555" t="s">
        <v>31827</v>
      </c>
    </row>
    <row r="16556" spans="39:41" ht="12" customHeight="1" x14ac:dyDescent="0.2">
      <c r="AM16556" t="str">
        <f t="shared" si="259"/>
        <v>Van Buren [USVBE]</v>
      </c>
      <c r="AN16556" t="s">
        <v>31829</v>
      </c>
      <c r="AO16556" t="s">
        <v>31828</v>
      </c>
    </row>
    <row r="16557" spans="39:41" ht="12" customHeight="1" x14ac:dyDescent="0.2">
      <c r="AM16557" t="str">
        <f t="shared" si="259"/>
        <v>Van Gogh Terminal [AUVGH]</v>
      </c>
      <c r="AN16557" t="s">
        <v>2088</v>
      </c>
      <c r="AO16557" t="s">
        <v>2089</v>
      </c>
    </row>
    <row r="16558" spans="39:41" ht="12" customHeight="1" x14ac:dyDescent="0.2">
      <c r="AM16558" t="str">
        <f t="shared" si="259"/>
        <v>Van Phong [VNVPH]</v>
      </c>
      <c r="AN16558" t="s">
        <v>32511</v>
      </c>
      <c r="AO16558" t="s">
        <v>32512</v>
      </c>
    </row>
    <row r="16559" spans="39:41" ht="12" customHeight="1" x14ac:dyDescent="0.2">
      <c r="AM16559" t="str">
        <f t="shared" si="259"/>
        <v>Vananda [CAVND]</v>
      </c>
      <c r="AN16559" t="s">
        <v>4559</v>
      </c>
      <c r="AO16559" t="s">
        <v>4560</v>
      </c>
    </row>
    <row r="16560" spans="39:41" ht="12" customHeight="1" x14ac:dyDescent="0.2">
      <c r="AM16560" t="str">
        <f t="shared" si="259"/>
        <v>Vanasadam [EEVAN]</v>
      </c>
      <c r="AN16560" t="s">
        <v>9394</v>
      </c>
      <c r="AO16560" t="s">
        <v>9395</v>
      </c>
    </row>
    <row r="16561" spans="39:41" ht="12" customHeight="1" x14ac:dyDescent="0.2">
      <c r="AM16561" t="str">
        <f t="shared" si="259"/>
        <v>Vana-Sauga Sadam [EEVSG]</v>
      </c>
      <c r="AN16561" t="s">
        <v>34082</v>
      </c>
      <c r="AO16561" t="s">
        <v>34128</v>
      </c>
    </row>
    <row r="16562" spans="39:41" ht="12" customHeight="1" x14ac:dyDescent="0.2">
      <c r="AM16562" t="str">
        <f t="shared" si="259"/>
        <v>Vanatori Neamt [ROVTR]</v>
      </c>
      <c r="AN16562" t="s">
        <v>26828</v>
      </c>
      <c r="AO16562" t="s">
        <v>26829</v>
      </c>
    </row>
    <row r="16563" spans="39:41" ht="12" customHeight="1" x14ac:dyDescent="0.2">
      <c r="AM16563" t="str">
        <f t="shared" si="259"/>
        <v>Vanceburg [USVGS]</v>
      </c>
      <c r="AN16563" t="s">
        <v>31830</v>
      </c>
      <c r="AO16563" t="s">
        <v>31831</v>
      </c>
    </row>
    <row r="16564" spans="39:41" ht="12" customHeight="1" x14ac:dyDescent="0.2">
      <c r="AM16564" t="str">
        <f t="shared" si="259"/>
        <v>Vancouver [CAVAN]</v>
      </c>
      <c r="AN16564" t="s">
        <v>4561</v>
      </c>
      <c r="AO16564" t="s">
        <v>4562</v>
      </c>
    </row>
    <row r="16565" spans="39:41" ht="12" customHeight="1" x14ac:dyDescent="0.2">
      <c r="AM16565" t="str">
        <f t="shared" si="259"/>
        <v>Vancouver [USVAN]</v>
      </c>
      <c r="AN16565" t="s">
        <v>31832</v>
      </c>
      <c r="AO16565" t="s">
        <v>4562</v>
      </c>
    </row>
    <row r="16566" spans="39:41" ht="12" customHeight="1" x14ac:dyDescent="0.2">
      <c r="AM16566" t="str">
        <f t="shared" si="259"/>
        <v>Vandieres [FRM52]</v>
      </c>
      <c r="AN16566" t="s">
        <v>12166</v>
      </c>
      <c r="AO16566" t="s">
        <v>35860</v>
      </c>
    </row>
    <row r="16567" spans="39:41" ht="12" customHeight="1" x14ac:dyDescent="0.2">
      <c r="AM16567" t="str">
        <f t="shared" si="259"/>
        <v>Vanersborg [SEVAN]</v>
      </c>
      <c r="AN16567" t="s">
        <v>27940</v>
      </c>
      <c r="AO16567" t="s">
        <v>36542</v>
      </c>
    </row>
    <row r="16568" spans="39:41" ht="12" customHeight="1" x14ac:dyDescent="0.2">
      <c r="AM16568" t="str">
        <f t="shared" si="259"/>
        <v>Vang Havn [DKVNG]</v>
      </c>
      <c r="AN16568" t="s">
        <v>8954</v>
      </c>
      <c r="AO16568" t="s">
        <v>8955</v>
      </c>
    </row>
    <row r="16569" spans="39:41" ht="12" customHeight="1" x14ac:dyDescent="0.2">
      <c r="AM16569" t="str">
        <f t="shared" si="259"/>
        <v>Vanimo [PGVAI]</v>
      </c>
      <c r="AN16569" t="s">
        <v>25492</v>
      </c>
      <c r="AO16569" t="s">
        <v>25493</v>
      </c>
    </row>
    <row r="16570" spans="39:41" ht="12" customHeight="1" x14ac:dyDescent="0.2">
      <c r="AM16570" t="str">
        <f t="shared" si="259"/>
        <v>Vanino [RUVNN]</v>
      </c>
      <c r="AN16570" t="s">
        <v>27300</v>
      </c>
      <c r="AO16570" t="s">
        <v>27301</v>
      </c>
    </row>
    <row r="16571" spans="39:41" ht="12" customHeight="1" x14ac:dyDescent="0.2">
      <c r="AM16571" t="str">
        <f t="shared" si="259"/>
        <v>Vankarem [RUVKR]</v>
      </c>
      <c r="AN16571" t="s">
        <v>27302</v>
      </c>
      <c r="AO16571" t="s">
        <v>27303</v>
      </c>
    </row>
    <row r="16572" spans="39:41" ht="12" customHeight="1" x14ac:dyDescent="0.2">
      <c r="AM16572" t="str">
        <f t="shared" si="259"/>
        <v>Vannavalen [NOVNN]</v>
      </c>
      <c r="AN16572" t="s">
        <v>24987</v>
      </c>
      <c r="AO16572" t="s">
        <v>24988</v>
      </c>
    </row>
    <row r="16573" spans="39:41" ht="12" customHeight="1" x14ac:dyDescent="0.2">
      <c r="AM16573" t="str">
        <f t="shared" si="259"/>
        <v>Vannes [FRVNE]</v>
      </c>
      <c r="AN16573" t="s">
        <v>12167</v>
      </c>
      <c r="AO16573" t="s">
        <v>12168</v>
      </c>
    </row>
    <row r="16574" spans="39:41" ht="12" customHeight="1" x14ac:dyDescent="0.2">
      <c r="AM16574" t="str">
        <f t="shared" si="259"/>
        <v>Vansi-Borsi [INVSI]</v>
      </c>
      <c r="AN16574" t="s">
        <v>17523</v>
      </c>
      <c r="AO16574" t="s">
        <v>17524</v>
      </c>
    </row>
    <row r="16575" spans="39:41" ht="12" customHeight="1" x14ac:dyDescent="0.2">
      <c r="AM16575" t="str">
        <f t="shared" si="259"/>
        <v>Vanvikan-Leksvik [NOVAN]</v>
      </c>
      <c r="AN16575" t="s">
        <v>24989</v>
      </c>
      <c r="AO16575" t="s">
        <v>24990</v>
      </c>
    </row>
    <row r="16576" spans="39:41" ht="12" customHeight="1" x14ac:dyDescent="0.2">
      <c r="AM16576" t="str">
        <f t="shared" si="259"/>
        <v>Vanylven [NOVAY]</v>
      </c>
      <c r="AN16576" t="s">
        <v>24991</v>
      </c>
      <c r="AO16576" t="s">
        <v>24992</v>
      </c>
    </row>
    <row r="16577" spans="39:41" ht="12" customHeight="1" x14ac:dyDescent="0.2">
      <c r="AM16577" t="str">
        <f t="shared" si="259"/>
        <v>Varandey [RUVAR]</v>
      </c>
      <c r="AN16577" t="s">
        <v>27304</v>
      </c>
      <c r="AO16577" t="s">
        <v>27305</v>
      </c>
    </row>
    <row r="16578" spans="39:41" ht="12" customHeight="1" x14ac:dyDescent="0.2">
      <c r="AM16578" t="str">
        <f t="shared" si="259"/>
        <v>Varanus Island [AUVAR]</v>
      </c>
      <c r="AN16578" t="s">
        <v>2090</v>
      </c>
      <c r="AO16578" t="s">
        <v>2091</v>
      </c>
    </row>
    <row r="16579" spans="39:41" ht="12" customHeight="1" x14ac:dyDescent="0.2">
      <c r="AM16579" t="str">
        <f t="shared" si="259"/>
        <v>Varati [EEVRI]</v>
      </c>
      <c r="AN16579" t="s">
        <v>9396</v>
      </c>
      <c r="AO16579" t="s">
        <v>35650</v>
      </c>
    </row>
    <row r="16580" spans="39:41" ht="12" customHeight="1" x14ac:dyDescent="0.2">
      <c r="AM16580" t="str">
        <f t="shared" si="259"/>
        <v>Varavda [INVRD]</v>
      </c>
      <c r="AN16580" t="s">
        <v>17525</v>
      </c>
      <c r="AO16580" t="s">
        <v>17526</v>
      </c>
    </row>
    <row r="16581" spans="39:41" ht="12" customHeight="1" x14ac:dyDescent="0.2">
      <c r="AM16581" t="str">
        <f t="shared" si="259"/>
        <v>Varberg [SEVAG]</v>
      </c>
      <c r="AN16581" t="s">
        <v>27941</v>
      </c>
      <c r="AO16581" t="s">
        <v>27942</v>
      </c>
    </row>
    <row r="16582" spans="39:41" ht="12" customHeight="1" x14ac:dyDescent="0.2">
      <c r="AM16582" t="str">
        <f t="shared" si="259"/>
        <v>Varbla Puhkekula [EEVPS]</v>
      </c>
      <c r="AN16582" t="s">
        <v>9397</v>
      </c>
      <c r="AO16582" t="s">
        <v>35651</v>
      </c>
    </row>
    <row r="16583" spans="39:41" ht="12" customHeight="1" x14ac:dyDescent="0.2">
      <c r="AM16583" t="str">
        <f t="shared" si="259"/>
        <v>Varby [SEVRB]</v>
      </c>
      <c r="AN16583" t="s">
        <v>27943</v>
      </c>
      <c r="AO16583" t="s">
        <v>36543</v>
      </c>
    </row>
    <row r="16584" spans="39:41" ht="12" customHeight="1" x14ac:dyDescent="0.2">
      <c r="AM16584" t="str">
        <f t="shared" si="259"/>
        <v>Vardo [NOVAO]</v>
      </c>
      <c r="AN16584" t="s">
        <v>24993</v>
      </c>
      <c r="AO16584" t="s">
        <v>36345</v>
      </c>
    </row>
    <row r="16585" spans="39:41" ht="12" customHeight="1" x14ac:dyDescent="0.2">
      <c r="AM16585" t="str">
        <f t="shared" si="259"/>
        <v>Varel [DEVAR]</v>
      </c>
      <c r="AN16585" t="s">
        <v>8397</v>
      </c>
      <c r="AO16585" t="s">
        <v>8398</v>
      </c>
    </row>
    <row r="16586" spans="39:41" ht="12" customHeight="1" x14ac:dyDescent="0.2">
      <c r="AM16586" t="str">
        <f t="shared" si="259"/>
        <v>Varese Sadam [EEVRS]</v>
      </c>
      <c r="AN16586" t="s">
        <v>9398</v>
      </c>
      <c r="AO16586" t="s">
        <v>9399</v>
      </c>
    </row>
    <row r="16587" spans="39:41" ht="12" customHeight="1" x14ac:dyDescent="0.2">
      <c r="AM16587" t="str">
        <f t="shared" si="259"/>
        <v>Varesnes [FRVSQ]</v>
      </c>
      <c r="AN16587" t="s">
        <v>12169</v>
      </c>
      <c r="AO16587" t="s">
        <v>12170</v>
      </c>
    </row>
    <row r="16588" spans="39:41" ht="12" customHeight="1" x14ac:dyDescent="0.2">
      <c r="AM16588" t="str">
        <f t="shared" si="259"/>
        <v>Varg field [GBVGI]</v>
      </c>
      <c r="AN16588" t="s">
        <v>14760</v>
      </c>
      <c r="AO16588" t="s">
        <v>14761</v>
      </c>
    </row>
    <row r="16589" spans="39:41" ht="12" customHeight="1" x14ac:dyDescent="0.2">
      <c r="AM16589" t="str">
        <f t="shared" si="259"/>
        <v>Vargon [SEVGN]</v>
      </c>
      <c r="AN16589" t="s">
        <v>27944</v>
      </c>
      <c r="AO16589" t="s">
        <v>36544</v>
      </c>
    </row>
    <row r="16590" spans="39:41" ht="12" customHeight="1" x14ac:dyDescent="0.2">
      <c r="AM16590" t="str">
        <f t="shared" si="259"/>
        <v>Varjakka [FIVJK]</v>
      </c>
      <c r="AN16590" t="s">
        <v>10588</v>
      </c>
      <c r="AO16590" t="s">
        <v>10589</v>
      </c>
    </row>
    <row r="16591" spans="39:41" ht="12" customHeight="1" x14ac:dyDescent="0.2">
      <c r="AM16591" t="str">
        <f t="shared" si="259"/>
        <v>Varkaus [FIVRK]</v>
      </c>
      <c r="AN16591" t="s">
        <v>10590</v>
      </c>
      <c r="AO16591" t="s">
        <v>10591</v>
      </c>
    </row>
    <row r="16592" spans="39:41" ht="12" customHeight="1" x14ac:dyDescent="0.2">
      <c r="AM16592" t="str">
        <f t="shared" si="259"/>
        <v>Varna [BGVAR]</v>
      </c>
      <c r="AN16592" t="s">
        <v>3171</v>
      </c>
      <c r="AO16592" t="s">
        <v>3172</v>
      </c>
    </row>
    <row r="16593" spans="39:41" ht="12" customHeight="1" x14ac:dyDescent="0.2">
      <c r="AM16593" t="str">
        <f t="shared" si="259"/>
        <v>Varna-Zapad [BGVAZ]</v>
      </c>
      <c r="AN16593" t="s">
        <v>3173</v>
      </c>
      <c r="AO16593" t="s">
        <v>3174</v>
      </c>
    </row>
    <row r="16594" spans="39:41" ht="12" customHeight="1" x14ac:dyDescent="0.2">
      <c r="AM16594" t="str">
        <f t="shared" si="259"/>
        <v>Varnell [USYVR]</v>
      </c>
      <c r="AN16594" t="s">
        <v>31833</v>
      </c>
      <c r="AO16594" t="s">
        <v>31834</v>
      </c>
    </row>
    <row r="16595" spans="39:41" ht="12" customHeight="1" x14ac:dyDescent="0.2">
      <c r="AM16595" t="str">
        <f t="shared" si="259"/>
        <v>Varnja Sadam [EEVNJ]</v>
      </c>
      <c r="AN16595" t="s">
        <v>34081</v>
      </c>
      <c r="AO16595" t="s">
        <v>34127</v>
      </c>
    </row>
    <row r="16596" spans="39:41" ht="12" customHeight="1" x14ac:dyDescent="0.2">
      <c r="AM16596" t="str">
        <f t="shared" si="259"/>
        <v>Varoy [NOVEY]</v>
      </c>
      <c r="AN16596" t="s">
        <v>24994</v>
      </c>
      <c r="AO16596" t="s">
        <v>36346</v>
      </c>
    </row>
    <row r="16597" spans="39:41" ht="12" customHeight="1" x14ac:dyDescent="0.2">
      <c r="AM16597" t="str">
        <f t="shared" si="259"/>
        <v>Varpuniemi (Kello) [FIVIR]</v>
      </c>
      <c r="AN16597" t="s">
        <v>10592</v>
      </c>
      <c r="AO16597" t="s">
        <v>10593</v>
      </c>
    </row>
    <row r="16598" spans="39:41" ht="12" customHeight="1" x14ac:dyDescent="0.2">
      <c r="AM16598" t="str">
        <f t="shared" si="259"/>
        <v>Varsen [NLVAR]</v>
      </c>
      <c r="AN16598" t="s">
        <v>23700</v>
      </c>
      <c r="AO16598" t="s">
        <v>23701</v>
      </c>
    </row>
    <row r="16599" spans="39:41" ht="12" customHeight="1" x14ac:dyDescent="0.2">
      <c r="AM16599" t="str">
        <f t="shared" si="259"/>
        <v>Varsova [INVSV]</v>
      </c>
      <c r="AN16599" t="s">
        <v>17527</v>
      </c>
      <c r="AO16599" t="s">
        <v>17528</v>
      </c>
    </row>
    <row r="16600" spans="39:41" ht="12" customHeight="1" x14ac:dyDescent="0.2">
      <c r="AM16600" t="str">
        <f t="shared" si="259"/>
        <v>Varssu [EEVAR]</v>
      </c>
      <c r="AN16600" t="s">
        <v>9400</v>
      </c>
      <c r="AO16600" t="s">
        <v>35652</v>
      </c>
    </row>
    <row r="16601" spans="39:41" ht="12" customHeight="1" x14ac:dyDescent="0.2">
      <c r="AM16601" t="str">
        <f t="shared" si="259"/>
        <v>Vartdal [NOVTL]</v>
      </c>
      <c r="AN16601" t="s">
        <v>24995</v>
      </c>
      <c r="AO16601" t="s">
        <v>24996</v>
      </c>
    </row>
    <row r="16602" spans="39:41" ht="12" customHeight="1" x14ac:dyDescent="0.2">
      <c r="AM16602" t="str">
        <f t="shared" si="259"/>
        <v>Vartsala [FIVAR]</v>
      </c>
      <c r="AN16602" t="s">
        <v>10594</v>
      </c>
      <c r="AO16602" t="s">
        <v>10595</v>
      </c>
    </row>
    <row r="16603" spans="39:41" ht="12" customHeight="1" x14ac:dyDescent="0.2">
      <c r="AM16603" t="str">
        <f t="shared" si="259"/>
        <v>Varzea do Douro [PTVAR]</v>
      </c>
      <c r="AN16603" t="s">
        <v>26629</v>
      </c>
      <c r="AO16603" t="s">
        <v>36398</v>
      </c>
    </row>
    <row r="16604" spans="39:41" ht="12" customHeight="1" x14ac:dyDescent="0.2">
      <c r="AM16604" t="str">
        <f t="shared" si="259"/>
        <v>Vashon Island [USYVI]</v>
      </c>
      <c r="AN16604" t="s">
        <v>31835</v>
      </c>
      <c r="AO16604" t="s">
        <v>31836</v>
      </c>
    </row>
    <row r="16605" spans="39:41" ht="12" customHeight="1" x14ac:dyDescent="0.2">
      <c r="AM16605" t="str">
        <f t="shared" si="259"/>
        <v>Vasilikos [CYVAS]</v>
      </c>
      <c r="AN16605" t="s">
        <v>6775</v>
      </c>
      <c r="AO16605" t="s">
        <v>6776</v>
      </c>
    </row>
    <row r="16606" spans="39:41" ht="12" customHeight="1" x14ac:dyDescent="0.2">
      <c r="AM16606" t="str">
        <f t="shared" si="259"/>
        <v>Vasklot (Vaskiluoto) [FIWAS]</v>
      </c>
      <c r="AN16606" t="s">
        <v>10596</v>
      </c>
      <c r="AO16606" t="s">
        <v>10597</v>
      </c>
    </row>
    <row r="16607" spans="39:41" ht="12" customHeight="1" x14ac:dyDescent="0.2">
      <c r="AM16607" t="str">
        <f t="shared" si="259"/>
        <v>Vasknarva [EEVNA]</v>
      </c>
      <c r="AN16607" t="s">
        <v>9401</v>
      </c>
      <c r="AO16607" t="s">
        <v>9402</v>
      </c>
    </row>
    <row r="16608" spans="39:41" ht="12" customHeight="1" x14ac:dyDescent="0.2">
      <c r="AM16608" t="str">
        <f t="shared" si="259"/>
        <v>Vasknarva Paadisadam [EEVVN]</v>
      </c>
      <c r="AN16608" t="s">
        <v>9403</v>
      </c>
      <c r="AO16608" t="s">
        <v>9404</v>
      </c>
    </row>
    <row r="16609" spans="39:41" ht="12" customHeight="1" x14ac:dyDescent="0.2">
      <c r="AM16609" t="str">
        <f t="shared" si="259"/>
        <v>Vasknarva Reisisadam [EEVSK]</v>
      </c>
      <c r="AN16609" t="s">
        <v>9405</v>
      </c>
      <c r="AO16609" t="s">
        <v>9406</v>
      </c>
    </row>
    <row r="16610" spans="39:41" ht="12" customHeight="1" x14ac:dyDescent="0.2">
      <c r="AM16610" t="str">
        <f t="shared" si="259"/>
        <v>Vasknarva Sadam [EEVKS]</v>
      </c>
      <c r="AN16610" t="s">
        <v>9407</v>
      </c>
      <c r="AO16610" t="s">
        <v>9408</v>
      </c>
    </row>
    <row r="16611" spans="39:41" ht="12" customHeight="1" x14ac:dyDescent="0.2">
      <c r="AM16611" t="str">
        <f t="shared" si="259"/>
        <v>Vasknarva Uussadam [EEVUS]</v>
      </c>
      <c r="AN16611" t="s">
        <v>9409</v>
      </c>
      <c r="AO16611" t="s">
        <v>9410</v>
      </c>
    </row>
    <row r="16612" spans="39:41" ht="12" customHeight="1" x14ac:dyDescent="0.2">
      <c r="AM16612" t="str">
        <f t="shared" si="259"/>
        <v>Vassiliki Leykadas [GRVSS]</v>
      </c>
      <c r="AN16612" t="s">
        <v>15570</v>
      </c>
      <c r="AO16612" t="s">
        <v>15571</v>
      </c>
    </row>
    <row r="16613" spans="39:41" ht="12" customHeight="1" x14ac:dyDescent="0.2">
      <c r="AM16613" t="str">
        <f t="shared" si="259"/>
        <v>Vastanfjard [FIVTF]</v>
      </c>
      <c r="AN16613" t="s">
        <v>10598</v>
      </c>
      <c r="AO16613" t="s">
        <v>35760</v>
      </c>
    </row>
    <row r="16614" spans="39:41" ht="12" customHeight="1" x14ac:dyDescent="0.2">
      <c r="AM16614" t="str">
        <f t="shared" si="259"/>
        <v>Vasteras [SEVST]</v>
      </c>
      <c r="AN16614" t="s">
        <v>27945</v>
      </c>
      <c r="AO16614" t="s">
        <v>36545</v>
      </c>
    </row>
    <row r="16615" spans="39:41" ht="12" customHeight="1" x14ac:dyDescent="0.2">
      <c r="AM16615" t="str">
        <f t="shared" si="259"/>
        <v>Vastervik [SEVVK]</v>
      </c>
      <c r="AN16615" t="s">
        <v>27946</v>
      </c>
      <c r="AO16615" t="s">
        <v>36546</v>
      </c>
    </row>
    <row r="16616" spans="39:41" ht="12" customHeight="1" x14ac:dyDescent="0.2">
      <c r="AM16616" t="str">
        <f t="shared" si="259"/>
        <v>Vasto [ITVSO]</v>
      </c>
      <c r="AN16616" t="s">
        <v>18394</v>
      </c>
      <c r="AO16616" t="s">
        <v>18395</v>
      </c>
    </row>
    <row r="16617" spans="39:41" ht="12" customHeight="1" x14ac:dyDescent="0.2">
      <c r="AM16617" t="str">
        <f t="shared" ref="AM16617:AM16680" si="260">AO16617 &amp; " [" &amp; AN16617 &amp; "]"</f>
        <v>Vat Cach [VNVCH]</v>
      </c>
      <c r="AN16617" t="s">
        <v>32513</v>
      </c>
      <c r="AO16617" t="s">
        <v>32514</v>
      </c>
    </row>
    <row r="16618" spans="39:41" ht="12" customHeight="1" x14ac:dyDescent="0.2">
      <c r="AM16618" t="str">
        <f t="shared" si="260"/>
        <v>Vatia Wharf [FJVAT]</v>
      </c>
      <c r="AN16618" t="s">
        <v>10632</v>
      </c>
      <c r="AO16618" t="s">
        <v>10633</v>
      </c>
    </row>
    <row r="16619" spans="39:41" ht="12" customHeight="1" x14ac:dyDescent="0.2">
      <c r="AM16619" t="str">
        <f t="shared" si="260"/>
        <v>Vatika Bay [GRVAB]</v>
      </c>
      <c r="AN16619" t="s">
        <v>15572</v>
      </c>
      <c r="AO16619" t="s">
        <v>15573</v>
      </c>
    </row>
    <row r="16620" spans="39:41" ht="12" customHeight="1" x14ac:dyDescent="0.2">
      <c r="AM16620" t="str">
        <f t="shared" si="260"/>
        <v>Vatnstraum [NOVAT]</v>
      </c>
      <c r="AN16620" t="s">
        <v>37126</v>
      </c>
      <c r="AO16620" t="s">
        <v>37127</v>
      </c>
    </row>
    <row r="16621" spans="39:41" ht="12" customHeight="1" x14ac:dyDescent="0.2">
      <c r="AM16621" t="str">
        <f t="shared" si="260"/>
        <v>Vatomandry [MGVAT]</v>
      </c>
      <c r="AN16621" t="s">
        <v>22160</v>
      </c>
      <c r="AO16621" t="s">
        <v>22161</v>
      </c>
    </row>
    <row r="16622" spans="39:41" ht="12" customHeight="1" x14ac:dyDescent="0.2">
      <c r="AM16622" t="str">
        <f t="shared" si="260"/>
        <v>Vats [NOVTS]</v>
      </c>
      <c r="AN16622" t="s">
        <v>24997</v>
      </c>
      <c r="AO16622" t="s">
        <v>24998</v>
      </c>
    </row>
    <row r="16623" spans="39:41" ht="12" customHeight="1" x14ac:dyDescent="0.2">
      <c r="AM16623" t="str">
        <f t="shared" si="260"/>
        <v>Vaulx [BEVLX]</v>
      </c>
      <c r="AN16623" t="s">
        <v>3030</v>
      </c>
      <c r="AO16623" t="s">
        <v>3031</v>
      </c>
    </row>
    <row r="16624" spans="39:41" ht="12" customHeight="1" x14ac:dyDescent="0.2">
      <c r="AM16624" t="str">
        <f t="shared" si="260"/>
        <v>Vaumarcus [CHVAU]</v>
      </c>
      <c r="AN16624" t="s">
        <v>4762</v>
      </c>
      <c r="AO16624" t="s">
        <v>4763</v>
      </c>
    </row>
    <row r="16625" spans="39:41" ht="12" customHeight="1" x14ac:dyDescent="0.2">
      <c r="AM16625" t="str">
        <f t="shared" si="260"/>
        <v>Vaux [FRM57]</v>
      </c>
      <c r="AN16625" t="s">
        <v>12171</v>
      </c>
      <c r="AO16625" t="s">
        <v>12172</v>
      </c>
    </row>
    <row r="16626" spans="39:41" ht="12" customHeight="1" x14ac:dyDescent="0.2">
      <c r="AM16626" t="str">
        <f t="shared" si="260"/>
        <v>Vavouto [NCVAV]</v>
      </c>
      <c r="AN16626" t="s">
        <v>22896</v>
      </c>
      <c r="AO16626" t="s">
        <v>22897</v>
      </c>
    </row>
    <row r="16627" spans="39:41" ht="12" customHeight="1" x14ac:dyDescent="0.2">
      <c r="AM16627" t="str">
        <f t="shared" si="260"/>
        <v>Vawkavysk [BYVAW]</v>
      </c>
      <c r="AN16627" t="s">
        <v>3500</v>
      </c>
      <c r="AO16627" t="s">
        <v>3501</v>
      </c>
    </row>
    <row r="16628" spans="39:41" ht="12" customHeight="1" x14ac:dyDescent="0.2">
      <c r="AM16628" t="str">
        <f t="shared" si="260"/>
        <v>Vaxholm [SEVXH]</v>
      </c>
      <c r="AN16628" t="s">
        <v>27947</v>
      </c>
      <c r="AO16628" t="s">
        <v>27948</v>
      </c>
    </row>
    <row r="16629" spans="39:41" ht="12" customHeight="1" x14ac:dyDescent="0.2">
      <c r="AM16629" t="str">
        <f t="shared" si="260"/>
        <v>Vaygach [RUVAY]</v>
      </c>
      <c r="AN16629" t="s">
        <v>27306</v>
      </c>
      <c r="AO16629" t="s">
        <v>27307</v>
      </c>
    </row>
    <row r="16630" spans="39:41" ht="12" customHeight="1" x14ac:dyDescent="0.2">
      <c r="AM16630" t="str">
        <f t="shared" si="260"/>
        <v>Vazhinjam [INVZJ]</v>
      </c>
      <c r="AN16630" t="s">
        <v>17529</v>
      </c>
      <c r="AO16630" t="s">
        <v>17530</v>
      </c>
    </row>
    <row r="16631" spans="39:41" ht="12" customHeight="1" x14ac:dyDescent="0.2">
      <c r="AM16631" t="str">
        <f t="shared" si="260"/>
        <v>Vedavagen [NOVMD]</v>
      </c>
      <c r="AN16631" t="s">
        <v>24999</v>
      </c>
      <c r="AO16631" t="s">
        <v>36347</v>
      </c>
    </row>
    <row r="16632" spans="39:41" ht="12" customHeight="1" x14ac:dyDescent="0.2">
      <c r="AM16632" t="str">
        <f t="shared" si="260"/>
        <v>Veen [NLNEV]</v>
      </c>
      <c r="AN16632" t="s">
        <v>23702</v>
      </c>
      <c r="AO16632" t="s">
        <v>23703</v>
      </c>
    </row>
    <row r="16633" spans="39:41" ht="12" customHeight="1" x14ac:dyDescent="0.2">
      <c r="AM16633" t="str">
        <f t="shared" si="260"/>
        <v>Veendam [NLVDM]</v>
      </c>
      <c r="AN16633" t="s">
        <v>37065</v>
      </c>
      <c r="AO16633" t="s">
        <v>37066</v>
      </c>
    </row>
    <row r="16634" spans="39:41" ht="12" customHeight="1" x14ac:dyDescent="0.2">
      <c r="AM16634" t="str">
        <f t="shared" si="260"/>
        <v>Veenoord [NLVNO]</v>
      </c>
      <c r="AN16634" t="s">
        <v>23704</v>
      </c>
      <c r="AO16634" t="s">
        <v>23705</v>
      </c>
    </row>
    <row r="16635" spans="39:41" ht="12" customHeight="1" x14ac:dyDescent="0.2">
      <c r="AM16635" t="str">
        <f t="shared" si="260"/>
        <v>Veere [EEVEE]</v>
      </c>
      <c r="AN16635" t="s">
        <v>9411</v>
      </c>
      <c r="AO16635" t="s">
        <v>9412</v>
      </c>
    </row>
    <row r="16636" spans="39:41" ht="12" customHeight="1" x14ac:dyDescent="0.2">
      <c r="AM16636" t="str">
        <f t="shared" si="260"/>
        <v>Veere [NLVER]</v>
      </c>
      <c r="AN16636" t="s">
        <v>23706</v>
      </c>
      <c r="AO16636" t="s">
        <v>9412</v>
      </c>
    </row>
    <row r="16637" spans="39:41" ht="12" customHeight="1" x14ac:dyDescent="0.2">
      <c r="AM16637" t="str">
        <f t="shared" si="260"/>
        <v>Veere Vanasadam [EEVVM]</v>
      </c>
      <c r="AN16637" t="s">
        <v>9413</v>
      </c>
      <c r="AO16637" t="s">
        <v>9414</v>
      </c>
    </row>
    <row r="16638" spans="39:41" ht="12" customHeight="1" x14ac:dyDescent="0.2">
      <c r="AM16638" t="str">
        <f t="shared" si="260"/>
        <v>Vefsn [NOVEF]</v>
      </c>
      <c r="AN16638" t="s">
        <v>25000</v>
      </c>
      <c r="AO16638" t="s">
        <v>25001</v>
      </c>
    </row>
    <row r="16639" spans="39:41" ht="12" customHeight="1" x14ac:dyDescent="0.2">
      <c r="AM16639" t="str">
        <f t="shared" si="260"/>
        <v>Vega [NOVEG]</v>
      </c>
      <c r="AN16639" t="s">
        <v>25002</v>
      </c>
      <c r="AO16639" t="s">
        <v>25003</v>
      </c>
    </row>
    <row r="16640" spans="39:41" ht="12" customHeight="1" x14ac:dyDescent="0.2">
      <c r="AM16640" t="str">
        <f t="shared" si="260"/>
        <v>Vehiperro [MGVEH]</v>
      </c>
      <c r="AN16640" t="s">
        <v>22162</v>
      </c>
      <c r="AO16640" t="s">
        <v>22163</v>
      </c>
    </row>
    <row r="16641" spans="39:41" ht="12" customHeight="1" x14ac:dyDescent="0.2">
      <c r="AM16641" t="str">
        <f t="shared" si="260"/>
        <v>Veitsiluoto [FIVEI]</v>
      </c>
      <c r="AN16641" t="s">
        <v>10599</v>
      </c>
      <c r="AO16641" t="s">
        <v>10600</v>
      </c>
    </row>
    <row r="16642" spans="39:41" ht="12" customHeight="1" x14ac:dyDescent="0.2">
      <c r="AM16642" t="str">
        <f t="shared" si="260"/>
        <v>Vejby [DKVB2]</v>
      </c>
      <c r="AN16642" t="s">
        <v>8956</v>
      </c>
      <c r="AO16642" t="s">
        <v>8957</v>
      </c>
    </row>
    <row r="16643" spans="39:41" ht="12" customHeight="1" x14ac:dyDescent="0.2">
      <c r="AM16643" t="str">
        <f t="shared" si="260"/>
        <v>Vejle [DKVEJ]</v>
      </c>
      <c r="AN16643" t="s">
        <v>8958</v>
      </c>
      <c r="AO16643" t="s">
        <v>8959</v>
      </c>
    </row>
    <row r="16644" spans="39:41" ht="12" customHeight="1" x14ac:dyDescent="0.2">
      <c r="AM16644" t="str">
        <f t="shared" si="260"/>
        <v>Vekso [DKVK7]</v>
      </c>
      <c r="AN16644" t="s">
        <v>8960</v>
      </c>
      <c r="AO16644" t="s">
        <v>35600</v>
      </c>
    </row>
    <row r="16645" spans="39:41" ht="12" customHeight="1" x14ac:dyDescent="0.2">
      <c r="AM16645" t="str">
        <f t="shared" si="260"/>
        <v>Vela Luka [HRVLK]</v>
      </c>
      <c r="AN16645" t="s">
        <v>15990</v>
      </c>
      <c r="AO16645" t="s">
        <v>15991</v>
      </c>
    </row>
    <row r="16646" spans="39:41" ht="12" customHeight="1" x14ac:dyDescent="0.2">
      <c r="AM16646" t="str">
        <f t="shared" si="260"/>
        <v>Velas [PTVEL]</v>
      </c>
      <c r="AN16646" t="s">
        <v>26630</v>
      </c>
      <c r="AO16646" t="s">
        <v>26631</v>
      </c>
    </row>
    <row r="16647" spans="39:41" ht="12" customHeight="1" x14ac:dyDescent="0.2">
      <c r="AM16647" t="str">
        <f t="shared" si="260"/>
        <v>Velden [ATVEL]</v>
      </c>
      <c r="AN16647" t="s">
        <v>1363</v>
      </c>
      <c r="AO16647" t="s">
        <v>1364</v>
      </c>
    </row>
    <row r="16648" spans="39:41" ht="12" customHeight="1" x14ac:dyDescent="0.2">
      <c r="AM16648" t="str">
        <f t="shared" si="260"/>
        <v>Veldwezelt [BEVWZ]</v>
      </c>
      <c r="AN16648" t="s">
        <v>3032</v>
      </c>
      <c r="AO16648" t="s">
        <v>3033</v>
      </c>
    </row>
    <row r="16649" spans="39:41" ht="12" customHeight="1" x14ac:dyDescent="0.2">
      <c r="AM16649" t="str">
        <f t="shared" si="260"/>
        <v>Veli Iz [HRVIZ]</v>
      </c>
      <c r="AN16649" t="s">
        <v>15992</v>
      </c>
      <c r="AO16649" t="s">
        <v>15993</v>
      </c>
    </row>
    <row r="16650" spans="39:41" ht="12" customHeight="1" x14ac:dyDescent="0.2">
      <c r="AM16650" t="str">
        <f t="shared" si="260"/>
        <v>Veli Losinj [HRVLN]</v>
      </c>
      <c r="AN16650" t="s">
        <v>15994</v>
      </c>
      <c r="AO16650" t="s">
        <v>15995</v>
      </c>
    </row>
    <row r="16651" spans="39:41" ht="12" customHeight="1" x14ac:dyDescent="0.2">
      <c r="AM16651" t="str">
        <f t="shared" si="260"/>
        <v>Velika Mlaka [HR9SA]</v>
      </c>
      <c r="AN16651" t="s">
        <v>15996</v>
      </c>
      <c r="AO16651" t="s">
        <v>15997</v>
      </c>
    </row>
    <row r="16652" spans="39:41" ht="12" customHeight="1" x14ac:dyDescent="0.2">
      <c r="AM16652" t="str">
        <f t="shared" si="260"/>
        <v>Velika Ves [CZVES]</v>
      </c>
      <c r="AN16652" t="s">
        <v>6962</v>
      </c>
      <c r="AO16652" t="s">
        <v>6963</v>
      </c>
    </row>
    <row r="16653" spans="39:41" ht="12" customHeight="1" x14ac:dyDescent="0.2">
      <c r="AM16653" t="str">
        <f t="shared" si="260"/>
        <v>Velikaya Kema [RUKMV]</v>
      </c>
      <c r="AN16653" t="s">
        <v>27308</v>
      </c>
      <c r="AO16653" t="s">
        <v>27309</v>
      </c>
    </row>
    <row r="16654" spans="39:41" ht="12" customHeight="1" x14ac:dyDescent="0.2">
      <c r="AM16654" t="str">
        <f t="shared" si="260"/>
        <v>Veliko Gradiste [RSVGS]</v>
      </c>
      <c r="AN16654" t="s">
        <v>26853</v>
      </c>
      <c r="AO16654" t="s">
        <v>26854</v>
      </c>
    </row>
    <row r="16655" spans="39:41" ht="12" customHeight="1" x14ac:dyDescent="0.2">
      <c r="AM16655" t="str">
        <f t="shared" si="260"/>
        <v>Vel'ke Zlievce [SKVZK]</v>
      </c>
      <c r="AN16655" t="s">
        <v>28075</v>
      </c>
      <c r="AO16655" t="s">
        <v>36555</v>
      </c>
    </row>
    <row r="16656" spans="39:41" ht="12" customHeight="1" x14ac:dyDescent="0.2">
      <c r="AM16656" t="str">
        <f t="shared" si="260"/>
        <v>Velkua [FIVEL]</v>
      </c>
      <c r="AN16656" t="s">
        <v>10601</v>
      </c>
      <c r="AO16656" t="s">
        <v>10602</v>
      </c>
    </row>
    <row r="16657" spans="39:41" ht="12" customHeight="1" x14ac:dyDescent="0.2">
      <c r="AM16657" t="str">
        <f t="shared" si="260"/>
        <v>Velsen [NLVEL]</v>
      </c>
      <c r="AN16657" t="s">
        <v>23707</v>
      </c>
      <c r="AO16657" t="s">
        <v>23708</v>
      </c>
    </row>
    <row r="16658" spans="39:41" ht="12" customHeight="1" x14ac:dyDescent="0.2">
      <c r="AM16658" t="str">
        <f t="shared" si="260"/>
        <v>Velsen-Noord [NLVSN]</v>
      </c>
      <c r="AN16658" t="s">
        <v>23709</v>
      </c>
      <c r="AO16658" t="s">
        <v>23710</v>
      </c>
    </row>
    <row r="16659" spans="39:41" ht="12" customHeight="1" x14ac:dyDescent="0.2">
      <c r="AM16659" t="str">
        <f t="shared" si="260"/>
        <v>Vemgira [INVNG]</v>
      </c>
      <c r="AN16659" t="s">
        <v>17531</v>
      </c>
      <c r="AO16659" t="s">
        <v>17532</v>
      </c>
    </row>
    <row r="16660" spans="39:41" ht="12" customHeight="1" x14ac:dyDescent="0.2">
      <c r="AM16660" t="str">
        <f t="shared" si="260"/>
        <v>Vemmelev [DKVM2]</v>
      </c>
      <c r="AN16660" t="s">
        <v>8961</v>
      </c>
      <c r="AO16660" t="s">
        <v>8962</v>
      </c>
    </row>
    <row r="16661" spans="39:41" ht="12" customHeight="1" x14ac:dyDescent="0.2">
      <c r="AM16661" t="str">
        <f t="shared" si="260"/>
        <v>Venables [FRENB]</v>
      </c>
      <c r="AN16661" t="s">
        <v>12173</v>
      </c>
      <c r="AO16661" t="s">
        <v>12174</v>
      </c>
    </row>
    <row r="16662" spans="39:41" ht="12" customHeight="1" x14ac:dyDescent="0.2">
      <c r="AM16662" t="str">
        <f t="shared" si="260"/>
        <v>Venda do Pinheiro [PTVDV]</v>
      </c>
      <c r="AN16662" t="s">
        <v>26632</v>
      </c>
      <c r="AO16662" t="s">
        <v>26633</v>
      </c>
    </row>
    <row r="16663" spans="39:41" ht="12" customHeight="1" x14ac:dyDescent="0.2">
      <c r="AM16663" t="str">
        <f t="shared" si="260"/>
        <v>Vendenheim [FRVHM]</v>
      </c>
      <c r="AN16663" t="s">
        <v>12175</v>
      </c>
      <c r="AO16663" t="s">
        <v>12176</v>
      </c>
    </row>
    <row r="16664" spans="39:41" ht="12" customHeight="1" x14ac:dyDescent="0.2">
      <c r="AM16664" t="str">
        <f t="shared" si="260"/>
        <v>Vene-Balti [EEVEB]</v>
      </c>
      <c r="AN16664" t="s">
        <v>9415</v>
      </c>
      <c r="AO16664" t="s">
        <v>9416</v>
      </c>
    </row>
    <row r="16665" spans="39:41" ht="12" customHeight="1" x14ac:dyDescent="0.2">
      <c r="AM16665" t="str">
        <f t="shared" si="260"/>
        <v>Venezia [ITVCE]</v>
      </c>
      <c r="AN16665" t="s">
        <v>18396</v>
      </c>
      <c r="AO16665" t="s">
        <v>18397</v>
      </c>
    </row>
    <row r="16666" spans="39:41" ht="12" customHeight="1" x14ac:dyDescent="0.2">
      <c r="AM16666" t="str">
        <f t="shared" si="260"/>
        <v>Vengsoy [NOVEO]</v>
      </c>
      <c r="AN16666" t="s">
        <v>25004</v>
      </c>
      <c r="AO16666" t="s">
        <v>36348</v>
      </c>
    </row>
    <row r="16667" spans="39:41" ht="12" customHeight="1" x14ac:dyDescent="0.2">
      <c r="AM16667" t="str">
        <f t="shared" si="260"/>
        <v>Vengurla [INVEN]</v>
      </c>
      <c r="AN16667" t="s">
        <v>17533</v>
      </c>
      <c r="AO16667" t="s">
        <v>17534</v>
      </c>
    </row>
    <row r="16668" spans="39:41" ht="12" customHeight="1" x14ac:dyDescent="0.2">
      <c r="AM16668" t="str">
        <f t="shared" si="260"/>
        <v>Venhaus [DEVNA]</v>
      </c>
      <c r="AN16668" t="s">
        <v>8399</v>
      </c>
      <c r="AO16668" t="s">
        <v>8400</v>
      </c>
    </row>
    <row r="16669" spans="39:41" ht="12" customHeight="1" x14ac:dyDescent="0.2">
      <c r="AM16669" t="str">
        <f t="shared" si="260"/>
        <v>Venice [USVN3]</v>
      </c>
      <c r="AN16669" t="s">
        <v>31837</v>
      </c>
      <c r="AO16669" t="s">
        <v>31838</v>
      </c>
    </row>
    <row r="16670" spans="39:41" ht="12" customHeight="1" x14ac:dyDescent="0.2">
      <c r="AM16670" t="str">
        <f t="shared" si="260"/>
        <v>Venlo [NLVEN]</v>
      </c>
      <c r="AN16670" t="s">
        <v>37067</v>
      </c>
      <c r="AO16670" t="s">
        <v>37068</v>
      </c>
    </row>
    <row r="16671" spans="39:41" ht="12" customHeight="1" x14ac:dyDescent="0.2">
      <c r="AM16671" t="str">
        <f t="shared" si="260"/>
        <v>Venne [DEVEN]</v>
      </c>
      <c r="AN16671" t="s">
        <v>8401</v>
      </c>
      <c r="AO16671" t="s">
        <v>8402</v>
      </c>
    </row>
    <row r="16672" spans="39:41" ht="12" customHeight="1" x14ac:dyDescent="0.2">
      <c r="AM16672" t="str">
        <f t="shared" si="260"/>
        <v>Veno Havn [DKVEN]</v>
      </c>
      <c r="AN16672" t="s">
        <v>8963</v>
      </c>
      <c r="AO16672" t="s">
        <v>35601</v>
      </c>
    </row>
    <row r="16673" spans="39:41" ht="12" customHeight="1" x14ac:dyDescent="0.2">
      <c r="AM16673" t="str">
        <f t="shared" si="260"/>
        <v>Ventanas [CLVNT]</v>
      </c>
      <c r="AN16673" t="s">
        <v>4991</v>
      </c>
      <c r="AO16673" t="s">
        <v>4992</v>
      </c>
    </row>
    <row r="16674" spans="39:41" ht="12" customHeight="1" x14ac:dyDescent="0.2">
      <c r="AM16674" t="str">
        <f t="shared" si="260"/>
        <v>Venteuil [FRVTM]</v>
      </c>
      <c r="AN16674" t="s">
        <v>12177</v>
      </c>
      <c r="AO16674" t="s">
        <v>12178</v>
      </c>
    </row>
    <row r="16675" spans="39:41" ht="12" customHeight="1" x14ac:dyDescent="0.2">
      <c r="AM16675" t="str">
        <f t="shared" si="260"/>
        <v>Ventimiglia [ITVEN]</v>
      </c>
      <c r="AN16675" t="s">
        <v>18398</v>
      </c>
      <c r="AO16675" t="s">
        <v>18399</v>
      </c>
    </row>
    <row r="16676" spans="39:41" ht="12" customHeight="1" x14ac:dyDescent="0.2">
      <c r="AM16676" t="str">
        <f t="shared" si="260"/>
        <v>Ventnor [GBVEN]</v>
      </c>
      <c r="AN16676" t="s">
        <v>14762</v>
      </c>
      <c r="AO16676" t="s">
        <v>14763</v>
      </c>
    </row>
    <row r="16677" spans="39:41" ht="12" customHeight="1" x14ac:dyDescent="0.2">
      <c r="AM16677" t="str">
        <f t="shared" si="260"/>
        <v>Ventotene [ITVTT]</v>
      </c>
      <c r="AN16677" t="s">
        <v>18400</v>
      </c>
      <c r="AO16677" t="s">
        <v>18401</v>
      </c>
    </row>
    <row r="16678" spans="39:41" ht="12" customHeight="1" x14ac:dyDescent="0.2">
      <c r="AM16678" t="str">
        <f t="shared" si="260"/>
        <v>Ventspils [LVVNT]</v>
      </c>
      <c r="AN16678" t="s">
        <v>21961</v>
      </c>
      <c r="AO16678" t="s">
        <v>21962</v>
      </c>
    </row>
    <row r="16679" spans="39:41" ht="12" customHeight="1" x14ac:dyDescent="0.2">
      <c r="AM16679" t="str">
        <f t="shared" si="260"/>
        <v>Ventura [USVNT]</v>
      </c>
      <c r="AN16679" t="s">
        <v>31839</v>
      </c>
      <c r="AO16679" t="s">
        <v>31840</v>
      </c>
    </row>
    <row r="16680" spans="39:41" ht="12" customHeight="1" x14ac:dyDescent="0.2">
      <c r="AM16680" t="str">
        <f t="shared" si="260"/>
        <v>Venyov [RUVNY]</v>
      </c>
      <c r="AN16680" t="s">
        <v>27310</v>
      </c>
      <c r="AO16680" t="s">
        <v>27311</v>
      </c>
    </row>
    <row r="16681" spans="39:41" ht="12" customHeight="1" x14ac:dyDescent="0.2">
      <c r="AM16681" t="str">
        <f t="shared" ref="AM16681:AM16744" si="261">AO16681 &amp; " [" &amp; AN16681 &amp; "]"</f>
        <v>Veppalodai [INVEP]</v>
      </c>
      <c r="AN16681" t="s">
        <v>17535</v>
      </c>
      <c r="AO16681" t="s">
        <v>17536</v>
      </c>
    </row>
    <row r="16682" spans="39:41" ht="12" customHeight="1" x14ac:dyDescent="0.2">
      <c r="AM16682" t="str">
        <f t="shared" si="261"/>
        <v>Vera Cruz [BRVZC]</v>
      </c>
      <c r="AN16682" t="s">
        <v>3410</v>
      </c>
      <c r="AO16682" t="s">
        <v>3411</v>
      </c>
    </row>
    <row r="16683" spans="39:41" ht="12" customHeight="1" x14ac:dyDescent="0.2">
      <c r="AM16683" t="str">
        <f t="shared" si="261"/>
        <v>Veracruz [MXVER]</v>
      </c>
      <c r="AN16683" t="s">
        <v>22475</v>
      </c>
      <c r="AO16683" t="s">
        <v>22476</v>
      </c>
    </row>
    <row r="16684" spans="39:41" ht="12" customHeight="1" x14ac:dyDescent="0.2">
      <c r="AM16684" t="str">
        <f t="shared" si="261"/>
        <v>Veraval [INVVA]</v>
      </c>
      <c r="AN16684" t="s">
        <v>17537</v>
      </c>
      <c r="AO16684" t="s">
        <v>17538</v>
      </c>
    </row>
    <row r="16685" spans="39:41" ht="12" customHeight="1" x14ac:dyDescent="0.2">
      <c r="AM16685" t="str">
        <f t="shared" si="261"/>
        <v>Verbrande Brug [BEVBG]</v>
      </c>
      <c r="AN16685" t="s">
        <v>3034</v>
      </c>
      <c r="AO16685" t="s">
        <v>3035</v>
      </c>
    </row>
    <row r="16686" spans="39:41" ht="12" customHeight="1" x14ac:dyDescent="0.2">
      <c r="AM16686" t="str">
        <f t="shared" si="261"/>
        <v>Vercheres [CAVCH]</v>
      </c>
      <c r="AN16686" t="s">
        <v>4563</v>
      </c>
      <c r="AO16686" t="s">
        <v>35339</v>
      </c>
    </row>
    <row r="16687" spans="39:41" ht="12" customHeight="1" x14ac:dyDescent="0.2">
      <c r="AM16687" t="str">
        <f t="shared" si="261"/>
        <v>Verdal [NOVER]</v>
      </c>
      <c r="AN16687" t="s">
        <v>25005</v>
      </c>
      <c r="AO16687" t="s">
        <v>25006</v>
      </c>
    </row>
    <row r="16688" spans="39:41" ht="12" customHeight="1" x14ac:dyDescent="0.2">
      <c r="AM16688" t="str">
        <f t="shared" si="261"/>
        <v>Verdun [FRVRD]</v>
      </c>
      <c r="AN16688" t="s">
        <v>12179</v>
      </c>
      <c r="AO16688" t="s">
        <v>12180</v>
      </c>
    </row>
    <row r="16689" spans="39:41" ht="12" customHeight="1" x14ac:dyDescent="0.2">
      <c r="AM16689" t="str">
        <f t="shared" si="261"/>
        <v>Vereux [FREEX]</v>
      </c>
      <c r="AN16689" t="s">
        <v>12181</v>
      </c>
      <c r="AO16689" t="s">
        <v>12182</v>
      </c>
    </row>
    <row r="16690" spans="39:41" ht="12" customHeight="1" x14ac:dyDescent="0.2">
      <c r="AM16690" t="str">
        <f t="shared" si="261"/>
        <v>Vergi [EEVER]</v>
      </c>
      <c r="AN16690" t="s">
        <v>9417</v>
      </c>
      <c r="AO16690" t="s">
        <v>9418</v>
      </c>
    </row>
    <row r="16691" spans="39:41" ht="12" customHeight="1" x14ac:dyDescent="0.2">
      <c r="AM16691" t="str">
        <f t="shared" si="261"/>
        <v>Verin [FRVL4]</v>
      </c>
      <c r="AN16691" t="s">
        <v>12183</v>
      </c>
      <c r="AO16691" t="s">
        <v>12184</v>
      </c>
    </row>
    <row r="16692" spans="39:41" ht="12" customHeight="1" x14ac:dyDescent="0.2">
      <c r="AM16692" t="str">
        <f t="shared" si="261"/>
        <v>Verjux [FRVEJ]</v>
      </c>
      <c r="AN16692" t="s">
        <v>12185</v>
      </c>
      <c r="AO16692" t="s">
        <v>12186</v>
      </c>
    </row>
    <row r="16693" spans="39:41" ht="12" customHeight="1" x14ac:dyDescent="0.2">
      <c r="AM16693" t="str">
        <f t="shared" si="261"/>
        <v>Verkeback [SEVER]</v>
      </c>
      <c r="AN16693" t="s">
        <v>27949</v>
      </c>
      <c r="AO16693" t="s">
        <v>36547</v>
      </c>
    </row>
    <row r="16694" spans="39:41" ht="12" customHeight="1" x14ac:dyDescent="0.2">
      <c r="AM16694" t="str">
        <f t="shared" si="261"/>
        <v>Vermilion [USVE9]</v>
      </c>
      <c r="AN16694" t="s">
        <v>31841</v>
      </c>
      <c r="AO16694" t="s">
        <v>31842</v>
      </c>
    </row>
    <row r="16695" spans="39:41" ht="12" customHeight="1" x14ac:dyDescent="0.2">
      <c r="AM16695" t="str">
        <f t="shared" si="261"/>
        <v>Vernadsky [AQVKY]</v>
      </c>
      <c r="AN16695" t="s">
        <v>969</v>
      </c>
      <c r="AO16695" t="s">
        <v>970</v>
      </c>
    </row>
    <row r="16696" spans="39:41" ht="12" customHeight="1" x14ac:dyDescent="0.2">
      <c r="AM16696" t="str">
        <f t="shared" si="261"/>
        <v>Vernaison [FRVEO]</v>
      </c>
      <c r="AN16696" t="s">
        <v>12187</v>
      </c>
      <c r="AO16696" t="s">
        <v>12188</v>
      </c>
    </row>
    <row r="16697" spans="39:41" ht="12" customHeight="1" x14ac:dyDescent="0.2">
      <c r="AM16697" t="str">
        <f t="shared" si="261"/>
        <v>Vernazza [ITVZN]</v>
      </c>
      <c r="AN16697" t="s">
        <v>18402</v>
      </c>
      <c r="AO16697" t="s">
        <v>18403</v>
      </c>
    </row>
    <row r="16698" spans="39:41" ht="12" customHeight="1" x14ac:dyDescent="0.2">
      <c r="AM16698" t="str">
        <f t="shared" si="261"/>
        <v>Verneuil [FRVM5]</v>
      </c>
      <c r="AN16698" t="s">
        <v>12189</v>
      </c>
      <c r="AO16698" t="s">
        <v>12190</v>
      </c>
    </row>
    <row r="16699" spans="39:41" ht="12" customHeight="1" x14ac:dyDescent="0.2">
      <c r="AM16699" t="str">
        <f t="shared" si="261"/>
        <v>Vernizy [FRVNZ]</v>
      </c>
      <c r="AN16699" t="s">
        <v>12191</v>
      </c>
      <c r="AO16699" t="s">
        <v>12192</v>
      </c>
    </row>
    <row r="16700" spans="39:41" ht="12" customHeight="1" x14ac:dyDescent="0.2">
      <c r="AM16700" t="str">
        <f t="shared" si="261"/>
        <v>Veron [FRVQR]</v>
      </c>
      <c r="AN16700" t="s">
        <v>12193</v>
      </c>
      <c r="AO16700" t="s">
        <v>35861</v>
      </c>
    </row>
    <row r="16701" spans="39:41" ht="12" customHeight="1" x14ac:dyDescent="0.2">
      <c r="AM16701" t="str">
        <f t="shared" si="261"/>
        <v>Verran [NOVRR]</v>
      </c>
      <c r="AN16701" t="s">
        <v>25007</v>
      </c>
      <c r="AO16701" t="s">
        <v>25008</v>
      </c>
    </row>
    <row r="16702" spans="39:41" ht="12" customHeight="1" x14ac:dyDescent="0.2">
      <c r="AM16702" t="str">
        <f t="shared" si="261"/>
        <v>Versoix [CHVSX]</v>
      </c>
      <c r="AN16702" t="s">
        <v>4764</v>
      </c>
      <c r="AO16702" t="s">
        <v>4765</v>
      </c>
    </row>
    <row r="16703" spans="39:41" ht="12" customHeight="1" x14ac:dyDescent="0.2">
      <c r="AM16703" t="str">
        <f t="shared" si="261"/>
        <v>Vertikoye [RUVYE]</v>
      </c>
      <c r="AN16703" t="s">
        <v>27312</v>
      </c>
      <c r="AO16703" t="s">
        <v>27313</v>
      </c>
    </row>
    <row r="16704" spans="39:41" ht="12" customHeight="1" x14ac:dyDescent="0.2">
      <c r="AM16704" t="str">
        <f t="shared" si="261"/>
        <v>Veslefrikk [XZVFK]</v>
      </c>
      <c r="AN16704" t="s">
        <v>32612</v>
      </c>
      <c r="AO16704" t="s">
        <v>32613</v>
      </c>
    </row>
    <row r="16705" spans="39:41" ht="12" customHeight="1" x14ac:dyDescent="0.2">
      <c r="AM16705" t="str">
        <f t="shared" si="261"/>
        <v>VESNA [HRVES]</v>
      </c>
      <c r="AN16705" t="s">
        <v>36729</v>
      </c>
      <c r="AO16705" t="s">
        <v>36730</v>
      </c>
    </row>
    <row r="16706" spans="39:41" ht="12" customHeight="1" x14ac:dyDescent="0.2">
      <c r="AM16706" t="str">
        <f t="shared" si="261"/>
        <v>Vesterborg [DKVT2]</v>
      </c>
      <c r="AN16706" t="s">
        <v>8964</v>
      </c>
      <c r="AO16706" t="s">
        <v>8965</v>
      </c>
    </row>
    <row r="16707" spans="39:41" ht="12" customHeight="1" x14ac:dyDescent="0.2">
      <c r="AM16707" t="str">
        <f t="shared" si="261"/>
        <v>Vestero Havn, Laso [DKVES]</v>
      </c>
      <c r="AN16707" t="s">
        <v>8966</v>
      </c>
      <c r="AO16707" t="s">
        <v>35602</v>
      </c>
    </row>
    <row r="16708" spans="39:41" ht="12" customHeight="1" x14ac:dyDescent="0.2">
      <c r="AM16708" t="str">
        <f t="shared" si="261"/>
        <v>Vestlax [FIVAS]</v>
      </c>
      <c r="AN16708" t="s">
        <v>10603</v>
      </c>
      <c r="AO16708" t="s">
        <v>10604</v>
      </c>
    </row>
    <row r="16709" spans="39:41" ht="12" customHeight="1" x14ac:dyDescent="0.2">
      <c r="AM16709" t="str">
        <f t="shared" si="261"/>
        <v>Vestmanhavn [FOVES]</v>
      </c>
      <c r="AN16709" t="s">
        <v>10706</v>
      </c>
      <c r="AO16709" t="s">
        <v>10707</v>
      </c>
    </row>
    <row r="16710" spans="39:41" ht="12" customHeight="1" x14ac:dyDescent="0.2">
      <c r="AM16710" t="str">
        <f t="shared" si="261"/>
        <v>Vestmannaeyjar - hofn [ISVES]</v>
      </c>
      <c r="AN16710" t="s">
        <v>17781</v>
      </c>
      <c r="AO16710" t="s">
        <v>36073</v>
      </c>
    </row>
    <row r="16711" spans="39:41" ht="12" customHeight="1" x14ac:dyDescent="0.2">
      <c r="AM16711" t="str">
        <f t="shared" si="261"/>
        <v>Vestnes [NOVST]</v>
      </c>
      <c r="AN16711" t="s">
        <v>25009</v>
      </c>
      <c r="AO16711" t="s">
        <v>25010</v>
      </c>
    </row>
    <row r="16712" spans="39:41" ht="12" customHeight="1" x14ac:dyDescent="0.2">
      <c r="AM16712" t="str">
        <f t="shared" si="261"/>
        <v>Vestvagoy [NOVVY]</v>
      </c>
      <c r="AN16712" t="s">
        <v>25011</v>
      </c>
      <c r="AO16712" t="s">
        <v>36349</v>
      </c>
    </row>
    <row r="16713" spans="39:41" ht="12" customHeight="1" x14ac:dyDescent="0.2">
      <c r="AM16713" t="str">
        <f t="shared" si="261"/>
        <v>Veternik [RSVS4]</v>
      </c>
      <c r="AN16713" t="s">
        <v>26855</v>
      </c>
      <c r="AO16713" t="s">
        <v>26856</v>
      </c>
    </row>
    <row r="16714" spans="39:41" ht="12" customHeight="1" x14ac:dyDescent="0.2">
      <c r="AM16714" t="str">
        <f t="shared" si="261"/>
        <v>Vetschau [DEVEJ]</v>
      </c>
      <c r="AN16714" t="s">
        <v>8403</v>
      </c>
      <c r="AO16714" t="s">
        <v>8404</v>
      </c>
    </row>
    <row r="16715" spans="39:41" ht="12" customHeight="1" x14ac:dyDescent="0.2">
      <c r="AM16715" t="str">
        <f t="shared" si="261"/>
        <v>Veurne [BEVEU]</v>
      </c>
      <c r="AN16715" t="s">
        <v>3036</v>
      </c>
      <c r="AO16715" t="s">
        <v>3037</v>
      </c>
    </row>
    <row r="16716" spans="39:41" ht="12" customHeight="1" x14ac:dyDescent="0.2">
      <c r="AM16716" t="str">
        <f t="shared" si="261"/>
        <v>Vevelstad [NOVEV]</v>
      </c>
      <c r="AN16716" t="s">
        <v>25012</v>
      </c>
      <c r="AO16716" t="s">
        <v>25013</v>
      </c>
    </row>
    <row r="16717" spans="39:41" ht="12" customHeight="1" x14ac:dyDescent="0.2">
      <c r="AM16717" t="str">
        <f t="shared" si="261"/>
        <v>Veverska Bityska [CZVAA]</v>
      </c>
      <c r="AN16717" t="s">
        <v>6964</v>
      </c>
      <c r="AO16717" t="s">
        <v>35409</v>
      </c>
    </row>
    <row r="16718" spans="39:41" ht="12" customHeight="1" x14ac:dyDescent="0.2">
      <c r="AM16718" t="str">
        <f t="shared" si="261"/>
        <v>Vezin [BEVZI]</v>
      </c>
      <c r="AN16718" t="s">
        <v>3038</v>
      </c>
      <c r="AO16718" t="s">
        <v>3039</v>
      </c>
    </row>
    <row r="16719" spans="39:41" ht="12" customHeight="1" x14ac:dyDescent="0.2">
      <c r="AM16719" t="str">
        <f t="shared" si="261"/>
        <v>Viana do Castelo [PTVDC]</v>
      </c>
      <c r="AN16719" t="s">
        <v>26634</v>
      </c>
      <c r="AO16719" t="s">
        <v>26635</v>
      </c>
    </row>
    <row r="16720" spans="39:41" ht="12" customHeight="1" x14ac:dyDescent="0.2">
      <c r="AM16720" t="str">
        <f t="shared" si="261"/>
        <v>Vianen [NLVAN]</v>
      </c>
      <c r="AN16720" t="s">
        <v>34113</v>
      </c>
      <c r="AO16720" t="s">
        <v>34159</v>
      </c>
    </row>
    <row r="16721" spans="39:41" ht="12" customHeight="1" x14ac:dyDescent="0.2">
      <c r="AM16721" t="str">
        <f t="shared" si="261"/>
        <v>Viareggio [ITVIA]</v>
      </c>
      <c r="AN16721" t="s">
        <v>18404</v>
      </c>
      <c r="AO16721" t="s">
        <v>18405</v>
      </c>
    </row>
    <row r="16722" spans="39:41" ht="12" customHeight="1" x14ac:dyDescent="0.2">
      <c r="AM16722" t="str">
        <f t="shared" si="261"/>
        <v>Vibo Valentia [ITVVA]</v>
      </c>
      <c r="AN16722" t="s">
        <v>18406</v>
      </c>
      <c r="AO16722" t="s">
        <v>18407</v>
      </c>
    </row>
    <row r="16723" spans="39:41" ht="12" customHeight="1" x14ac:dyDescent="0.2">
      <c r="AM16723" t="str">
        <f t="shared" si="261"/>
        <v>Vicente Lopez [ARVLO]</v>
      </c>
      <c r="AN16723" t="s">
        <v>1150</v>
      </c>
      <c r="AO16723" t="s">
        <v>35252</v>
      </c>
    </row>
    <row r="16724" spans="39:41" ht="12" customHeight="1" x14ac:dyDescent="0.2">
      <c r="AM16724" t="str">
        <f t="shared" si="261"/>
        <v>Vicksburg [USVKB]</v>
      </c>
      <c r="AN16724" t="s">
        <v>31843</v>
      </c>
      <c r="AO16724" t="s">
        <v>31844</v>
      </c>
    </row>
    <row r="16725" spans="39:41" ht="12" customHeight="1" x14ac:dyDescent="0.2">
      <c r="AM16725" t="str">
        <f t="shared" si="261"/>
        <v>Vicksburg [USVKS]</v>
      </c>
      <c r="AN16725" t="s">
        <v>31845</v>
      </c>
      <c r="AO16725" t="s">
        <v>31844</v>
      </c>
    </row>
    <row r="16726" spans="39:41" ht="12" customHeight="1" x14ac:dyDescent="0.2">
      <c r="AM16726" t="str">
        <f t="shared" si="261"/>
        <v>Victor [US3DU]</v>
      </c>
      <c r="AN16726" t="s">
        <v>31846</v>
      </c>
      <c r="AO16726" t="s">
        <v>31847</v>
      </c>
    </row>
    <row r="16727" spans="39:41" ht="12" customHeight="1" x14ac:dyDescent="0.2">
      <c r="AM16727" t="str">
        <f t="shared" si="261"/>
        <v>Victoria [CAVIC]</v>
      </c>
      <c r="AN16727" t="s">
        <v>4564</v>
      </c>
      <c r="AO16727" t="s">
        <v>4565</v>
      </c>
    </row>
    <row r="16728" spans="39:41" ht="12" customHeight="1" x14ac:dyDescent="0.2">
      <c r="AM16728" t="str">
        <f t="shared" si="261"/>
        <v>Victoria [HKVIC]</v>
      </c>
      <c r="AN16728" t="s">
        <v>15660</v>
      </c>
      <c r="AO16728" t="s">
        <v>4565</v>
      </c>
    </row>
    <row r="16729" spans="39:41" ht="12" customHeight="1" x14ac:dyDescent="0.2">
      <c r="AM16729" t="str">
        <f t="shared" si="261"/>
        <v>Victoria [SCVIC]</v>
      </c>
      <c r="AN16729" t="s">
        <v>27470</v>
      </c>
      <c r="AO16729" t="s">
        <v>4565</v>
      </c>
    </row>
    <row r="16730" spans="39:41" ht="12" customHeight="1" x14ac:dyDescent="0.2">
      <c r="AM16730" t="str">
        <f t="shared" si="261"/>
        <v>Victoria de Acentejo [ESCVJ]</v>
      </c>
      <c r="AN16730" t="s">
        <v>10278</v>
      </c>
      <c r="AO16730" t="s">
        <v>10279</v>
      </c>
    </row>
    <row r="16731" spans="39:41" ht="12" customHeight="1" x14ac:dyDescent="0.2">
      <c r="AM16731" t="str">
        <f t="shared" si="261"/>
        <v>Victoria Harbour [CAVIH]</v>
      </c>
      <c r="AN16731" t="s">
        <v>4566</v>
      </c>
      <c r="AO16731" t="s">
        <v>4567</v>
      </c>
    </row>
    <row r="16732" spans="39:41" ht="12" customHeight="1" x14ac:dyDescent="0.2">
      <c r="AM16732" t="str">
        <f t="shared" si="261"/>
        <v>Victoria Point [MMVIC]</v>
      </c>
      <c r="AN16732" t="s">
        <v>22216</v>
      </c>
      <c r="AO16732" t="s">
        <v>22217</v>
      </c>
    </row>
    <row r="16733" spans="39:41" ht="12" customHeight="1" x14ac:dyDescent="0.2">
      <c r="AM16733" t="str">
        <f t="shared" si="261"/>
        <v>Victorias, Negros [PHVCS]</v>
      </c>
      <c r="AN16733" t="s">
        <v>26230</v>
      </c>
      <c r="AO16733" t="s">
        <v>26231</v>
      </c>
    </row>
    <row r="16734" spans="39:41" ht="12" customHeight="1" x14ac:dyDescent="0.2">
      <c r="AM16734" t="str">
        <f t="shared" si="261"/>
        <v>Vidin [BGVID]</v>
      </c>
      <c r="AN16734" t="s">
        <v>3175</v>
      </c>
      <c r="AO16734" t="s">
        <v>3176</v>
      </c>
    </row>
    <row r="16735" spans="39:41" ht="12" customHeight="1" x14ac:dyDescent="0.2">
      <c r="AM16735" t="str">
        <f t="shared" si="261"/>
        <v>Vidlin [GBVID]</v>
      </c>
      <c r="AN16735" t="s">
        <v>14764</v>
      </c>
      <c r="AO16735" t="s">
        <v>14765</v>
      </c>
    </row>
    <row r="16736" spans="39:41" ht="12" customHeight="1" x14ac:dyDescent="0.2">
      <c r="AM16736" t="str">
        <f t="shared" si="261"/>
        <v>Vielitz [DEVTZ]</v>
      </c>
      <c r="AN16736" t="s">
        <v>8405</v>
      </c>
      <c r="AO16736" t="s">
        <v>8406</v>
      </c>
    </row>
    <row r="16737" spans="39:41" ht="12" customHeight="1" x14ac:dyDescent="0.2">
      <c r="AM16737" t="str">
        <f t="shared" si="261"/>
        <v>Vienenburg [DEVIU]</v>
      </c>
      <c r="AN16737" t="s">
        <v>8407</v>
      </c>
      <c r="AO16737" t="s">
        <v>8408</v>
      </c>
    </row>
    <row r="16738" spans="39:41" ht="12" customHeight="1" x14ac:dyDescent="0.2">
      <c r="AM16738" t="str">
        <f t="shared" si="261"/>
        <v>Vienna [USVMD]</v>
      </c>
      <c r="AN16738" t="s">
        <v>31848</v>
      </c>
      <c r="AO16738" t="s">
        <v>31849</v>
      </c>
    </row>
    <row r="16739" spans="39:41" ht="12" customHeight="1" x14ac:dyDescent="0.2">
      <c r="AM16739" t="str">
        <f t="shared" si="261"/>
        <v>Vierlingsbeek [NLVIE]</v>
      </c>
      <c r="AN16739" t="s">
        <v>23711</v>
      </c>
      <c r="AO16739" t="s">
        <v>23712</v>
      </c>
    </row>
    <row r="16740" spans="39:41" ht="12" customHeight="1" x14ac:dyDescent="0.2">
      <c r="AM16740" t="str">
        <f t="shared" si="261"/>
        <v>Vierow [DEVIW]</v>
      </c>
      <c r="AN16740" t="s">
        <v>8409</v>
      </c>
      <c r="AO16740" t="s">
        <v>8410</v>
      </c>
    </row>
    <row r="16741" spans="39:41" ht="12" customHeight="1" x14ac:dyDescent="0.2">
      <c r="AM16741" t="str">
        <f t="shared" si="261"/>
        <v>Viersel [BEVSL]</v>
      </c>
      <c r="AN16741" t="s">
        <v>3040</v>
      </c>
      <c r="AO16741" t="s">
        <v>3041</v>
      </c>
    </row>
    <row r="16742" spans="39:41" ht="12" customHeight="1" x14ac:dyDescent="0.2">
      <c r="AM16742" t="str">
        <f t="shared" si="261"/>
        <v>Vierverlaten [NLVVL]</v>
      </c>
      <c r="AN16742" t="s">
        <v>23713</v>
      </c>
      <c r="AO16742" t="s">
        <v>23714</v>
      </c>
    </row>
    <row r="16743" spans="39:41" ht="12" customHeight="1" x14ac:dyDescent="0.2">
      <c r="AM16743" t="str">
        <f t="shared" si="261"/>
        <v>Vieste [ITVIE]</v>
      </c>
      <c r="AN16743" t="s">
        <v>18408</v>
      </c>
      <c r="AO16743" t="s">
        <v>18409</v>
      </c>
    </row>
    <row r="16744" spans="39:41" ht="12" customHeight="1" x14ac:dyDescent="0.2">
      <c r="AM16744" t="str">
        <f t="shared" si="261"/>
        <v>Viesville [BEVVI]</v>
      </c>
      <c r="AN16744" t="s">
        <v>3042</v>
      </c>
      <c r="AO16744" t="s">
        <v>3043</v>
      </c>
    </row>
    <row r="16745" spans="39:41" ht="12" customHeight="1" x14ac:dyDescent="0.2">
      <c r="AM16745" t="str">
        <f t="shared" ref="AM16745:AM16807" si="262">AO16745 &amp; " [" &amp; AN16745 &amp; "]"</f>
        <v>Vietnam Lee &amp; Man Port [VNLMP]</v>
      </c>
      <c r="AN16745" t="s">
        <v>34227</v>
      </c>
      <c r="AO16745" t="s">
        <v>34295</v>
      </c>
    </row>
    <row r="16746" spans="39:41" ht="12" customHeight="1" x14ac:dyDescent="0.2">
      <c r="AM16746" t="str">
        <f t="shared" si="262"/>
        <v>Vieux Fort [LCVIF]</v>
      </c>
      <c r="AN16746" t="s">
        <v>21815</v>
      </c>
      <c r="AO16746" t="s">
        <v>21816</v>
      </c>
    </row>
    <row r="16747" spans="39:41" ht="12" customHeight="1" x14ac:dyDescent="0.2">
      <c r="AM16747" t="str">
        <f t="shared" si="262"/>
        <v>Viewrow [DEVRW]</v>
      </c>
      <c r="AN16747" t="s">
        <v>8411</v>
      </c>
      <c r="AO16747" t="s">
        <v>8412</v>
      </c>
    </row>
    <row r="16748" spans="39:41" ht="12" customHeight="1" x14ac:dyDescent="0.2">
      <c r="AM16748" t="str">
        <f t="shared" si="262"/>
        <v>Viganj [HRVGN]</v>
      </c>
      <c r="AN16748" t="s">
        <v>15998</v>
      </c>
      <c r="AO16748" t="s">
        <v>15999</v>
      </c>
    </row>
    <row r="16749" spans="39:41" ht="12" customHeight="1" x14ac:dyDescent="0.2">
      <c r="AM16749" t="str">
        <f t="shared" si="262"/>
        <v>Vigdis [XZVGD]</v>
      </c>
      <c r="AN16749" t="s">
        <v>32614</v>
      </c>
      <c r="AO16749" t="s">
        <v>32615</v>
      </c>
    </row>
    <row r="16750" spans="39:41" ht="12" customHeight="1" x14ac:dyDescent="0.2">
      <c r="AM16750" t="str">
        <f t="shared" si="262"/>
        <v>Vigo [ESVGO]</v>
      </c>
      <c r="AN16750" t="s">
        <v>10280</v>
      </c>
      <c r="AO16750" t="s">
        <v>10281</v>
      </c>
    </row>
    <row r="16751" spans="39:41" ht="12" customHeight="1" x14ac:dyDescent="0.2">
      <c r="AM16751" t="str">
        <f t="shared" si="262"/>
        <v>Vigra [NOVIG]</v>
      </c>
      <c r="AN16751" t="s">
        <v>37128</v>
      </c>
      <c r="AO16751" t="s">
        <v>37129</v>
      </c>
    </row>
    <row r="16752" spans="39:41" ht="12" customHeight="1" x14ac:dyDescent="0.2">
      <c r="AM16752" t="str">
        <f t="shared" si="262"/>
        <v>Viinistu Sadam [EEVIN]</v>
      </c>
      <c r="AN16752" t="s">
        <v>35047</v>
      </c>
      <c r="AO16752" t="s">
        <v>35048</v>
      </c>
    </row>
    <row r="16753" spans="39:41" ht="12" customHeight="1" x14ac:dyDescent="0.2">
      <c r="AM16753" t="str">
        <f t="shared" si="262"/>
        <v>Vijaydurg [INVYD]</v>
      </c>
      <c r="AN16753" t="s">
        <v>17539</v>
      </c>
      <c r="AO16753" t="s">
        <v>17540</v>
      </c>
    </row>
    <row r="16754" spans="39:41" ht="12" customHeight="1" x14ac:dyDescent="0.2">
      <c r="AM16754" t="str">
        <f t="shared" si="262"/>
        <v>Vik - Sogn [NOVIS]</v>
      </c>
      <c r="AN16754" t="s">
        <v>25014</v>
      </c>
      <c r="AO16754" t="s">
        <v>25015</v>
      </c>
    </row>
    <row r="16755" spans="39:41" ht="12" customHeight="1" x14ac:dyDescent="0.2">
      <c r="AM16755" t="str">
        <f t="shared" si="262"/>
        <v>Vikan [NOIKA]</v>
      </c>
      <c r="AN16755" t="s">
        <v>25016</v>
      </c>
      <c r="AO16755" t="s">
        <v>25017</v>
      </c>
    </row>
    <row r="16756" spans="39:41" ht="12" customHeight="1" x14ac:dyDescent="0.2">
      <c r="AM16756" t="str">
        <f t="shared" si="262"/>
        <v>Vikan - Smola [NOVSM]</v>
      </c>
      <c r="AN16756" t="s">
        <v>25018</v>
      </c>
      <c r="AO16756" t="s">
        <v>36350</v>
      </c>
    </row>
    <row r="16757" spans="39:41" ht="12" customHeight="1" x14ac:dyDescent="0.2">
      <c r="AM16757" t="str">
        <f t="shared" si="262"/>
        <v>Vikati Sadam [EEVIK]</v>
      </c>
      <c r="AN16757" t="s">
        <v>36697</v>
      </c>
      <c r="AO16757" t="s">
        <v>36698</v>
      </c>
    </row>
    <row r="16758" spans="39:41" ht="12" customHeight="1" x14ac:dyDescent="0.2">
      <c r="AM16758" t="str">
        <f t="shared" si="262"/>
        <v>Vikedal [NOVIL]</v>
      </c>
      <c r="AN16758" t="s">
        <v>25019</v>
      </c>
      <c r="AO16758" t="s">
        <v>25020</v>
      </c>
    </row>
    <row r="16759" spans="39:41" ht="12" customHeight="1" x14ac:dyDescent="0.2">
      <c r="AM16759" t="str">
        <f t="shared" si="262"/>
        <v>Vikholmen [NOVHN]</v>
      </c>
      <c r="AN16759" t="s">
        <v>25021</v>
      </c>
      <c r="AO16759" t="s">
        <v>25022</v>
      </c>
    </row>
    <row r="16760" spans="39:41" ht="12" customHeight="1" x14ac:dyDescent="0.2">
      <c r="AM16760" t="str">
        <f t="shared" si="262"/>
        <v>Vikkilen [NOVKK]</v>
      </c>
      <c r="AN16760" t="s">
        <v>25023</v>
      </c>
      <c r="AO16760" t="s">
        <v>25024</v>
      </c>
    </row>
    <row r="16761" spans="39:41" ht="12" customHeight="1" x14ac:dyDescent="0.2">
      <c r="AM16761" t="str">
        <f t="shared" si="262"/>
        <v>Vikna [NOVKN]</v>
      </c>
      <c r="AN16761" t="s">
        <v>25025</v>
      </c>
      <c r="AO16761" t="s">
        <v>25026</v>
      </c>
    </row>
    <row r="16762" spans="39:41" ht="12" customHeight="1" x14ac:dyDescent="0.2">
      <c r="AM16762" t="str">
        <f t="shared" si="262"/>
        <v>Vila Cha [PTVLC]</v>
      </c>
      <c r="AN16762" t="s">
        <v>26636</v>
      </c>
      <c r="AO16762" t="s">
        <v>36399</v>
      </c>
    </row>
    <row r="16763" spans="39:41" ht="12" customHeight="1" x14ac:dyDescent="0.2">
      <c r="AM16763" t="str">
        <f t="shared" si="262"/>
        <v>Vila de Frades [PTVFD]</v>
      </c>
      <c r="AN16763" t="s">
        <v>26637</v>
      </c>
      <c r="AO16763" t="s">
        <v>26638</v>
      </c>
    </row>
    <row r="16764" spans="39:41" ht="12" customHeight="1" x14ac:dyDescent="0.2">
      <c r="AM16764" t="str">
        <f t="shared" si="262"/>
        <v>Vila do Conde [PTVIC]</v>
      </c>
      <c r="AN16764" t="s">
        <v>26639</v>
      </c>
      <c r="AO16764" t="s">
        <v>3412</v>
      </c>
    </row>
    <row r="16765" spans="39:41" ht="12" customHeight="1" x14ac:dyDescent="0.2">
      <c r="AM16765" t="str">
        <f t="shared" si="262"/>
        <v>Vila do Porto [PTVDP]</v>
      </c>
      <c r="AN16765" t="s">
        <v>26640</v>
      </c>
      <c r="AO16765" t="s">
        <v>26641</v>
      </c>
    </row>
    <row r="16766" spans="39:41" ht="12" customHeight="1" x14ac:dyDescent="0.2">
      <c r="AM16766" t="str">
        <f t="shared" si="262"/>
        <v>Vila Franca de Xira [PTVFX]</v>
      </c>
      <c r="AN16766" t="s">
        <v>26642</v>
      </c>
      <c r="AO16766" t="s">
        <v>26643</v>
      </c>
    </row>
    <row r="16767" spans="39:41" ht="12" customHeight="1" x14ac:dyDescent="0.2">
      <c r="AM16767" t="str">
        <f t="shared" si="262"/>
        <v>Vila Franca do Campo [PTVFC]</v>
      </c>
      <c r="AN16767" t="s">
        <v>26644</v>
      </c>
      <c r="AO16767" t="s">
        <v>26645</v>
      </c>
    </row>
    <row r="16768" spans="39:41" ht="12" customHeight="1" x14ac:dyDescent="0.2">
      <c r="AM16768" t="str">
        <f t="shared" si="262"/>
        <v>Vila Moura [PTVIF]</v>
      </c>
      <c r="AN16768" t="s">
        <v>37138</v>
      </c>
      <c r="AO16768" t="s">
        <v>37139</v>
      </c>
    </row>
    <row r="16769" spans="39:41" ht="12" customHeight="1" x14ac:dyDescent="0.2">
      <c r="AM16769" t="str">
        <f t="shared" si="262"/>
        <v>Vila Nova da Rainha [PTVNR]</v>
      </c>
      <c r="AN16769" t="s">
        <v>26646</v>
      </c>
      <c r="AO16769" t="s">
        <v>26647</v>
      </c>
    </row>
    <row r="16770" spans="39:41" ht="12" customHeight="1" x14ac:dyDescent="0.2">
      <c r="AM16770" t="str">
        <f t="shared" si="262"/>
        <v>Vila Nova do Corvo [PTVNC]</v>
      </c>
      <c r="AN16770" t="s">
        <v>26648</v>
      </c>
      <c r="AO16770" t="s">
        <v>26649</v>
      </c>
    </row>
    <row r="16771" spans="39:41" ht="12" customHeight="1" x14ac:dyDescent="0.2">
      <c r="AM16771" t="str">
        <f t="shared" si="262"/>
        <v>Vila Real de Santo Antonio [PTVRE]</v>
      </c>
      <c r="AN16771" t="s">
        <v>26650</v>
      </c>
      <c r="AO16771" t="s">
        <v>36400</v>
      </c>
    </row>
    <row r="16772" spans="39:41" ht="12" customHeight="1" x14ac:dyDescent="0.2">
      <c r="AM16772" t="str">
        <f t="shared" si="262"/>
        <v>Vilgertshofen [DEVGF]</v>
      </c>
      <c r="AN16772" t="s">
        <v>8413</v>
      </c>
      <c r="AO16772" t="s">
        <v>8414</v>
      </c>
    </row>
    <row r="16773" spans="39:41" ht="12" customHeight="1" x14ac:dyDescent="0.2">
      <c r="AM16773" t="str">
        <f t="shared" si="262"/>
        <v>Vilje [XZVIL]</v>
      </c>
      <c r="AN16773" t="s">
        <v>32616</v>
      </c>
      <c r="AO16773" t="s">
        <v>32617</v>
      </c>
    </row>
    <row r="16774" spans="39:41" ht="12" customHeight="1" x14ac:dyDescent="0.2">
      <c r="AM16774" t="str">
        <f t="shared" si="262"/>
        <v>Villa Altagracia [DOVAL]</v>
      </c>
      <c r="AN16774" t="s">
        <v>9031</v>
      </c>
      <c r="AO16774" t="s">
        <v>9032</v>
      </c>
    </row>
    <row r="16775" spans="39:41" ht="12" customHeight="1" x14ac:dyDescent="0.2">
      <c r="AM16775" t="str">
        <f t="shared" si="262"/>
        <v>Villa Constitucion [ARVCN]</v>
      </c>
      <c r="AN16775" t="s">
        <v>1151</v>
      </c>
      <c r="AO16775" t="s">
        <v>35253</v>
      </c>
    </row>
    <row r="16776" spans="39:41" ht="12" customHeight="1" x14ac:dyDescent="0.2">
      <c r="AM16776" t="str">
        <f t="shared" si="262"/>
        <v>Villa del Totoral [ARVTT]</v>
      </c>
      <c r="AN16776" t="s">
        <v>1152</v>
      </c>
      <c r="AO16776" t="s">
        <v>1153</v>
      </c>
    </row>
    <row r="16777" spans="39:41" ht="12" customHeight="1" x14ac:dyDescent="0.2">
      <c r="AM16777" t="str">
        <f t="shared" si="262"/>
        <v>Villa Hernandarias [ARVHE]</v>
      </c>
      <c r="AN16777" t="s">
        <v>1154</v>
      </c>
      <c r="AO16777" t="s">
        <v>1155</v>
      </c>
    </row>
    <row r="16778" spans="39:41" ht="12" customHeight="1" x14ac:dyDescent="0.2">
      <c r="AM16778" t="str">
        <f t="shared" si="262"/>
        <v>Villa Mercedes [ARVMD]</v>
      </c>
      <c r="AN16778" t="s">
        <v>1156</v>
      </c>
      <c r="AO16778" t="s">
        <v>1157</v>
      </c>
    </row>
    <row r="16779" spans="39:41" ht="12" customHeight="1" x14ac:dyDescent="0.2">
      <c r="AM16779" t="str">
        <f t="shared" si="262"/>
        <v>Villa Nicolas Romero [MXVNR]</v>
      </c>
      <c r="AN16779" t="s">
        <v>22477</v>
      </c>
      <c r="AO16779" t="s">
        <v>36102</v>
      </c>
    </row>
    <row r="16780" spans="39:41" ht="12" customHeight="1" x14ac:dyDescent="0.2">
      <c r="AM16780" t="str">
        <f t="shared" si="262"/>
        <v>Villa Nueva [GTVIN]</v>
      </c>
      <c r="AN16780" t="s">
        <v>15609</v>
      </c>
      <c r="AO16780" t="s">
        <v>15610</v>
      </c>
    </row>
    <row r="16781" spans="39:41" ht="12" customHeight="1" x14ac:dyDescent="0.2">
      <c r="AM16781" t="str">
        <f t="shared" si="262"/>
        <v>Villa San Giovanni, Calabria [ITVSG]</v>
      </c>
      <c r="AN16781" t="s">
        <v>18410</v>
      </c>
      <c r="AO16781" t="s">
        <v>18411</v>
      </c>
    </row>
    <row r="16782" spans="39:41" ht="12" customHeight="1" x14ac:dyDescent="0.2">
      <c r="AM16782" t="str">
        <f t="shared" si="262"/>
        <v>Villabona [ESVBN]</v>
      </c>
      <c r="AN16782" t="s">
        <v>10282</v>
      </c>
      <c r="AO16782" t="s">
        <v>10283</v>
      </c>
    </row>
    <row r="16783" spans="39:41" ht="12" customHeight="1" x14ac:dyDescent="0.2">
      <c r="AM16783" t="str">
        <f t="shared" si="262"/>
        <v>Villaflor [ESZZ4]</v>
      </c>
      <c r="AN16783" t="s">
        <v>10284</v>
      </c>
      <c r="AO16783" t="s">
        <v>10285</v>
      </c>
    </row>
    <row r="16784" spans="39:41" ht="12" customHeight="1" x14ac:dyDescent="0.2">
      <c r="AM16784" t="str">
        <f t="shared" si="262"/>
        <v>Villafranca Tirrena [ITVT3]</v>
      </c>
      <c r="AN16784" t="s">
        <v>36659</v>
      </c>
      <c r="AO16784" t="s">
        <v>36660</v>
      </c>
    </row>
    <row r="16785" spans="39:41" ht="12" customHeight="1" x14ac:dyDescent="0.2">
      <c r="AM16785" t="str">
        <f t="shared" si="262"/>
        <v>Villagarcia de Arosa [ESVIL]</v>
      </c>
      <c r="AN16785" t="s">
        <v>10286</v>
      </c>
      <c r="AO16785" t="s">
        <v>35705</v>
      </c>
    </row>
    <row r="16786" spans="39:41" ht="12" customHeight="1" x14ac:dyDescent="0.2">
      <c r="AM16786" t="str">
        <f t="shared" si="262"/>
        <v>Villandangos [ESDGS]</v>
      </c>
      <c r="AN16786" t="s">
        <v>10287</v>
      </c>
      <c r="AO16786" t="s">
        <v>10288</v>
      </c>
    </row>
    <row r="16787" spans="39:41" ht="12" customHeight="1" x14ac:dyDescent="0.2">
      <c r="AM16787" t="str">
        <f t="shared" si="262"/>
        <v>Villanueva [PHVNV]</v>
      </c>
      <c r="AN16787" t="s">
        <v>26232</v>
      </c>
      <c r="AO16787" t="s">
        <v>26233</v>
      </c>
    </row>
    <row r="16788" spans="39:41" ht="12" customHeight="1" x14ac:dyDescent="0.2">
      <c r="AM16788" t="str">
        <f t="shared" si="262"/>
        <v>Villanueva de Castellon [ESVVC]</v>
      </c>
      <c r="AN16788" t="s">
        <v>36930</v>
      </c>
      <c r="AO16788" t="s">
        <v>36931</v>
      </c>
    </row>
    <row r="16789" spans="39:41" ht="12" customHeight="1" x14ac:dyDescent="0.2">
      <c r="AM16789" t="str">
        <f t="shared" si="262"/>
        <v>Villanueva y Geltru (Vilanova i la Geltru) [ESVLG]</v>
      </c>
      <c r="AN16789" t="s">
        <v>10289</v>
      </c>
      <c r="AO16789" t="s">
        <v>35706</v>
      </c>
    </row>
    <row r="16790" spans="39:41" ht="12" customHeight="1" x14ac:dyDescent="0.2">
      <c r="AM16790" t="str">
        <f t="shared" si="262"/>
        <v>Villard Junction [USVJ2]</v>
      </c>
      <c r="AN16790" t="s">
        <v>31850</v>
      </c>
      <c r="AO16790" t="s">
        <v>31851</v>
      </c>
    </row>
    <row r="16791" spans="39:41" ht="12" customHeight="1" x14ac:dyDescent="0.2">
      <c r="AM16791" t="str">
        <f t="shared" si="262"/>
        <v>Villarreal de Alava [ESALA]</v>
      </c>
      <c r="AN16791" t="s">
        <v>10290</v>
      </c>
      <c r="AO16791" t="s">
        <v>35707</v>
      </c>
    </row>
    <row r="16792" spans="39:41" ht="12" customHeight="1" x14ac:dyDescent="0.2">
      <c r="AM16792" t="str">
        <f t="shared" si="262"/>
        <v>Villarrica [CLVIL]</v>
      </c>
      <c r="AN16792" t="s">
        <v>4993</v>
      </c>
      <c r="AO16792" t="s">
        <v>4994</v>
      </c>
    </row>
    <row r="16793" spans="39:41" ht="12" customHeight="1" x14ac:dyDescent="0.2">
      <c r="AM16793" t="str">
        <f t="shared" si="262"/>
        <v>Villaz-Saint-Pierre [CHVS5]</v>
      </c>
      <c r="AN16793" t="s">
        <v>4766</v>
      </c>
      <c r="AO16793" t="s">
        <v>4767</v>
      </c>
    </row>
    <row r="16794" spans="39:41" ht="12" customHeight="1" x14ac:dyDescent="0.2">
      <c r="AM16794" t="str">
        <f t="shared" si="262"/>
        <v>Villefranche-sur-Saone [FRVSS]</v>
      </c>
      <c r="AN16794" t="s">
        <v>12194</v>
      </c>
      <c r="AO16794" t="s">
        <v>35862</v>
      </c>
    </row>
    <row r="16795" spans="39:41" ht="12" customHeight="1" x14ac:dyDescent="0.2">
      <c r="AM16795" t="str">
        <f t="shared" si="262"/>
        <v>Villegusien-le-Lac [FRVGE]</v>
      </c>
      <c r="AN16795" t="s">
        <v>12195</v>
      </c>
      <c r="AO16795" t="s">
        <v>12196</v>
      </c>
    </row>
    <row r="16796" spans="39:41" ht="12" customHeight="1" x14ac:dyDescent="0.2">
      <c r="AM16796" t="str">
        <f t="shared" si="262"/>
        <v>Villenauxe [FRVUX]</v>
      </c>
      <c r="AN16796" t="s">
        <v>12197</v>
      </c>
      <c r="AO16796" t="s">
        <v>12198</v>
      </c>
    </row>
    <row r="16797" spans="39:41" ht="12" customHeight="1" x14ac:dyDescent="0.2">
      <c r="AM16797" t="str">
        <f t="shared" si="262"/>
        <v>Villeneuve-de-Blaye [FRV33]</v>
      </c>
      <c r="AN16797" t="s">
        <v>12199</v>
      </c>
      <c r="AO16797" t="s">
        <v>12200</v>
      </c>
    </row>
    <row r="16798" spans="39:41" ht="12" customHeight="1" x14ac:dyDescent="0.2">
      <c r="AM16798" t="str">
        <f t="shared" si="262"/>
        <v>Villeneuve-la-Garenne [FRVIM]</v>
      </c>
      <c r="AN16798" t="s">
        <v>36984</v>
      </c>
      <c r="AO16798" t="s">
        <v>36985</v>
      </c>
    </row>
    <row r="16799" spans="39:41" ht="12" customHeight="1" x14ac:dyDescent="0.2">
      <c r="AM16799" t="str">
        <f t="shared" si="262"/>
        <v>Villeneuve-les-Avignon [FRVVL]</v>
      </c>
      <c r="AN16799" t="s">
        <v>12201</v>
      </c>
      <c r="AO16799" t="s">
        <v>35863</v>
      </c>
    </row>
    <row r="16800" spans="39:41" ht="12" customHeight="1" x14ac:dyDescent="0.2">
      <c r="AM16800" t="str">
        <f t="shared" si="262"/>
        <v>Villers-sous-Chatillon [FRVC4]</v>
      </c>
      <c r="AN16800" t="s">
        <v>12202</v>
      </c>
      <c r="AO16800" t="s">
        <v>12203</v>
      </c>
    </row>
    <row r="16801" spans="39:41" ht="12" customHeight="1" x14ac:dyDescent="0.2">
      <c r="AM16801" t="str">
        <f t="shared" si="262"/>
        <v>Villesequelande [FR4VA]</v>
      </c>
      <c r="AN16801" t="s">
        <v>12204</v>
      </c>
      <c r="AO16801" t="s">
        <v>12205</v>
      </c>
    </row>
    <row r="16802" spans="39:41" ht="12" customHeight="1" x14ac:dyDescent="0.2">
      <c r="AM16802" t="str">
        <f t="shared" si="262"/>
        <v>Ville-sur-Haine [BEVSH]</v>
      </c>
      <c r="AN16802" t="s">
        <v>3044</v>
      </c>
      <c r="AO16802" t="s">
        <v>3045</v>
      </c>
    </row>
    <row r="16803" spans="39:41" ht="12" customHeight="1" x14ac:dyDescent="0.2">
      <c r="AM16803" t="str">
        <f t="shared" si="262"/>
        <v>Villeta [PYVLL]</v>
      </c>
      <c r="AN16803" t="s">
        <v>26685</v>
      </c>
      <c r="AO16803" t="s">
        <v>26686</v>
      </c>
    </row>
    <row r="16804" spans="39:41" ht="12" customHeight="1" x14ac:dyDescent="0.2">
      <c r="AM16804" t="str">
        <f t="shared" si="262"/>
        <v>Villevallier [FRLLW]</v>
      </c>
      <c r="AN16804" t="s">
        <v>12206</v>
      </c>
      <c r="AO16804" t="s">
        <v>12207</v>
      </c>
    </row>
    <row r="16805" spans="39:41" ht="12" customHeight="1" x14ac:dyDescent="0.2">
      <c r="AM16805" t="str">
        <f t="shared" si="262"/>
        <v>Vilsbiburg [DEVBS]</v>
      </c>
      <c r="AN16805" t="s">
        <v>8415</v>
      </c>
      <c r="AO16805" t="s">
        <v>8416</v>
      </c>
    </row>
    <row r="16806" spans="39:41" ht="12" customHeight="1" x14ac:dyDescent="0.2">
      <c r="AM16806" t="str">
        <f t="shared" si="262"/>
        <v>Vilvoorde [BEVIL]</v>
      </c>
      <c r="AN16806" t="s">
        <v>3046</v>
      </c>
      <c r="AO16806" t="s">
        <v>3047</v>
      </c>
    </row>
    <row r="16807" spans="39:41" ht="12" customHeight="1" x14ac:dyDescent="0.2">
      <c r="AM16807" t="str">
        <f t="shared" si="262"/>
        <v>Vimianzo [ESVZO]</v>
      </c>
      <c r="AN16807" t="s">
        <v>10291</v>
      </c>
      <c r="AO16807" t="s">
        <v>10292</v>
      </c>
    </row>
    <row r="16808" spans="39:41" ht="12" customHeight="1" x14ac:dyDescent="0.2">
      <c r="AM16808" t="str">
        <f t="shared" ref="AM16808:AM16871" si="263">AO16808 &amp; " [" &amp; AN16808 &amp; "]"</f>
        <v>Vina del Mar [CLKNA]</v>
      </c>
      <c r="AN16808" t="s">
        <v>4995</v>
      </c>
      <c r="AO16808" t="s">
        <v>35368</v>
      </c>
    </row>
    <row r="16809" spans="39:41" ht="12" customHeight="1" x14ac:dyDescent="0.2">
      <c r="AM16809" t="str">
        <f t="shared" si="263"/>
        <v>Vinalines Hau Giang Port [VNVHG]</v>
      </c>
      <c r="AN16809" t="s">
        <v>35049</v>
      </c>
      <c r="AO16809" t="s">
        <v>35050</v>
      </c>
    </row>
    <row r="16810" spans="39:41" ht="12" customHeight="1" x14ac:dyDescent="0.2">
      <c r="AM16810" t="str">
        <f t="shared" si="263"/>
        <v>Vinaroz [ESVZR]</v>
      </c>
      <c r="AN16810" t="s">
        <v>10293</v>
      </c>
      <c r="AO16810" t="s">
        <v>10294</v>
      </c>
    </row>
    <row r="16811" spans="39:41" ht="12" customHeight="1" x14ac:dyDescent="0.2">
      <c r="AM16811" t="str">
        <f t="shared" si="263"/>
        <v>Vinashin Shipyard [VNVSS]</v>
      </c>
      <c r="AN16811" t="s">
        <v>32515</v>
      </c>
      <c r="AO16811" t="s">
        <v>32516</v>
      </c>
    </row>
    <row r="16812" spans="39:41" ht="12" customHeight="1" x14ac:dyDescent="0.2">
      <c r="AM16812" t="str">
        <f t="shared" si="263"/>
        <v>Vinchy [FRVNH]</v>
      </c>
      <c r="AN16812" t="s">
        <v>12208</v>
      </c>
      <c r="AO16812" t="s">
        <v>12209</v>
      </c>
    </row>
    <row r="16813" spans="39:41" ht="12" customHeight="1" x14ac:dyDescent="0.2">
      <c r="AM16813" t="str">
        <f t="shared" si="263"/>
        <v>Vindafjord [NOVIF]</v>
      </c>
      <c r="AN16813" t="s">
        <v>25027</v>
      </c>
      <c r="AO16813" t="s">
        <v>25028</v>
      </c>
    </row>
    <row r="16814" spans="39:41" ht="12" customHeight="1" x14ac:dyDescent="0.2">
      <c r="AM16814" t="str">
        <f t="shared" si="263"/>
        <v>Vineburg [US3TR]</v>
      </c>
      <c r="AN16814" t="s">
        <v>31852</v>
      </c>
      <c r="AO16814" t="s">
        <v>31853</v>
      </c>
    </row>
    <row r="16815" spans="39:41" ht="12" customHeight="1" x14ac:dyDescent="0.2">
      <c r="AM16815" t="str">
        <f t="shared" si="263"/>
        <v>Vineyard [USVED]</v>
      </c>
      <c r="AN16815" t="s">
        <v>31854</v>
      </c>
      <c r="AO16815" t="s">
        <v>31855</v>
      </c>
    </row>
    <row r="16816" spans="39:41" ht="12" customHeight="1" x14ac:dyDescent="0.2">
      <c r="AM16816" t="str">
        <f t="shared" si="263"/>
        <v>Vingsand [NOVNS]</v>
      </c>
      <c r="AN16816" t="s">
        <v>25029</v>
      </c>
      <c r="AO16816" t="s">
        <v>25030</v>
      </c>
    </row>
    <row r="16817" spans="39:41" ht="12" customHeight="1" x14ac:dyDescent="0.2">
      <c r="AM16817" t="str">
        <f t="shared" si="263"/>
        <v>Vinh [VNVNH]</v>
      </c>
      <c r="AN16817" t="s">
        <v>32517</v>
      </c>
      <c r="AO16817" t="s">
        <v>32518</v>
      </c>
    </row>
    <row r="16818" spans="39:41" ht="12" customHeight="1" x14ac:dyDescent="0.2">
      <c r="AM16818" t="str">
        <f t="shared" si="263"/>
        <v>Vinh Loi [VNVLO]</v>
      </c>
      <c r="AN16818" t="s">
        <v>32519</v>
      </c>
      <c r="AO16818" t="s">
        <v>32520</v>
      </c>
    </row>
    <row r="16819" spans="39:41" ht="12" customHeight="1" x14ac:dyDescent="0.2">
      <c r="AM16819" t="str">
        <f t="shared" si="263"/>
        <v>Vinh Long [VNVLG]</v>
      </c>
      <c r="AN16819" t="s">
        <v>32521</v>
      </c>
      <c r="AO16819" t="s">
        <v>32522</v>
      </c>
    </row>
    <row r="16820" spans="39:41" ht="12" customHeight="1" x14ac:dyDescent="0.2">
      <c r="AM16820" t="str">
        <f t="shared" si="263"/>
        <v>Vinjeora [NOVNJ]</v>
      </c>
      <c r="AN16820" t="s">
        <v>25031</v>
      </c>
      <c r="AO16820" t="s">
        <v>36351</v>
      </c>
    </row>
    <row r="16821" spans="39:41" ht="12" customHeight="1" x14ac:dyDescent="0.2">
      <c r="AM16821" t="str">
        <f t="shared" si="263"/>
        <v>Vinn [DEV44]</v>
      </c>
      <c r="AN16821" t="s">
        <v>8417</v>
      </c>
      <c r="AO16821" t="s">
        <v>8418</v>
      </c>
    </row>
    <row r="16822" spans="39:41" ht="12" customHeight="1" x14ac:dyDescent="0.2">
      <c r="AM16822" t="str">
        <f t="shared" si="263"/>
        <v>Vinstra [NOVIN]</v>
      </c>
      <c r="AN16822" t="s">
        <v>37130</v>
      </c>
      <c r="AO16822" t="s">
        <v>37131</v>
      </c>
    </row>
    <row r="16823" spans="39:41" ht="12" customHeight="1" x14ac:dyDescent="0.2">
      <c r="AM16823" t="str">
        <f t="shared" si="263"/>
        <v>Viola [USVIX]</v>
      </c>
      <c r="AN16823" t="s">
        <v>31856</v>
      </c>
      <c r="AO16823" t="s">
        <v>31857</v>
      </c>
    </row>
    <row r="16824" spans="39:41" ht="12" customHeight="1" x14ac:dyDescent="0.2">
      <c r="AM16824" t="str">
        <f t="shared" si="263"/>
        <v>Violet [USVOT]</v>
      </c>
      <c r="AN16824" t="s">
        <v>31858</v>
      </c>
      <c r="AO16824" t="s">
        <v>31859</v>
      </c>
    </row>
    <row r="16825" spans="39:41" ht="12" customHeight="1" x14ac:dyDescent="0.2">
      <c r="AM16825" t="str">
        <f t="shared" si="263"/>
        <v>Virey [FRJPL]</v>
      </c>
      <c r="AN16825" t="s">
        <v>12210</v>
      </c>
      <c r="AO16825" t="s">
        <v>12211</v>
      </c>
    </row>
    <row r="16826" spans="39:41" ht="12" customHeight="1" x14ac:dyDescent="0.2">
      <c r="AM16826" t="str">
        <f t="shared" si="263"/>
        <v>Virginal-Samme [BEVGL]</v>
      </c>
      <c r="AN16826" t="s">
        <v>3048</v>
      </c>
      <c r="AO16826" t="s">
        <v>3049</v>
      </c>
    </row>
    <row r="16827" spans="39:41" ht="12" customHeight="1" x14ac:dyDescent="0.2">
      <c r="AM16827" t="str">
        <f t="shared" si="263"/>
        <v>Viroqua [USVIR]</v>
      </c>
      <c r="AN16827" t="s">
        <v>31860</v>
      </c>
      <c r="AO16827" t="s">
        <v>31861</v>
      </c>
    </row>
    <row r="16828" spans="39:41" ht="12" customHeight="1" x14ac:dyDescent="0.2">
      <c r="AM16828" t="str">
        <f t="shared" si="263"/>
        <v>Virrat (Virdois) [FIVRA]</v>
      </c>
      <c r="AN16828" t="s">
        <v>10605</v>
      </c>
      <c r="AO16828" t="s">
        <v>10606</v>
      </c>
    </row>
    <row r="16829" spans="39:41" ht="12" customHeight="1" x14ac:dyDescent="0.2">
      <c r="AM16829" t="str">
        <f t="shared" si="263"/>
        <v>Virtsu [EEVIR]</v>
      </c>
      <c r="AN16829" t="s">
        <v>9419</v>
      </c>
      <c r="AO16829" t="s">
        <v>9420</v>
      </c>
    </row>
    <row r="16830" spans="39:41" ht="12" customHeight="1" x14ac:dyDescent="0.2">
      <c r="AM16830" t="str">
        <f t="shared" si="263"/>
        <v>Virtsu Kalasadam [EEVIS]</v>
      </c>
      <c r="AN16830" t="s">
        <v>9421</v>
      </c>
      <c r="AO16830" t="s">
        <v>9422</v>
      </c>
    </row>
    <row r="16831" spans="39:41" ht="12" customHeight="1" x14ac:dyDescent="0.2">
      <c r="AM16831" t="str">
        <f t="shared" si="263"/>
        <v>Virtsu Vanasadam [EEVVS]</v>
      </c>
      <c r="AN16831" t="s">
        <v>9423</v>
      </c>
      <c r="AO16831" t="s">
        <v>9424</v>
      </c>
    </row>
    <row r="16832" spans="39:41" ht="12" customHeight="1" x14ac:dyDescent="0.2">
      <c r="AM16832" t="str">
        <f t="shared" si="263"/>
        <v>Viru Harbour [SBVIU]</v>
      </c>
      <c r="AN16832" t="s">
        <v>27463</v>
      </c>
      <c r="AO16832" t="s">
        <v>27464</v>
      </c>
    </row>
    <row r="16833" spans="39:41" ht="12" customHeight="1" x14ac:dyDescent="0.2">
      <c r="AM16833" t="str">
        <f t="shared" si="263"/>
        <v>Vis [HRVIS]</v>
      </c>
      <c r="AN16833" t="s">
        <v>16000</v>
      </c>
      <c r="AO16833" t="s">
        <v>16001</v>
      </c>
    </row>
    <row r="16834" spans="39:41" ht="12" customHeight="1" x14ac:dyDescent="0.2">
      <c r="AM16834" t="str">
        <f t="shared" si="263"/>
        <v>Visakhapatnam [INVTZ]</v>
      </c>
      <c r="AN16834" t="s">
        <v>17541</v>
      </c>
      <c r="AO16834" t="s">
        <v>17542</v>
      </c>
    </row>
    <row r="16835" spans="39:41" ht="12" customHeight="1" x14ac:dyDescent="0.2">
      <c r="AM16835" t="str">
        <f t="shared" si="263"/>
        <v>Visby [SEVBY]</v>
      </c>
      <c r="AN16835" t="s">
        <v>27950</v>
      </c>
      <c r="AO16835" t="s">
        <v>27951</v>
      </c>
    </row>
    <row r="16836" spans="39:41" ht="12" customHeight="1" x14ac:dyDescent="0.2">
      <c r="AM16836" t="str">
        <f t="shared" si="263"/>
        <v>Vise [BEVIS]</v>
      </c>
      <c r="AN16836" t="s">
        <v>36813</v>
      </c>
      <c r="AO16836" t="s">
        <v>36814</v>
      </c>
    </row>
    <row r="16837" spans="39:41" ht="12" customHeight="1" x14ac:dyDescent="0.2">
      <c r="AM16837" t="str">
        <f t="shared" si="263"/>
        <v>Visegrad [HUVIG]</v>
      </c>
      <c r="AN16837" t="s">
        <v>16134</v>
      </c>
      <c r="AO16837" t="s">
        <v>36031</v>
      </c>
    </row>
    <row r="16838" spans="39:41" ht="12" customHeight="1" x14ac:dyDescent="0.2">
      <c r="AM16838" t="str">
        <f t="shared" si="263"/>
        <v>Visnes - Eide [NOVSN]</v>
      </c>
      <c r="AN16838" t="s">
        <v>25032</v>
      </c>
      <c r="AO16838" t="s">
        <v>25033</v>
      </c>
    </row>
    <row r="16839" spans="39:41" ht="12" customHeight="1" x14ac:dyDescent="0.2">
      <c r="AM16839" t="str">
        <f t="shared" si="263"/>
        <v>Vistdal [NOVDL]</v>
      </c>
      <c r="AN16839" t="s">
        <v>25034</v>
      </c>
      <c r="AO16839" t="s">
        <v>25035</v>
      </c>
    </row>
    <row r="16840" spans="39:41" ht="12" customHeight="1" x14ac:dyDescent="0.2">
      <c r="AM16840" t="str">
        <f t="shared" si="263"/>
        <v>Visund [XZVSU]</v>
      </c>
      <c r="AN16840" t="s">
        <v>32618</v>
      </c>
      <c r="AO16840" t="s">
        <v>32619</v>
      </c>
    </row>
    <row r="16841" spans="39:41" ht="12" customHeight="1" x14ac:dyDescent="0.2">
      <c r="AM16841" t="str">
        <f t="shared" si="263"/>
        <v>Vitali/Zamboanga [PHVTL]</v>
      </c>
      <c r="AN16841" t="s">
        <v>26234</v>
      </c>
      <c r="AO16841" t="s">
        <v>26235</v>
      </c>
    </row>
    <row r="16842" spans="39:41" ht="12" customHeight="1" x14ac:dyDescent="0.2">
      <c r="AM16842" t="str">
        <f t="shared" si="263"/>
        <v>Vitim [RUVTM]</v>
      </c>
      <c r="AN16842" t="s">
        <v>27314</v>
      </c>
      <c r="AO16842" t="s">
        <v>27315</v>
      </c>
    </row>
    <row r="16843" spans="39:41" ht="12" customHeight="1" x14ac:dyDescent="0.2">
      <c r="AM16843" t="str">
        <f t="shared" si="263"/>
        <v>Vitino [RUVIT]</v>
      </c>
      <c r="AN16843" t="s">
        <v>27316</v>
      </c>
      <c r="AO16843" t="s">
        <v>27317</v>
      </c>
    </row>
    <row r="16844" spans="39:41" ht="12" customHeight="1" x14ac:dyDescent="0.2">
      <c r="AM16844" t="str">
        <f t="shared" si="263"/>
        <v>Vito/Iloilo [PHVTO]</v>
      </c>
      <c r="AN16844" t="s">
        <v>26236</v>
      </c>
      <c r="AO16844" t="s">
        <v>26237</v>
      </c>
    </row>
    <row r="16845" spans="39:41" ht="12" customHeight="1" x14ac:dyDescent="0.2">
      <c r="AM16845" t="str">
        <f t="shared" si="263"/>
        <v>Vitoria [BRVIX]</v>
      </c>
      <c r="AN16845" t="s">
        <v>3413</v>
      </c>
      <c r="AO16845" t="s">
        <v>3414</v>
      </c>
    </row>
    <row r="16846" spans="39:41" ht="12" customHeight="1" x14ac:dyDescent="0.2">
      <c r="AM16846" t="str">
        <f t="shared" si="263"/>
        <v>Vitoria da Conquista [BRVDC]</v>
      </c>
      <c r="AN16846" t="s">
        <v>35319</v>
      </c>
      <c r="AO16846" t="s">
        <v>35320</v>
      </c>
    </row>
    <row r="16847" spans="39:41" ht="12" customHeight="1" x14ac:dyDescent="0.2">
      <c r="AM16847" t="str">
        <f t="shared" si="263"/>
        <v>Vitoria-Gasteiz [ESVIT]</v>
      </c>
      <c r="AN16847" t="s">
        <v>10295</v>
      </c>
      <c r="AO16847" t="s">
        <v>10296</v>
      </c>
    </row>
    <row r="16848" spans="39:41" ht="12" customHeight="1" x14ac:dyDescent="0.2">
      <c r="AM16848" t="str">
        <f t="shared" si="263"/>
        <v>Vitte (Hiddensee) [DEVTT]</v>
      </c>
      <c r="AN16848" t="s">
        <v>8419</v>
      </c>
      <c r="AO16848" t="s">
        <v>8420</v>
      </c>
    </row>
    <row r="16849" spans="39:41" ht="12" customHeight="1" x14ac:dyDescent="0.2">
      <c r="AM16849" t="str">
        <f t="shared" si="263"/>
        <v>Vityaz [RUVTZ]</v>
      </c>
      <c r="AN16849" t="s">
        <v>27318</v>
      </c>
      <c r="AO16849" t="s">
        <v>27319</v>
      </c>
    </row>
    <row r="16850" spans="39:41" ht="12" customHeight="1" x14ac:dyDescent="0.2">
      <c r="AM16850" t="str">
        <f t="shared" si="263"/>
        <v>Vitznau [CHVZU]</v>
      </c>
      <c r="AN16850" t="s">
        <v>4768</v>
      </c>
      <c r="AO16850" t="s">
        <v>4769</v>
      </c>
    </row>
    <row r="16851" spans="39:41" ht="12" customHeight="1" x14ac:dyDescent="0.2">
      <c r="AM16851" t="str">
        <f t="shared" si="263"/>
        <v>Vivares [ESVVR]</v>
      </c>
      <c r="AN16851" t="s">
        <v>10297</v>
      </c>
      <c r="AO16851" t="s">
        <v>10298</v>
      </c>
    </row>
    <row r="16852" spans="39:41" ht="12" customHeight="1" x14ac:dyDescent="0.2">
      <c r="AM16852" t="str">
        <f t="shared" si="263"/>
        <v>Viveiro [ESVIV]</v>
      </c>
      <c r="AN16852" t="s">
        <v>10299</v>
      </c>
      <c r="AO16852" t="s">
        <v>10300</v>
      </c>
    </row>
    <row r="16853" spans="39:41" ht="12" customHeight="1" x14ac:dyDescent="0.2">
      <c r="AM16853" t="str">
        <f t="shared" si="263"/>
        <v>Vivstavarv [SEVIV]</v>
      </c>
      <c r="AN16853" t="s">
        <v>27952</v>
      </c>
      <c r="AO16853" t="s">
        <v>27953</v>
      </c>
    </row>
    <row r="16854" spans="39:41" ht="12" customHeight="1" x14ac:dyDescent="0.2">
      <c r="AM16854" t="str">
        <f t="shared" si="263"/>
        <v>Vizagapatanam [INVIG]</v>
      </c>
      <c r="AN16854" t="s">
        <v>17543</v>
      </c>
      <c r="AO16854" t="s">
        <v>17544</v>
      </c>
    </row>
    <row r="16855" spans="39:41" ht="12" customHeight="1" x14ac:dyDescent="0.2">
      <c r="AM16855" t="str">
        <f t="shared" si="263"/>
        <v>Vizmalo [ESVZM]</v>
      </c>
      <c r="AN16855" t="s">
        <v>10301</v>
      </c>
      <c r="AO16855" t="s">
        <v>10302</v>
      </c>
    </row>
    <row r="16856" spans="39:41" ht="12" customHeight="1" x14ac:dyDescent="0.2">
      <c r="AM16856" t="str">
        <f t="shared" si="263"/>
        <v>Vlaardingen [NLVLA]</v>
      </c>
      <c r="AN16856" t="s">
        <v>23715</v>
      </c>
      <c r="AO16856" t="s">
        <v>23716</v>
      </c>
    </row>
    <row r="16857" spans="39:41" ht="12" customHeight="1" x14ac:dyDescent="0.2">
      <c r="AM16857" t="str">
        <f t="shared" si="263"/>
        <v>Vladivostok [RUVVO]</v>
      </c>
      <c r="AN16857" t="s">
        <v>27320</v>
      </c>
      <c r="AO16857" t="s">
        <v>27321</v>
      </c>
    </row>
    <row r="16858" spans="39:41" ht="12" customHeight="1" x14ac:dyDescent="0.2">
      <c r="AM16858" t="str">
        <f t="shared" si="263"/>
        <v>Vladivostok [RUFIP]</v>
      </c>
      <c r="AN16858" t="s">
        <v>27322</v>
      </c>
      <c r="AO16858" t="s">
        <v>27321</v>
      </c>
    </row>
    <row r="16859" spans="39:41" ht="12" customHeight="1" x14ac:dyDescent="0.2">
      <c r="AM16859" t="str">
        <f t="shared" si="263"/>
        <v>Vlagtwedde [NLVWD]</v>
      </c>
      <c r="AN16859" t="s">
        <v>33926</v>
      </c>
      <c r="AO16859" t="s">
        <v>34048</v>
      </c>
    </row>
    <row r="16860" spans="39:41" ht="12" customHeight="1" x14ac:dyDescent="0.2">
      <c r="AM16860" t="str">
        <f t="shared" si="263"/>
        <v>Vlieland [NLVLL]</v>
      </c>
      <c r="AN16860" t="s">
        <v>23717</v>
      </c>
      <c r="AO16860" t="s">
        <v>23718</v>
      </c>
    </row>
    <row r="16861" spans="39:41" ht="12" customHeight="1" x14ac:dyDescent="0.2">
      <c r="AM16861" t="str">
        <f t="shared" si="263"/>
        <v>Vlissingen [NLVLI]</v>
      </c>
      <c r="AN16861" t="s">
        <v>23719</v>
      </c>
      <c r="AO16861" t="s">
        <v>23720</v>
      </c>
    </row>
    <row r="16862" spans="39:41" ht="12" customHeight="1" x14ac:dyDescent="0.2">
      <c r="AM16862" t="str">
        <f t="shared" si="263"/>
        <v>Vlore [ALVOA]</v>
      </c>
      <c r="AN16862" t="s">
        <v>823</v>
      </c>
      <c r="AO16862" t="s">
        <v>35237</v>
      </c>
    </row>
    <row r="16863" spans="39:41" ht="12" customHeight="1" x14ac:dyDescent="0.2">
      <c r="AM16863" t="str">
        <f t="shared" si="263"/>
        <v>Vockfey [DEVOC]</v>
      </c>
      <c r="AN16863" t="s">
        <v>8421</v>
      </c>
      <c r="AO16863" t="s">
        <v>8422</v>
      </c>
    </row>
    <row r="16864" spans="39:41" ht="12" customHeight="1" x14ac:dyDescent="0.2">
      <c r="AM16864" t="str">
        <f t="shared" si="263"/>
        <v>Vodice [HRVDC]</v>
      </c>
      <c r="AN16864" t="s">
        <v>16002</v>
      </c>
      <c r="AO16864" t="s">
        <v>16003</v>
      </c>
    </row>
    <row r="16865" spans="39:41" ht="12" customHeight="1" x14ac:dyDescent="0.2">
      <c r="AM16865" t="str">
        <f t="shared" si="263"/>
        <v>Voe [GBVOE]</v>
      </c>
      <c r="AN16865" t="s">
        <v>14766</v>
      </c>
      <c r="AO16865" t="s">
        <v>14767</v>
      </c>
    </row>
    <row r="16866" spans="39:41" ht="12" customHeight="1" x14ac:dyDescent="0.2">
      <c r="AM16866" t="str">
        <f t="shared" si="263"/>
        <v>Voerde [DEVRD]</v>
      </c>
      <c r="AN16866" t="s">
        <v>8423</v>
      </c>
      <c r="AO16866" t="s">
        <v>8424</v>
      </c>
    </row>
    <row r="16867" spans="39:41" ht="12" customHeight="1" x14ac:dyDescent="0.2">
      <c r="AM16867" t="str">
        <f t="shared" si="263"/>
        <v>Voetangelbrug [NLVGB]</v>
      </c>
      <c r="AN16867" t="s">
        <v>23721</v>
      </c>
      <c r="AO16867" t="s">
        <v>23722</v>
      </c>
    </row>
    <row r="16868" spans="39:41" ht="12" customHeight="1" x14ac:dyDescent="0.2">
      <c r="AM16868" t="str">
        <f t="shared" si="263"/>
        <v>Vogar [ISVOG]</v>
      </c>
      <c r="AN16868" t="s">
        <v>17782</v>
      </c>
      <c r="AO16868" t="s">
        <v>17783</v>
      </c>
    </row>
    <row r="16869" spans="39:41" ht="12" customHeight="1" x14ac:dyDescent="0.2">
      <c r="AM16869" t="str">
        <f t="shared" si="263"/>
        <v>Vognes [FRNEH]</v>
      </c>
      <c r="AN16869" t="s">
        <v>12212</v>
      </c>
      <c r="AO16869" t="s">
        <v>12213</v>
      </c>
    </row>
    <row r="16870" spans="39:41" ht="12" customHeight="1" x14ac:dyDescent="0.2">
      <c r="AM16870" t="str">
        <f t="shared" si="263"/>
        <v>Vogosca [BAVGS]</v>
      </c>
      <c r="AN16870" t="s">
        <v>2180</v>
      </c>
      <c r="AO16870" t="s">
        <v>2181</v>
      </c>
    </row>
    <row r="16871" spans="39:41" ht="12" customHeight="1" x14ac:dyDescent="0.2">
      <c r="AM16871" t="str">
        <f t="shared" si="263"/>
        <v>Voidu [EEVDU]</v>
      </c>
      <c r="AN16871" t="s">
        <v>9425</v>
      </c>
      <c r="AO16871" t="s">
        <v>35653</v>
      </c>
    </row>
    <row r="16872" spans="39:41" ht="12" customHeight="1" x14ac:dyDescent="0.2">
      <c r="AM16872" t="str">
        <f t="shared" ref="AM16872:AM16935" si="264">AO16872 &amp; " [" &amp; AN16872 &amp; "]"</f>
        <v>Voisey's Bay [CAVOB]</v>
      </c>
      <c r="AN16872" t="s">
        <v>4568</v>
      </c>
      <c r="AO16872" t="s">
        <v>4569</v>
      </c>
    </row>
    <row r="16873" spans="39:41" ht="12" customHeight="1" x14ac:dyDescent="0.2">
      <c r="AM16873" t="str">
        <f t="shared" si="264"/>
        <v>Voiste [EEVOI]</v>
      </c>
      <c r="AN16873" t="s">
        <v>9426</v>
      </c>
      <c r="AO16873" t="s">
        <v>35654</v>
      </c>
    </row>
    <row r="16874" spans="39:41" ht="12" customHeight="1" x14ac:dyDescent="0.2">
      <c r="AM16874" t="str">
        <f t="shared" si="264"/>
        <v>Vojnik [SIVOJ]</v>
      </c>
      <c r="AN16874" t="s">
        <v>34193</v>
      </c>
      <c r="AO16874" t="s">
        <v>34265</v>
      </c>
    </row>
    <row r="16875" spans="39:41" ht="12" customHeight="1" x14ac:dyDescent="0.2">
      <c r="AM16875" t="str">
        <f t="shared" si="264"/>
        <v>Volary [CZVRY]</v>
      </c>
      <c r="AN16875" t="s">
        <v>6965</v>
      </c>
      <c r="AO16875" t="s">
        <v>6966</v>
      </c>
    </row>
    <row r="16876" spans="39:41" ht="12" customHeight="1" x14ac:dyDescent="0.2">
      <c r="AM16876" t="str">
        <f t="shared" si="264"/>
        <v>Volda [NOVDA]</v>
      </c>
      <c r="AN16876" t="s">
        <v>25036</v>
      </c>
      <c r="AO16876" t="s">
        <v>25037</v>
      </c>
    </row>
    <row r="16877" spans="39:41" ht="12" customHeight="1" x14ac:dyDescent="0.2">
      <c r="AM16877" t="str">
        <f t="shared" si="264"/>
        <v>Volga [RUVLG]</v>
      </c>
      <c r="AN16877" t="s">
        <v>27323</v>
      </c>
      <c r="AO16877" t="s">
        <v>27324</v>
      </c>
    </row>
    <row r="16878" spans="39:41" ht="12" customHeight="1" x14ac:dyDescent="0.2">
      <c r="AM16878" t="str">
        <f t="shared" si="264"/>
        <v>Volgograd [RUVOG]</v>
      </c>
      <c r="AN16878" t="s">
        <v>27325</v>
      </c>
      <c r="AO16878" t="s">
        <v>27326</v>
      </c>
    </row>
    <row r="16879" spans="39:41" ht="12" customHeight="1" x14ac:dyDescent="0.2">
      <c r="AM16879" t="str">
        <f t="shared" si="264"/>
        <v>Volissos (Limnia) Chios [GRVLC]</v>
      </c>
      <c r="AN16879" t="s">
        <v>15574</v>
      </c>
      <c r="AO16879" t="s">
        <v>15575</v>
      </c>
    </row>
    <row r="16880" spans="39:41" ht="12" customHeight="1" x14ac:dyDescent="0.2">
      <c r="AM16880" t="str">
        <f t="shared" si="264"/>
        <v>Volkach [DEVOL]</v>
      </c>
      <c r="AN16880" t="s">
        <v>8425</v>
      </c>
      <c r="AO16880" t="s">
        <v>8426</v>
      </c>
    </row>
    <row r="16881" spans="39:41" ht="12" customHeight="1" x14ac:dyDescent="0.2">
      <c r="AM16881" t="str">
        <f t="shared" si="264"/>
        <v>Volkerak [NLVKR]</v>
      </c>
      <c r="AN16881" t="s">
        <v>23723</v>
      </c>
      <c r="AO16881" t="s">
        <v>23724</v>
      </c>
    </row>
    <row r="16882" spans="39:41" ht="12" customHeight="1" x14ac:dyDescent="0.2">
      <c r="AM16882" t="str">
        <f t="shared" si="264"/>
        <v>Volklingen [DEVOE]</v>
      </c>
      <c r="AN16882" t="s">
        <v>8427</v>
      </c>
      <c r="AO16882" t="s">
        <v>35510</v>
      </c>
    </row>
    <row r="16883" spans="39:41" ht="12" customHeight="1" x14ac:dyDescent="0.2">
      <c r="AM16883" t="str">
        <f t="shared" si="264"/>
        <v>Voll [NOVLL]</v>
      </c>
      <c r="AN16883" t="s">
        <v>25038</v>
      </c>
      <c r="AO16883" t="s">
        <v>25039</v>
      </c>
    </row>
    <row r="16884" spans="39:41" ht="12" customHeight="1" x14ac:dyDescent="0.2">
      <c r="AM16884" t="str">
        <f t="shared" si="264"/>
        <v>Volos [GRVOL]</v>
      </c>
      <c r="AN16884" t="s">
        <v>15576</v>
      </c>
      <c r="AO16884" t="s">
        <v>35991</v>
      </c>
    </row>
    <row r="16885" spans="39:41" ht="12" customHeight="1" x14ac:dyDescent="0.2">
      <c r="AM16885" t="str">
        <f t="shared" si="264"/>
        <v>Voltri [ITVTI]</v>
      </c>
      <c r="AN16885" t="s">
        <v>18412</v>
      </c>
      <c r="AO16885" t="s">
        <v>18413</v>
      </c>
    </row>
    <row r="16886" spans="39:41" ht="12" customHeight="1" x14ac:dyDescent="0.2">
      <c r="AM16886" t="str">
        <f t="shared" si="264"/>
        <v>Volve [XZVOV]</v>
      </c>
      <c r="AN16886" t="s">
        <v>32620</v>
      </c>
      <c r="AO16886" t="s">
        <v>32621</v>
      </c>
    </row>
    <row r="16887" spans="39:41" ht="12" customHeight="1" x14ac:dyDescent="0.2">
      <c r="AM16887" t="str">
        <f t="shared" si="264"/>
        <v>Volzhsk [RUVZH]</v>
      </c>
      <c r="AN16887" t="s">
        <v>27327</v>
      </c>
      <c r="AO16887" t="s">
        <v>27328</v>
      </c>
    </row>
    <row r="16888" spans="39:41" ht="12" customHeight="1" x14ac:dyDescent="0.2">
      <c r="AM16888" t="str">
        <f t="shared" si="264"/>
        <v>Vonges [FRXSW]</v>
      </c>
      <c r="AN16888" t="s">
        <v>12214</v>
      </c>
      <c r="AO16888" t="s">
        <v>12215</v>
      </c>
    </row>
    <row r="16889" spans="39:41" ht="12" customHeight="1" x14ac:dyDescent="0.2">
      <c r="AM16889" t="str">
        <f t="shared" si="264"/>
        <v>Voopsu [EEVOP]</v>
      </c>
      <c r="AN16889" t="s">
        <v>9427</v>
      </c>
      <c r="AO16889" t="s">
        <v>35655</v>
      </c>
    </row>
    <row r="16890" spans="39:41" ht="12" customHeight="1" x14ac:dyDescent="0.2">
      <c r="AM16890" t="str">
        <f t="shared" si="264"/>
        <v>Voorburg [NLVOB]</v>
      </c>
      <c r="AN16890" t="s">
        <v>33927</v>
      </c>
      <c r="AO16890" t="s">
        <v>34049</v>
      </c>
    </row>
    <row r="16891" spans="39:41" ht="12" customHeight="1" x14ac:dyDescent="0.2">
      <c r="AM16891" t="str">
        <f t="shared" si="264"/>
        <v>Voorschoten [NLVOS]</v>
      </c>
      <c r="AN16891" t="s">
        <v>33928</v>
      </c>
      <c r="AO16891" t="s">
        <v>34050</v>
      </c>
    </row>
    <row r="16892" spans="39:41" ht="12" customHeight="1" x14ac:dyDescent="0.2">
      <c r="AM16892" t="str">
        <f t="shared" si="264"/>
        <v>Vopnafjordur [ISVPN]</v>
      </c>
      <c r="AN16892" t="s">
        <v>17784</v>
      </c>
      <c r="AO16892" t="s">
        <v>36074</v>
      </c>
    </row>
    <row r="16893" spans="39:41" ht="12" customHeight="1" x14ac:dyDescent="0.2">
      <c r="AM16893" t="str">
        <f t="shared" si="264"/>
        <v>Vordernberg [ATERM]</v>
      </c>
      <c r="AN16893" t="s">
        <v>1365</v>
      </c>
      <c r="AO16893" t="s">
        <v>1366</v>
      </c>
    </row>
    <row r="16894" spans="39:41" ht="12" customHeight="1" x14ac:dyDescent="0.2">
      <c r="AM16894" t="str">
        <f t="shared" si="264"/>
        <v>Vordingborg [DKVOR]</v>
      </c>
      <c r="AN16894" t="s">
        <v>8967</v>
      </c>
      <c r="AO16894" t="s">
        <v>8968</v>
      </c>
    </row>
    <row r="16895" spans="39:41" ht="12" customHeight="1" x14ac:dyDescent="0.2">
      <c r="AM16895" t="str">
        <f t="shared" si="264"/>
        <v>Vordingborg Nordhavnen [DKVBN]</v>
      </c>
      <c r="AN16895" t="s">
        <v>8969</v>
      </c>
      <c r="AO16895" t="s">
        <v>8970</v>
      </c>
    </row>
    <row r="16896" spans="39:41" ht="12" customHeight="1" x14ac:dyDescent="0.2">
      <c r="AM16896" t="str">
        <f t="shared" si="264"/>
        <v>Vordingborg Sydhavnen [DKVBS]</v>
      </c>
      <c r="AN16896" t="s">
        <v>8971</v>
      </c>
      <c r="AO16896" t="s">
        <v>8972</v>
      </c>
    </row>
    <row r="16897" spans="39:41" ht="12" customHeight="1" x14ac:dyDescent="0.2">
      <c r="AM16897" t="str">
        <f t="shared" si="264"/>
        <v>Vorkaia [EEVRK]</v>
      </c>
      <c r="AN16897" t="s">
        <v>9428</v>
      </c>
      <c r="AO16897" t="s">
        <v>35656</v>
      </c>
    </row>
    <row r="16898" spans="39:41" ht="12" customHeight="1" x14ac:dyDescent="0.2">
      <c r="AM16898" t="str">
        <f t="shared" si="264"/>
        <v>Vormedal [NOSAG]</v>
      </c>
      <c r="AN16898" t="s">
        <v>25040</v>
      </c>
      <c r="AO16898" t="s">
        <v>25041</v>
      </c>
    </row>
    <row r="16899" spans="39:41" ht="12" customHeight="1" x14ac:dyDescent="0.2">
      <c r="AM16899" t="str">
        <f t="shared" si="264"/>
        <v>Vostochnyy Port [RUVYP]</v>
      </c>
      <c r="AN16899" t="s">
        <v>27329</v>
      </c>
      <c r="AO16899" t="s">
        <v>27330</v>
      </c>
    </row>
    <row r="16900" spans="39:41" ht="12" customHeight="1" x14ac:dyDescent="0.2">
      <c r="AM16900" t="str">
        <f t="shared" si="264"/>
        <v>Vostokmorservice [RUVMS]</v>
      </c>
      <c r="AN16900" t="s">
        <v>27331</v>
      </c>
      <c r="AO16900" t="s">
        <v>27332</v>
      </c>
    </row>
    <row r="16901" spans="39:41" ht="12" customHeight="1" x14ac:dyDescent="0.2">
      <c r="AM16901" t="str">
        <f t="shared" si="264"/>
        <v>Vosu [EEVOS]</v>
      </c>
      <c r="AN16901" t="s">
        <v>9429</v>
      </c>
      <c r="AO16901" t="s">
        <v>35657</v>
      </c>
    </row>
    <row r="16902" spans="39:41" ht="12" customHeight="1" x14ac:dyDescent="0.2">
      <c r="AM16902" t="str">
        <f t="shared" si="264"/>
        <v>Vouliagmeni [GRVLM]</v>
      </c>
      <c r="AN16902" t="s">
        <v>15577</v>
      </c>
      <c r="AO16902" t="s">
        <v>35992</v>
      </c>
    </row>
    <row r="16903" spans="39:41" ht="12" customHeight="1" x14ac:dyDescent="0.2">
      <c r="AM16903" t="str">
        <f t="shared" si="264"/>
        <v>Vozrozhdeniya, Bukhta [RUVZB]</v>
      </c>
      <c r="AN16903" t="s">
        <v>27333</v>
      </c>
      <c r="AO16903" t="s">
        <v>27334</v>
      </c>
    </row>
    <row r="16904" spans="39:41" ht="12" customHeight="1" x14ac:dyDescent="0.2">
      <c r="AM16904" t="str">
        <f t="shared" si="264"/>
        <v>Vrango [SEVGO]</v>
      </c>
      <c r="AN16904" t="s">
        <v>27954</v>
      </c>
      <c r="AO16904" t="s">
        <v>36548</v>
      </c>
    </row>
    <row r="16905" spans="39:41" ht="12" customHeight="1" x14ac:dyDescent="0.2">
      <c r="AM16905" t="str">
        <f t="shared" si="264"/>
        <v>Vranje [RSVRA]</v>
      </c>
      <c r="AN16905" t="s">
        <v>26857</v>
      </c>
      <c r="AO16905" t="s">
        <v>26858</v>
      </c>
    </row>
    <row r="16906" spans="39:41" ht="12" customHeight="1" x14ac:dyDescent="0.2">
      <c r="AM16906" t="str">
        <f t="shared" si="264"/>
        <v>Vranjic [HRVRA]</v>
      </c>
      <c r="AN16906" t="s">
        <v>16004</v>
      </c>
      <c r="AO16906" t="s">
        <v>16005</v>
      </c>
    </row>
    <row r="16907" spans="39:41" ht="12" customHeight="1" x14ac:dyDescent="0.2">
      <c r="AM16907" t="str">
        <f t="shared" si="264"/>
        <v>Vransko [SIVRA]</v>
      </c>
      <c r="AN16907" t="s">
        <v>34194</v>
      </c>
      <c r="AO16907" t="s">
        <v>34266</v>
      </c>
    </row>
    <row r="16908" spans="39:41" ht="12" customHeight="1" x14ac:dyDescent="0.2">
      <c r="AM16908" t="str">
        <f t="shared" si="264"/>
        <v>Vrbnik [HRVRK]</v>
      </c>
      <c r="AN16908" t="s">
        <v>16006</v>
      </c>
      <c r="AO16908" t="s">
        <v>16007</v>
      </c>
    </row>
    <row r="16909" spans="39:41" ht="12" customHeight="1" x14ac:dyDescent="0.2">
      <c r="AM16909" t="str">
        <f t="shared" si="264"/>
        <v>Vrboska [HRVRS]</v>
      </c>
      <c r="AN16909" t="s">
        <v>16008</v>
      </c>
      <c r="AO16909" t="s">
        <v>16009</v>
      </c>
    </row>
    <row r="16910" spans="39:41" ht="12" customHeight="1" x14ac:dyDescent="0.2">
      <c r="AM16910" t="str">
        <f t="shared" si="264"/>
        <v>Vredenduin [NLVDN]</v>
      </c>
      <c r="AN16910" t="s">
        <v>23725</v>
      </c>
      <c r="AO16910" t="s">
        <v>23726</v>
      </c>
    </row>
    <row r="16911" spans="39:41" ht="12" customHeight="1" x14ac:dyDescent="0.2">
      <c r="AM16911" t="str">
        <f t="shared" si="264"/>
        <v>Vremski Britof [SIVB9]</v>
      </c>
      <c r="AN16911" t="s">
        <v>34195</v>
      </c>
      <c r="AO16911" t="s">
        <v>34267</v>
      </c>
    </row>
    <row r="16912" spans="39:41" ht="12" customHeight="1" x14ac:dyDescent="0.2">
      <c r="AM16912" t="str">
        <f t="shared" si="264"/>
        <v>Vrgada [HRVRG]</v>
      </c>
      <c r="AN16912" t="s">
        <v>16010</v>
      </c>
      <c r="AO16912" t="s">
        <v>16011</v>
      </c>
    </row>
    <row r="16913" spans="39:41" ht="12" customHeight="1" x14ac:dyDescent="0.2">
      <c r="AM16913" t="str">
        <f t="shared" si="264"/>
        <v>Vrisakia [GRVRI]</v>
      </c>
      <c r="AN16913" t="s">
        <v>15578</v>
      </c>
      <c r="AO16913" t="s">
        <v>35993</v>
      </c>
    </row>
    <row r="16914" spans="39:41" ht="12" customHeight="1" x14ac:dyDescent="0.2">
      <c r="AM16914" t="str">
        <f t="shared" si="264"/>
        <v>Vroenhoven [BEVHN]</v>
      </c>
      <c r="AN16914" t="s">
        <v>3050</v>
      </c>
      <c r="AO16914" t="s">
        <v>3051</v>
      </c>
    </row>
    <row r="16915" spans="39:41" ht="12" customHeight="1" x14ac:dyDescent="0.2">
      <c r="AM16915" t="str">
        <f t="shared" si="264"/>
        <v>Vrouwenakker [NLVRA]</v>
      </c>
      <c r="AN16915" t="s">
        <v>23727</v>
      </c>
      <c r="AO16915" t="s">
        <v>23728</v>
      </c>
    </row>
    <row r="16916" spans="39:41" ht="12" customHeight="1" x14ac:dyDescent="0.2">
      <c r="AM16916" t="str">
        <f t="shared" si="264"/>
        <v>Vrsar [HRVRR]</v>
      </c>
      <c r="AN16916" t="s">
        <v>16012</v>
      </c>
      <c r="AO16916" t="s">
        <v>16013</v>
      </c>
    </row>
    <row r="16917" spans="39:41" ht="12" customHeight="1" x14ac:dyDescent="0.2">
      <c r="AM16917" t="str">
        <f t="shared" si="264"/>
        <v>Vuda [FJVUD]</v>
      </c>
      <c r="AN16917" t="s">
        <v>10634</v>
      </c>
      <c r="AO16917" t="s">
        <v>10635</v>
      </c>
    </row>
    <row r="16918" spans="39:41" ht="12" customHeight="1" x14ac:dyDescent="0.2">
      <c r="AM16918" t="str">
        <f t="shared" si="264"/>
        <v>Vuhred [SIVUH]</v>
      </c>
      <c r="AN16918" t="s">
        <v>34196</v>
      </c>
      <c r="AO16918" t="s">
        <v>34268</v>
      </c>
    </row>
    <row r="16919" spans="39:41" ht="12" customHeight="1" x14ac:dyDescent="0.2">
      <c r="AM16919" t="str">
        <f t="shared" si="264"/>
        <v>Vukovar [HRVUK]</v>
      </c>
      <c r="AN16919" t="s">
        <v>16014</v>
      </c>
      <c r="AO16919" t="s">
        <v>16015</v>
      </c>
    </row>
    <row r="16920" spans="39:41" ht="12" customHeight="1" x14ac:dyDescent="0.2">
      <c r="AM16920" t="str">
        <f t="shared" si="264"/>
        <v>Vulaines-sur-Seine [FRUSU]</v>
      </c>
      <c r="AN16920" t="s">
        <v>12216</v>
      </c>
      <c r="AO16920" t="s">
        <v>12217</v>
      </c>
    </row>
    <row r="16921" spans="39:41" ht="12" customHeight="1" x14ac:dyDescent="0.2">
      <c r="AM16921" t="str">
        <f t="shared" si="264"/>
        <v>Vulcano porto [ITVUL]</v>
      </c>
      <c r="AN16921" t="s">
        <v>18414</v>
      </c>
      <c r="AO16921" t="s">
        <v>18415</v>
      </c>
    </row>
    <row r="16922" spans="39:41" ht="12" customHeight="1" x14ac:dyDescent="0.2">
      <c r="AM16922" t="str">
        <f t="shared" si="264"/>
        <v>Vung Ang [VNVAG]</v>
      </c>
      <c r="AN16922" t="s">
        <v>32523</v>
      </c>
      <c r="AO16922" t="s">
        <v>36602</v>
      </c>
    </row>
    <row r="16923" spans="39:41" ht="12" customHeight="1" x14ac:dyDescent="0.2">
      <c r="AM16923" t="str">
        <f t="shared" si="264"/>
        <v>Vung Ro [VNVRO]</v>
      </c>
      <c r="AN16923" t="s">
        <v>32524</v>
      </c>
      <c r="AO16923" t="s">
        <v>32525</v>
      </c>
    </row>
    <row r="16924" spans="39:41" ht="12" customHeight="1" x14ac:dyDescent="0.2">
      <c r="AM16924" t="str">
        <f t="shared" si="264"/>
        <v>Vung Tau [VNVUT]</v>
      </c>
      <c r="AN16924" t="s">
        <v>32526</v>
      </c>
      <c r="AO16924" t="s">
        <v>32527</v>
      </c>
    </row>
    <row r="16925" spans="39:41" ht="12" customHeight="1" x14ac:dyDescent="0.2">
      <c r="AM16925" t="str">
        <f t="shared" si="264"/>
        <v>Vuoksen Terminal [FIVKT]</v>
      </c>
      <c r="AN16925" t="s">
        <v>10607</v>
      </c>
      <c r="AO16925" t="s">
        <v>10608</v>
      </c>
    </row>
    <row r="16926" spans="39:41" ht="12" customHeight="1" x14ac:dyDescent="0.2">
      <c r="AM16926" t="str">
        <f t="shared" si="264"/>
        <v>Vuosaari (Nordsjo) [FIVSS]</v>
      </c>
      <c r="AN16926" s="35" t="s">
        <v>10609</v>
      </c>
      <c r="AO16926" s="35" t="s">
        <v>35761</v>
      </c>
    </row>
    <row r="16927" spans="39:41" ht="12" customHeight="1" x14ac:dyDescent="0.2">
      <c r="AM16927" t="str">
        <f t="shared" si="264"/>
        <v>Vyborg [RUVYG]</v>
      </c>
      <c r="AN16927" s="35" t="s">
        <v>27335</v>
      </c>
      <c r="AO16927" s="35" t="s">
        <v>27336</v>
      </c>
    </row>
    <row r="16928" spans="39:41" ht="12" customHeight="1" x14ac:dyDescent="0.2">
      <c r="AM16928" t="str">
        <f t="shared" si="264"/>
        <v>Vyksa [RUVYK]</v>
      </c>
      <c r="AN16928" s="35" t="s">
        <v>27337</v>
      </c>
      <c r="AO16928" s="35" t="s">
        <v>27338</v>
      </c>
    </row>
    <row r="16929" spans="39:41" ht="12" customHeight="1" x14ac:dyDescent="0.2">
      <c r="AM16929" t="str">
        <f t="shared" si="264"/>
        <v>Vylkove [UAVYL]</v>
      </c>
      <c r="AN16929" s="35" t="s">
        <v>28769</v>
      </c>
      <c r="AO16929" s="35" t="s">
        <v>28770</v>
      </c>
    </row>
    <row r="16930" spans="39:41" ht="12" customHeight="1" x14ac:dyDescent="0.2">
      <c r="AM16930" t="str">
        <f t="shared" si="264"/>
        <v>Vysotsk [RUVYS]</v>
      </c>
      <c r="AN16930" s="35" t="s">
        <v>27339</v>
      </c>
      <c r="AO16930" s="35" t="s">
        <v>27340</v>
      </c>
    </row>
    <row r="16931" spans="39:41" ht="12" customHeight="1" x14ac:dyDescent="0.2">
      <c r="AM16931" t="str">
        <f t="shared" si="264"/>
        <v>Waalre [NLWAA]</v>
      </c>
      <c r="AN16931" s="35" t="s">
        <v>23729</v>
      </c>
      <c r="AO16931" s="35" t="s">
        <v>23730</v>
      </c>
    </row>
    <row r="16932" spans="39:41" ht="12" customHeight="1" x14ac:dyDescent="0.2">
      <c r="AM16932" t="str">
        <f t="shared" si="264"/>
        <v>Waalwijk [NLWLK]</v>
      </c>
      <c r="AN16932" s="35" t="s">
        <v>34114</v>
      </c>
      <c r="AO16932" s="35" t="s">
        <v>34160</v>
      </c>
    </row>
    <row r="16933" spans="39:41" ht="12" customHeight="1" x14ac:dyDescent="0.2">
      <c r="AM16933" t="str">
        <f t="shared" si="264"/>
        <v>Waardamme [BEWDM]</v>
      </c>
      <c r="AN16933" s="35" t="s">
        <v>3052</v>
      </c>
      <c r="AO16933" s="35" t="s">
        <v>3053</v>
      </c>
    </row>
    <row r="16934" spans="39:41" ht="12" customHeight="1" x14ac:dyDescent="0.2">
      <c r="AM16934" t="str">
        <f t="shared" si="264"/>
        <v>Waarde [NLWDE]</v>
      </c>
      <c r="AN16934" s="35" t="s">
        <v>23731</v>
      </c>
      <c r="AO16934" s="35" t="s">
        <v>23732</v>
      </c>
    </row>
    <row r="16935" spans="39:41" ht="12" customHeight="1" x14ac:dyDescent="0.2">
      <c r="AM16935" t="str">
        <f t="shared" si="264"/>
        <v>Waasmunster [BEWAA]</v>
      </c>
      <c r="AN16935" s="35" t="s">
        <v>3054</v>
      </c>
      <c r="AO16935" s="35" t="s">
        <v>3055</v>
      </c>
    </row>
    <row r="16936" spans="39:41" ht="12" customHeight="1" x14ac:dyDescent="0.2">
      <c r="AM16936" t="str">
        <f t="shared" ref="AM16936:AM16999" si="265">AO16936 &amp; " [" &amp; AN16936 &amp; "]"</f>
        <v>Wabern [DEWAZ]</v>
      </c>
      <c r="AN16936" s="35" t="s">
        <v>8428</v>
      </c>
      <c r="AO16936" s="35" t="s">
        <v>8429</v>
      </c>
    </row>
    <row r="16937" spans="39:41" ht="12" customHeight="1" x14ac:dyDescent="0.2">
      <c r="AM16937" t="str">
        <f t="shared" si="265"/>
        <v>Wada [INWAD]</v>
      </c>
      <c r="AN16937" s="35" t="s">
        <v>17545</v>
      </c>
      <c r="AO16937" s="35" t="s">
        <v>17546</v>
      </c>
    </row>
    <row r="16938" spans="39:41" ht="12" customHeight="1" x14ac:dyDescent="0.2">
      <c r="AM16938" t="str">
        <f t="shared" si="265"/>
        <v>Wada [JPWDA]</v>
      </c>
      <c r="AN16938" s="35" t="s">
        <v>21353</v>
      </c>
      <c r="AO16938" s="35" t="s">
        <v>17546</v>
      </c>
    </row>
    <row r="16939" spans="39:41" ht="12" customHeight="1" x14ac:dyDescent="0.2">
      <c r="AM16939" t="str">
        <f t="shared" si="265"/>
        <v>Waddinxveen [NLWAD]</v>
      </c>
      <c r="AN16939" s="35" t="s">
        <v>33929</v>
      </c>
      <c r="AO16939" s="35" t="s">
        <v>34051</v>
      </c>
    </row>
    <row r="16940" spans="39:41" ht="12" customHeight="1" x14ac:dyDescent="0.2">
      <c r="AM16940" t="str">
        <f t="shared" si="265"/>
        <v>Wadebridge [GBWAB]</v>
      </c>
      <c r="AN16940" s="35" t="s">
        <v>14768</v>
      </c>
      <c r="AO16940" s="35" t="s">
        <v>14769</v>
      </c>
    </row>
    <row r="16941" spans="39:41" ht="12" customHeight="1" x14ac:dyDescent="0.2">
      <c r="AM16941" t="str">
        <f t="shared" si="265"/>
        <v>Wadi Feiran [EGWAF]</v>
      </c>
      <c r="AN16941" s="35" t="s">
        <v>9542</v>
      </c>
      <c r="AO16941" s="35" t="s">
        <v>9543</v>
      </c>
    </row>
    <row r="16942" spans="39:41" ht="12" customHeight="1" x14ac:dyDescent="0.2">
      <c r="AM16942" t="str">
        <f t="shared" si="265"/>
        <v>Wading River [USWR4]</v>
      </c>
      <c r="AN16942" s="35" t="s">
        <v>31862</v>
      </c>
      <c r="AO16942" s="35" t="s">
        <v>31863</v>
      </c>
    </row>
    <row r="16943" spans="39:41" ht="12" customHeight="1" x14ac:dyDescent="0.2">
      <c r="AM16943" t="str">
        <f t="shared" si="265"/>
        <v>Wadley [USWY2]</v>
      </c>
      <c r="AN16943" s="35" t="s">
        <v>31864</v>
      </c>
      <c r="AO16943" s="35" t="s">
        <v>31865</v>
      </c>
    </row>
    <row r="16944" spans="39:41" ht="12" customHeight="1" x14ac:dyDescent="0.2">
      <c r="AM16944" t="str">
        <f t="shared" si="265"/>
        <v>Wadmalaw Island [USWW9]</v>
      </c>
      <c r="AN16944" s="35" t="s">
        <v>31866</v>
      </c>
      <c r="AO16944" s="35" t="s">
        <v>31867</v>
      </c>
    </row>
    <row r="16945" spans="39:41" ht="12" customHeight="1" x14ac:dyDescent="0.2">
      <c r="AM16945" t="str">
        <f t="shared" si="265"/>
        <v>Wadomari [JPWAD]</v>
      </c>
      <c r="AN16945" s="35" t="s">
        <v>21354</v>
      </c>
      <c r="AO16945" s="35" t="s">
        <v>21355</v>
      </c>
    </row>
    <row r="16946" spans="39:41" ht="12" customHeight="1" x14ac:dyDescent="0.2">
      <c r="AM16946" t="str">
        <f t="shared" si="265"/>
        <v>Waelder [USQWD]</v>
      </c>
      <c r="AN16946" s="35" t="s">
        <v>31868</v>
      </c>
      <c r="AO16946" s="35" t="s">
        <v>31869</v>
      </c>
    </row>
    <row r="16947" spans="39:41" ht="12" customHeight="1" x14ac:dyDescent="0.2">
      <c r="AM16947" t="str">
        <f t="shared" si="265"/>
        <v>Wageningen [NLWGW]</v>
      </c>
      <c r="AN16947" s="35" t="s">
        <v>23733</v>
      </c>
      <c r="AO16947" s="35" t="s">
        <v>23734</v>
      </c>
    </row>
    <row r="16948" spans="39:41" ht="12" customHeight="1" x14ac:dyDescent="0.2">
      <c r="AM16948" t="str">
        <f t="shared" si="265"/>
        <v>Wageningen [SRAGI]</v>
      </c>
      <c r="AN16948" s="35" t="s">
        <v>28128</v>
      </c>
      <c r="AO16948" s="35" t="s">
        <v>23734</v>
      </c>
    </row>
    <row r="16949" spans="39:41" ht="12" customHeight="1" x14ac:dyDescent="0.2">
      <c r="AM16949" t="str">
        <f t="shared" si="265"/>
        <v>Waggaman [USWG2]</v>
      </c>
      <c r="AN16949" s="35" t="s">
        <v>31870</v>
      </c>
      <c r="AO16949" s="35" t="s">
        <v>31871</v>
      </c>
    </row>
    <row r="16950" spans="39:41" ht="12" customHeight="1" x14ac:dyDescent="0.2">
      <c r="AM16950" t="str">
        <f t="shared" si="265"/>
        <v>Waianae [US9AI]</v>
      </c>
      <c r="AN16950" s="35" t="s">
        <v>31872</v>
      </c>
      <c r="AO16950" s="35" t="s">
        <v>31873</v>
      </c>
    </row>
    <row r="16951" spans="39:41" ht="12" customHeight="1" x14ac:dyDescent="0.2">
      <c r="AM16951" t="str">
        <f t="shared" si="265"/>
        <v>Waianae [USWH7]</v>
      </c>
      <c r="AN16951" s="35" t="s">
        <v>31874</v>
      </c>
      <c r="AO16951" s="35" t="s">
        <v>31873</v>
      </c>
    </row>
    <row r="16952" spans="39:41" ht="12" customHeight="1" x14ac:dyDescent="0.2">
      <c r="AM16952" t="str">
        <f t="shared" si="265"/>
        <v>Waigang [CNWIG]</v>
      </c>
      <c r="AN16952" s="35" t="s">
        <v>6170</v>
      </c>
      <c r="AO16952" s="35" t="s">
        <v>6171</v>
      </c>
    </row>
    <row r="16953" spans="39:41" ht="12" customHeight="1" x14ac:dyDescent="0.2">
      <c r="AM16953" t="str">
        <f t="shared" si="265"/>
        <v>Waigaoqiao Pt [CNWGQ]</v>
      </c>
      <c r="AN16953" s="35" t="s">
        <v>6172</v>
      </c>
      <c r="AO16953" s="35" t="s">
        <v>6173</v>
      </c>
    </row>
    <row r="16954" spans="39:41" ht="12" customHeight="1" x14ac:dyDescent="0.2">
      <c r="AM16954" t="str">
        <f t="shared" si="265"/>
        <v>Waihai [CNWIH]</v>
      </c>
      <c r="AN16954" s="35" t="s">
        <v>6174</v>
      </c>
      <c r="AO16954" s="35" t="s">
        <v>6175</v>
      </c>
    </row>
    <row r="16955" spans="39:41" ht="12" customHeight="1" x14ac:dyDescent="0.2">
      <c r="AM16955" t="str">
        <f t="shared" si="265"/>
        <v>Waiheke Island [NZWKE]</v>
      </c>
      <c r="AN16955" s="35" t="s">
        <v>25129</v>
      </c>
      <c r="AO16955" s="35" t="s">
        <v>25130</v>
      </c>
    </row>
    <row r="16956" spans="39:41" ht="12" customHeight="1" x14ac:dyDescent="0.2">
      <c r="AM16956" t="str">
        <f t="shared" si="265"/>
        <v>Waingapu, Sumba [IDWGP]</v>
      </c>
      <c r="AN16956" s="35" t="s">
        <v>16697</v>
      </c>
      <c r="AO16956" s="35" t="s">
        <v>16698</v>
      </c>
    </row>
    <row r="16957" spans="39:41" ht="12" customHeight="1" x14ac:dyDescent="0.2">
      <c r="AM16957" t="str">
        <f t="shared" si="265"/>
        <v>Wainibe [IDWAI]</v>
      </c>
      <c r="AN16957" s="35" t="s">
        <v>16699</v>
      </c>
      <c r="AO16957" s="35" t="s">
        <v>16700</v>
      </c>
    </row>
    <row r="16958" spans="39:41" ht="12" customHeight="1" x14ac:dyDescent="0.2">
      <c r="AM16958" t="str">
        <f t="shared" si="265"/>
        <v>Wairiki [FJWAI]</v>
      </c>
      <c r="AN16958" s="35" t="s">
        <v>10636</v>
      </c>
      <c r="AO16958" s="35" t="s">
        <v>10637</v>
      </c>
    </row>
    <row r="16959" spans="39:41" ht="12" customHeight="1" x14ac:dyDescent="0.2">
      <c r="AM16959" t="str">
        <f t="shared" si="265"/>
        <v>Waita [JPWAI]</v>
      </c>
      <c r="AN16959" s="35" t="s">
        <v>21356</v>
      </c>
      <c r="AO16959" s="35" t="s">
        <v>21357</v>
      </c>
    </row>
    <row r="16960" spans="39:41" ht="12" customHeight="1" x14ac:dyDescent="0.2">
      <c r="AM16960" t="str">
        <f t="shared" si="265"/>
        <v>Waitangi [NZWTG]</v>
      </c>
      <c r="AN16960" s="35" t="s">
        <v>25131</v>
      </c>
      <c r="AO16960" s="35" t="s">
        <v>25132</v>
      </c>
    </row>
    <row r="16961" spans="39:41" ht="12" customHeight="1" x14ac:dyDescent="0.2">
      <c r="AM16961" t="str">
        <f t="shared" si="265"/>
        <v>Wajima [JPWJM]</v>
      </c>
      <c r="AN16961" s="35" t="s">
        <v>21358</v>
      </c>
      <c r="AO16961" s="35" t="s">
        <v>21359</v>
      </c>
    </row>
    <row r="16962" spans="39:41" ht="12" customHeight="1" x14ac:dyDescent="0.2">
      <c r="AM16962" t="str">
        <f t="shared" si="265"/>
        <v>Wakamatsu, Nagasaki [JPWTU]</v>
      </c>
      <c r="AN16962" s="35" t="s">
        <v>21360</v>
      </c>
      <c r="AO16962" s="35" t="s">
        <v>21361</v>
      </c>
    </row>
    <row r="16963" spans="39:41" ht="12" customHeight="1" x14ac:dyDescent="0.2">
      <c r="AM16963" t="str">
        <f t="shared" si="265"/>
        <v>Wakamatsu/Kitakyushu [JPWAM]</v>
      </c>
      <c r="AN16963" s="35" t="s">
        <v>21362</v>
      </c>
      <c r="AO16963" s="35" t="s">
        <v>21363</v>
      </c>
    </row>
    <row r="16964" spans="39:41" ht="12" customHeight="1" x14ac:dyDescent="0.2">
      <c r="AM16964" t="str">
        <f t="shared" si="265"/>
        <v>Wakatsu [JPWKT]</v>
      </c>
      <c r="AN16964" s="35" t="s">
        <v>21364</v>
      </c>
      <c r="AO16964" s="35" t="s">
        <v>21365</v>
      </c>
    </row>
    <row r="16965" spans="39:41" ht="12" customHeight="1" x14ac:dyDescent="0.2">
      <c r="AM16965" t="str">
        <f t="shared" si="265"/>
        <v>Wakayama [JPWAK]</v>
      </c>
      <c r="AN16965" s="35" t="s">
        <v>21366</v>
      </c>
      <c r="AO16965" s="35" t="s">
        <v>21367</v>
      </c>
    </row>
    <row r="16966" spans="39:41" ht="12" customHeight="1" x14ac:dyDescent="0.2">
      <c r="AM16966" t="str">
        <f t="shared" si="265"/>
        <v>Wake Island [UMAWK]</v>
      </c>
      <c r="AN16966" s="35" t="s">
        <v>28783</v>
      </c>
      <c r="AO16966" s="35" t="s">
        <v>28784</v>
      </c>
    </row>
    <row r="16967" spans="39:41" ht="12" customHeight="1" x14ac:dyDescent="0.2">
      <c r="AM16967" t="str">
        <f t="shared" si="265"/>
        <v>Wakefield [GBWFD]</v>
      </c>
      <c r="AN16967" s="35" t="s">
        <v>14770</v>
      </c>
      <c r="AO16967" s="35" t="s">
        <v>14771</v>
      </c>
    </row>
    <row r="16968" spans="39:41" ht="12" customHeight="1" x14ac:dyDescent="0.2">
      <c r="AM16968" t="str">
        <f t="shared" si="265"/>
        <v>Wakeman [USWA7]</v>
      </c>
      <c r="AN16968" s="35" t="s">
        <v>31875</v>
      </c>
      <c r="AO16968" s="35" t="s">
        <v>31876</v>
      </c>
    </row>
    <row r="16969" spans="39:41" ht="12" customHeight="1" x14ac:dyDescent="0.2">
      <c r="AM16969" t="str">
        <f t="shared" si="265"/>
        <v>Wakimisaki [JPWKI]</v>
      </c>
      <c r="AN16969" s="35" t="s">
        <v>21368</v>
      </c>
      <c r="AO16969" s="35" t="s">
        <v>21369</v>
      </c>
    </row>
    <row r="16970" spans="39:41" ht="12" customHeight="1" x14ac:dyDescent="0.2">
      <c r="AM16970" t="str">
        <f t="shared" si="265"/>
        <v>Wakimoto [JPWMT]</v>
      </c>
      <c r="AN16970" s="35" t="s">
        <v>21370</v>
      </c>
      <c r="AO16970" s="35" t="s">
        <v>21371</v>
      </c>
    </row>
    <row r="16971" spans="39:41" ht="12" customHeight="1" x14ac:dyDescent="0.2">
      <c r="AM16971" t="str">
        <f t="shared" si="265"/>
        <v>Wakinosawa [JPWKW]</v>
      </c>
      <c r="AN16971" s="35" t="s">
        <v>21372</v>
      </c>
      <c r="AO16971" s="35" t="s">
        <v>21373</v>
      </c>
    </row>
    <row r="16972" spans="39:41" ht="12" customHeight="1" x14ac:dyDescent="0.2">
      <c r="AM16972" t="str">
        <f t="shared" si="265"/>
        <v>Wakizaki [JPWKZ]</v>
      </c>
      <c r="AN16972" s="35" t="s">
        <v>21374</v>
      </c>
      <c r="AO16972" s="35" t="s">
        <v>21375</v>
      </c>
    </row>
    <row r="16973" spans="39:41" ht="12" customHeight="1" x14ac:dyDescent="0.2">
      <c r="AM16973" t="str">
        <f t="shared" si="265"/>
        <v>Wakkanai [JPWKJ]</v>
      </c>
      <c r="AN16973" s="35" t="s">
        <v>21376</v>
      </c>
      <c r="AO16973" s="35" t="s">
        <v>21377</v>
      </c>
    </row>
    <row r="16974" spans="39:41" ht="12" customHeight="1" x14ac:dyDescent="0.2">
      <c r="AM16974" t="str">
        <f t="shared" si="265"/>
        <v>Wakura [JPWKR]</v>
      </c>
      <c r="AN16974" s="35" t="s">
        <v>21378</v>
      </c>
      <c r="AO16974" s="35" t="s">
        <v>21379</v>
      </c>
    </row>
    <row r="16975" spans="39:41" ht="12" customHeight="1" x14ac:dyDescent="0.2">
      <c r="AM16975" t="str">
        <f t="shared" si="265"/>
        <v>Wala [NCWAL]</v>
      </c>
      <c r="AN16975" s="35" t="s">
        <v>22898</v>
      </c>
      <c r="AO16975" s="35" t="s">
        <v>22899</v>
      </c>
    </row>
    <row r="16976" spans="39:41" ht="12" customHeight="1" x14ac:dyDescent="0.2">
      <c r="AM16976" t="str">
        <f t="shared" si="265"/>
        <v>Walchwil [CHWCW]</v>
      </c>
      <c r="AN16976" s="35" t="s">
        <v>4770</v>
      </c>
      <c r="AO16976" s="35" t="s">
        <v>4771</v>
      </c>
    </row>
    <row r="16977" spans="39:41" ht="12" customHeight="1" x14ac:dyDescent="0.2">
      <c r="AM16977" t="str">
        <f t="shared" si="265"/>
        <v>Walderbach [DEAHH]</v>
      </c>
      <c r="AN16977" s="35" t="s">
        <v>8430</v>
      </c>
      <c r="AO16977" s="35" t="s">
        <v>8431</v>
      </c>
    </row>
    <row r="16978" spans="39:41" ht="12" customHeight="1" x14ac:dyDescent="0.2">
      <c r="AM16978" t="str">
        <f t="shared" si="265"/>
        <v>Waldo [US8UY]</v>
      </c>
      <c r="AN16978" s="35" t="s">
        <v>31877</v>
      </c>
      <c r="AO16978" s="35" t="s">
        <v>31878</v>
      </c>
    </row>
    <row r="16979" spans="39:41" ht="12" customHeight="1" x14ac:dyDescent="0.2">
      <c r="AM16979" t="str">
        <f t="shared" si="265"/>
        <v>Walem [BEWLM]</v>
      </c>
      <c r="AN16979" s="35" t="s">
        <v>3056</v>
      </c>
      <c r="AO16979" s="35" t="s">
        <v>3057</v>
      </c>
    </row>
    <row r="16980" spans="39:41" ht="12" customHeight="1" x14ac:dyDescent="0.2">
      <c r="AM16980" t="str">
        <f t="shared" si="265"/>
        <v>Walheim [DEWLE]</v>
      </c>
      <c r="AN16980" s="35" t="s">
        <v>8432</v>
      </c>
      <c r="AO16980" s="35" t="s">
        <v>8433</v>
      </c>
    </row>
    <row r="16981" spans="39:41" ht="12" customHeight="1" x14ac:dyDescent="0.2">
      <c r="AM16981" t="str">
        <f t="shared" si="265"/>
        <v>Walker [GBWLK]</v>
      </c>
      <c r="AN16981" s="35" t="s">
        <v>14772</v>
      </c>
      <c r="AO16981" s="35" t="s">
        <v>14773</v>
      </c>
    </row>
    <row r="16982" spans="39:41" ht="12" customHeight="1" x14ac:dyDescent="0.2">
      <c r="AM16982" t="str">
        <f t="shared" si="265"/>
        <v>Walker's Cay [BSWKR]</v>
      </c>
      <c r="AN16982" s="35" t="s">
        <v>3482</v>
      </c>
      <c r="AO16982" s="35" t="s">
        <v>3483</v>
      </c>
    </row>
    <row r="16983" spans="39:41" ht="12" customHeight="1" x14ac:dyDescent="0.2">
      <c r="AM16983" t="str">
        <f t="shared" si="265"/>
        <v>Wall Blake [AIWLL]</v>
      </c>
      <c r="AN16983" s="35" t="s">
        <v>814</v>
      </c>
      <c r="AO16983" s="35" t="s">
        <v>815</v>
      </c>
    </row>
    <row r="16984" spans="39:41" ht="12" customHeight="1" x14ac:dyDescent="0.2">
      <c r="AM16984" t="str">
        <f t="shared" si="265"/>
        <v>Wallace Bay, Sabah [MYWAL]</v>
      </c>
      <c r="AN16984" s="35" t="s">
        <v>22827</v>
      </c>
      <c r="AO16984" s="35" t="s">
        <v>22828</v>
      </c>
    </row>
    <row r="16985" spans="39:41" ht="12" customHeight="1" x14ac:dyDescent="0.2">
      <c r="AM16985" t="str">
        <f t="shared" si="265"/>
        <v>Wallaceburg [CAWAL]</v>
      </c>
      <c r="AN16985" s="35" t="s">
        <v>4570</v>
      </c>
      <c r="AO16985" s="35" t="s">
        <v>4571</v>
      </c>
    </row>
    <row r="16986" spans="39:41" ht="12" customHeight="1" x14ac:dyDescent="0.2">
      <c r="AM16986" t="str">
        <f t="shared" si="265"/>
        <v>Wallaroo [AUWAL]</v>
      </c>
      <c r="AN16986" s="35" t="s">
        <v>2092</v>
      </c>
      <c r="AO16986" s="35" t="s">
        <v>2093</v>
      </c>
    </row>
    <row r="16987" spans="39:41" ht="12" customHeight="1" x14ac:dyDescent="0.2">
      <c r="AM16987" t="str">
        <f t="shared" si="265"/>
        <v>Wallasea [GBWLA]</v>
      </c>
      <c r="AN16987" s="35" t="s">
        <v>14774</v>
      </c>
      <c r="AO16987" s="35" t="s">
        <v>14775</v>
      </c>
    </row>
    <row r="16988" spans="39:41" ht="12" customHeight="1" x14ac:dyDescent="0.2">
      <c r="AM16988" t="str">
        <f t="shared" si="265"/>
        <v>Wallesbourne Hastings [GBQGT]</v>
      </c>
      <c r="AN16988" s="35" t="s">
        <v>14776</v>
      </c>
      <c r="AO16988" s="35" t="s">
        <v>14777</v>
      </c>
    </row>
    <row r="16989" spans="39:41" ht="12" customHeight="1" x14ac:dyDescent="0.2">
      <c r="AM16989" t="str">
        <f t="shared" si="265"/>
        <v>Wallhamn [SEWAL]</v>
      </c>
      <c r="AN16989" s="35" t="s">
        <v>27955</v>
      </c>
      <c r="AO16989" s="35" t="s">
        <v>27956</v>
      </c>
    </row>
    <row r="16990" spans="39:41" ht="12" customHeight="1" x14ac:dyDescent="0.2">
      <c r="AM16990" t="str">
        <f t="shared" si="265"/>
        <v>Walls [GBLOY]</v>
      </c>
      <c r="AN16990" s="35" t="s">
        <v>14778</v>
      </c>
      <c r="AO16990" s="35" t="s">
        <v>14779</v>
      </c>
    </row>
    <row r="16991" spans="39:41" ht="12" customHeight="1" x14ac:dyDescent="0.2">
      <c r="AM16991" t="str">
        <f t="shared" si="265"/>
        <v>Walls [GBWLZ]</v>
      </c>
      <c r="AN16991" s="35" t="s">
        <v>14780</v>
      </c>
      <c r="AO16991" s="35" t="s">
        <v>14779</v>
      </c>
    </row>
    <row r="16992" spans="39:41" ht="12" customHeight="1" x14ac:dyDescent="0.2">
      <c r="AM16992" t="str">
        <f t="shared" si="265"/>
        <v>Wallsee [ATWSE]</v>
      </c>
      <c r="AN16992" s="35" t="s">
        <v>1367</v>
      </c>
      <c r="AO16992" s="35" t="s">
        <v>1368</v>
      </c>
    </row>
    <row r="16993" spans="39:41" ht="12" customHeight="1" x14ac:dyDescent="0.2">
      <c r="AM16993" t="str">
        <f t="shared" si="265"/>
        <v>Wallsend [GBWTW]</v>
      </c>
      <c r="AN16993" s="35" t="s">
        <v>14781</v>
      </c>
      <c r="AO16993" s="35" t="s">
        <v>14782</v>
      </c>
    </row>
    <row r="16994" spans="39:41" ht="12" customHeight="1" x14ac:dyDescent="0.2">
      <c r="AM16994" t="str">
        <f t="shared" si="265"/>
        <v>Walmer [GBWMF]</v>
      </c>
      <c r="AN16994" s="35" t="s">
        <v>14783</v>
      </c>
      <c r="AO16994" s="35" t="s">
        <v>14784</v>
      </c>
    </row>
    <row r="16995" spans="39:41" ht="12" customHeight="1" x14ac:dyDescent="0.2">
      <c r="AM16995" t="str">
        <f t="shared" si="265"/>
        <v>Walnut [USWU7]</v>
      </c>
      <c r="AN16995" s="35" t="s">
        <v>31879</v>
      </c>
      <c r="AO16995" s="35" t="s">
        <v>31880</v>
      </c>
    </row>
    <row r="16996" spans="39:41" ht="12" customHeight="1" x14ac:dyDescent="0.2">
      <c r="AM16996" t="str">
        <f t="shared" si="265"/>
        <v>Walnut Shade [USH9S]</v>
      </c>
      <c r="AN16996" s="35" t="s">
        <v>31881</v>
      </c>
      <c r="AO16996" s="35" t="s">
        <v>31882</v>
      </c>
    </row>
    <row r="16997" spans="39:41" ht="12" customHeight="1" x14ac:dyDescent="0.2">
      <c r="AM16997" t="str">
        <f t="shared" si="265"/>
        <v>Walsgrave on Sowe [GBWGW]</v>
      </c>
      <c r="AN16997" s="35" t="s">
        <v>14785</v>
      </c>
      <c r="AO16997" s="35" t="s">
        <v>14786</v>
      </c>
    </row>
    <row r="16998" spans="39:41" ht="12" customHeight="1" x14ac:dyDescent="0.2">
      <c r="AM16998" t="str">
        <f t="shared" si="265"/>
        <v>Walsh [USWA4]</v>
      </c>
      <c r="AN16998" s="35" t="s">
        <v>31883</v>
      </c>
      <c r="AO16998" s="35" t="s">
        <v>31884</v>
      </c>
    </row>
    <row r="16999" spans="39:41" ht="12" customHeight="1" x14ac:dyDescent="0.2">
      <c r="AM16999" t="str">
        <f t="shared" si="265"/>
        <v>Walsoorden [NLWSO]</v>
      </c>
      <c r="AN16999" s="35" t="s">
        <v>23735</v>
      </c>
      <c r="AO16999" s="35" t="s">
        <v>23736</v>
      </c>
    </row>
    <row r="17000" spans="39:41" ht="12" customHeight="1" x14ac:dyDescent="0.2">
      <c r="AM17000" t="str">
        <f t="shared" ref="AM17000:AM17063" si="266">AO17000 &amp; " [" &amp; AN17000 &amp; "]"</f>
        <v>Walsum [DEWLM]</v>
      </c>
      <c r="AN17000" s="35" t="s">
        <v>8434</v>
      </c>
      <c r="AO17000" s="35" t="s">
        <v>8435</v>
      </c>
    </row>
    <row r="17001" spans="39:41" ht="12" customHeight="1" x14ac:dyDescent="0.2">
      <c r="AM17001" t="str">
        <f t="shared" si="266"/>
        <v>Walton [CAWTN]</v>
      </c>
      <c r="AN17001" s="35" t="s">
        <v>4572</v>
      </c>
      <c r="AO17001" s="35" t="s">
        <v>4573</v>
      </c>
    </row>
    <row r="17002" spans="39:41" ht="12" customHeight="1" x14ac:dyDescent="0.2">
      <c r="AM17002" t="str">
        <f t="shared" si="266"/>
        <v>Walton-on-the-Naze [GBWNZ]</v>
      </c>
      <c r="AN17002" s="35" t="s">
        <v>14787</v>
      </c>
      <c r="AO17002" s="35" t="s">
        <v>14788</v>
      </c>
    </row>
    <row r="17003" spans="39:41" ht="12" customHeight="1" x14ac:dyDescent="0.2">
      <c r="AM17003" t="str">
        <f t="shared" si="266"/>
        <v>Waltrop [DEWTP]</v>
      </c>
      <c r="AN17003" s="35" t="s">
        <v>8436</v>
      </c>
      <c r="AO17003" s="35" t="s">
        <v>8437</v>
      </c>
    </row>
    <row r="17004" spans="39:41" ht="12" customHeight="1" x14ac:dyDescent="0.2">
      <c r="AM17004" t="str">
        <f t="shared" si="266"/>
        <v>Walvis Bay [NAWVB]</v>
      </c>
      <c r="AN17004" s="35" t="s">
        <v>22875</v>
      </c>
      <c r="AO17004" s="35" t="s">
        <v>22876</v>
      </c>
    </row>
    <row r="17005" spans="39:41" ht="12" customHeight="1" x14ac:dyDescent="0.2">
      <c r="AM17005" t="str">
        <f t="shared" si="266"/>
        <v>Wamsasi [IDWSS]</v>
      </c>
      <c r="AN17005" s="35" t="s">
        <v>16701</v>
      </c>
      <c r="AO17005" s="35" t="s">
        <v>16702</v>
      </c>
    </row>
    <row r="17006" spans="39:41" ht="12" customHeight="1" x14ac:dyDescent="0.2">
      <c r="AM17006" t="str">
        <f t="shared" si="266"/>
        <v>Wan [JPWAN]</v>
      </c>
      <c r="AN17006" s="35" t="s">
        <v>21380</v>
      </c>
      <c r="AO17006" s="35" t="s">
        <v>21381</v>
      </c>
    </row>
    <row r="17007" spans="39:41" ht="12" customHeight="1" x14ac:dyDescent="0.2">
      <c r="AM17007" t="str">
        <f t="shared" si="266"/>
        <v>Wan Chai [HKWNI]</v>
      </c>
      <c r="AN17007" s="35" t="s">
        <v>15661</v>
      </c>
      <c r="AO17007" s="35" t="s">
        <v>15662</v>
      </c>
    </row>
    <row r="17008" spans="39:41" ht="12" customHeight="1" x14ac:dyDescent="0.2">
      <c r="AM17008" t="str">
        <f t="shared" si="266"/>
        <v>Wanam [IDWAN]</v>
      </c>
      <c r="AN17008" s="35" t="s">
        <v>16703</v>
      </c>
      <c r="AO17008" s="35" t="s">
        <v>16704</v>
      </c>
    </row>
    <row r="17009" spans="39:41" ht="12" customHeight="1" x14ac:dyDescent="0.2">
      <c r="AM17009" t="str">
        <f t="shared" si="266"/>
        <v>Wandersleben [DEWNL]</v>
      </c>
      <c r="AN17009" s="35" t="s">
        <v>8438</v>
      </c>
      <c r="AO17009" s="35" t="s">
        <v>8439</v>
      </c>
    </row>
    <row r="17010" spans="39:41" ht="12" customHeight="1" x14ac:dyDescent="0.2">
      <c r="AM17010" t="str">
        <f t="shared" si="266"/>
        <v>Wando-gun [KRWND]</v>
      </c>
      <c r="AN17010" s="35" t="s">
        <v>21742</v>
      </c>
      <c r="AO17010" s="35" t="s">
        <v>21743</v>
      </c>
    </row>
    <row r="17011" spans="39:41" ht="12" customHeight="1" x14ac:dyDescent="0.2">
      <c r="AM17011" t="str">
        <f t="shared" si="266"/>
        <v>Wandoo Terminal [AUWNT]</v>
      </c>
      <c r="AN17011" s="35" t="s">
        <v>2094</v>
      </c>
      <c r="AO17011" s="35" t="s">
        <v>2095</v>
      </c>
    </row>
    <row r="17012" spans="39:41" ht="12" customHeight="1" x14ac:dyDescent="0.2">
      <c r="AM17012" t="str">
        <f t="shared" si="266"/>
        <v>Wandre [BEWND]</v>
      </c>
      <c r="AN17012" s="35" t="s">
        <v>3058</v>
      </c>
      <c r="AO17012" s="35" t="s">
        <v>3059</v>
      </c>
    </row>
    <row r="17013" spans="39:41" ht="12" customHeight="1" x14ac:dyDescent="0.2">
      <c r="AM17013" t="str">
        <f t="shared" si="266"/>
        <v>Wanganui [NZWAG]</v>
      </c>
      <c r="AN17013" s="35" t="s">
        <v>25133</v>
      </c>
      <c r="AO17013" s="35" t="s">
        <v>25134</v>
      </c>
    </row>
    <row r="17014" spans="39:41" ht="12" customHeight="1" x14ac:dyDescent="0.2">
      <c r="AM17014" t="str">
        <f t="shared" si="266"/>
        <v>Wangerooge [DEAGE]</v>
      </c>
      <c r="AN17014" s="35" t="s">
        <v>8440</v>
      </c>
      <c r="AO17014" s="35" t="s">
        <v>8441</v>
      </c>
    </row>
    <row r="17015" spans="39:41" ht="12" customHeight="1" x14ac:dyDescent="0.2">
      <c r="AM17015" t="str">
        <f t="shared" si="266"/>
        <v>Wangjiang [CNWJG]</v>
      </c>
      <c r="AN17015" s="35" t="s">
        <v>6176</v>
      </c>
      <c r="AO17015" s="35" t="s">
        <v>6177</v>
      </c>
    </row>
    <row r="17016" spans="39:41" ht="12" customHeight="1" x14ac:dyDescent="0.2">
      <c r="AM17016" t="str">
        <f t="shared" si="266"/>
        <v>Waniura [JPWNI]</v>
      </c>
      <c r="AN17016" s="35" t="s">
        <v>21382</v>
      </c>
      <c r="AO17016" s="35" t="s">
        <v>21383</v>
      </c>
    </row>
    <row r="17017" spans="39:41" ht="12" customHeight="1" x14ac:dyDescent="0.2">
      <c r="AM17017" t="str">
        <f t="shared" si="266"/>
        <v>Wankendorf [DEWKE]</v>
      </c>
      <c r="AN17017" s="35" t="s">
        <v>8442</v>
      </c>
      <c r="AO17017" s="35" t="s">
        <v>8443</v>
      </c>
    </row>
    <row r="17018" spans="39:41" ht="12" customHeight="1" x14ac:dyDescent="0.2">
      <c r="AM17018" t="str">
        <f t="shared" si="266"/>
        <v>Wanne-Eickel [DEANE]</v>
      </c>
      <c r="AN17018" s="35" t="s">
        <v>8444</v>
      </c>
      <c r="AO17018" s="35" t="s">
        <v>8445</v>
      </c>
    </row>
    <row r="17019" spans="39:41" ht="12" customHeight="1" x14ac:dyDescent="0.2">
      <c r="AM17019" t="str">
        <f t="shared" si="266"/>
        <v>Wano [JPWNA]</v>
      </c>
      <c r="AN17019" s="35" t="s">
        <v>21384</v>
      </c>
      <c r="AO17019" s="35" t="s">
        <v>21385</v>
      </c>
    </row>
    <row r="17020" spans="39:41" ht="12" customHeight="1" x14ac:dyDescent="0.2">
      <c r="AM17020" t="str">
        <f t="shared" si="266"/>
        <v>Wanshan Pt [CNWAS]</v>
      </c>
      <c r="AN17020" s="35" t="s">
        <v>6178</v>
      </c>
      <c r="AO17020" s="35" t="s">
        <v>6179</v>
      </c>
    </row>
    <row r="17021" spans="39:41" ht="12" customHeight="1" x14ac:dyDescent="0.2">
      <c r="AM17021" t="str">
        <f t="shared" si="266"/>
        <v>Wanssum [NLWAS]</v>
      </c>
      <c r="AN17021" s="35" t="s">
        <v>23737</v>
      </c>
      <c r="AO17021" s="35" t="s">
        <v>23738</v>
      </c>
    </row>
    <row r="17022" spans="39:41" ht="12" customHeight="1" x14ac:dyDescent="0.2">
      <c r="AM17022" t="str">
        <f t="shared" si="266"/>
        <v>Wanxian [CNWAX]</v>
      </c>
      <c r="AN17022" s="35" t="s">
        <v>6180</v>
      </c>
      <c r="AO17022" s="35" t="s">
        <v>6181</v>
      </c>
    </row>
    <row r="17023" spans="39:41" ht="12" customHeight="1" x14ac:dyDescent="0.2">
      <c r="AM17023" t="str">
        <f t="shared" si="266"/>
        <v>Wanzai [CNWAZ]</v>
      </c>
      <c r="AN17023" s="35" t="s">
        <v>6182</v>
      </c>
      <c r="AO17023" s="35" t="s">
        <v>6183</v>
      </c>
    </row>
    <row r="17024" spans="39:41" ht="12" customHeight="1" x14ac:dyDescent="0.2">
      <c r="AM17024" t="str">
        <f t="shared" si="266"/>
        <v>Wanze [BEWAN]</v>
      </c>
      <c r="AN17024" s="35" t="s">
        <v>3060</v>
      </c>
      <c r="AO17024" s="35" t="s">
        <v>3061</v>
      </c>
    </row>
    <row r="17025" spans="39:41" ht="12" customHeight="1" x14ac:dyDescent="0.2">
      <c r="AM17025" t="str">
        <f t="shared" si="266"/>
        <v>Wanzhou [CNWZH]</v>
      </c>
      <c r="AN17025" s="35" t="s">
        <v>6184</v>
      </c>
      <c r="AO17025" s="35" t="s">
        <v>6185</v>
      </c>
    </row>
    <row r="17026" spans="39:41" ht="12" customHeight="1" x14ac:dyDescent="0.2">
      <c r="AM17026" t="str">
        <f t="shared" si="266"/>
        <v>Warcoing [BEWCG]</v>
      </c>
      <c r="AN17026" s="35" t="s">
        <v>3062</v>
      </c>
      <c r="AO17026" s="35" t="s">
        <v>3063</v>
      </c>
    </row>
    <row r="17027" spans="39:41" ht="12" customHeight="1" x14ac:dyDescent="0.2">
      <c r="AM17027" t="str">
        <f t="shared" si="266"/>
        <v>Ward [USYWD]</v>
      </c>
      <c r="AN17027" s="35" t="s">
        <v>31885</v>
      </c>
      <c r="AO17027" s="35" t="s">
        <v>31886</v>
      </c>
    </row>
    <row r="17028" spans="39:41" ht="12" customHeight="1" x14ac:dyDescent="0.2">
      <c r="AM17028" t="str">
        <f t="shared" si="266"/>
        <v>Wardle [GBWRE]</v>
      </c>
      <c r="AN17028" s="35" t="s">
        <v>14789</v>
      </c>
      <c r="AO17028" s="35" t="s">
        <v>14790</v>
      </c>
    </row>
    <row r="17029" spans="39:41" ht="12" customHeight="1" x14ac:dyDescent="0.2">
      <c r="AM17029" t="str">
        <f t="shared" si="266"/>
        <v>Ware Shoals [USASS]</v>
      </c>
      <c r="AN17029" s="35" t="s">
        <v>31887</v>
      </c>
      <c r="AO17029" s="35" t="s">
        <v>31888</v>
      </c>
    </row>
    <row r="17030" spans="39:41" ht="12" customHeight="1" x14ac:dyDescent="0.2">
      <c r="AM17030" t="str">
        <f t="shared" si="266"/>
        <v>Waregem [BEWAR]</v>
      </c>
      <c r="AN17030" s="35" t="s">
        <v>3064</v>
      </c>
      <c r="AO17030" s="35" t="s">
        <v>3065</v>
      </c>
    </row>
    <row r="17031" spans="39:41" ht="12" customHeight="1" x14ac:dyDescent="0.2">
      <c r="AM17031" t="str">
        <f t="shared" si="266"/>
        <v>Wareham [GBWRH]</v>
      </c>
      <c r="AN17031" s="35" t="s">
        <v>14791</v>
      </c>
      <c r="AO17031" s="35" t="s">
        <v>14792</v>
      </c>
    </row>
    <row r="17032" spans="39:41" ht="12" customHeight="1" x14ac:dyDescent="0.2">
      <c r="AM17032" t="str">
        <f t="shared" si="266"/>
        <v>Warfhuizen [NLWHU]</v>
      </c>
      <c r="AN17032" s="35" t="s">
        <v>23739</v>
      </c>
      <c r="AO17032" s="35" t="s">
        <v>23740</v>
      </c>
    </row>
    <row r="17033" spans="39:41" ht="12" customHeight="1" x14ac:dyDescent="0.2">
      <c r="AM17033" t="str">
        <f t="shared" si="266"/>
        <v>Warkworth [GBWKO]</v>
      </c>
      <c r="AN17033" s="35" t="s">
        <v>14793</v>
      </c>
      <c r="AO17033" s="35" t="s">
        <v>14794</v>
      </c>
    </row>
    <row r="17034" spans="39:41" ht="12" customHeight="1" x14ac:dyDescent="0.2">
      <c r="AM17034" t="str">
        <f t="shared" si="266"/>
        <v>Warmond [NLWRM]</v>
      </c>
      <c r="AN17034" s="35" t="s">
        <v>33930</v>
      </c>
      <c r="AO17034" s="35" t="s">
        <v>34052</v>
      </c>
    </row>
    <row r="17035" spans="39:41" ht="12" customHeight="1" x14ac:dyDescent="0.2">
      <c r="AM17035" t="str">
        <f t="shared" si="266"/>
        <v>Warndon [GBWND]</v>
      </c>
      <c r="AN17035" s="35" t="s">
        <v>14795</v>
      </c>
      <c r="AO17035" s="35" t="s">
        <v>14796</v>
      </c>
    </row>
    <row r="17036" spans="39:41" ht="12" customHeight="1" x14ac:dyDescent="0.2">
      <c r="AM17036" t="str">
        <f t="shared" si="266"/>
        <v>Warnemunde [DEWAR]</v>
      </c>
      <c r="AN17036" s="35" t="s">
        <v>8446</v>
      </c>
      <c r="AO17036" s="35" t="s">
        <v>35511</v>
      </c>
    </row>
    <row r="17037" spans="39:41" ht="12" customHeight="1" x14ac:dyDescent="0.2">
      <c r="AM17037" t="str">
        <f t="shared" si="266"/>
        <v>Warners Bay [AUWSN]</v>
      </c>
      <c r="AN17037" s="35" t="s">
        <v>2096</v>
      </c>
      <c r="AO17037" s="35" t="s">
        <v>2097</v>
      </c>
    </row>
    <row r="17038" spans="39:41" ht="12" customHeight="1" x14ac:dyDescent="0.2">
      <c r="AM17038" t="str">
        <f t="shared" si="266"/>
        <v>Warneton [BEBWN]</v>
      </c>
      <c r="AN17038" s="35" t="s">
        <v>3066</v>
      </c>
      <c r="AO17038" s="35" t="s">
        <v>3067</v>
      </c>
    </row>
    <row r="17039" spans="39:41" ht="12" customHeight="1" x14ac:dyDescent="0.2">
      <c r="AM17039" t="str">
        <f t="shared" si="266"/>
        <v>Warneton [FRWNT]</v>
      </c>
      <c r="AN17039" s="35" t="s">
        <v>12218</v>
      </c>
      <c r="AO17039" s="35" t="s">
        <v>3067</v>
      </c>
    </row>
    <row r="17040" spans="39:41" ht="12" customHeight="1" x14ac:dyDescent="0.2">
      <c r="AM17040" t="str">
        <f t="shared" si="266"/>
        <v>Warren [USVWR]</v>
      </c>
      <c r="AN17040" s="35" t="s">
        <v>31889</v>
      </c>
      <c r="AO17040" s="35" t="s">
        <v>31890</v>
      </c>
    </row>
    <row r="17041" spans="39:41" ht="12" customHeight="1" x14ac:dyDescent="0.2">
      <c r="AM17041" t="str">
        <f t="shared" si="266"/>
        <v>Warrenpoint [GBWPT]</v>
      </c>
      <c r="AN17041" s="35" t="s">
        <v>14797</v>
      </c>
      <c r="AO17041" s="35" t="s">
        <v>14798</v>
      </c>
    </row>
    <row r="17042" spans="39:41" ht="12" customHeight="1" x14ac:dyDescent="0.2">
      <c r="AM17042" t="str">
        <f t="shared" si="266"/>
        <v>Warrensburg [USJCQ]</v>
      </c>
      <c r="AN17042" s="35" t="s">
        <v>31891</v>
      </c>
      <c r="AO17042" s="35" t="s">
        <v>31892</v>
      </c>
    </row>
    <row r="17043" spans="39:41" ht="12" customHeight="1" x14ac:dyDescent="0.2">
      <c r="AM17043" t="str">
        <f t="shared" si="266"/>
        <v>Warri [NGWAR]</v>
      </c>
      <c r="AN17043" s="35" t="s">
        <v>22986</v>
      </c>
      <c r="AO17043" s="35" t="s">
        <v>22987</v>
      </c>
    </row>
    <row r="17044" spans="39:41" ht="12" customHeight="1" x14ac:dyDescent="0.2">
      <c r="AM17044" t="str">
        <f t="shared" si="266"/>
        <v>Warrington [GBWRN]</v>
      </c>
      <c r="AN17044" s="35" t="s">
        <v>14799</v>
      </c>
      <c r="AO17044" s="35" t="s">
        <v>14800</v>
      </c>
    </row>
    <row r="17045" spans="39:41" ht="12" customHeight="1" x14ac:dyDescent="0.2">
      <c r="AM17045" t="str">
        <f t="shared" si="266"/>
        <v>Warrnambool [AUWMB]</v>
      </c>
      <c r="AN17045" s="35" t="s">
        <v>2098</v>
      </c>
      <c r="AO17045" s="35" t="s">
        <v>2099</v>
      </c>
    </row>
    <row r="17046" spans="39:41" ht="12" customHeight="1" x14ac:dyDescent="0.2">
      <c r="AM17046" t="str">
        <f t="shared" si="266"/>
        <v>Warroad [USRRT]</v>
      </c>
      <c r="AN17046" s="35" t="s">
        <v>31893</v>
      </c>
      <c r="AO17046" s="35" t="s">
        <v>31894</v>
      </c>
    </row>
    <row r="17047" spans="39:41" ht="12" customHeight="1" x14ac:dyDescent="0.2">
      <c r="AM17047" t="str">
        <f t="shared" si="266"/>
        <v>Warsaw [USWZS]</v>
      </c>
      <c r="AN17047" s="35" t="s">
        <v>31895</v>
      </c>
      <c r="AO17047" s="35" t="s">
        <v>31896</v>
      </c>
    </row>
    <row r="17048" spans="39:41" ht="12" customHeight="1" x14ac:dyDescent="0.2">
      <c r="AM17048" t="str">
        <f t="shared" si="266"/>
        <v>Wartburg [USWTU]</v>
      </c>
      <c r="AN17048" s="35" t="s">
        <v>31897</v>
      </c>
      <c r="AO17048" s="35" t="s">
        <v>31898</v>
      </c>
    </row>
    <row r="17049" spans="39:41" ht="12" customHeight="1" x14ac:dyDescent="0.2">
      <c r="AM17049" t="str">
        <f t="shared" si="266"/>
        <v>Warten [NLWTN]</v>
      </c>
      <c r="AN17049" s="35" t="s">
        <v>23741</v>
      </c>
      <c r="AO17049" s="35" t="s">
        <v>23742</v>
      </c>
    </row>
    <row r="17050" spans="39:41" ht="12" customHeight="1" x14ac:dyDescent="0.2">
      <c r="AM17050" t="str">
        <f t="shared" si="266"/>
        <v>Warwick [AUWAZ]</v>
      </c>
      <c r="AN17050" s="35" t="s">
        <v>2100</v>
      </c>
      <c r="AO17050" s="35" t="s">
        <v>2101</v>
      </c>
    </row>
    <row r="17051" spans="39:41" ht="12" customHeight="1" x14ac:dyDescent="0.2">
      <c r="AM17051" t="str">
        <f t="shared" si="266"/>
        <v>Wasa [AQWSA]</v>
      </c>
      <c r="AN17051" s="35" t="s">
        <v>971</v>
      </c>
      <c r="AO17051" s="35" t="s">
        <v>972</v>
      </c>
    </row>
    <row r="17052" spans="39:41" ht="12" customHeight="1" x14ac:dyDescent="0.2">
      <c r="AM17052" t="str">
        <f t="shared" si="266"/>
        <v>Wasag/Dadiangas [PHWAS]</v>
      </c>
      <c r="AN17052" s="35" t="s">
        <v>26238</v>
      </c>
      <c r="AO17052" s="35" t="s">
        <v>26239</v>
      </c>
    </row>
    <row r="17053" spans="39:41" ht="12" customHeight="1" x14ac:dyDescent="0.2">
      <c r="AM17053" t="str">
        <f t="shared" si="266"/>
        <v>Washibeyanoura [JPWSB]</v>
      </c>
      <c r="AN17053" s="35" t="s">
        <v>21386</v>
      </c>
      <c r="AO17053" s="35" t="s">
        <v>21387</v>
      </c>
    </row>
    <row r="17054" spans="39:41" ht="12" customHeight="1" x14ac:dyDescent="0.2">
      <c r="AM17054" t="str">
        <f t="shared" si="266"/>
        <v>Washington [USKJH]</v>
      </c>
      <c r="AN17054" s="35" t="s">
        <v>31899</v>
      </c>
      <c r="AO17054" s="35" t="s">
        <v>31900</v>
      </c>
    </row>
    <row r="17055" spans="39:41" ht="12" customHeight="1" x14ac:dyDescent="0.2">
      <c r="AM17055" t="str">
        <f t="shared" si="266"/>
        <v>Washington [USWAB]</v>
      </c>
      <c r="AN17055" s="35" t="s">
        <v>31901</v>
      </c>
      <c r="AO17055" s="35" t="s">
        <v>31900</v>
      </c>
    </row>
    <row r="17056" spans="39:41" ht="12" customHeight="1" x14ac:dyDescent="0.2">
      <c r="AM17056" t="str">
        <f t="shared" si="266"/>
        <v>Washington [USHQJ]</v>
      </c>
      <c r="AN17056" s="35" t="s">
        <v>31902</v>
      </c>
      <c r="AO17056" s="35" t="s">
        <v>31900</v>
      </c>
    </row>
    <row r="17057" spans="39:41" ht="12" customHeight="1" x14ac:dyDescent="0.2">
      <c r="AM17057" t="str">
        <f t="shared" si="266"/>
        <v>Washington Islands [KIWNI]</v>
      </c>
      <c r="AN17057" s="35" t="s">
        <v>21563</v>
      </c>
      <c r="AO17057" s="35" t="s">
        <v>21564</v>
      </c>
    </row>
    <row r="17058" spans="39:41" ht="12" customHeight="1" x14ac:dyDescent="0.2">
      <c r="AM17058" t="str">
        <f t="shared" si="266"/>
        <v>Washington Terrace [USW9A]</v>
      </c>
      <c r="AN17058" s="35" t="s">
        <v>31903</v>
      </c>
      <c r="AO17058" s="35" t="s">
        <v>31904</v>
      </c>
    </row>
    <row r="17059" spans="39:41" ht="12" customHeight="1" x14ac:dyDescent="0.2">
      <c r="AM17059" t="str">
        <f t="shared" si="266"/>
        <v>Watabung [PGWAT]</v>
      </c>
      <c r="AN17059" s="35" t="s">
        <v>25494</v>
      </c>
      <c r="AO17059" s="35" t="s">
        <v>25495</v>
      </c>
    </row>
    <row r="17060" spans="39:41" ht="12" customHeight="1" x14ac:dyDescent="0.2">
      <c r="AM17060" t="str">
        <f t="shared" si="266"/>
        <v>Watanoha [JPWAT]</v>
      </c>
      <c r="AN17060" s="35" t="s">
        <v>21388</v>
      </c>
      <c r="AO17060" s="35" t="s">
        <v>21389</v>
      </c>
    </row>
    <row r="17061" spans="39:41" ht="12" customHeight="1" x14ac:dyDescent="0.2">
      <c r="AM17061" t="str">
        <f t="shared" si="266"/>
        <v>Watchet [GBWAT]</v>
      </c>
      <c r="AN17061" s="35" t="s">
        <v>14801</v>
      </c>
      <c r="AO17061" s="35" t="s">
        <v>14802</v>
      </c>
    </row>
    <row r="17062" spans="39:41" ht="12" customHeight="1" x14ac:dyDescent="0.2">
      <c r="AM17062" t="str">
        <f t="shared" si="266"/>
        <v>Water Valley [USWVA]</v>
      </c>
      <c r="AN17062" s="35" t="s">
        <v>31905</v>
      </c>
      <c r="AO17062" s="35" t="s">
        <v>31906</v>
      </c>
    </row>
    <row r="17063" spans="39:41" ht="12" customHeight="1" x14ac:dyDescent="0.2">
      <c r="AM17063" t="str">
        <f t="shared" si="266"/>
        <v>Waterfoot [GBFUC]</v>
      </c>
      <c r="AN17063" s="35" t="s">
        <v>14803</v>
      </c>
      <c r="AO17063" s="35" t="s">
        <v>14804</v>
      </c>
    </row>
    <row r="17064" spans="39:41" ht="12" customHeight="1" x14ac:dyDescent="0.2">
      <c r="AM17064" t="str">
        <f t="shared" ref="AM17064:AM17127" si="267">AO17064 &amp; " [" &amp; AN17064 &amp; "]"</f>
        <v>Waterfoot [GBWFT]</v>
      </c>
      <c r="AN17064" s="35" t="s">
        <v>14805</v>
      </c>
      <c r="AO17064" s="35" t="s">
        <v>14804</v>
      </c>
    </row>
    <row r="17065" spans="39:41" ht="12" customHeight="1" x14ac:dyDescent="0.2">
      <c r="AM17065" t="str">
        <f t="shared" si="267"/>
        <v>Waterford [IEWAT]</v>
      </c>
      <c r="AN17065" s="35" t="s">
        <v>16931</v>
      </c>
      <c r="AO17065" s="35" t="s">
        <v>16932</v>
      </c>
    </row>
    <row r="17066" spans="39:41" ht="12" customHeight="1" x14ac:dyDescent="0.2">
      <c r="AM17066" t="str">
        <f t="shared" si="267"/>
        <v>Waterford City Quays [IEWCQ]</v>
      </c>
      <c r="AN17066" s="35" t="s">
        <v>16933</v>
      </c>
      <c r="AO17066" s="35" t="s">
        <v>16934</v>
      </c>
    </row>
    <row r="17067" spans="39:41" ht="12" customHeight="1" x14ac:dyDescent="0.2">
      <c r="AM17067" t="str">
        <f t="shared" si="267"/>
        <v>Waterford Great Island (ESB) [IEWGI]</v>
      </c>
      <c r="AN17067" s="35" t="s">
        <v>16935</v>
      </c>
      <c r="AO17067" s="35" t="s">
        <v>16936</v>
      </c>
    </row>
    <row r="17068" spans="39:41" ht="12" customHeight="1" x14ac:dyDescent="0.2">
      <c r="AM17068" t="str">
        <f t="shared" si="267"/>
        <v>Waterfront [ZAWAT]</v>
      </c>
      <c r="AN17068" s="35" t="s">
        <v>32748</v>
      </c>
      <c r="AO17068" s="35" t="s">
        <v>32749</v>
      </c>
    </row>
    <row r="17069" spans="39:41" ht="12" customHeight="1" x14ac:dyDescent="0.2">
      <c r="AM17069" t="str">
        <f t="shared" si="267"/>
        <v>Waterhuizen [NLWHZ]</v>
      </c>
      <c r="AN17069" s="35" t="s">
        <v>23743</v>
      </c>
      <c r="AO17069" s="35" t="s">
        <v>23744</v>
      </c>
    </row>
    <row r="17070" spans="39:41" ht="12" customHeight="1" x14ac:dyDescent="0.2">
      <c r="AM17070" t="str">
        <f t="shared" si="267"/>
        <v>Waterproof [USWPF]</v>
      </c>
      <c r="AN17070" s="35" t="s">
        <v>31907</v>
      </c>
      <c r="AO17070" s="35" t="s">
        <v>31908</v>
      </c>
    </row>
    <row r="17071" spans="39:41" ht="12" customHeight="1" x14ac:dyDescent="0.2">
      <c r="AM17071" t="str">
        <f t="shared" si="267"/>
        <v>Waterville [US999]</v>
      </c>
      <c r="AN17071" s="35" t="s">
        <v>31909</v>
      </c>
      <c r="AO17071" s="35" t="s">
        <v>31910</v>
      </c>
    </row>
    <row r="17072" spans="39:41" ht="12" customHeight="1" x14ac:dyDescent="0.2">
      <c r="AM17072" t="str">
        <f t="shared" si="267"/>
        <v>Waterways [AUWTW]</v>
      </c>
      <c r="AN17072" s="35" t="s">
        <v>35051</v>
      </c>
      <c r="AO17072" s="35" t="s">
        <v>35052</v>
      </c>
    </row>
    <row r="17073" spans="39:41" ht="12" customHeight="1" x14ac:dyDescent="0.2">
      <c r="AM17073" t="str">
        <f t="shared" si="267"/>
        <v>Watford [GBWAF]</v>
      </c>
      <c r="AN17073" s="35" t="s">
        <v>14806</v>
      </c>
      <c r="AO17073" s="35" t="s">
        <v>14807</v>
      </c>
    </row>
    <row r="17074" spans="39:41" ht="12" customHeight="1" x14ac:dyDescent="0.2">
      <c r="AM17074" t="str">
        <f t="shared" si="267"/>
        <v>Watson Is [CAWAI]</v>
      </c>
      <c r="AN17074" s="35" t="s">
        <v>4574</v>
      </c>
      <c r="AO17074" s="35" t="s">
        <v>4575</v>
      </c>
    </row>
    <row r="17075" spans="39:41" ht="12" customHeight="1" x14ac:dyDescent="0.2">
      <c r="AM17075" t="str">
        <f t="shared" si="267"/>
        <v>Watten [FRWTT]</v>
      </c>
      <c r="AN17075" s="35" t="s">
        <v>12219</v>
      </c>
      <c r="AO17075" s="35" t="s">
        <v>12220</v>
      </c>
    </row>
    <row r="17076" spans="39:41" ht="12" customHeight="1" x14ac:dyDescent="0.2">
      <c r="AM17076" t="str">
        <f t="shared" si="267"/>
        <v>Watzerath [DEERA]</v>
      </c>
      <c r="AN17076" s="35" t="s">
        <v>8447</v>
      </c>
      <c r="AO17076" s="35" t="s">
        <v>8448</v>
      </c>
    </row>
    <row r="17077" spans="39:41" ht="12" customHeight="1" x14ac:dyDescent="0.2">
      <c r="AM17077" t="str">
        <f t="shared" si="267"/>
        <v>Waukegan [USUGN]</v>
      </c>
      <c r="AN17077" s="35" t="s">
        <v>31911</v>
      </c>
      <c r="AO17077" s="35" t="s">
        <v>31912</v>
      </c>
    </row>
    <row r="17078" spans="39:41" ht="12" customHeight="1" x14ac:dyDescent="0.2">
      <c r="AM17078" t="str">
        <f t="shared" si="267"/>
        <v>Waulsort [BEWLT]</v>
      </c>
      <c r="AN17078" s="35" t="s">
        <v>3068</v>
      </c>
      <c r="AO17078" s="35" t="s">
        <v>3069</v>
      </c>
    </row>
    <row r="17079" spans="39:41" ht="12" customHeight="1" x14ac:dyDescent="0.2">
      <c r="AM17079" t="str">
        <f t="shared" si="267"/>
        <v>Wauna Range [USWQU]</v>
      </c>
      <c r="AN17079" s="35" t="s">
        <v>31913</v>
      </c>
      <c r="AO17079" s="35" t="s">
        <v>31914</v>
      </c>
    </row>
    <row r="17080" spans="39:41" ht="12" customHeight="1" x14ac:dyDescent="0.2">
      <c r="AM17080" t="str">
        <f t="shared" si="267"/>
        <v>Waupaca [USWUP]</v>
      </c>
      <c r="AN17080" s="35" t="s">
        <v>31915</v>
      </c>
      <c r="AO17080" s="35" t="s">
        <v>31916</v>
      </c>
    </row>
    <row r="17081" spans="39:41" ht="12" customHeight="1" x14ac:dyDescent="0.2">
      <c r="AM17081" t="str">
        <f t="shared" si="267"/>
        <v>Waverly Hall [USZAL]</v>
      </c>
      <c r="AN17081" s="35" t="s">
        <v>31917</v>
      </c>
      <c r="AO17081" s="35" t="s">
        <v>31918</v>
      </c>
    </row>
    <row r="17082" spans="39:41" ht="12" customHeight="1" x14ac:dyDescent="0.2">
      <c r="AM17082" t="str">
        <f t="shared" si="267"/>
        <v>Wawa/Batangas [PHWAW]</v>
      </c>
      <c r="AN17082" s="35" t="s">
        <v>26240</v>
      </c>
      <c r="AO17082" s="35" t="s">
        <v>26241</v>
      </c>
    </row>
    <row r="17083" spans="39:41" ht="12" customHeight="1" x14ac:dyDescent="0.2">
      <c r="AM17083" t="str">
        <f t="shared" si="267"/>
        <v>Waxweiler [DEYWX]</v>
      </c>
      <c r="AN17083" s="35" t="s">
        <v>8449</v>
      </c>
      <c r="AO17083" s="35" t="s">
        <v>8450</v>
      </c>
    </row>
    <row r="17084" spans="39:41" ht="12" customHeight="1" x14ac:dyDescent="0.2">
      <c r="AM17084" t="str">
        <f t="shared" si="267"/>
        <v>Wayzata [USYWZ]</v>
      </c>
      <c r="AN17084" s="35" t="s">
        <v>31919</v>
      </c>
      <c r="AO17084" s="35" t="s">
        <v>31920</v>
      </c>
    </row>
    <row r="17085" spans="39:41" ht="12" customHeight="1" x14ac:dyDescent="0.2">
      <c r="AM17085" t="str">
        <f t="shared" si="267"/>
        <v>Weakens [NLWKS]</v>
      </c>
      <c r="AN17085" s="35" t="s">
        <v>23745</v>
      </c>
      <c r="AO17085" s="35" t="s">
        <v>23746</v>
      </c>
    </row>
    <row r="17086" spans="39:41" ht="12" customHeight="1" x14ac:dyDescent="0.2">
      <c r="AM17086" t="str">
        <f t="shared" si="267"/>
        <v>Webb City [USXBW]</v>
      </c>
      <c r="AN17086" s="35" t="s">
        <v>31921</v>
      </c>
      <c r="AO17086" s="35" t="s">
        <v>31922</v>
      </c>
    </row>
    <row r="17087" spans="39:41" ht="12" customHeight="1" x14ac:dyDescent="0.2">
      <c r="AM17087" t="str">
        <f t="shared" si="267"/>
        <v>Webberton [AUWTN]</v>
      </c>
      <c r="AN17087" s="35" t="s">
        <v>2102</v>
      </c>
      <c r="AO17087" s="35" t="s">
        <v>2103</v>
      </c>
    </row>
    <row r="17088" spans="39:41" ht="12" customHeight="1" x14ac:dyDescent="0.2">
      <c r="AM17088" t="str">
        <f t="shared" si="267"/>
        <v>Webster, Harris [USAFW]</v>
      </c>
      <c r="AN17088" s="35" t="s">
        <v>31923</v>
      </c>
      <c r="AO17088" s="35" t="s">
        <v>31924</v>
      </c>
    </row>
    <row r="17089" spans="39:41" ht="12" customHeight="1" x14ac:dyDescent="0.2">
      <c r="AM17089" t="str">
        <f t="shared" si="267"/>
        <v>Weda [IDWED]</v>
      </c>
      <c r="AN17089" s="35" t="s">
        <v>16705</v>
      </c>
      <c r="AO17089" s="35" t="s">
        <v>16706</v>
      </c>
    </row>
    <row r="17090" spans="39:41" ht="12" customHeight="1" x14ac:dyDescent="0.2">
      <c r="AM17090" t="str">
        <f t="shared" si="267"/>
        <v>Wedel [DEWED]</v>
      </c>
      <c r="AN17090" s="35" t="s">
        <v>8451</v>
      </c>
      <c r="AO17090" s="35" t="s">
        <v>8452</v>
      </c>
    </row>
    <row r="17091" spans="39:41" ht="12" customHeight="1" x14ac:dyDescent="0.2">
      <c r="AM17091" t="str">
        <f t="shared" si="267"/>
        <v>Wedjh [SAEJH]</v>
      </c>
      <c r="AN17091" s="35" t="s">
        <v>27423</v>
      </c>
      <c r="AO17091" s="35" t="s">
        <v>27424</v>
      </c>
    </row>
    <row r="17092" spans="39:41" ht="12" customHeight="1" x14ac:dyDescent="0.2">
      <c r="AM17092" t="str">
        <f t="shared" si="267"/>
        <v>Wedlenstedt [DEWNT]</v>
      </c>
      <c r="AN17092" s="35" t="s">
        <v>8453</v>
      </c>
      <c r="AO17092" s="35" t="s">
        <v>8454</v>
      </c>
    </row>
    <row r="17093" spans="39:41" ht="12" customHeight="1" x14ac:dyDescent="0.2">
      <c r="AM17093" t="str">
        <f t="shared" si="267"/>
        <v>Wedtlenstedt [DESWW]</v>
      </c>
      <c r="AN17093" s="35" t="s">
        <v>8455</v>
      </c>
      <c r="AO17093" s="35" t="s">
        <v>8456</v>
      </c>
    </row>
    <row r="17094" spans="39:41" ht="12" customHeight="1" x14ac:dyDescent="0.2">
      <c r="AM17094" t="str">
        <f t="shared" si="267"/>
        <v>Weener [DEWEE]</v>
      </c>
      <c r="AN17094" s="35" t="s">
        <v>8457</v>
      </c>
      <c r="AO17094" s="35" t="s">
        <v>8458</v>
      </c>
    </row>
    <row r="17095" spans="39:41" ht="12" customHeight="1" x14ac:dyDescent="0.2">
      <c r="AM17095" t="str">
        <f t="shared" si="267"/>
        <v>Weert [NLWRT]</v>
      </c>
      <c r="AN17095" s="35" t="s">
        <v>33931</v>
      </c>
      <c r="AO17095" s="35" t="s">
        <v>34053</v>
      </c>
    </row>
    <row r="17096" spans="39:41" ht="12" customHeight="1" x14ac:dyDescent="0.2">
      <c r="AM17096" t="str">
        <f t="shared" si="267"/>
        <v>Weesp [NLWSP]</v>
      </c>
      <c r="AN17096" s="35" t="s">
        <v>33932</v>
      </c>
      <c r="AO17096" s="35" t="s">
        <v>34054</v>
      </c>
    </row>
    <row r="17097" spans="39:41" ht="12" customHeight="1" x14ac:dyDescent="0.2">
      <c r="AM17097" t="str">
        <f t="shared" si="267"/>
        <v>Wegorzyno [PLWZO]</v>
      </c>
      <c r="AN17097" s="35" t="s">
        <v>26399</v>
      </c>
      <c r="AO17097" s="35" t="s">
        <v>26400</v>
      </c>
    </row>
    <row r="17098" spans="39:41" ht="12" customHeight="1" x14ac:dyDescent="0.2">
      <c r="AM17098" t="str">
        <f t="shared" si="267"/>
        <v>Wehe-den Hoorn [NLWHO]</v>
      </c>
      <c r="AN17098" s="35" t="s">
        <v>23747</v>
      </c>
      <c r="AO17098" s="35" t="s">
        <v>23748</v>
      </c>
    </row>
    <row r="17099" spans="39:41" ht="12" customHeight="1" x14ac:dyDescent="0.2">
      <c r="AM17099" t="str">
        <f t="shared" si="267"/>
        <v>Wehingen [DEWGQ]</v>
      </c>
      <c r="AN17099" s="35" t="s">
        <v>8459</v>
      </c>
      <c r="AO17099" s="35" t="s">
        <v>8460</v>
      </c>
    </row>
    <row r="17100" spans="39:41" ht="12" customHeight="1" x14ac:dyDescent="0.2">
      <c r="AM17100" t="str">
        <f t="shared" si="267"/>
        <v>Weifang Pt [CNWEF]</v>
      </c>
      <c r="AN17100" s="35" t="s">
        <v>6186</v>
      </c>
      <c r="AO17100" s="35" t="s">
        <v>6187</v>
      </c>
    </row>
    <row r="17101" spans="39:41" ht="12" customHeight="1" x14ac:dyDescent="0.2">
      <c r="AM17101" t="str">
        <f t="shared" si="267"/>
        <v>Weihai [CNWEI]</v>
      </c>
      <c r="AN17101" s="35" t="s">
        <v>6188</v>
      </c>
      <c r="AO17101" s="35" t="s">
        <v>6189</v>
      </c>
    </row>
    <row r="17102" spans="39:41" ht="12" customHeight="1" x14ac:dyDescent="0.2">
      <c r="AM17102" t="str">
        <f t="shared" si="267"/>
        <v>Weihai Dashuipo Apt [CNWEH]</v>
      </c>
      <c r="AN17102" s="35" t="s">
        <v>6190</v>
      </c>
      <c r="AO17102" s="35" t="s">
        <v>6191</v>
      </c>
    </row>
    <row r="17103" spans="39:41" ht="12" customHeight="1" x14ac:dyDescent="0.2">
      <c r="AM17103" t="str">
        <f t="shared" si="267"/>
        <v>Weihai Pt [CNWEG]</v>
      </c>
      <c r="AN17103" s="35" t="s">
        <v>6192</v>
      </c>
      <c r="AO17103" s="35" t="s">
        <v>6193</v>
      </c>
    </row>
    <row r="17104" spans="39:41" ht="12" customHeight="1" x14ac:dyDescent="0.2">
      <c r="AM17104" t="str">
        <f t="shared" si="267"/>
        <v>Weikersheim [DEWKK]</v>
      </c>
      <c r="AN17104" s="35" t="s">
        <v>8461</v>
      </c>
      <c r="AO17104" s="35" t="s">
        <v>8462</v>
      </c>
    </row>
    <row r="17105" spans="39:41" ht="12" customHeight="1" x14ac:dyDescent="0.2">
      <c r="AM17105" t="str">
        <f t="shared" si="267"/>
        <v>Weilerswist [DEWWI]</v>
      </c>
      <c r="AN17105" s="35" t="s">
        <v>8463</v>
      </c>
      <c r="AO17105" s="35" t="s">
        <v>8464</v>
      </c>
    </row>
    <row r="17106" spans="39:41" ht="12" customHeight="1" x14ac:dyDescent="0.2">
      <c r="AM17106" t="str">
        <f t="shared" si="267"/>
        <v>Weinbergen [DEIWN]</v>
      </c>
      <c r="AN17106" s="35" t="s">
        <v>8465</v>
      </c>
      <c r="AO17106" s="35" t="s">
        <v>8466</v>
      </c>
    </row>
    <row r="17107" spans="39:41" ht="12" customHeight="1" x14ac:dyDescent="0.2">
      <c r="AM17107" t="str">
        <f t="shared" si="267"/>
        <v>Weinburg [ATWEU]</v>
      </c>
      <c r="AN17107" s="35" t="s">
        <v>1369</v>
      </c>
      <c r="AO17107" s="35" t="s">
        <v>1370</v>
      </c>
    </row>
    <row r="17108" spans="39:41" ht="12" customHeight="1" x14ac:dyDescent="0.2">
      <c r="AM17108" t="str">
        <f t="shared" si="267"/>
        <v>Weinstadt [DEADT]</v>
      </c>
      <c r="AN17108" s="35" t="s">
        <v>8467</v>
      </c>
      <c r="AO17108" s="35" t="s">
        <v>8468</v>
      </c>
    </row>
    <row r="17109" spans="39:41" ht="12" customHeight="1" x14ac:dyDescent="0.2">
      <c r="AM17109" t="str">
        <f t="shared" si="267"/>
        <v>Weipa [AUWEI]</v>
      </c>
      <c r="AN17109" s="35" t="s">
        <v>2104</v>
      </c>
      <c r="AO17109" s="35" t="s">
        <v>2105</v>
      </c>
    </row>
    <row r="17110" spans="39:41" ht="12" customHeight="1" x14ac:dyDescent="0.2">
      <c r="AM17110" t="str">
        <f t="shared" si="267"/>
        <v>Weisenheim am Sand [DERRP]</v>
      </c>
      <c r="AN17110" s="35" t="s">
        <v>8469</v>
      </c>
      <c r="AO17110" s="35" t="s">
        <v>8470</v>
      </c>
    </row>
    <row r="17111" spans="39:41" ht="12" customHeight="1" x14ac:dyDescent="0.2">
      <c r="AM17111" t="str">
        <f t="shared" si="267"/>
        <v>Weissenbrunn [DEBYW]</v>
      </c>
      <c r="AN17111" s="35" t="s">
        <v>8471</v>
      </c>
      <c r="AO17111" s="35" t="s">
        <v>8472</v>
      </c>
    </row>
    <row r="17112" spans="39:41" ht="12" customHeight="1" x14ac:dyDescent="0.2">
      <c r="AM17112" t="str">
        <f t="shared" si="267"/>
        <v>Weissenburg in Bayern [DEWNG]</v>
      </c>
      <c r="AN17112" s="35" t="s">
        <v>8473</v>
      </c>
      <c r="AO17112" s="35" t="s">
        <v>8474</v>
      </c>
    </row>
    <row r="17113" spans="39:41" ht="12" customHeight="1" x14ac:dyDescent="0.2">
      <c r="AM17113" t="str">
        <f t="shared" si="267"/>
        <v>Weissenthurm [DEWNU]</v>
      </c>
      <c r="AN17113" s="35" t="s">
        <v>8475</v>
      </c>
      <c r="AO17113" s="35" t="s">
        <v>8476</v>
      </c>
    </row>
    <row r="17114" spans="39:41" ht="12" customHeight="1" x14ac:dyDescent="0.2">
      <c r="AM17114" t="str">
        <f t="shared" si="267"/>
        <v>Weitendorf [ATWDF]</v>
      </c>
      <c r="AN17114" s="35" t="s">
        <v>1371</v>
      </c>
      <c r="AO17114" s="35" t="s">
        <v>1372</v>
      </c>
    </row>
    <row r="17115" spans="39:41" ht="12" customHeight="1" x14ac:dyDescent="0.2">
      <c r="AM17115" t="str">
        <f t="shared" si="267"/>
        <v>Weitnau [DEITN]</v>
      </c>
      <c r="AN17115" s="35" t="s">
        <v>8477</v>
      </c>
      <c r="AO17115" s="35" t="s">
        <v>8478</v>
      </c>
    </row>
    <row r="17116" spans="39:41" ht="12" customHeight="1" x14ac:dyDescent="0.2">
      <c r="AM17116" t="str">
        <f t="shared" si="267"/>
        <v>Weitou [CNWIT]</v>
      </c>
      <c r="AN17116" s="35" t="s">
        <v>6194</v>
      </c>
      <c r="AO17116" s="35" t="s">
        <v>6195</v>
      </c>
    </row>
    <row r="17117" spans="39:41" ht="12" customHeight="1" x14ac:dyDescent="0.2">
      <c r="AM17117" t="str">
        <f t="shared" si="267"/>
        <v>Weiyuankou [CNWYK]</v>
      </c>
      <c r="AN17117" s="35" t="s">
        <v>6196</v>
      </c>
      <c r="AO17117" s="35" t="s">
        <v>6197</v>
      </c>
    </row>
    <row r="17118" spans="39:41" ht="12" customHeight="1" x14ac:dyDescent="0.2">
      <c r="AM17118" t="str">
        <f t="shared" si="267"/>
        <v>Welcome [USEOM]</v>
      </c>
      <c r="AN17118" s="35" t="s">
        <v>31925</v>
      </c>
      <c r="AO17118" s="35" t="s">
        <v>31926</v>
      </c>
    </row>
    <row r="17119" spans="39:41" ht="12" customHeight="1" x14ac:dyDescent="0.2">
      <c r="AM17119" t="str">
        <f t="shared" si="267"/>
        <v>Welcome [USWCO]</v>
      </c>
      <c r="AN17119" s="35" t="s">
        <v>31927</v>
      </c>
      <c r="AO17119" s="35" t="s">
        <v>31926</v>
      </c>
    </row>
    <row r="17120" spans="39:41" ht="12" customHeight="1" x14ac:dyDescent="0.2">
      <c r="AM17120" t="str">
        <f t="shared" si="267"/>
        <v>Well [NLWEL]</v>
      </c>
      <c r="AN17120" s="35" t="s">
        <v>23749</v>
      </c>
      <c r="AO17120" s="35" t="s">
        <v>23750</v>
      </c>
    </row>
    <row r="17121" spans="39:41" ht="12" customHeight="1" x14ac:dyDescent="0.2">
      <c r="AM17121" t="str">
        <f t="shared" si="267"/>
        <v>Welland [AUKJH]</v>
      </c>
      <c r="AN17121" s="35" t="s">
        <v>2106</v>
      </c>
      <c r="AO17121" s="35" t="s">
        <v>2107</v>
      </c>
    </row>
    <row r="17122" spans="39:41" ht="12" customHeight="1" x14ac:dyDescent="0.2">
      <c r="AM17122" t="str">
        <f t="shared" si="267"/>
        <v>Welland [CAWEL]</v>
      </c>
      <c r="AN17122" s="35" t="s">
        <v>4576</v>
      </c>
      <c r="AO17122" s="35" t="s">
        <v>2107</v>
      </c>
    </row>
    <row r="17123" spans="39:41" ht="12" customHeight="1" x14ac:dyDescent="0.2">
      <c r="AM17123" t="str">
        <f t="shared" si="267"/>
        <v>Wellen [BEWEL]</v>
      </c>
      <c r="AN17123" s="35" t="s">
        <v>3070</v>
      </c>
      <c r="AO17123" s="35" t="s">
        <v>3071</v>
      </c>
    </row>
    <row r="17124" spans="39:41" ht="12" customHeight="1" x14ac:dyDescent="0.2">
      <c r="AM17124" t="str">
        <f t="shared" si="267"/>
        <v>Wellfleet [US3OL]</v>
      </c>
      <c r="AN17124" s="35" t="s">
        <v>31928</v>
      </c>
      <c r="AO17124" s="35" t="s">
        <v>31929</v>
      </c>
    </row>
    <row r="17125" spans="39:41" ht="12" customHeight="1" x14ac:dyDescent="0.2">
      <c r="AM17125" t="str">
        <f t="shared" si="267"/>
        <v>Wellington [CAEIW]</v>
      </c>
      <c r="AN17125" s="35" t="s">
        <v>4577</v>
      </c>
      <c r="AO17125" s="35" t="s">
        <v>4578</v>
      </c>
    </row>
    <row r="17126" spans="39:41" ht="12" customHeight="1" x14ac:dyDescent="0.2">
      <c r="AM17126" t="str">
        <f t="shared" si="267"/>
        <v>Wellington [NZWLG]</v>
      </c>
      <c r="AN17126" s="35" t="s">
        <v>25135</v>
      </c>
      <c r="AO17126" s="35" t="s">
        <v>4578</v>
      </c>
    </row>
    <row r="17127" spans="39:41" ht="12" customHeight="1" x14ac:dyDescent="0.2">
      <c r="AM17127" t="str">
        <f t="shared" si="267"/>
        <v>Wells [GBWLS]</v>
      </c>
      <c r="AN17127" s="35" t="s">
        <v>14808</v>
      </c>
      <c r="AO17127" s="35" t="s">
        <v>14809</v>
      </c>
    </row>
    <row r="17128" spans="39:41" ht="12" customHeight="1" x14ac:dyDescent="0.2">
      <c r="AM17128" t="str">
        <f t="shared" ref="AM17128:AM17175" si="268">AO17128 &amp; " [" &amp; AN17128 &amp; "]"</f>
        <v>Wells-next-the-Sea [GBWNS]</v>
      </c>
      <c r="AN17128" s="35" t="s">
        <v>14810</v>
      </c>
      <c r="AO17128" s="35" t="s">
        <v>14811</v>
      </c>
    </row>
    <row r="17129" spans="39:41" ht="12" customHeight="1" x14ac:dyDescent="0.2">
      <c r="AM17129" t="str">
        <f t="shared" si="268"/>
        <v>Welshpool [AUWHL]</v>
      </c>
      <c r="AN17129" s="35" t="s">
        <v>2108</v>
      </c>
      <c r="AO17129" s="35" t="s">
        <v>2109</v>
      </c>
    </row>
    <row r="17130" spans="39:41" ht="12" customHeight="1" x14ac:dyDescent="0.2">
      <c r="AM17130" t="str">
        <f t="shared" si="268"/>
        <v>Welshpool [CAWEP]</v>
      </c>
      <c r="AN17130" s="35" t="s">
        <v>4579</v>
      </c>
      <c r="AO17130" s="35" t="s">
        <v>2109</v>
      </c>
    </row>
    <row r="17131" spans="39:41" ht="12" customHeight="1" x14ac:dyDescent="0.2">
      <c r="AM17131" t="str">
        <f t="shared" si="268"/>
        <v>Welsrijp [NLWRP]</v>
      </c>
      <c r="AN17131" s="35" t="s">
        <v>23751</v>
      </c>
      <c r="AO17131" s="35" t="s">
        <v>23752</v>
      </c>
    </row>
    <row r="17132" spans="39:41" ht="12" customHeight="1" x14ac:dyDescent="0.2">
      <c r="AM17132" t="str">
        <f t="shared" si="268"/>
        <v>Wembley [GBWBY]</v>
      </c>
      <c r="AN17132" s="35" t="s">
        <v>14812</v>
      </c>
      <c r="AO17132" s="35" t="s">
        <v>4580</v>
      </c>
    </row>
    <row r="17133" spans="39:41" ht="12" customHeight="1" x14ac:dyDescent="0.2">
      <c r="AM17133" t="str">
        <f t="shared" si="268"/>
        <v>Wemmershoek [ZAWWC]</v>
      </c>
      <c r="AN17133" s="35" t="s">
        <v>34239</v>
      </c>
      <c r="AO17133" s="35" t="s">
        <v>34307</v>
      </c>
    </row>
    <row r="17134" spans="39:41" ht="12" customHeight="1" x14ac:dyDescent="0.2">
      <c r="AM17134" t="str">
        <f t="shared" si="268"/>
        <v>Wemmetsweiler [DEWMM]</v>
      </c>
      <c r="AN17134" s="35" t="s">
        <v>8479</v>
      </c>
      <c r="AO17134" s="35" t="s">
        <v>8480</v>
      </c>
    </row>
    <row r="17135" spans="39:41" ht="12" customHeight="1" x14ac:dyDescent="0.2">
      <c r="AM17135" t="str">
        <f t="shared" si="268"/>
        <v>Wemyss Bay [GBWMB]</v>
      </c>
      <c r="AN17135" s="35" t="s">
        <v>14813</v>
      </c>
      <c r="AO17135" s="35" t="s">
        <v>14814</v>
      </c>
    </row>
    <row r="17136" spans="39:41" ht="12" customHeight="1" x14ac:dyDescent="0.2">
      <c r="AM17136" t="str">
        <f t="shared" si="268"/>
        <v>Wenling Longmen Port [CNLMG]</v>
      </c>
      <c r="AN17136" s="35" t="s">
        <v>35053</v>
      </c>
      <c r="AO17136" s="35" t="s">
        <v>35054</v>
      </c>
    </row>
    <row r="17137" spans="39:41" ht="12" customHeight="1" x14ac:dyDescent="0.2">
      <c r="AM17137" t="str">
        <f t="shared" si="268"/>
        <v>Wenshan [CNWSH]</v>
      </c>
      <c r="AN17137" s="35" t="s">
        <v>6198</v>
      </c>
      <c r="AO17137" s="35" t="s">
        <v>6199</v>
      </c>
    </row>
    <row r="17138" spans="39:41" ht="12" customHeight="1" x14ac:dyDescent="0.2">
      <c r="AM17138" t="str">
        <f t="shared" si="268"/>
        <v>Wentworth [USWNH]</v>
      </c>
      <c r="AN17138" s="35" t="s">
        <v>31930</v>
      </c>
      <c r="AO17138" s="35" t="s">
        <v>31931</v>
      </c>
    </row>
    <row r="17139" spans="39:41" ht="12" customHeight="1" x14ac:dyDescent="0.2">
      <c r="AM17139" t="str">
        <f t="shared" si="268"/>
        <v>Wentworth Point [AUWWP]</v>
      </c>
      <c r="AN17139" s="35" t="s">
        <v>2110</v>
      </c>
      <c r="AO17139" s="35" t="s">
        <v>2111</v>
      </c>
    </row>
    <row r="17140" spans="39:41" ht="12" customHeight="1" x14ac:dyDescent="0.2">
      <c r="AM17140" t="str">
        <f t="shared" si="268"/>
        <v>Wenzhou Pt [CNWZO]</v>
      </c>
      <c r="AN17140" s="35" t="s">
        <v>6200</v>
      </c>
      <c r="AO17140" s="35" t="s">
        <v>6201</v>
      </c>
    </row>
    <row r="17141" spans="39:41" ht="12" customHeight="1" x14ac:dyDescent="0.2">
      <c r="AM17141" t="str">
        <f t="shared" si="268"/>
        <v>Wepion [BEWIP]</v>
      </c>
      <c r="AN17141" s="35" t="s">
        <v>3072</v>
      </c>
      <c r="AO17141" s="35" t="s">
        <v>35282</v>
      </c>
    </row>
    <row r="17142" spans="39:41" ht="12" customHeight="1" x14ac:dyDescent="0.2">
      <c r="AM17142" t="str">
        <f t="shared" si="268"/>
        <v>Werkendam [NLWKD]</v>
      </c>
      <c r="AN17142" s="35" t="s">
        <v>23753</v>
      </c>
      <c r="AO17142" s="35" t="s">
        <v>23754</v>
      </c>
    </row>
    <row r="17143" spans="39:41" ht="12" customHeight="1" x14ac:dyDescent="0.2">
      <c r="AM17143" t="str">
        <f t="shared" si="268"/>
        <v>Werribee [AUWRB]</v>
      </c>
      <c r="AN17143" s="35" t="s">
        <v>2112</v>
      </c>
      <c r="AO17143" s="35" t="s">
        <v>2113</v>
      </c>
    </row>
    <row r="17144" spans="39:41" ht="12" customHeight="1" x14ac:dyDescent="0.2">
      <c r="AM17144" t="str">
        <f t="shared" si="268"/>
        <v>Werrich [DERIC]</v>
      </c>
      <c r="AN17144" s="35" t="s">
        <v>8481</v>
      </c>
      <c r="AO17144" s="35" t="s">
        <v>8482</v>
      </c>
    </row>
    <row r="17145" spans="39:41" ht="12" customHeight="1" x14ac:dyDescent="0.2">
      <c r="AM17145" t="str">
        <f t="shared" si="268"/>
        <v>Wertheim [DEWTM]</v>
      </c>
      <c r="AN17145" s="35" t="s">
        <v>8483</v>
      </c>
      <c r="AO17145" s="35" t="s">
        <v>8484</v>
      </c>
    </row>
    <row r="17146" spans="39:41" ht="12" customHeight="1" x14ac:dyDescent="0.2">
      <c r="AM17146" t="str">
        <f t="shared" si="268"/>
        <v>Wervik [BEWER]</v>
      </c>
      <c r="AN17146" s="35" t="s">
        <v>3073</v>
      </c>
      <c r="AO17146" s="35" t="s">
        <v>3074</v>
      </c>
    </row>
    <row r="17147" spans="39:41" ht="12" customHeight="1" x14ac:dyDescent="0.2">
      <c r="AM17147" t="str">
        <f t="shared" si="268"/>
        <v>Wesel [DEWES]</v>
      </c>
      <c r="AN17147" s="35" t="s">
        <v>8485</v>
      </c>
      <c r="AO17147" s="35" t="s">
        <v>8486</v>
      </c>
    </row>
    <row r="17148" spans="39:41" ht="12" customHeight="1" x14ac:dyDescent="0.2">
      <c r="AM17148" t="str">
        <f t="shared" si="268"/>
        <v>West Allis [USWEQ]</v>
      </c>
      <c r="AN17148" s="35" t="s">
        <v>31932</v>
      </c>
      <c r="AO17148" s="35" t="s">
        <v>31933</v>
      </c>
    </row>
    <row r="17149" spans="39:41" ht="12" customHeight="1" x14ac:dyDescent="0.2">
      <c r="AM17149" t="str">
        <f t="shared" si="268"/>
        <v>West Auckland [GBWAX]</v>
      </c>
      <c r="AN17149" s="35" t="s">
        <v>14815</v>
      </c>
      <c r="AO17149" s="35" t="s">
        <v>14816</v>
      </c>
    </row>
    <row r="17150" spans="39:41" ht="12" customHeight="1" x14ac:dyDescent="0.2">
      <c r="AM17150" t="str">
        <f t="shared" si="268"/>
        <v>West Bay [GBWYX]</v>
      </c>
      <c r="AN17150" s="35" t="s">
        <v>14817</v>
      </c>
      <c r="AO17150" s="35" t="s">
        <v>14818</v>
      </c>
    </row>
    <row r="17151" spans="39:41" ht="12" customHeight="1" x14ac:dyDescent="0.2">
      <c r="AM17151" t="str">
        <f t="shared" si="268"/>
        <v>West Boylston [USWBM]</v>
      </c>
      <c r="AN17151" s="35" t="s">
        <v>31934</v>
      </c>
      <c r="AO17151" s="35" t="s">
        <v>31935</v>
      </c>
    </row>
    <row r="17152" spans="39:41" ht="12" customHeight="1" x14ac:dyDescent="0.2">
      <c r="AM17152" t="str">
        <f t="shared" si="268"/>
        <v>West Burrafirth [GBWBF]</v>
      </c>
      <c r="AN17152" s="35" t="s">
        <v>14819</v>
      </c>
      <c r="AO17152" s="35" t="s">
        <v>14820</v>
      </c>
    </row>
    <row r="17153" spans="39:41" ht="12" customHeight="1" x14ac:dyDescent="0.2">
      <c r="AM17153" t="str">
        <f t="shared" si="268"/>
        <v>West Chiltington [GBCWH]</v>
      </c>
      <c r="AN17153" s="35" t="s">
        <v>14821</v>
      </c>
      <c r="AO17153" s="35" t="s">
        <v>14822</v>
      </c>
    </row>
    <row r="17154" spans="39:41" ht="12" customHeight="1" x14ac:dyDescent="0.2">
      <c r="AM17154" t="str">
        <f t="shared" si="268"/>
        <v>West End [BSWTD]</v>
      </c>
      <c r="AN17154" s="35" t="s">
        <v>3484</v>
      </c>
      <c r="AO17154" s="35" t="s">
        <v>3485</v>
      </c>
    </row>
    <row r="17155" spans="39:41" ht="12" customHeight="1" x14ac:dyDescent="0.2">
      <c r="AM17155" t="str">
        <f t="shared" si="268"/>
        <v>West Glocester [US4WR]</v>
      </c>
      <c r="AN17155" s="35" t="s">
        <v>31936</v>
      </c>
      <c r="AO17155" s="35" t="s">
        <v>31937</v>
      </c>
    </row>
    <row r="17156" spans="39:41" ht="12" customHeight="1" x14ac:dyDescent="0.2">
      <c r="AM17156" t="str">
        <f t="shared" si="268"/>
        <v>West Grinstead [GBWGD]</v>
      </c>
      <c r="AN17156" s="35" t="s">
        <v>14823</v>
      </c>
      <c r="AO17156" s="35" t="s">
        <v>14824</v>
      </c>
    </row>
    <row r="17157" spans="39:41" ht="12" customHeight="1" x14ac:dyDescent="0.2">
      <c r="AM17157" t="str">
        <f t="shared" si="268"/>
        <v>West Grove [USL3Y]</v>
      </c>
      <c r="AN17157" s="35" t="s">
        <v>31938</v>
      </c>
      <c r="AO17157" s="35" t="s">
        <v>31939</v>
      </c>
    </row>
    <row r="17158" spans="39:41" ht="12" customHeight="1" x14ac:dyDescent="0.2">
      <c r="AM17158" t="str">
        <f t="shared" si="268"/>
        <v>West Harptree [GBARP]</v>
      </c>
      <c r="AN17158" s="35" t="s">
        <v>14825</v>
      </c>
      <c r="AO17158" s="35" t="s">
        <v>14826</v>
      </c>
    </row>
    <row r="17159" spans="39:41" ht="12" customHeight="1" x14ac:dyDescent="0.2">
      <c r="AM17159" t="str">
        <f t="shared" si="268"/>
        <v>West Homestead [USYWE]</v>
      </c>
      <c r="AN17159" s="35" t="s">
        <v>31940</v>
      </c>
      <c r="AO17159" s="35" t="s">
        <v>31941</v>
      </c>
    </row>
    <row r="17160" spans="39:41" ht="12" customHeight="1" x14ac:dyDescent="0.2">
      <c r="AM17160" t="str">
        <f t="shared" si="268"/>
        <v>West Kirby [GBWKI]</v>
      </c>
      <c r="AN17160" s="35" t="s">
        <v>14827</v>
      </c>
      <c r="AO17160" s="35" t="s">
        <v>14828</v>
      </c>
    </row>
    <row r="17161" spans="39:41" ht="12" customHeight="1" x14ac:dyDescent="0.2">
      <c r="AM17161" t="str">
        <f t="shared" si="268"/>
        <v>West Loch Tarbert [GBWRB]</v>
      </c>
      <c r="AN17161" s="35" t="s">
        <v>14829</v>
      </c>
      <c r="AO17161" s="35" t="s">
        <v>14830</v>
      </c>
    </row>
    <row r="17162" spans="39:41" ht="12" customHeight="1" x14ac:dyDescent="0.2">
      <c r="AM17162" t="str">
        <f t="shared" si="268"/>
        <v>West Long Branch [USWLQ]</v>
      </c>
      <c r="AN17162" s="35" t="s">
        <v>31942</v>
      </c>
      <c r="AO17162" s="35" t="s">
        <v>31943</v>
      </c>
    </row>
    <row r="17163" spans="39:41" ht="12" customHeight="1" x14ac:dyDescent="0.2">
      <c r="AM17163" t="str">
        <f t="shared" si="268"/>
        <v>West Mainland [GBWMD]</v>
      </c>
      <c r="AN17163" s="35" t="s">
        <v>14831</v>
      </c>
      <c r="AO17163" s="35" t="s">
        <v>14832</v>
      </c>
    </row>
    <row r="17164" spans="39:41" ht="12" customHeight="1" x14ac:dyDescent="0.2">
      <c r="AM17164" t="str">
        <f t="shared" si="268"/>
        <v>West Mersea [GBWMS]</v>
      </c>
      <c r="AN17164" s="35" t="s">
        <v>14833</v>
      </c>
      <c r="AO17164" s="35" t="s">
        <v>14834</v>
      </c>
    </row>
    <row r="17165" spans="39:41" ht="12" customHeight="1" x14ac:dyDescent="0.2">
      <c r="AM17165" t="str">
        <f t="shared" si="268"/>
        <v>West Milton [USJWQ]</v>
      </c>
      <c r="AN17165" s="35" t="s">
        <v>31944</v>
      </c>
      <c r="AO17165" s="35" t="s">
        <v>31945</v>
      </c>
    </row>
    <row r="17166" spans="39:41" ht="12" customHeight="1" x14ac:dyDescent="0.2">
      <c r="AM17166" t="str">
        <f t="shared" si="268"/>
        <v>West Newton [US3TU]</v>
      </c>
      <c r="AN17166" s="35" t="s">
        <v>31946</v>
      </c>
      <c r="AO17166" s="35" t="s">
        <v>31947</v>
      </c>
    </row>
    <row r="17167" spans="39:41" ht="12" customHeight="1" x14ac:dyDescent="0.2">
      <c r="AM17167" t="str">
        <f t="shared" si="268"/>
        <v>West Palm Beach [USPBI]</v>
      </c>
      <c r="AN17167" s="35" t="s">
        <v>31948</v>
      </c>
      <c r="AO17167" s="35" t="s">
        <v>31949</v>
      </c>
    </row>
    <row r="17168" spans="39:41" ht="12" customHeight="1" x14ac:dyDescent="0.2">
      <c r="AM17168" t="str">
        <f t="shared" si="268"/>
        <v>West Point [USWOT]</v>
      </c>
      <c r="AN17168" s="35" t="s">
        <v>31950</v>
      </c>
      <c r="AO17168" s="35" t="s">
        <v>31951</v>
      </c>
    </row>
    <row r="17169" spans="39:41" ht="12" customHeight="1" x14ac:dyDescent="0.2">
      <c r="AM17169" t="str">
        <f t="shared" si="268"/>
        <v>West Portsmouth [USWR3]</v>
      </c>
      <c r="AN17169" s="35" t="s">
        <v>31952</v>
      </c>
      <c r="AO17169" s="35" t="s">
        <v>31953</v>
      </c>
    </row>
    <row r="17170" spans="39:41" s="35" customFormat="1" ht="12" customHeight="1" x14ac:dyDescent="0.2">
      <c r="AM17170" s="35" t="str">
        <f t="shared" si="268"/>
        <v>West Reading [USZDG]</v>
      </c>
      <c r="AN17170" s="35" t="s">
        <v>31954</v>
      </c>
      <c r="AO17170" s="35" t="s">
        <v>31955</v>
      </c>
    </row>
    <row r="17171" spans="39:41" s="35" customFormat="1" ht="12" customHeight="1" x14ac:dyDescent="0.2">
      <c r="AM17171" s="35" t="str">
        <f t="shared" si="268"/>
        <v>West Rutland [USXTR]</v>
      </c>
      <c r="AN17171" s="35" t="s">
        <v>31956</v>
      </c>
      <c r="AO17171" s="35" t="s">
        <v>31957</v>
      </c>
    </row>
    <row r="17172" spans="39:41" s="35" customFormat="1" ht="12" customHeight="1" x14ac:dyDescent="0.2">
      <c r="AM17172" s="35" t="str">
        <f t="shared" si="268"/>
        <v>West Sayville [USYLY]</v>
      </c>
      <c r="AN17172" s="35" t="s">
        <v>31958</v>
      </c>
      <c r="AO17172" s="35" t="s">
        <v>31959</v>
      </c>
    </row>
    <row r="17173" spans="39:41" ht="12" customHeight="1" x14ac:dyDescent="0.2">
      <c r="AM17173" s="35" t="str">
        <f t="shared" si="268"/>
        <v>West Thurrock [GBLWT]</v>
      </c>
      <c r="AN17173" s="35" t="s">
        <v>14835</v>
      </c>
      <c r="AO17173" s="35" t="s">
        <v>14836</v>
      </c>
    </row>
    <row r="17174" spans="39:41" ht="12" customHeight="1" x14ac:dyDescent="0.2">
      <c r="AM17174" s="35" t="str">
        <f t="shared" si="268"/>
        <v>West Vancouver [CAWVR]</v>
      </c>
      <c r="AN17174" s="35" t="s">
        <v>4581</v>
      </c>
      <c r="AO17174" s="35" t="s">
        <v>4582</v>
      </c>
    </row>
    <row r="17175" spans="39:41" ht="12" customHeight="1" x14ac:dyDescent="0.2">
      <c r="AM17175" t="str">
        <f t="shared" si="268"/>
        <v>West Wemyss [GBWWE]</v>
      </c>
      <c r="AN17175" s="35" t="s">
        <v>14837</v>
      </c>
      <c r="AO17175" s="35" t="s">
        <v>14838</v>
      </c>
    </row>
    <row r="17176" spans="39:41" ht="12" customHeight="1" x14ac:dyDescent="0.2">
      <c r="AM17176" t="str">
        <f t="shared" ref="AM17176:AM17206" si="269">AO17176 &amp; " [" &amp; AN17176 &amp; "]"</f>
        <v>West Yarmouth [USWMU]</v>
      </c>
      <c r="AN17176" t="s">
        <v>31960</v>
      </c>
      <c r="AO17176" t="s">
        <v>31961</v>
      </c>
    </row>
    <row r="17177" spans="39:41" ht="12" customHeight="1" x14ac:dyDescent="0.2">
      <c r="AM17177" t="str">
        <f t="shared" si="269"/>
        <v>Westampton [USWEP]</v>
      </c>
      <c r="AN17177" t="s">
        <v>31962</v>
      </c>
      <c r="AO17177" t="s">
        <v>31963</v>
      </c>
    </row>
    <row r="17178" spans="39:41" ht="12" customHeight="1" x14ac:dyDescent="0.2">
      <c r="AM17178" t="str">
        <f t="shared" si="269"/>
        <v>Westbroek [NLWBO]</v>
      </c>
      <c r="AN17178" t="s">
        <v>23755</v>
      </c>
      <c r="AO17178" t="s">
        <v>23756</v>
      </c>
    </row>
    <row r="17179" spans="39:41" ht="12" customHeight="1" x14ac:dyDescent="0.2">
      <c r="AM17179" t="str">
        <f t="shared" si="269"/>
        <v>Westbury on Severn [GBWYS]</v>
      </c>
      <c r="AN17179" t="s">
        <v>14839</v>
      </c>
      <c r="AO17179" t="s">
        <v>14840</v>
      </c>
    </row>
    <row r="17180" spans="39:41" ht="12" customHeight="1" x14ac:dyDescent="0.2">
      <c r="AM17180" t="str">
        <f t="shared" si="269"/>
        <v>Westeraccumersiel [DEWAC]</v>
      </c>
      <c r="AN17180" t="s">
        <v>8487</v>
      </c>
      <c r="AO17180" t="s">
        <v>8488</v>
      </c>
    </row>
    <row r="17181" spans="39:41" ht="12" customHeight="1" x14ac:dyDescent="0.2">
      <c r="AM17181" t="str">
        <f t="shared" si="269"/>
        <v>Westerbork [NLWBK]</v>
      </c>
      <c r="AN17181" t="s">
        <v>23757</v>
      </c>
      <c r="AO17181" t="s">
        <v>23758</v>
      </c>
    </row>
    <row r="17182" spans="39:41" ht="12" customHeight="1" x14ac:dyDescent="0.2">
      <c r="AM17182" t="str">
        <f t="shared" si="269"/>
        <v>Westerleigh [GBWTE]</v>
      </c>
      <c r="AN17182" t="s">
        <v>14841</v>
      </c>
      <c r="AO17182" t="s">
        <v>14842</v>
      </c>
    </row>
    <row r="17183" spans="39:41" ht="12" customHeight="1" x14ac:dyDescent="0.2">
      <c r="AM17183" t="str">
        <f t="shared" si="269"/>
        <v>Westerlo [USWE2]</v>
      </c>
      <c r="AN17183" t="s">
        <v>31964</v>
      </c>
      <c r="AO17183" t="s">
        <v>31965</v>
      </c>
    </row>
    <row r="17184" spans="39:41" ht="12" customHeight="1" x14ac:dyDescent="0.2">
      <c r="AM17184" t="str">
        <f t="shared" si="269"/>
        <v>Westerlo [BEWES]</v>
      </c>
      <c r="AN17184" t="s">
        <v>36815</v>
      </c>
      <c r="AO17184" t="s">
        <v>31965</v>
      </c>
    </row>
    <row r="17185" spans="39:41" ht="12" customHeight="1" x14ac:dyDescent="0.2">
      <c r="AM17185" t="str">
        <f t="shared" si="269"/>
        <v>Westernport [AUWEP]</v>
      </c>
      <c r="AN17185" t="s">
        <v>2114</v>
      </c>
      <c r="AO17185" t="s">
        <v>2115</v>
      </c>
    </row>
    <row r="17186" spans="39:41" ht="12" customHeight="1" x14ac:dyDescent="0.2">
      <c r="AM17186" t="str">
        <f t="shared" si="269"/>
        <v>Wester-Ohrstedt [DEWE5]</v>
      </c>
      <c r="AN17186" t="s">
        <v>8489</v>
      </c>
      <c r="AO17186" t="s">
        <v>8490</v>
      </c>
    </row>
    <row r="17187" spans="39:41" ht="12" customHeight="1" x14ac:dyDescent="0.2">
      <c r="AM17187" t="str">
        <f t="shared" si="269"/>
        <v>Westgate [GBWXW]</v>
      </c>
      <c r="AN17187" t="s">
        <v>14843</v>
      </c>
      <c r="AO17187" t="s">
        <v>14844</v>
      </c>
    </row>
    <row r="17188" spans="39:41" ht="12" customHeight="1" x14ac:dyDescent="0.2">
      <c r="AM17188" t="str">
        <f t="shared" si="269"/>
        <v>West-Graftdijk [NLWGD]</v>
      </c>
      <c r="AN17188" t="s">
        <v>23759</v>
      </c>
      <c r="AO17188" t="s">
        <v>23760</v>
      </c>
    </row>
    <row r="17189" spans="39:41" ht="12" customHeight="1" x14ac:dyDescent="0.2">
      <c r="AM17189" t="str">
        <f t="shared" si="269"/>
        <v>Westkapelle [NLWKP]</v>
      </c>
      <c r="AN17189" t="s">
        <v>23761</v>
      </c>
      <c r="AO17189" t="s">
        <v>23762</v>
      </c>
    </row>
    <row r="17190" spans="39:41" ht="12" customHeight="1" x14ac:dyDescent="0.2">
      <c r="AM17190" t="str">
        <f t="shared" si="269"/>
        <v>Westmeri [EEWST]</v>
      </c>
      <c r="AN17190" t="s">
        <v>9430</v>
      </c>
      <c r="AO17190" t="s">
        <v>9431</v>
      </c>
    </row>
    <row r="17191" spans="39:41" ht="12" customHeight="1" x14ac:dyDescent="0.2">
      <c r="AM17191" t="str">
        <f t="shared" si="269"/>
        <v>Westmeri Jahisadam [EEWJS]</v>
      </c>
      <c r="AN17191" t="s">
        <v>9432</v>
      </c>
      <c r="AO17191" t="s">
        <v>9433</v>
      </c>
    </row>
    <row r="17192" spans="39:41" ht="12" customHeight="1" x14ac:dyDescent="0.2">
      <c r="AM17192" t="str">
        <f t="shared" si="269"/>
        <v>Weston [USWY7]</v>
      </c>
      <c r="AN17192" t="s">
        <v>31966</v>
      </c>
      <c r="AO17192" t="s">
        <v>31967</v>
      </c>
    </row>
    <row r="17193" spans="39:41" ht="12" customHeight="1" x14ac:dyDescent="0.2">
      <c r="AM17193" t="str">
        <f t="shared" si="269"/>
        <v>Weston Point [GBWSP]</v>
      </c>
      <c r="AN17193" t="s">
        <v>14845</v>
      </c>
      <c r="AO17193" t="s">
        <v>14846</v>
      </c>
    </row>
    <row r="17194" spans="39:41" ht="12" customHeight="1" x14ac:dyDescent="0.2">
      <c r="AM17194" t="str">
        <f t="shared" si="269"/>
        <v>Weston, Sabah [MYWES]</v>
      </c>
      <c r="AN17194" t="s">
        <v>22829</v>
      </c>
      <c r="AO17194" t="s">
        <v>22830</v>
      </c>
    </row>
    <row r="17195" spans="39:41" ht="12" customHeight="1" x14ac:dyDescent="0.2">
      <c r="AM17195" t="str">
        <f t="shared" si="269"/>
        <v>Weston-Super-Mare [GBWSM]</v>
      </c>
      <c r="AN17195" t="s">
        <v>14847</v>
      </c>
      <c r="AO17195" t="s">
        <v>14848</v>
      </c>
    </row>
    <row r="17196" spans="39:41" ht="12" customHeight="1" x14ac:dyDescent="0.2">
      <c r="AM17196" t="str">
        <f t="shared" si="269"/>
        <v>Westonzoyland [GBZOY]</v>
      </c>
      <c r="AN17196" t="s">
        <v>14849</v>
      </c>
      <c r="AO17196" t="s">
        <v>14850</v>
      </c>
    </row>
    <row r="17197" spans="39:41" ht="12" customHeight="1" x14ac:dyDescent="0.2">
      <c r="AM17197" t="str">
        <f t="shared" si="269"/>
        <v>Westover [USZXQ]</v>
      </c>
      <c r="AN17197" t="s">
        <v>31968</v>
      </c>
      <c r="AO17197" t="s">
        <v>31969</v>
      </c>
    </row>
    <row r="17198" spans="39:41" ht="12" customHeight="1" x14ac:dyDescent="0.2">
      <c r="AM17198" t="str">
        <f t="shared" si="269"/>
        <v>Westport [CAWTO]</v>
      </c>
      <c r="AN17198" t="s">
        <v>4583</v>
      </c>
      <c r="AO17198" t="s">
        <v>4584</v>
      </c>
    </row>
    <row r="17199" spans="39:41" ht="12" customHeight="1" x14ac:dyDescent="0.2">
      <c r="AM17199" t="str">
        <f t="shared" si="269"/>
        <v>Westport [IEWES]</v>
      </c>
      <c r="AN17199" t="s">
        <v>16937</v>
      </c>
      <c r="AO17199" t="s">
        <v>4584</v>
      </c>
    </row>
    <row r="17200" spans="39:41" ht="12" customHeight="1" x14ac:dyDescent="0.2">
      <c r="AM17200" t="str">
        <f t="shared" si="269"/>
        <v>Westport [NZWSZ]</v>
      </c>
      <c r="AN17200" t="s">
        <v>25136</v>
      </c>
      <c r="AO17200" t="s">
        <v>4584</v>
      </c>
    </row>
    <row r="17201" spans="39:41" ht="12" customHeight="1" x14ac:dyDescent="0.2">
      <c r="AM17201" t="str">
        <f t="shared" si="269"/>
        <v>Westport [USWPT]</v>
      </c>
      <c r="AN17201" t="s">
        <v>31970</v>
      </c>
      <c r="AO17201" t="s">
        <v>4584</v>
      </c>
    </row>
    <row r="17202" spans="39:41" ht="12" customHeight="1" x14ac:dyDescent="0.2">
      <c r="AM17202" t="str">
        <f t="shared" si="269"/>
        <v>Westray [GBWRY]</v>
      </c>
      <c r="AN17202" t="s">
        <v>14851</v>
      </c>
      <c r="AO17202" t="s">
        <v>14852</v>
      </c>
    </row>
    <row r="17203" spans="39:41" ht="12" customHeight="1" x14ac:dyDescent="0.2">
      <c r="AM17203" t="str">
        <f t="shared" si="269"/>
        <v>West-Terschelling [NLWTE]</v>
      </c>
      <c r="AN17203" t="s">
        <v>23763</v>
      </c>
      <c r="AO17203" t="s">
        <v>23764</v>
      </c>
    </row>
    <row r="17204" spans="39:41" ht="12" customHeight="1" x14ac:dyDescent="0.2">
      <c r="AM17204" t="str">
        <f t="shared" si="269"/>
        <v>Westwood [US3DC]</v>
      </c>
      <c r="AN17204" t="s">
        <v>31971</v>
      </c>
      <c r="AO17204" t="s">
        <v>31972</v>
      </c>
    </row>
    <row r="17205" spans="39:41" ht="12" customHeight="1" x14ac:dyDescent="0.2">
      <c r="AM17205" t="str">
        <f t="shared" si="269"/>
        <v>Westzaan [NLWTZ]</v>
      </c>
      <c r="AN17205" t="s">
        <v>23765</v>
      </c>
      <c r="AO17205" t="s">
        <v>23766</v>
      </c>
    </row>
    <row r="17206" spans="39:41" ht="12" customHeight="1" x14ac:dyDescent="0.2">
      <c r="AM17206" t="str">
        <f t="shared" si="269"/>
        <v>Wetheringsett [GBRWS]</v>
      </c>
      <c r="AN17206" t="s">
        <v>14853</v>
      </c>
      <c r="AO17206" t="s">
        <v>14854</v>
      </c>
    </row>
    <row r="17207" spans="39:41" ht="12" customHeight="1" x14ac:dyDescent="0.2">
      <c r="AM17207" t="str">
        <f t="shared" ref="AM17207:AM17270" si="270">AO17207 &amp; " [" &amp; AN17207 &amp; "]"</f>
        <v>Wetteren [BEWET]</v>
      </c>
      <c r="AN17207" t="s">
        <v>3075</v>
      </c>
      <c r="AO17207" t="s">
        <v>3076</v>
      </c>
    </row>
    <row r="17208" spans="39:41" ht="12" customHeight="1" x14ac:dyDescent="0.2">
      <c r="AM17208" t="str">
        <f t="shared" si="270"/>
        <v>Wettringen [DETTR]</v>
      </c>
      <c r="AN17208" t="s">
        <v>8491</v>
      </c>
      <c r="AO17208" t="s">
        <v>8492</v>
      </c>
    </row>
    <row r="17209" spans="39:41" ht="12" customHeight="1" x14ac:dyDescent="0.2">
      <c r="AM17209" t="str">
        <f t="shared" si="270"/>
        <v>Weurt [NLWEU]</v>
      </c>
      <c r="AN17209" t="s">
        <v>23767</v>
      </c>
      <c r="AO17209" t="s">
        <v>23768</v>
      </c>
    </row>
    <row r="17210" spans="39:41" ht="12" customHeight="1" x14ac:dyDescent="0.2">
      <c r="AM17210" t="str">
        <f t="shared" si="270"/>
        <v>Wevelgem [BEWEV]</v>
      </c>
      <c r="AN17210" t="s">
        <v>3077</v>
      </c>
      <c r="AO17210" t="s">
        <v>3078</v>
      </c>
    </row>
    <row r="17211" spans="39:41" ht="12" customHeight="1" x14ac:dyDescent="0.2">
      <c r="AM17211" t="str">
        <f t="shared" si="270"/>
        <v>Wewak [PGWWK]</v>
      </c>
      <c r="AN17211" t="s">
        <v>25496</v>
      </c>
      <c r="AO17211" t="s">
        <v>25497</v>
      </c>
    </row>
    <row r="17212" spans="39:41" ht="12" customHeight="1" x14ac:dyDescent="0.2">
      <c r="AM17212" t="str">
        <f t="shared" si="270"/>
        <v>Wewelsfleth [DEWEW]</v>
      </c>
      <c r="AN17212" t="s">
        <v>8493</v>
      </c>
      <c r="AO17212" t="s">
        <v>8494</v>
      </c>
    </row>
    <row r="17213" spans="39:41" ht="12" customHeight="1" x14ac:dyDescent="0.2">
      <c r="AM17213" t="str">
        <f t="shared" si="270"/>
        <v>Wexford [IEWEX]</v>
      </c>
      <c r="AN17213" t="s">
        <v>16938</v>
      </c>
      <c r="AO17213" t="s">
        <v>16939</v>
      </c>
    </row>
    <row r="17214" spans="39:41" ht="12" customHeight="1" x14ac:dyDescent="0.2">
      <c r="AM17214" t="str">
        <f t="shared" si="270"/>
        <v>Weyauwega [USWWI]</v>
      </c>
      <c r="AN17214" t="s">
        <v>31973</v>
      </c>
      <c r="AO17214" t="s">
        <v>31974</v>
      </c>
    </row>
    <row r="17215" spans="39:41" ht="12" customHeight="1" x14ac:dyDescent="0.2">
      <c r="AM17215" t="str">
        <f t="shared" si="270"/>
        <v>Weybridge [USU3V]</v>
      </c>
      <c r="AN17215" t="s">
        <v>31975</v>
      </c>
      <c r="AO17215" t="s">
        <v>31976</v>
      </c>
    </row>
    <row r="17216" spans="39:41" ht="12" customHeight="1" x14ac:dyDescent="0.2">
      <c r="AM17216" t="str">
        <f t="shared" si="270"/>
        <v>Weymouth [CAWEY]</v>
      </c>
      <c r="AN17216" t="s">
        <v>4585</v>
      </c>
      <c r="AO17216" t="s">
        <v>4586</v>
      </c>
    </row>
    <row r="17217" spans="39:41" ht="12" customHeight="1" x14ac:dyDescent="0.2">
      <c r="AM17217" t="str">
        <f t="shared" si="270"/>
        <v>Weymouth [GBWEY]</v>
      </c>
      <c r="AN17217" t="s">
        <v>14855</v>
      </c>
      <c r="AO17217" t="s">
        <v>4586</v>
      </c>
    </row>
    <row r="17218" spans="39:41" ht="12" customHeight="1" x14ac:dyDescent="0.2">
      <c r="AM17218" t="str">
        <f t="shared" si="270"/>
        <v>Whale Cove [CAYXN]</v>
      </c>
      <c r="AN17218" t="s">
        <v>4587</v>
      </c>
      <c r="AO17218" t="s">
        <v>4588</v>
      </c>
    </row>
    <row r="17219" spans="39:41" ht="12" customHeight="1" x14ac:dyDescent="0.2">
      <c r="AM17219" t="str">
        <f t="shared" si="270"/>
        <v>Whaligoe [GBWLG]</v>
      </c>
      <c r="AN17219" t="s">
        <v>14856</v>
      </c>
      <c r="AO17219" t="s">
        <v>14857</v>
      </c>
    </row>
    <row r="17220" spans="39:41" ht="12" customHeight="1" x14ac:dyDescent="0.2">
      <c r="AM17220" t="str">
        <f t="shared" si="270"/>
        <v>Whangaparapara [NZWHN]</v>
      </c>
      <c r="AN17220" t="s">
        <v>25137</v>
      </c>
      <c r="AO17220" t="s">
        <v>25138</v>
      </c>
    </row>
    <row r="17221" spans="39:41" ht="12" customHeight="1" x14ac:dyDescent="0.2">
      <c r="AM17221" t="str">
        <f t="shared" si="270"/>
        <v>Whangarei [NZWRE]</v>
      </c>
      <c r="AN17221" t="s">
        <v>25139</v>
      </c>
      <c r="AO17221" t="s">
        <v>25140</v>
      </c>
    </row>
    <row r="17222" spans="39:41" ht="12" customHeight="1" x14ac:dyDescent="0.2">
      <c r="AM17222" t="str">
        <f t="shared" si="270"/>
        <v>Whangaroa [NZWHR]</v>
      </c>
      <c r="AN17222" t="s">
        <v>25141</v>
      </c>
      <c r="AO17222" t="s">
        <v>25142</v>
      </c>
    </row>
    <row r="17223" spans="39:41" ht="12" customHeight="1" x14ac:dyDescent="0.2">
      <c r="AM17223" t="str">
        <f t="shared" si="270"/>
        <v>Whately [USYWH]</v>
      </c>
      <c r="AN17223" t="s">
        <v>31977</v>
      </c>
      <c r="AO17223" t="s">
        <v>31978</v>
      </c>
    </row>
    <row r="17224" spans="39:41" ht="12" customHeight="1" x14ac:dyDescent="0.2">
      <c r="AM17224" t="str">
        <f t="shared" si="270"/>
        <v>Whiffen Head [CAWHH]</v>
      </c>
      <c r="AN17224" t="s">
        <v>4589</v>
      </c>
      <c r="AO17224" t="s">
        <v>4590</v>
      </c>
    </row>
    <row r="17225" spans="39:41" ht="12" customHeight="1" x14ac:dyDescent="0.2">
      <c r="AM17225" t="str">
        <f t="shared" si="270"/>
        <v>Whinnyfold [GBWNL]</v>
      </c>
      <c r="AN17225" t="s">
        <v>14858</v>
      </c>
      <c r="AO17225" t="s">
        <v>14859</v>
      </c>
    </row>
    <row r="17226" spans="39:41" ht="12" customHeight="1" x14ac:dyDescent="0.2">
      <c r="AM17226" t="str">
        <f t="shared" si="270"/>
        <v>Whitakers [USWKT]</v>
      </c>
      <c r="AN17226" t="s">
        <v>31979</v>
      </c>
      <c r="AO17226" t="s">
        <v>31980</v>
      </c>
    </row>
    <row r="17227" spans="39:41" ht="12" customHeight="1" x14ac:dyDescent="0.2">
      <c r="AM17227" t="str">
        <f t="shared" si="270"/>
        <v>Whitby [CAWHI]</v>
      </c>
      <c r="AN17227" t="s">
        <v>4591</v>
      </c>
      <c r="AO17227" t="s">
        <v>4592</v>
      </c>
    </row>
    <row r="17228" spans="39:41" ht="12" customHeight="1" x14ac:dyDescent="0.2">
      <c r="AM17228" t="str">
        <f t="shared" si="270"/>
        <v>Whitby [GBWTB]</v>
      </c>
      <c r="AN17228" t="s">
        <v>14860</v>
      </c>
      <c r="AO17228" t="s">
        <v>4592</v>
      </c>
    </row>
    <row r="17229" spans="39:41" ht="12" customHeight="1" x14ac:dyDescent="0.2">
      <c r="AM17229" t="str">
        <f t="shared" si="270"/>
        <v>Whitcombe [GBWCB]</v>
      </c>
      <c r="AN17229" t="s">
        <v>14861</v>
      </c>
      <c r="AO17229" t="s">
        <v>14862</v>
      </c>
    </row>
    <row r="17230" spans="39:41" ht="12" customHeight="1" x14ac:dyDescent="0.2">
      <c r="AM17230" t="str">
        <f t="shared" si="270"/>
        <v>White Lake [USXWE]</v>
      </c>
      <c r="AN17230" t="s">
        <v>31981</v>
      </c>
      <c r="AO17230" t="s">
        <v>31982</v>
      </c>
    </row>
    <row r="17231" spans="39:41" ht="12" customHeight="1" x14ac:dyDescent="0.2">
      <c r="AM17231" t="str">
        <f t="shared" si="270"/>
        <v>White Oak [USWXB]</v>
      </c>
      <c r="AN17231" t="s">
        <v>31983</v>
      </c>
      <c r="AO17231" t="s">
        <v>31984</v>
      </c>
    </row>
    <row r="17232" spans="39:41" ht="12" customHeight="1" x14ac:dyDescent="0.2">
      <c r="AM17232" t="str">
        <f t="shared" si="270"/>
        <v>White Pine [USZTP]</v>
      </c>
      <c r="AN17232" t="s">
        <v>31985</v>
      </c>
      <c r="AO17232" t="s">
        <v>31986</v>
      </c>
    </row>
    <row r="17233" spans="39:41" ht="12" customHeight="1" x14ac:dyDescent="0.2">
      <c r="AM17233" t="str">
        <f t="shared" si="270"/>
        <v>White Rose Field [CAWRF]</v>
      </c>
      <c r="AN17233" t="s">
        <v>4593</v>
      </c>
      <c r="AO17233" t="s">
        <v>4594</v>
      </c>
    </row>
    <row r="17234" spans="39:41" ht="12" customHeight="1" x14ac:dyDescent="0.2">
      <c r="AM17234" t="str">
        <f t="shared" si="270"/>
        <v>Whitebooth Roads [GBWHB]</v>
      </c>
      <c r="AN17234" t="s">
        <v>14863</v>
      </c>
      <c r="AO17234" t="s">
        <v>14864</v>
      </c>
    </row>
    <row r="17235" spans="39:41" ht="12" customHeight="1" x14ac:dyDescent="0.2">
      <c r="AM17235" t="str">
        <f t="shared" si="270"/>
        <v>Whitefish [CAWHF]</v>
      </c>
      <c r="AN17235" t="s">
        <v>4595</v>
      </c>
      <c r="AO17235" t="s">
        <v>4596</v>
      </c>
    </row>
    <row r="17236" spans="39:41" ht="12" customHeight="1" x14ac:dyDescent="0.2">
      <c r="AM17236" t="str">
        <f t="shared" si="270"/>
        <v>Whitegate [IEWHI]</v>
      </c>
      <c r="AN17236" t="s">
        <v>16940</v>
      </c>
      <c r="AO17236" t="s">
        <v>16941</v>
      </c>
    </row>
    <row r="17237" spans="39:41" ht="12" customHeight="1" x14ac:dyDescent="0.2">
      <c r="AM17237" t="str">
        <f t="shared" si="270"/>
        <v>Whitehall Village, Stronsay [GBWHL]</v>
      </c>
      <c r="AN17237" t="s">
        <v>14865</v>
      </c>
      <c r="AO17237" t="s">
        <v>14866</v>
      </c>
    </row>
    <row r="17238" spans="39:41" ht="12" customHeight="1" x14ac:dyDescent="0.2">
      <c r="AM17238" t="str">
        <f t="shared" si="270"/>
        <v>Whitehaven [GBWHV]</v>
      </c>
      <c r="AN17238" t="s">
        <v>14867</v>
      </c>
      <c r="AO17238" t="s">
        <v>14868</v>
      </c>
    </row>
    <row r="17239" spans="39:41" ht="12" customHeight="1" x14ac:dyDescent="0.2">
      <c r="AM17239" t="str">
        <f t="shared" si="270"/>
        <v>Whitehead [GBWHE]</v>
      </c>
      <c r="AN17239" t="s">
        <v>14869</v>
      </c>
      <c r="AO17239" t="s">
        <v>14870</v>
      </c>
    </row>
    <row r="17240" spans="39:41" ht="12" customHeight="1" x14ac:dyDescent="0.2">
      <c r="AM17240" t="str">
        <f t="shared" si="270"/>
        <v>Whitehills [GBHTS]</v>
      </c>
      <c r="AN17240" t="s">
        <v>14871</v>
      </c>
      <c r="AO17240" t="s">
        <v>14872</v>
      </c>
    </row>
    <row r="17241" spans="39:41" ht="12" customHeight="1" x14ac:dyDescent="0.2">
      <c r="AM17241" t="str">
        <f t="shared" si="270"/>
        <v>Whitestown [USXWT]</v>
      </c>
      <c r="AN17241" t="s">
        <v>31987</v>
      </c>
      <c r="AO17241" t="s">
        <v>31988</v>
      </c>
    </row>
    <row r="17242" spans="39:41" ht="12" customHeight="1" x14ac:dyDescent="0.2">
      <c r="AM17242" t="str">
        <f t="shared" si="270"/>
        <v>Whitman [USWQA]</v>
      </c>
      <c r="AN17242" t="s">
        <v>31989</v>
      </c>
      <c r="AO17242" t="s">
        <v>31990</v>
      </c>
    </row>
    <row r="17243" spans="39:41" ht="12" customHeight="1" x14ac:dyDescent="0.2">
      <c r="AM17243" t="str">
        <f t="shared" si="270"/>
        <v>Whitmore Lake [USWMP]</v>
      </c>
      <c r="AN17243" t="s">
        <v>31991</v>
      </c>
      <c r="AO17243" t="s">
        <v>31992</v>
      </c>
    </row>
    <row r="17244" spans="39:41" ht="12" customHeight="1" x14ac:dyDescent="0.2">
      <c r="AM17244" t="str">
        <f t="shared" si="270"/>
        <v>Whitney [GBYNT]</v>
      </c>
      <c r="AN17244" t="s">
        <v>14873</v>
      </c>
      <c r="AO17244" t="s">
        <v>14874</v>
      </c>
    </row>
    <row r="17245" spans="39:41" ht="12" customHeight="1" x14ac:dyDescent="0.2">
      <c r="AM17245" t="str">
        <f t="shared" si="270"/>
        <v>Whitstable [GBWTS]</v>
      </c>
      <c r="AN17245" t="s">
        <v>14875</v>
      </c>
      <c r="AO17245" t="s">
        <v>14876</v>
      </c>
    </row>
    <row r="17246" spans="39:41" ht="12" customHeight="1" x14ac:dyDescent="0.2">
      <c r="AM17246" t="str">
        <f t="shared" si="270"/>
        <v>Whitsunday Island [AUWSI]</v>
      </c>
      <c r="AN17246" t="s">
        <v>2116</v>
      </c>
      <c r="AO17246" t="s">
        <v>2117</v>
      </c>
    </row>
    <row r="17247" spans="39:41" ht="12" customHeight="1" x14ac:dyDescent="0.2">
      <c r="AM17247" t="str">
        <f t="shared" si="270"/>
        <v>Whyalla [AUWYA]</v>
      </c>
      <c r="AN17247" t="s">
        <v>2118</v>
      </c>
      <c r="AO17247" t="s">
        <v>2119</v>
      </c>
    </row>
    <row r="17248" spans="39:41" ht="12" customHeight="1" x14ac:dyDescent="0.2">
      <c r="AM17248" t="str">
        <f t="shared" si="270"/>
        <v>Wichelen [BEWIH]</v>
      </c>
      <c r="AN17248" t="s">
        <v>3079</v>
      </c>
      <c r="AO17248" t="s">
        <v>3080</v>
      </c>
    </row>
    <row r="17249" spans="39:41" ht="12" customHeight="1" x14ac:dyDescent="0.2">
      <c r="AM17249" t="str">
        <f t="shared" si="270"/>
        <v>Wick [GBWIC]</v>
      </c>
      <c r="AN17249" t="s">
        <v>14877</v>
      </c>
      <c r="AO17249" t="s">
        <v>14878</v>
      </c>
    </row>
    <row r="17250" spans="39:41" ht="12" customHeight="1" x14ac:dyDescent="0.2">
      <c r="AM17250" t="str">
        <f t="shared" si="270"/>
        <v>Wicker Park [USWCP]</v>
      </c>
      <c r="AN17250" t="s">
        <v>31993</v>
      </c>
      <c r="AO17250" t="s">
        <v>31994</v>
      </c>
    </row>
    <row r="17251" spans="39:41" ht="12" customHeight="1" x14ac:dyDescent="0.2">
      <c r="AM17251" t="str">
        <f t="shared" si="270"/>
        <v>Wickham [GBWKM]</v>
      </c>
      <c r="AN17251" t="s">
        <v>14879</v>
      </c>
      <c r="AO17251" t="s">
        <v>14880</v>
      </c>
    </row>
    <row r="17252" spans="39:41" ht="12" customHeight="1" x14ac:dyDescent="0.2">
      <c r="AM17252" t="str">
        <f t="shared" si="270"/>
        <v>Wicklow [IEWIC]</v>
      </c>
      <c r="AN17252" t="s">
        <v>16942</v>
      </c>
      <c r="AO17252" t="s">
        <v>16943</v>
      </c>
    </row>
    <row r="17253" spans="39:41" ht="12" customHeight="1" x14ac:dyDescent="0.2">
      <c r="AM17253" t="str">
        <f t="shared" si="270"/>
        <v>Wickrath [DEWKZ]</v>
      </c>
      <c r="AN17253" t="s">
        <v>8495</v>
      </c>
      <c r="AO17253" t="s">
        <v>8496</v>
      </c>
    </row>
    <row r="17254" spans="39:41" ht="12" customHeight="1" x14ac:dyDescent="0.2">
      <c r="AM17254" t="str">
        <f t="shared" si="270"/>
        <v>Wicomico Church [USWC4]</v>
      </c>
      <c r="AN17254" t="s">
        <v>31995</v>
      </c>
      <c r="AO17254" t="s">
        <v>31996</v>
      </c>
    </row>
    <row r="17255" spans="39:41" ht="12" customHeight="1" x14ac:dyDescent="0.2">
      <c r="AM17255" t="str">
        <f t="shared" si="270"/>
        <v>Widnes [GBWDN]</v>
      </c>
      <c r="AN17255" t="s">
        <v>14881</v>
      </c>
      <c r="AO17255" t="s">
        <v>14882</v>
      </c>
    </row>
    <row r="17256" spans="39:41" ht="12" customHeight="1" x14ac:dyDescent="0.2">
      <c r="AM17256" t="str">
        <f t="shared" si="270"/>
        <v>Widuchowa [PLWIU]</v>
      </c>
      <c r="AN17256" t="s">
        <v>26401</v>
      </c>
      <c r="AO17256" t="s">
        <v>26402</v>
      </c>
    </row>
    <row r="17257" spans="39:41" ht="12" customHeight="1" x14ac:dyDescent="0.2">
      <c r="AM17257" t="str">
        <f t="shared" si="270"/>
        <v>Widuri [IDWID]</v>
      </c>
      <c r="AN17257" t="s">
        <v>16707</v>
      </c>
      <c r="AO17257" t="s">
        <v>16708</v>
      </c>
    </row>
    <row r="17258" spans="39:41" ht="12" customHeight="1" x14ac:dyDescent="0.2">
      <c r="AM17258" t="str">
        <f t="shared" si="270"/>
        <v>Widuri Marine Terminal [XZWRT]</v>
      </c>
      <c r="AN17258" t="s">
        <v>32622</v>
      </c>
      <c r="AO17258" t="s">
        <v>32623</v>
      </c>
    </row>
    <row r="17259" spans="39:41" ht="12" customHeight="1" x14ac:dyDescent="0.2">
      <c r="AM17259" t="str">
        <f t="shared" si="270"/>
        <v>Wiek [DEWIK]</v>
      </c>
      <c r="AN17259" t="s">
        <v>8497</v>
      </c>
      <c r="AO17259" t="s">
        <v>8498</v>
      </c>
    </row>
    <row r="17260" spans="39:41" ht="12" customHeight="1" x14ac:dyDescent="0.2">
      <c r="AM17260" t="str">
        <f t="shared" si="270"/>
        <v>Wieringen/Den Oever [NLWRG]</v>
      </c>
      <c r="AN17260" t="s">
        <v>23769</v>
      </c>
      <c r="AO17260" t="s">
        <v>23770</v>
      </c>
    </row>
    <row r="17261" spans="39:41" ht="12" customHeight="1" x14ac:dyDescent="0.2">
      <c r="AM17261" t="str">
        <f t="shared" si="270"/>
        <v>Wieringermeer [NLWGR]</v>
      </c>
      <c r="AN17261" t="s">
        <v>23771</v>
      </c>
      <c r="AO17261" t="s">
        <v>23772</v>
      </c>
    </row>
    <row r="17262" spans="39:41" ht="12" customHeight="1" x14ac:dyDescent="0.2">
      <c r="AM17262" t="str">
        <f t="shared" si="270"/>
        <v>Wieringerwerf [NLWIW]</v>
      </c>
      <c r="AN17262" t="s">
        <v>37069</v>
      </c>
      <c r="AO17262" t="s">
        <v>37070</v>
      </c>
    </row>
    <row r="17263" spans="39:41" ht="12" customHeight="1" x14ac:dyDescent="0.2">
      <c r="AM17263" t="str">
        <f t="shared" si="270"/>
        <v>Wiers [BEWIR]</v>
      </c>
      <c r="AN17263" t="s">
        <v>3081</v>
      </c>
      <c r="AO17263" t="s">
        <v>3082</v>
      </c>
    </row>
    <row r="17264" spans="39:41" ht="12" customHeight="1" x14ac:dyDescent="0.2">
      <c r="AM17264" t="str">
        <f t="shared" si="270"/>
        <v>Wiesbaden [DEWIB]</v>
      </c>
      <c r="AN17264" t="s">
        <v>8499</v>
      </c>
      <c r="AO17264" t="s">
        <v>8500</v>
      </c>
    </row>
    <row r="17265" spans="39:41" ht="12" customHeight="1" x14ac:dyDescent="0.2">
      <c r="AM17265" t="str">
        <f t="shared" si="270"/>
        <v>Wiesens [DEWIE]</v>
      </c>
      <c r="AN17265" t="s">
        <v>8501</v>
      </c>
      <c r="AO17265" t="s">
        <v>8502</v>
      </c>
    </row>
    <row r="17266" spans="39:41" ht="12" customHeight="1" x14ac:dyDescent="0.2">
      <c r="AM17266" t="str">
        <f t="shared" si="270"/>
        <v>Wigan [GBWGN]</v>
      </c>
      <c r="AN17266" t="s">
        <v>14883</v>
      </c>
      <c r="AO17266" t="s">
        <v>14884</v>
      </c>
    </row>
    <row r="17267" spans="39:41" ht="12" customHeight="1" x14ac:dyDescent="0.2">
      <c r="AM17267" t="str">
        <f t="shared" si="270"/>
        <v>Wigtown [GBWIG]</v>
      </c>
      <c r="AN17267" t="s">
        <v>14885</v>
      </c>
      <c r="AO17267" t="s">
        <v>14886</v>
      </c>
    </row>
    <row r="17268" spans="39:41" ht="12" customHeight="1" x14ac:dyDescent="0.2">
      <c r="AM17268" t="str">
        <f t="shared" si="270"/>
        <v>Wijgmaal [BEWGL]</v>
      </c>
      <c r="AN17268" t="s">
        <v>3083</v>
      </c>
      <c r="AO17268" t="s">
        <v>3084</v>
      </c>
    </row>
    <row r="17269" spans="39:41" ht="12" customHeight="1" x14ac:dyDescent="0.2">
      <c r="AM17269" t="str">
        <f t="shared" si="270"/>
        <v>Wijk bij Duurstede [NLWBD]</v>
      </c>
      <c r="AN17269" t="s">
        <v>33933</v>
      </c>
      <c r="AO17269" t="s">
        <v>34055</v>
      </c>
    </row>
    <row r="17270" spans="39:41" ht="12" customHeight="1" x14ac:dyDescent="0.2">
      <c r="AM17270" t="str">
        <f t="shared" si="270"/>
        <v>Wijnbergen [NLWIG]</v>
      </c>
      <c r="AN17270" t="s">
        <v>23773</v>
      </c>
      <c r="AO17270" t="s">
        <v>23774</v>
      </c>
    </row>
    <row r="17271" spans="39:41" ht="12" customHeight="1" x14ac:dyDescent="0.2">
      <c r="AM17271" t="str">
        <f t="shared" ref="AM17271:AM17334" si="271">AO17271 &amp; " [" &amp; AN17271 &amp; "]"</f>
        <v>Wijnegem [BEWJG]</v>
      </c>
      <c r="AN17271" t="s">
        <v>3085</v>
      </c>
      <c r="AO17271" t="s">
        <v>3086</v>
      </c>
    </row>
    <row r="17272" spans="39:41" ht="12" customHeight="1" x14ac:dyDescent="0.2">
      <c r="AM17272" t="str">
        <f t="shared" si="271"/>
        <v>Wilcox [USYWI]</v>
      </c>
      <c r="AN17272" t="s">
        <v>31997</v>
      </c>
      <c r="AO17272" t="s">
        <v>31998</v>
      </c>
    </row>
    <row r="17273" spans="39:41" ht="12" customHeight="1" x14ac:dyDescent="0.2">
      <c r="AM17273" t="str">
        <f t="shared" si="271"/>
        <v>Wilder [USVTD]</v>
      </c>
      <c r="AN17273" t="s">
        <v>31999</v>
      </c>
      <c r="AO17273" t="s">
        <v>32000</v>
      </c>
    </row>
    <row r="17274" spans="39:41" ht="12" customHeight="1" x14ac:dyDescent="0.2">
      <c r="AM17274" t="str">
        <f t="shared" si="271"/>
        <v>Wildwood [CAWWO]</v>
      </c>
      <c r="AN17274" t="s">
        <v>4597</v>
      </c>
      <c r="AO17274" t="s">
        <v>4598</v>
      </c>
    </row>
    <row r="17275" spans="39:41" ht="12" customHeight="1" x14ac:dyDescent="0.2">
      <c r="AM17275" t="str">
        <f t="shared" si="271"/>
        <v>Wilhelminadorp [NLWHD]</v>
      </c>
      <c r="AN17275" t="s">
        <v>23775</v>
      </c>
      <c r="AO17275" t="s">
        <v>23776</v>
      </c>
    </row>
    <row r="17276" spans="39:41" ht="12" customHeight="1" x14ac:dyDescent="0.2">
      <c r="AM17276" t="str">
        <f t="shared" si="271"/>
        <v>Wilhelmshaven [DEWVN]</v>
      </c>
      <c r="AN17276" t="s">
        <v>8503</v>
      </c>
      <c r="AO17276" t="s">
        <v>8504</v>
      </c>
    </row>
    <row r="17277" spans="39:41" ht="12" customHeight="1" x14ac:dyDescent="0.2">
      <c r="AM17277" t="str">
        <f t="shared" si="271"/>
        <v>Willacoochee [USYWA]</v>
      </c>
      <c r="AN17277" t="s">
        <v>32001</v>
      </c>
      <c r="AO17277" t="s">
        <v>32002</v>
      </c>
    </row>
    <row r="17278" spans="39:41" ht="12" customHeight="1" x14ac:dyDescent="0.2">
      <c r="AM17278" t="str">
        <f t="shared" si="271"/>
        <v>Willebroek [BEWLB]</v>
      </c>
      <c r="AN17278" t="s">
        <v>3087</v>
      </c>
      <c r="AO17278" t="s">
        <v>3088</v>
      </c>
    </row>
    <row r="17279" spans="39:41" ht="12" customHeight="1" x14ac:dyDescent="0.2">
      <c r="AM17279" t="str">
        <f t="shared" si="271"/>
        <v>Willemstad [CWWIL]</v>
      </c>
      <c r="AN17279" t="s">
        <v>6751</v>
      </c>
      <c r="AO17279" t="s">
        <v>6752</v>
      </c>
    </row>
    <row r="17280" spans="39:41" ht="12" customHeight="1" x14ac:dyDescent="0.2">
      <c r="AM17280" t="str">
        <f t="shared" si="271"/>
        <v>Willesden [GBESD]</v>
      </c>
      <c r="AN17280" t="s">
        <v>14887</v>
      </c>
      <c r="AO17280" t="s">
        <v>14888</v>
      </c>
    </row>
    <row r="17281" spans="39:41" ht="12" customHeight="1" x14ac:dyDescent="0.2">
      <c r="AM17281" t="str">
        <f t="shared" si="271"/>
        <v>Williams [USIIW]</v>
      </c>
      <c r="AN17281" t="s">
        <v>32003</v>
      </c>
      <c r="AO17281" t="s">
        <v>32004</v>
      </c>
    </row>
    <row r="17282" spans="39:41" ht="12" customHeight="1" x14ac:dyDescent="0.2">
      <c r="AM17282" t="str">
        <f t="shared" si="271"/>
        <v>Williams Harbour [CAYWM]</v>
      </c>
      <c r="AN17282" t="s">
        <v>4599</v>
      </c>
      <c r="AO17282" t="s">
        <v>4600</v>
      </c>
    </row>
    <row r="17283" spans="39:41" ht="12" customHeight="1" x14ac:dyDescent="0.2">
      <c r="AM17283" t="str">
        <f t="shared" si="271"/>
        <v>Williamsburg [USWUS]</v>
      </c>
      <c r="AN17283" t="s">
        <v>32005</v>
      </c>
      <c r="AO17283" t="s">
        <v>32006</v>
      </c>
    </row>
    <row r="17284" spans="39:41" ht="12" customHeight="1" x14ac:dyDescent="0.2">
      <c r="AM17284" t="str">
        <f t="shared" si="271"/>
        <v>Williamston [USIIM]</v>
      </c>
      <c r="AN17284" t="s">
        <v>32007</v>
      </c>
      <c r="AO17284" t="s">
        <v>32008</v>
      </c>
    </row>
    <row r="17285" spans="39:41" ht="12" customHeight="1" x14ac:dyDescent="0.2">
      <c r="AM17285" t="str">
        <f t="shared" si="271"/>
        <v>Willianstown [USXZW]</v>
      </c>
      <c r="AN17285" t="s">
        <v>32009</v>
      </c>
      <c r="AO17285" t="s">
        <v>32010</v>
      </c>
    </row>
    <row r="17286" spans="39:41" ht="12" customHeight="1" x14ac:dyDescent="0.2">
      <c r="AM17286" t="str">
        <f t="shared" si="271"/>
        <v>Willimantic [USQWL]</v>
      </c>
      <c r="AN17286" t="s">
        <v>32011</v>
      </c>
      <c r="AO17286" t="s">
        <v>32012</v>
      </c>
    </row>
    <row r="17287" spans="39:41" ht="12" customHeight="1" x14ac:dyDescent="0.2">
      <c r="AM17287" t="str">
        <f t="shared" si="271"/>
        <v>Willingham [GBWL2]</v>
      </c>
      <c r="AN17287" t="s">
        <v>14889</v>
      </c>
      <c r="AO17287" t="s">
        <v>14890</v>
      </c>
    </row>
    <row r="17288" spans="39:41" ht="12" customHeight="1" x14ac:dyDescent="0.2">
      <c r="AM17288" t="str">
        <f t="shared" si="271"/>
        <v>Willmersdorf [DEWB2]</v>
      </c>
      <c r="AN17288" t="s">
        <v>8505</v>
      </c>
      <c r="AO17288" t="s">
        <v>8506</v>
      </c>
    </row>
    <row r="17289" spans="39:41" ht="12" customHeight="1" x14ac:dyDescent="0.2">
      <c r="AM17289" t="str">
        <f t="shared" si="271"/>
        <v>Willow Park [USW26]</v>
      </c>
      <c r="AN17289" t="s">
        <v>32013</v>
      </c>
      <c r="AO17289" t="s">
        <v>32014</v>
      </c>
    </row>
    <row r="17290" spans="39:41" ht="12" customHeight="1" x14ac:dyDescent="0.2">
      <c r="AM17290" t="str">
        <f t="shared" si="271"/>
        <v>Wills Point [USWPB]</v>
      </c>
      <c r="AN17290" t="s">
        <v>32015</v>
      </c>
      <c r="AO17290" t="s">
        <v>32016</v>
      </c>
    </row>
    <row r="17291" spans="39:41" ht="12" customHeight="1" x14ac:dyDescent="0.2">
      <c r="AM17291" t="str">
        <f t="shared" si="271"/>
        <v>Wilma [USWMA]</v>
      </c>
      <c r="AN17291" t="s">
        <v>32017</v>
      </c>
      <c r="AO17291" t="s">
        <v>32018</v>
      </c>
    </row>
    <row r="17292" spans="39:41" ht="12" customHeight="1" x14ac:dyDescent="0.2">
      <c r="AM17292" t="str">
        <f t="shared" si="271"/>
        <v>Wilmington [USWTN]</v>
      </c>
      <c r="AN17292" t="s">
        <v>32019</v>
      </c>
      <c r="AO17292" t="s">
        <v>32020</v>
      </c>
    </row>
    <row r="17293" spans="39:41" ht="12" customHeight="1" x14ac:dyDescent="0.2">
      <c r="AM17293" t="str">
        <f t="shared" si="271"/>
        <v>Wilmington [USILG]</v>
      </c>
      <c r="AN17293" t="s">
        <v>32021</v>
      </c>
      <c r="AO17293" t="s">
        <v>32020</v>
      </c>
    </row>
    <row r="17294" spans="39:41" ht="12" customHeight="1" x14ac:dyDescent="0.2">
      <c r="AM17294" t="str">
        <f t="shared" si="271"/>
        <v>Wilmington [USILM]</v>
      </c>
      <c r="AN17294" t="s">
        <v>32022</v>
      </c>
      <c r="AO17294" t="s">
        <v>32020</v>
      </c>
    </row>
    <row r="17295" spans="39:41" ht="12" customHeight="1" x14ac:dyDescent="0.2">
      <c r="AM17295" t="str">
        <f t="shared" si="271"/>
        <v>Wilsele [BEWSL]</v>
      </c>
      <c r="AN17295" t="s">
        <v>36816</v>
      </c>
      <c r="AO17295" t="s">
        <v>36817</v>
      </c>
    </row>
    <row r="17296" spans="39:41" ht="12" customHeight="1" x14ac:dyDescent="0.2">
      <c r="AM17296" t="str">
        <f t="shared" si="271"/>
        <v>Wilster [DEWIL]</v>
      </c>
      <c r="AN17296" t="s">
        <v>8507</v>
      </c>
      <c r="AO17296" t="s">
        <v>8508</v>
      </c>
    </row>
    <row r="17297" spans="39:41" ht="12" customHeight="1" x14ac:dyDescent="0.2">
      <c r="AM17297" t="str">
        <f t="shared" si="271"/>
        <v>Wilton [IEWIL]</v>
      </c>
      <c r="AN17297" t="s">
        <v>16944</v>
      </c>
      <c r="AO17297" t="s">
        <v>16945</v>
      </c>
    </row>
    <row r="17298" spans="39:41" ht="12" customHeight="1" x14ac:dyDescent="0.2">
      <c r="AM17298" t="str">
        <f t="shared" si="271"/>
        <v>Wimmer [DEWIM]</v>
      </c>
      <c r="AN17298" t="s">
        <v>8509</v>
      </c>
      <c r="AO17298" t="s">
        <v>8510</v>
      </c>
    </row>
    <row r="17299" spans="39:41" ht="12" customHeight="1" x14ac:dyDescent="0.2">
      <c r="AM17299" t="str">
        <f t="shared" si="271"/>
        <v>Winchester [USYST]</v>
      </c>
      <c r="AN17299" t="s">
        <v>32023</v>
      </c>
      <c r="AO17299" t="s">
        <v>32024</v>
      </c>
    </row>
    <row r="17300" spans="39:41" ht="12" customHeight="1" x14ac:dyDescent="0.2">
      <c r="AM17300" t="str">
        <f t="shared" si="271"/>
        <v>Windham [USWMJ]</v>
      </c>
      <c r="AN17300" t="s">
        <v>32025</v>
      </c>
      <c r="AO17300" t="s">
        <v>32026</v>
      </c>
    </row>
    <row r="17301" spans="39:41" ht="12" customHeight="1" x14ac:dyDescent="0.2">
      <c r="AM17301" t="str">
        <f t="shared" si="271"/>
        <v>Windheim [DEWNH]</v>
      </c>
      <c r="AN17301" t="s">
        <v>8511</v>
      </c>
      <c r="AO17301" t="s">
        <v>8512</v>
      </c>
    </row>
    <row r="17302" spans="39:41" ht="12" customHeight="1" x14ac:dyDescent="0.2">
      <c r="AM17302" t="str">
        <f t="shared" si="271"/>
        <v>Windsbach [DEWWH]</v>
      </c>
      <c r="AN17302" t="s">
        <v>8513</v>
      </c>
      <c r="AO17302" t="s">
        <v>8514</v>
      </c>
    </row>
    <row r="17303" spans="39:41" ht="12" customHeight="1" x14ac:dyDescent="0.2">
      <c r="AM17303" t="str">
        <f t="shared" si="271"/>
        <v>Windsor [CAWDR]</v>
      </c>
      <c r="AN17303" t="s">
        <v>4601</v>
      </c>
      <c r="AO17303" t="s">
        <v>4602</v>
      </c>
    </row>
    <row r="17304" spans="39:41" ht="12" customHeight="1" x14ac:dyDescent="0.2">
      <c r="AM17304" t="str">
        <f t="shared" si="271"/>
        <v>Windsor [CAWND]</v>
      </c>
      <c r="AN17304" t="s">
        <v>4603</v>
      </c>
      <c r="AO17304" t="s">
        <v>4602</v>
      </c>
    </row>
    <row r="17305" spans="39:41" ht="12" customHeight="1" x14ac:dyDescent="0.2">
      <c r="AM17305" t="str">
        <f t="shared" si="271"/>
        <v>Windsor [USQZJ]</v>
      </c>
      <c r="AN17305" t="s">
        <v>32027</v>
      </c>
      <c r="AO17305" t="s">
        <v>4602</v>
      </c>
    </row>
    <row r="17306" spans="39:41" ht="12" customHeight="1" x14ac:dyDescent="0.2">
      <c r="AM17306" t="str">
        <f t="shared" si="271"/>
        <v>Wingate [USWGX]</v>
      </c>
      <c r="AN17306" t="s">
        <v>32028</v>
      </c>
      <c r="AO17306" t="s">
        <v>32029</v>
      </c>
    </row>
    <row r="17307" spans="39:41" ht="12" customHeight="1" x14ac:dyDescent="0.2">
      <c r="AM17307" t="str">
        <f t="shared" si="271"/>
        <v>Wingene [BEWEE]</v>
      </c>
      <c r="AN17307" t="s">
        <v>3089</v>
      </c>
      <c r="AO17307" t="s">
        <v>3090</v>
      </c>
    </row>
    <row r="17308" spans="39:41" ht="12" customHeight="1" x14ac:dyDescent="0.2">
      <c r="AM17308" t="str">
        <f t="shared" si="271"/>
        <v>Wingham [AUWIH]</v>
      </c>
      <c r="AN17308" t="s">
        <v>2120</v>
      </c>
      <c r="AO17308" t="s">
        <v>2121</v>
      </c>
    </row>
    <row r="17309" spans="39:41" ht="12" customHeight="1" x14ac:dyDescent="0.2">
      <c r="AM17309" t="str">
        <f t="shared" si="271"/>
        <v>Wingham [CAWIG]</v>
      </c>
      <c r="AN17309" t="s">
        <v>4604</v>
      </c>
      <c r="AO17309" t="s">
        <v>2121</v>
      </c>
    </row>
    <row r="17310" spans="39:41" ht="12" customHeight="1" x14ac:dyDescent="0.2">
      <c r="AM17310" t="str">
        <f t="shared" si="271"/>
        <v>Winneba [GHWEA]</v>
      </c>
      <c r="AN17310" t="s">
        <v>14972</v>
      </c>
      <c r="AO17310" t="s">
        <v>14973</v>
      </c>
    </row>
    <row r="17311" spans="39:41" ht="12" customHeight="1" x14ac:dyDescent="0.2">
      <c r="AM17311" t="str">
        <f t="shared" si="271"/>
        <v>Winnebago, Faribault [USWGB]</v>
      </c>
      <c r="AN17311" t="s">
        <v>32030</v>
      </c>
      <c r="AO17311" t="s">
        <v>32031</v>
      </c>
    </row>
    <row r="17312" spans="39:41" ht="12" customHeight="1" x14ac:dyDescent="0.2">
      <c r="AM17312" t="str">
        <f t="shared" si="271"/>
        <v>Winneconne [USYEC]</v>
      </c>
      <c r="AN17312" t="s">
        <v>32032</v>
      </c>
      <c r="AO17312" t="s">
        <v>32033</v>
      </c>
    </row>
    <row r="17313" spans="39:41" ht="12" customHeight="1" x14ac:dyDescent="0.2">
      <c r="AM17313" t="str">
        <f t="shared" si="271"/>
        <v>Winnetka [USZTK]</v>
      </c>
      <c r="AN17313" t="s">
        <v>32034</v>
      </c>
      <c r="AO17313" t="s">
        <v>32035</v>
      </c>
    </row>
    <row r="17314" spans="39:41" ht="12" customHeight="1" x14ac:dyDescent="0.2">
      <c r="AM17314" t="str">
        <f t="shared" si="271"/>
        <v>Winnipeg [CAWNP]</v>
      </c>
      <c r="AN17314" t="s">
        <v>4605</v>
      </c>
      <c r="AO17314" t="s">
        <v>4606</v>
      </c>
    </row>
    <row r="17315" spans="39:41" ht="12" customHeight="1" x14ac:dyDescent="0.2">
      <c r="AM17315" t="str">
        <f t="shared" si="271"/>
        <v>Winnweiler [DEWNI]</v>
      </c>
      <c r="AN17315" t="s">
        <v>8515</v>
      </c>
      <c r="AO17315" t="s">
        <v>8516</v>
      </c>
    </row>
    <row r="17316" spans="39:41" ht="12" customHeight="1" x14ac:dyDescent="0.2">
      <c r="AM17316" t="str">
        <f t="shared" si="271"/>
        <v>Winona [USONA]</v>
      </c>
      <c r="AN17316" t="s">
        <v>32036</v>
      </c>
      <c r="AO17316" t="s">
        <v>32037</v>
      </c>
    </row>
    <row r="17317" spans="39:41" ht="12" customHeight="1" x14ac:dyDescent="0.2">
      <c r="AM17317" t="str">
        <f t="shared" si="271"/>
        <v>Winooski [USWNK]</v>
      </c>
      <c r="AN17317" t="s">
        <v>32038</v>
      </c>
      <c r="AO17317" t="s">
        <v>32039</v>
      </c>
    </row>
    <row r="17318" spans="39:41" ht="12" customHeight="1" x14ac:dyDescent="0.2">
      <c r="AM17318" t="str">
        <f t="shared" si="271"/>
        <v>Winschoten [NLWSC]</v>
      </c>
      <c r="AN17318" t="s">
        <v>33934</v>
      </c>
      <c r="AO17318" t="s">
        <v>34056</v>
      </c>
    </row>
    <row r="17319" spans="39:41" ht="12" customHeight="1" x14ac:dyDescent="0.2">
      <c r="AM17319" t="str">
        <f t="shared" si="271"/>
        <v>Winsted [USWNS]</v>
      </c>
      <c r="AN17319" t="s">
        <v>32040</v>
      </c>
      <c r="AO17319" t="s">
        <v>32041</v>
      </c>
    </row>
    <row r="17320" spans="39:41" ht="12" customHeight="1" x14ac:dyDescent="0.2">
      <c r="AM17320" t="str">
        <f t="shared" si="271"/>
        <v>Winsum [NLWNS]</v>
      </c>
      <c r="AN17320" t="s">
        <v>23777</v>
      </c>
      <c r="AO17320" t="s">
        <v>23778</v>
      </c>
    </row>
    <row r="17321" spans="39:41" ht="12" customHeight="1" x14ac:dyDescent="0.2">
      <c r="AM17321" t="str">
        <f t="shared" si="271"/>
        <v>Winter Springs [USZIW]</v>
      </c>
      <c r="AN17321" t="s">
        <v>32042</v>
      </c>
      <c r="AO17321" t="s">
        <v>32043</v>
      </c>
    </row>
    <row r="17322" spans="39:41" ht="12" customHeight="1" x14ac:dyDescent="0.2">
      <c r="AM17322" t="str">
        <f t="shared" si="271"/>
        <v>Wintersville [USWQZ]</v>
      </c>
      <c r="AN17322" t="s">
        <v>32044</v>
      </c>
      <c r="AO17322" t="s">
        <v>32045</v>
      </c>
    </row>
    <row r="17323" spans="39:41" ht="12" customHeight="1" x14ac:dyDescent="0.2">
      <c r="AM17323" t="str">
        <f t="shared" si="271"/>
        <v>Winterthur [USWRP]</v>
      </c>
      <c r="AN17323" t="s">
        <v>32046</v>
      </c>
      <c r="AO17323" t="s">
        <v>32047</v>
      </c>
    </row>
    <row r="17324" spans="39:41" ht="12" customHeight="1" x14ac:dyDescent="0.2">
      <c r="AM17324" t="str">
        <f t="shared" si="271"/>
        <v>Winterton [ZAWTN]</v>
      </c>
      <c r="AN17324" t="s">
        <v>32750</v>
      </c>
      <c r="AO17324" t="s">
        <v>32751</v>
      </c>
    </row>
    <row r="17325" spans="39:41" ht="12" customHeight="1" x14ac:dyDescent="0.2">
      <c r="AM17325" t="str">
        <f t="shared" si="271"/>
        <v>Wintham [BEWTH]</v>
      </c>
      <c r="AN17325" t="s">
        <v>3091</v>
      </c>
      <c r="AO17325" t="s">
        <v>3092</v>
      </c>
    </row>
    <row r="17326" spans="39:41" ht="12" customHeight="1" x14ac:dyDescent="0.2">
      <c r="AM17326" t="str">
        <f t="shared" si="271"/>
        <v>Wintringham [GBINT]</v>
      </c>
      <c r="AN17326" t="s">
        <v>14891</v>
      </c>
      <c r="AO17326" t="s">
        <v>14892</v>
      </c>
    </row>
    <row r="17327" spans="39:41" ht="12" customHeight="1" x14ac:dyDescent="0.2">
      <c r="AM17327" t="str">
        <f t="shared" si="271"/>
        <v>Wipperdorf [DEWHP]</v>
      </c>
      <c r="AN17327" t="s">
        <v>8517</v>
      </c>
      <c r="AO17327" t="s">
        <v>8518</v>
      </c>
    </row>
    <row r="17328" spans="39:41" ht="12" customHeight="1" x14ac:dyDescent="0.2">
      <c r="AM17328" t="str">
        <f t="shared" si="271"/>
        <v>Wisbech [GBWIS]</v>
      </c>
      <c r="AN17328" t="s">
        <v>14893</v>
      </c>
      <c r="AO17328" t="s">
        <v>14894</v>
      </c>
    </row>
    <row r="17329" spans="39:41" ht="12" customHeight="1" x14ac:dyDescent="0.2">
      <c r="AM17329" t="str">
        <f t="shared" si="271"/>
        <v>Wisch [DEWIH]</v>
      </c>
      <c r="AN17329" t="s">
        <v>8519</v>
      </c>
      <c r="AO17329" t="s">
        <v>8520</v>
      </c>
    </row>
    <row r="17330" spans="39:41" ht="12" customHeight="1" x14ac:dyDescent="0.2">
      <c r="AM17330" t="str">
        <f t="shared" si="271"/>
        <v>Wischhafen [DEWIF]</v>
      </c>
      <c r="AN17330" t="s">
        <v>8521</v>
      </c>
      <c r="AO17330" t="s">
        <v>8522</v>
      </c>
    </row>
    <row r="17331" spans="39:41" ht="12" customHeight="1" x14ac:dyDescent="0.2">
      <c r="AM17331" t="str">
        <f t="shared" si="271"/>
        <v>Wisconsin Dells [USWNF]</v>
      </c>
      <c r="AN17331" t="s">
        <v>32048</v>
      </c>
      <c r="AO17331" t="s">
        <v>32049</v>
      </c>
    </row>
    <row r="17332" spans="39:41" ht="12" customHeight="1" x14ac:dyDescent="0.2">
      <c r="AM17332" t="str">
        <f t="shared" si="271"/>
        <v>Wishart [AUVIT]</v>
      </c>
      <c r="AN17332" t="s">
        <v>2122</v>
      </c>
      <c r="AO17332" t="s">
        <v>2123</v>
      </c>
    </row>
    <row r="17333" spans="39:41" ht="12" customHeight="1" x14ac:dyDescent="0.2">
      <c r="AM17333" t="str">
        <f t="shared" si="271"/>
        <v>Wismar [DEWIS]</v>
      </c>
      <c r="AN17333" t="s">
        <v>8523</v>
      </c>
      <c r="AO17333" t="s">
        <v>8524</v>
      </c>
    </row>
    <row r="17334" spans="39:41" ht="12" customHeight="1" x14ac:dyDescent="0.2">
      <c r="AM17334" t="str">
        <f t="shared" si="271"/>
        <v>Withernsea [GBWEX]</v>
      </c>
      <c r="AN17334" t="s">
        <v>14895</v>
      </c>
      <c r="AO17334" t="s">
        <v>14896</v>
      </c>
    </row>
    <row r="17335" spans="39:41" ht="12" customHeight="1" x14ac:dyDescent="0.2">
      <c r="AM17335" t="str">
        <f t="shared" ref="AM17335:AM17398" si="272">AO17335 &amp; " [" &amp; AN17335 &amp; "]"</f>
        <v>Withnell Bay [AUWNB]</v>
      </c>
      <c r="AN17335" t="s">
        <v>2124</v>
      </c>
      <c r="AO17335" t="s">
        <v>2125</v>
      </c>
    </row>
    <row r="17336" spans="39:41" ht="12" customHeight="1" x14ac:dyDescent="0.2">
      <c r="AM17336" t="str">
        <f t="shared" si="272"/>
        <v>Wittenberg [DEWTG]</v>
      </c>
      <c r="AN17336" t="s">
        <v>8525</v>
      </c>
      <c r="AO17336" t="s">
        <v>8526</v>
      </c>
    </row>
    <row r="17337" spans="39:41" ht="12" customHeight="1" x14ac:dyDescent="0.2">
      <c r="AM17337" t="str">
        <f t="shared" si="272"/>
        <v>Wittenberge [DETNR]</v>
      </c>
      <c r="AN17337" t="s">
        <v>8527</v>
      </c>
      <c r="AO17337" t="s">
        <v>8528</v>
      </c>
    </row>
    <row r="17338" spans="39:41" ht="12" customHeight="1" x14ac:dyDescent="0.2">
      <c r="AM17338" t="str">
        <f t="shared" si="272"/>
        <v>Wittichenau [DEWTU]</v>
      </c>
      <c r="AN17338" t="s">
        <v>8529</v>
      </c>
      <c r="AO17338" t="s">
        <v>8530</v>
      </c>
    </row>
    <row r="17339" spans="39:41" ht="12" customHeight="1" x14ac:dyDescent="0.2">
      <c r="AM17339" t="str">
        <f t="shared" si="272"/>
        <v>Wittlage [DEWIT]</v>
      </c>
      <c r="AN17339" t="s">
        <v>8531</v>
      </c>
      <c r="AO17339" t="s">
        <v>8532</v>
      </c>
    </row>
    <row r="17340" spans="39:41" ht="12" customHeight="1" x14ac:dyDescent="0.2">
      <c r="AM17340" t="str">
        <f t="shared" si="272"/>
        <v>Wiuwert [NLWIU]</v>
      </c>
      <c r="AN17340" t="s">
        <v>23779</v>
      </c>
      <c r="AO17340" t="s">
        <v>23780</v>
      </c>
    </row>
    <row r="17341" spans="39:41" ht="12" customHeight="1" x14ac:dyDescent="0.2">
      <c r="AM17341" t="str">
        <f t="shared" si="272"/>
        <v>Wivenhoe [GBWIV]</v>
      </c>
      <c r="AN17341" t="s">
        <v>14897</v>
      </c>
      <c r="AO17341" t="s">
        <v>14898</v>
      </c>
    </row>
    <row r="17342" spans="39:41" ht="12" customHeight="1" x14ac:dyDescent="0.2">
      <c r="AM17342" t="str">
        <f t="shared" si="272"/>
        <v>Wladyslawowo [PLWLA]</v>
      </c>
      <c r="AN17342" t="s">
        <v>26403</v>
      </c>
      <c r="AO17342" t="s">
        <v>26404</v>
      </c>
    </row>
    <row r="17343" spans="39:41" ht="12" customHeight="1" x14ac:dyDescent="0.2">
      <c r="AM17343" t="str">
        <f t="shared" si="272"/>
        <v>Woerden [NLWOR]</v>
      </c>
      <c r="AN17343" t="s">
        <v>33935</v>
      </c>
      <c r="AO17343" t="s">
        <v>34057</v>
      </c>
    </row>
    <row r="17344" spans="39:41" ht="12" customHeight="1" x14ac:dyDescent="0.2">
      <c r="AM17344" t="str">
        <f t="shared" si="272"/>
        <v>Wohlenberg [DEOHL]</v>
      </c>
      <c r="AN17344" t="s">
        <v>8533</v>
      </c>
      <c r="AO17344" t="s">
        <v>8534</v>
      </c>
    </row>
    <row r="17345" spans="39:41" ht="12" customHeight="1" x14ac:dyDescent="0.2">
      <c r="AM17345" t="str">
        <f t="shared" si="272"/>
        <v>Wolborz [PLWOL]</v>
      </c>
      <c r="AN17345" t="s">
        <v>26405</v>
      </c>
      <c r="AO17345" t="s">
        <v>36374</v>
      </c>
    </row>
    <row r="17346" spans="39:41" ht="12" customHeight="1" x14ac:dyDescent="0.2">
      <c r="AM17346" t="str">
        <f t="shared" si="272"/>
        <v>Wolcott [USXWO]</v>
      </c>
      <c r="AN17346" t="s">
        <v>32050</v>
      </c>
      <c r="AO17346" t="s">
        <v>32051</v>
      </c>
    </row>
    <row r="17347" spans="39:41" ht="12" customHeight="1" x14ac:dyDescent="0.2">
      <c r="AM17347" t="str">
        <f t="shared" si="272"/>
        <v>Wolcottville [USTIE]</v>
      </c>
      <c r="AN17347" t="s">
        <v>32052</v>
      </c>
      <c r="AO17347" t="s">
        <v>32053</v>
      </c>
    </row>
    <row r="17348" spans="39:41" ht="12" customHeight="1" x14ac:dyDescent="0.2">
      <c r="AM17348" t="str">
        <f t="shared" si="272"/>
        <v>Woleai Atoll [FMWOL]</v>
      </c>
      <c r="AN17348" t="s">
        <v>10667</v>
      </c>
      <c r="AO17348" t="s">
        <v>10668</v>
      </c>
    </row>
    <row r="17349" spans="39:41" ht="12" customHeight="1" x14ac:dyDescent="0.2">
      <c r="AM17349" t="str">
        <f t="shared" si="272"/>
        <v>Wolfeboro [USWFB]</v>
      </c>
      <c r="AN17349" t="s">
        <v>32054</v>
      </c>
      <c r="AO17349" t="s">
        <v>32055</v>
      </c>
    </row>
    <row r="17350" spans="39:41" ht="12" customHeight="1" x14ac:dyDescent="0.2">
      <c r="AM17350" t="str">
        <f t="shared" si="272"/>
        <v>Wolfsburg [DEWOB]</v>
      </c>
      <c r="AN17350" t="s">
        <v>8535</v>
      </c>
      <c r="AO17350" t="s">
        <v>8536</v>
      </c>
    </row>
    <row r="17351" spans="39:41" ht="12" customHeight="1" x14ac:dyDescent="0.2">
      <c r="AM17351" t="str">
        <f t="shared" si="272"/>
        <v>Wolgast [DEWOL]</v>
      </c>
      <c r="AN17351" t="s">
        <v>8537</v>
      </c>
      <c r="AO17351" t="s">
        <v>8538</v>
      </c>
    </row>
    <row r="17352" spans="39:41" ht="12" customHeight="1" x14ac:dyDescent="0.2">
      <c r="AM17352" t="str">
        <f t="shared" si="272"/>
        <v>Wolin [PLWLI]</v>
      </c>
      <c r="AN17352" t="s">
        <v>26406</v>
      </c>
      <c r="AO17352" t="s">
        <v>26407</v>
      </c>
    </row>
    <row r="17353" spans="39:41" ht="12" customHeight="1" x14ac:dyDescent="0.2">
      <c r="AM17353" t="str">
        <f t="shared" si="272"/>
        <v>Wolkenstein [DEOLK]</v>
      </c>
      <c r="AN17353" t="s">
        <v>8539</v>
      </c>
      <c r="AO17353" t="s">
        <v>8540</v>
      </c>
    </row>
    <row r="17354" spans="39:41" ht="12" customHeight="1" x14ac:dyDescent="0.2">
      <c r="AM17354" t="str">
        <f t="shared" si="272"/>
        <v>Wolsumerketting [NLWKG]</v>
      </c>
      <c r="AN17354" t="s">
        <v>23781</v>
      </c>
      <c r="AO17354" t="s">
        <v>23782</v>
      </c>
    </row>
    <row r="17355" spans="39:41" ht="12" customHeight="1" x14ac:dyDescent="0.2">
      <c r="AM17355" t="str">
        <f t="shared" si="272"/>
        <v>Wolvey [GBWUF]</v>
      </c>
      <c r="AN17355" t="s">
        <v>14899</v>
      </c>
      <c r="AO17355" t="s">
        <v>14900</v>
      </c>
    </row>
    <row r="17356" spans="39:41" ht="12" customHeight="1" x14ac:dyDescent="0.2">
      <c r="AM17356" t="str">
        <f t="shared" si="272"/>
        <v>Wolzig [DELZG]</v>
      </c>
      <c r="AN17356" t="s">
        <v>8541</v>
      </c>
      <c r="AO17356" t="s">
        <v>8542</v>
      </c>
    </row>
    <row r="17357" spans="39:41" ht="12" customHeight="1" x14ac:dyDescent="0.2">
      <c r="AM17357" t="str">
        <f t="shared" si="272"/>
        <v>Wondelgem [BEWDG]</v>
      </c>
      <c r="AN17357" t="s">
        <v>3093</v>
      </c>
      <c r="AO17357" t="s">
        <v>3094</v>
      </c>
    </row>
    <row r="17358" spans="39:41" ht="12" customHeight="1" x14ac:dyDescent="0.2">
      <c r="AM17358" t="str">
        <f t="shared" si="272"/>
        <v>Wonsan [KPWON]</v>
      </c>
      <c r="AN17358" t="s">
        <v>21598</v>
      </c>
      <c r="AO17358" t="s">
        <v>21599</v>
      </c>
    </row>
    <row r="17359" spans="39:41" ht="12" customHeight="1" x14ac:dyDescent="0.2">
      <c r="AM17359" t="str">
        <f t="shared" si="272"/>
        <v>Wonseradeel/Makkum [NLMKM]</v>
      </c>
      <c r="AN17359" t="s">
        <v>23783</v>
      </c>
      <c r="AO17359" t="s">
        <v>23784</v>
      </c>
    </row>
    <row r="17360" spans="39:41" ht="12" customHeight="1" x14ac:dyDescent="0.2">
      <c r="AM17360" t="str">
        <f t="shared" si="272"/>
        <v>Wonthaggi [AUWOT]</v>
      </c>
      <c r="AN17360" t="s">
        <v>2126</v>
      </c>
      <c r="AO17360" t="s">
        <v>2127</v>
      </c>
    </row>
    <row r="17361" spans="39:41" ht="12" customHeight="1" x14ac:dyDescent="0.2">
      <c r="AM17361" t="str">
        <f t="shared" si="272"/>
        <v>Woodacre [US8DC]</v>
      </c>
      <c r="AN17361" t="s">
        <v>32056</v>
      </c>
      <c r="AO17361" t="s">
        <v>32057</v>
      </c>
    </row>
    <row r="17362" spans="39:41" ht="12" customHeight="1" x14ac:dyDescent="0.2">
      <c r="AM17362" t="str">
        <f t="shared" si="272"/>
        <v>Woodbury [US8TT]</v>
      </c>
      <c r="AN17362" t="s">
        <v>32058</v>
      </c>
      <c r="AO17362" t="s">
        <v>32059</v>
      </c>
    </row>
    <row r="17363" spans="39:41" ht="12" customHeight="1" x14ac:dyDescent="0.2">
      <c r="AM17363" t="str">
        <f t="shared" si="272"/>
        <v>Woodfibre [CAWOO]</v>
      </c>
      <c r="AN17363" t="s">
        <v>4607</v>
      </c>
      <c r="AO17363" t="s">
        <v>4608</v>
      </c>
    </row>
    <row r="17364" spans="39:41" ht="12" customHeight="1" x14ac:dyDescent="0.2">
      <c r="AM17364" t="str">
        <f t="shared" si="272"/>
        <v>Woodfin [USUO4]</v>
      </c>
      <c r="AN17364" t="s">
        <v>32060</v>
      </c>
      <c r="AO17364" t="s">
        <v>32061</v>
      </c>
    </row>
    <row r="17365" spans="39:41" ht="12" customHeight="1" x14ac:dyDescent="0.2">
      <c r="AM17365" t="str">
        <f t="shared" si="272"/>
        <v>Woodgate [USWO7]</v>
      </c>
      <c r="AN17365" t="s">
        <v>32062</v>
      </c>
      <c r="AO17365" t="s">
        <v>32063</v>
      </c>
    </row>
    <row r="17366" spans="39:41" ht="12" customHeight="1" x14ac:dyDescent="0.2">
      <c r="AM17366" t="str">
        <f t="shared" si="272"/>
        <v>Woodlark [PGWOK]</v>
      </c>
      <c r="AN17366" t="s">
        <v>25498</v>
      </c>
      <c r="AO17366" t="s">
        <v>25499</v>
      </c>
    </row>
    <row r="17367" spans="39:41" ht="12" customHeight="1" x14ac:dyDescent="0.2">
      <c r="AM17367" t="str">
        <f t="shared" si="272"/>
        <v>Woodmere [US8XC]</v>
      </c>
      <c r="AN17367" t="s">
        <v>32064</v>
      </c>
      <c r="AO17367" t="s">
        <v>32065</v>
      </c>
    </row>
    <row r="17368" spans="39:41" ht="12" customHeight="1" x14ac:dyDescent="0.2">
      <c r="AM17368" t="str">
        <f t="shared" si="272"/>
        <v>Woodmere [US8XD]</v>
      </c>
      <c r="AN17368" t="s">
        <v>32066</v>
      </c>
      <c r="AO17368" t="s">
        <v>32065</v>
      </c>
    </row>
    <row r="17369" spans="39:41" ht="12" customHeight="1" x14ac:dyDescent="0.2">
      <c r="AM17369" t="str">
        <f t="shared" si="272"/>
        <v>Woodside [USWDZ]</v>
      </c>
      <c r="AN17369" t="s">
        <v>32067</v>
      </c>
      <c r="AO17369" t="s">
        <v>32068</v>
      </c>
    </row>
    <row r="17370" spans="39:41" ht="12" customHeight="1" x14ac:dyDescent="0.2">
      <c r="AM17370" t="str">
        <f t="shared" si="272"/>
        <v>Woodsville [USWOV]</v>
      </c>
      <c r="AN17370" t="s">
        <v>32069</v>
      </c>
      <c r="AO17370" t="s">
        <v>32070</v>
      </c>
    </row>
    <row r="17371" spans="39:41" ht="12" customHeight="1" x14ac:dyDescent="0.2">
      <c r="AM17371" t="str">
        <f t="shared" si="272"/>
        <v>Woolloomooloo [AUWOO]</v>
      </c>
      <c r="AN17371" t="s">
        <v>2128</v>
      </c>
      <c r="AO17371" t="s">
        <v>2129</v>
      </c>
    </row>
    <row r="17372" spans="39:41" ht="12" customHeight="1" x14ac:dyDescent="0.2">
      <c r="AM17372" t="str">
        <f t="shared" si="272"/>
        <v>Woollybutt (Oil facility) [AUWBT]</v>
      </c>
      <c r="AN17372" t="s">
        <v>2130</v>
      </c>
      <c r="AO17372" t="s">
        <v>2131</v>
      </c>
    </row>
    <row r="17373" spans="39:41" ht="12" customHeight="1" x14ac:dyDescent="0.2">
      <c r="AM17373" t="str">
        <f t="shared" si="272"/>
        <v>Woolrich [USYWR]</v>
      </c>
      <c r="AN17373" t="s">
        <v>32071</v>
      </c>
      <c r="AO17373" t="s">
        <v>32072</v>
      </c>
    </row>
    <row r="17374" spans="39:41" ht="12" customHeight="1" x14ac:dyDescent="0.2">
      <c r="AM17374" t="str">
        <f t="shared" si="272"/>
        <v>Worcester [USORH]</v>
      </c>
      <c r="AN17374" t="s">
        <v>32073</v>
      </c>
      <c r="AO17374" t="s">
        <v>32074</v>
      </c>
    </row>
    <row r="17375" spans="39:41" ht="12" customHeight="1" x14ac:dyDescent="0.2">
      <c r="AM17375" t="str">
        <f t="shared" si="272"/>
        <v>Workington [GBWOR]</v>
      </c>
      <c r="AN17375" t="s">
        <v>14901</v>
      </c>
      <c r="AO17375" t="s">
        <v>14902</v>
      </c>
    </row>
    <row r="17376" spans="39:41" ht="12" customHeight="1" x14ac:dyDescent="0.2">
      <c r="AM17376" t="str">
        <f t="shared" si="272"/>
        <v>Workum [NLWKU]</v>
      </c>
      <c r="AN17376" t="s">
        <v>23785</v>
      </c>
      <c r="AO17376" t="s">
        <v>23786</v>
      </c>
    </row>
    <row r="17377" spans="39:41" ht="12" customHeight="1" x14ac:dyDescent="0.2">
      <c r="AM17377" t="str">
        <f t="shared" si="272"/>
        <v>Wormeldange [LUWLG]</v>
      </c>
      <c r="AN17377" t="s">
        <v>21915</v>
      </c>
      <c r="AO17377" t="s">
        <v>21916</v>
      </c>
    </row>
    <row r="17378" spans="39:41" ht="12" customHeight="1" x14ac:dyDescent="0.2">
      <c r="AM17378" t="str">
        <f t="shared" si="272"/>
        <v>Wormer [NLWMO]</v>
      </c>
      <c r="AN17378" t="s">
        <v>23787</v>
      </c>
      <c r="AO17378" t="s">
        <v>23788</v>
      </c>
    </row>
    <row r="17379" spans="39:41" ht="12" customHeight="1" x14ac:dyDescent="0.2">
      <c r="AM17379" t="str">
        <f t="shared" si="272"/>
        <v>Worms [DEWOR]</v>
      </c>
      <c r="AN17379" t="s">
        <v>8543</v>
      </c>
      <c r="AO17379" t="s">
        <v>8544</v>
      </c>
    </row>
    <row r="17380" spans="39:41" ht="12" customHeight="1" x14ac:dyDescent="0.2">
      <c r="AM17380" t="str">
        <f t="shared" si="272"/>
        <v>Worringen [DEWOG]</v>
      </c>
      <c r="AN17380" t="s">
        <v>8545</v>
      </c>
      <c r="AO17380" t="s">
        <v>8546</v>
      </c>
    </row>
    <row r="17381" spans="39:41" ht="12" customHeight="1" x14ac:dyDescent="0.2">
      <c r="AM17381" t="str">
        <f t="shared" si="272"/>
        <v>Worth am Rhein [DEWOE]</v>
      </c>
      <c r="AN17381" t="s">
        <v>8547</v>
      </c>
      <c r="AO17381" t="s">
        <v>35512</v>
      </c>
    </row>
    <row r="17382" spans="39:41" ht="12" customHeight="1" x14ac:dyDescent="0.2">
      <c r="AM17382" t="str">
        <f t="shared" si="272"/>
        <v>Worth an der Donau [DEWTA]</v>
      </c>
      <c r="AN17382" t="s">
        <v>8548</v>
      </c>
      <c r="AO17382" t="s">
        <v>35513</v>
      </c>
    </row>
    <row r="17383" spans="39:41" ht="12" customHeight="1" x14ac:dyDescent="0.2">
      <c r="AM17383" t="str">
        <f t="shared" si="272"/>
        <v>Worthing [GBWOT]</v>
      </c>
      <c r="AN17383" t="s">
        <v>14903</v>
      </c>
      <c r="AO17383" t="s">
        <v>14904</v>
      </c>
    </row>
    <row r="17384" spans="39:41" ht="12" customHeight="1" x14ac:dyDescent="0.2">
      <c r="AM17384" t="str">
        <f t="shared" si="272"/>
        <v>Woudrichem [NLWCM]</v>
      </c>
      <c r="AN17384" t="s">
        <v>23789</v>
      </c>
      <c r="AO17384" t="s">
        <v>23790</v>
      </c>
    </row>
    <row r="17385" spans="39:41" ht="12" customHeight="1" x14ac:dyDescent="0.2">
      <c r="AM17385" t="str">
        <f t="shared" si="272"/>
        <v>Wremen [DEWRY]</v>
      </c>
      <c r="AN17385" t="s">
        <v>8549</v>
      </c>
      <c r="AO17385" t="s">
        <v>8550</v>
      </c>
    </row>
    <row r="17386" spans="39:41" ht="12" customHeight="1" x14ac:dyDescent="0.2">
      <c r="AM17386" t="str">
        <f t="shared" si="272"/>
        <v>Wriezen [DERZE]</v>
      </c>
      <c r="AN17386" t="s">
        <v>8551</v>
      </c>
      <c r="AO17386" t="s">
        <v>8552</v>
      </c>
    </row>
    <row r="17387" spans="39:41" ht="12" customHeight="1" x14ac:dyDescent="0.2">
      <c r="AM17387" t="str">
        <f t="shared" si="272"/>
        <v>Wrightstown [USWXS]</v>
      </c>
      <c r="AN17387" t="s">
        <v>32075</v>
      </c>
      <c r="AO17387" t="s">
        <v>32076</v>
      </c>
    </row>
    <row r="17388" spans="39:41" ht="12" customHeight="1" x14ac:dyDescent="0.2">
      <c r="AM17388" t="str">
        <f t="shared" si="272"/>
        <v>Wrist [DEWRI]</v>
      </c>
      <c r="AN17388" t="s">
        <v>8553</v>
      </c>
      <c r="AO17388" t="s">
        <v>8554</v>
      </c>
    </row>
    <row r="17389" spans="39:41" ht="12" customHeight="1" x14ac:dyDescent="0.2">
      <c r="AM17389" t="str">
        <f t="shared" si="272"/>
        <v>Wuchuan [CNWHU]</v>
      </c>
      <c r="AN17389" t="s">
        <v>6202</v>
      </c>
      <c r="AO17389" t="s">
        <v>6203</v>
      </c>
    </row>
    <row r="17390" spans="39:41" ht="12" customHeight="1" x14ac:dyDescent="0.2">
      <c r="AM17390" t="str">
        <f t="shared" si="272"/>
        <v>Wuhan [CNNHN]</v>
      </c>
      <c r="AN17390" t="s">
        <v>6204</v>
      </c>
      <c r="AO17390" t="s">
        <v>6205</v>
      </c>
    </row>
    <row r="17391" spans="39:41" ht="12" customHeight="1" x14ac:dyDescent="0.2">
      <c r="AM17391" t="str">
        <f t="shared" si="272"/>
        <v>Wuhan Pt [CNWHG]</v>
      </c>
      <c r="AN17391" t="s">
        <v>6206</v>
      </c>
      <c r="AO17391" t="s">
        <v>6207</v>
      </c>
    </row>
    <row r="17392" spans="39:41" ht="12" customHeight="1" x14ac:dyDescent="0.2">
      <c r="AM17392" t="str">
        <f t="shared" si="272"/>
        <v>Wuhe [CNWHE]</v>
      </c>
      <c r="AN17392" t="s">
        <v>6208</v>
      </c>
      <c r="AO17392" t="s">
        <v>6209</v>
      </c>
    </row>
    <row r="17393" spans="39:41" ht="12" customHeight="1" x14ac:dyDescent="0.2">
      <c r="AM17393" t="str">
        <f t="shared" si="272"/>
        <v>Wuhu Pt [CNWHI]</v>
      </c>
      <c r="AN17393" t="s">
        <v>6210</v>
      </c>
      <c r="AO17393" t="s">
        <v>6211</v>
      </c>
    </row>
    <row r="17394" spans="39:41" ht="12" customHeight="1" x14ac:dyDescent="0.2">
      <c r="AM17394" t="str">
        <f t="shared" si="272"/>
        <v>Wujin [CNWJI]</v>
      </c>
      <c r="AN17394" t="s">
        <v>6212</v>
      </c>
      <c r="AO17394" t="s">
        <v>6213</v>
      </c>
    </row>
    <row r="17395" spans="39:41" ht="12" customHeight="1" x14ac:dyDescent="0.2">
      <c r="AM17395" t="str">
        <f t="shared" si="272"/>
        <v>Wukan [CNWUK]</v>
      </c>
      <c r="AN17395" t="s">
        <v>6214</v>
      </c>
      <c r="AO17395" t="s">
        <v>6215</v>
      </c>
    </row>
    <row r="17396" spans="39:41" ht="12" customHeight="1" x14ac:dyDescent="0.2">
      <c r="AM17396" t="str">
        <f t="shared" si="272"/>
        <v>Wulkaprodersdorf [ATWUL]</v>
      </c>
      <c r="AN17396" t="s">
        <v>1373</v>
      </c>
      <c r="AO17396" t="s">
        <v>1374</v>
      </c>
    </row>
    <row r="17397" spans="39:41" ht="12" customHeight="1" x14ac:dyDescent="0.2">
      <c r="AM17397" t="str">
        <f t="shared" si="272"/>
        <v>Wulpen [BEWLP]</v>
      </c>
      <c r="AN17397" t="s">
        <v>3095</v>
      </c>
      <c r="AO17397" t="s">
        <v>3096</v>
      </c>
    </row>
    <row r="17398" spans="39:41" ht="12" customHeight="1" x14ac:dyDescent="0.2">
      <c r="AM17398" t="str">
        <f t="shared" si="272"/>
        <v>Wurenlos [CHWLO]</v>
      </c>
      <c r="AN17398" t="s">
        <v>4772</v>
      </c>
      <c r="AO17398" t="s">
        <v>35345</v>
      </c>
    </row>
    <row r="17399" spans="39:41" ht="12" customHeight="1" x14ac:dyDescent="0.2">
      <c r="AM17399" t="str">
        <f t="shared" ref="AM17399:AM17462" si="273">AO17399 &amp; " [" &amp; AN17399 &amp; "]"</f>
        <v>Wurtland [USWUR]</v>
      </c>
      <c r="AN17399" t="s">
        <v>32077</v>
      </c>
      <c r="AO17399" t="s">
        <v>32078</v>
      </c>
    </row>
    <row r="17400" spans="39:41" ht="12" customHeight="1" x14ac:dyDescent="0.2">
      <c r="AM17400" t="str">
        <f t="shared" si="273"/>
        <v>Wurzburg [DEWUE]</v>
      </c>
      <c r="AN17400" t="s">
        <v>8555</v>
      </c>
      <c r="AO17400" t="s">
        <v>35514</v>
      </c>
    </row>
    <row r="17401" spans="39:41" ht="12" customHeight="1" x14ac:dyDescent="0.2">
      <c r="AM17401" t="str">
        <f t="shared" si="273"/>
        <v>Wusha [CNWSA]</v>
      </c>
      <c r="AN17401" t="s">
        <v>6216</v>
      </c>
      <c r="AO17401" t="s">
        <v>6217</v>
      </c>
    </row>
    <row r="17402" spans="39:41" ht="12" customHeight="1" x14ac:dyDescent="0.2">
      <c r="AM17402" t="str">
        <f t="shared" si="273"/>
        <v>Wushan [CNWSN]</v>
      </c>
      <c r="AN17402" t="s">
        <v>6218</v>
      </c>
      <c r="AO17402" t="s">
        <v>6219</v>
      </c>
    </row>
    <row r="17403" spans="39:41" ht="12" customHeight="1" x14ac:dyDescent="0.2">
      <c r="AM17403" t="str">
        <f t="shared" si="273"/>
        <v>Wusong Pt [CNWUG]</v>
      </c>
      <c r="AN17403" t="s">
        <v>6220</v>
      </c>
      <c r="AO17403" t="s">
        <v>6221</v>
      </c>
    </row>
    <row r="17404" spans="39:41" ht="12" customHeight="1" x14ac:dyDescent="0.2">
      <c r="AM17404" t="str">
        <f t="shared" si="273"/>
        <v>Wutha-Farnroda [DEWFA]</v>
      </c>
      <c r="AN17404" t="s">
        <v>8556</v>
      </c>
      <c r="AO17404" t="s">
        <v>8557</v>
      </c>
    </row>
    <row r="17405" spans="39:41" ht="12" customHeight="1" x14ac:dyDescent="0.2">
      <c r="AM17405" t="str">
        <f t="shared" si="273"/>
        <v>Wu-tu [TWWTU]</v>
      </c>
      <c r="AN17405" t="s">
        <v>28697</v>
      </c>
      <c r="AO17405" t="s">
        <v>28698</v>
      </c>
    </row>
    <row r="17406" spans="39:41" ht="12" customHeight="1" x14ac:dyDescent="0.2">
      <c r="AM17406" t="str">
        <f t="shared" si="273"/>
        <v>Wuxi [CNWXS]</v>
      </c>
      <c r="AN17406" t="s">
        <v>6222</v>
      </c>
      <c r="AO17406" t="s">
        <v>6223</v>
      </c>
    </row>
    <row r="17407" spans="39:41" ht="12" customHeight="1" x14ac:dyDescent="0.2">
      <c r="AM17407" t="str">
        <f t="shared" si="273"/>
        <v>Wuxuan [CNWXA]</v>
      </c>
      <c r="AN17407" t="s">
        <v>6224</v>
      </c>
      <c r="AO17407" t="s">
        <v>6225</v>
      </c>
    </row>
    <row r="17408" spans="39:41" ht="12" customHeight="1" x14ac:dyDescent="0.2">
      <c r="AM17408" t="str">
        <f t="shared" si="273"/>
        <v>Wuxue Pt [CNWXP]</v>
      </c>
      <c r="AN17408" t="s">
        <v>6226</v>
      </c>
      <c r="AO17408" t="s">
        <v>6227</v>
      </c>
    </row>
    <row r="17409" spans="39:41" ht="12" customHeight="1" x14ac:dyDescent="0.2">
      <c r="AM17409" t="str">
        <f t="shared" si="273"/>
        <v>Wuyapao [CNWYP]</v>
      </c>
      <c r="AN17409" t="s">
        <v>6228</v>
      </c>
      <c r="AO17409" t="s">
        <v>6229</v>
      </c>
    </row>
    <row r="17410" spans="39:41" ht="12" customHeight="1" x14ac:dyDescent="0.2">
      <c r="AM17410" t="str">
        <f t="shared" si="273"/>
        <v>Wuzhou Pt [CNWUZ]</v>
      </c>
      <c r="AN17410" t="s">
        <v>6230</v>
      </c>
      <c r="AO17410" t="s">
        <v>6231</v>
      </c>
    </row>
    <row r="17411" spans="39:41" ht="12" customHeight="1" x14ac:dyDescent="0.2">
      <c r="AM17411" t="str">
        <f t="shared" si="273"/>
        <v>Wyatt [USXYT]</v>
      </c>
      <c r="AN17411" t="s">
        <v>32079</v>
      </c>
      <c r="AO17411" t="s">
        <v>32080</v>
      </c>
    </row>
    <row r="17412" spans="39:41" ht="12" customHeight="1" x14ac:dyDescent="0.2">
      <c r="AM17412" t="str">
        <f t="shared" si="273"/>
        <v>Wychbold [GBWYC]</v>
      </c>
      <c r="AN17412" t="s">
        <v>14905</v>
      </c>
      <c r="AO17412" t="s">
        <v>14906</v>
      </c>
    </row>
    <row r="17413" spans="39:41" ht="12" customHeight="1" x14ac:dyDescent="0.2">
      <c r="AM17413" t="str">
        <f t="shared" si="273"/>
        <v>Wyckoff [USZWK]</v>
      </c>
      <c r="AN17413" t="s">
        <v>32081</v>
      </c>
      <c r="AO17413" t="s">
        <v>32082</v>
      </c>
    </row>
    <row r="17414" spans="39:41" ht="12" customHeight="1" x14ac:dyDescent="0.2">
      <c r="AM17414" t="str">
        <f t="shared" si="273"/>
        <v>Wyk auf Fohr [DEWYK]</v>
      </c>
      <c r="AN17414" t="s">
        <v>8558</v>
      </c>
      <c r="AO17414" t="s">
        <v>35515</v>
      </c>
    </row>
    <row r="17415" spans="39:41" ht="12" customHeight="1" x14ac:dyDescent="0.2">
      <c r="AM17415" t="str">
        <f t="shared" si="273"/>
        <v>Wyke Regis [GBWYK]</v>
      </c>
      <c r="AN17415" t="s">
        <v>14907</v>
      </c>
      <c r="AO17415" t="s">
        <v>14908</v>
      </c>
    </row>
    <row r="17416" spans="39:41" ht="12" customHeight="1" x14ac:dyDescent="0.2">
      <c r="AM17416" t="str">
        <f t="shared" si="273"/>
        <v>Wyndham [AUWYN]</v>
      </c>
      <c r="AN17416" t="s">
        <v>2132</v>
      </c>
      <c r="AO17416" t="s">
        <v>2133</v>
      </c>
    </row>
    <row r="17417" spans="39:41" ht="12" customHeight="1" x14ac:dyDescent="0.2">
      <c r="AM17417" t="str">
        <f t="shared" si="273"/>
        <v>Wynnewood [USQWW]</v>
      </c>
      <c r="AN17417" t="s">
        <v>32084</v>
      </c>
      <c r="AO17417" t="s">
        <v>32083</v>
      </c>
    </row>
    <row r="17418" spans="39:41" ht="12" customHeight="1" x14ac:dyDescent="0.2">
      <c r="AM17418" t="str">
        <f t="shared" si="273"/>
        <v>Wyre [GBWYR]</v>
      </c>
      <c r="AN17418" t="s">
        <v>14909</v>
      </c>
      <c r="AO17418" t="s">
        <v>14910</v>
      </c>
    </row>
    <row r="17419" spans="39:41" ht="12" customHeight="1" x14ac:dyDescent="0.2">
      <c r="AM17419" t="str">
        <f t="shared" si="273"/>
        <v>Xalostoc [MXXAL]</v>
      </c>
      <c r="AN17419" t="s">
        <v>22478</v>
      </c>
      <c r="AO17419" t="s">
        <v>22479</v>
      </c>
    </row>
    <row r="17420" spans="39:41" ht="12" customHeight="1" x14ac:dyDescent="0.2">
      <c r="AM17420" t="str">
        <f t="shared" si="273"/>
        <v>Xiadaiji [CNXDJ]</v>
      </c>
      <c r="AN17420" t="s">
        <v>6232</v>
      </c>
      <c r="AO17420" t="s">
        <v>6233</v>
      </c>
    </row>
    <row r="17421" spans="39:41" ht="12" customHeight="1" x14ac:dyDescent="0.2">
      <c r="AM17421" t="str">
        <f t="shared" si="273"/>
        <v>Xiahai [CNXIH]</v>
      </c>
      <c r="AN17421" t="s">
        <v>6234</v>
      </c>
      <c r="AO17421" t="s">
        <v>6235</v>
      </c>
    </row>
    <row r="17422" spans="39:41" ht="12" customHeight="1" x14ac:dyDescent="0.2">
      <c r="AM17422" t="str">
        <f t="shared" si="273"/>
        <v>Xiahua [CNXUA]</v>
      </c>
      <c r="AN17422" t="s">
        <v>6236</v>
      </c>
      <c r="AO17422" t="s">
        <v>6237</v>
      </c>
    </row>
    <row r="17423" spans="39:41" ht="12" customHeight="1" x14ac:dyDescent="0.2">
      <c r="AM17423" t="str">
        <f t="shared" si="273"/>
        <v>Xialong [CNFQX]</v>
      </c>
      <c r="AN17423" t="s">
        <v>6238</v>
      </c>
      <c r="AO17423" t="s">
        <v>6239</v>
      </c>
    </row>
    <row r="17424" spans="39:41" ht="12" customHeight="1" x14ac:dyDescent="0.2">
      <c r="AM17424" t="str">
        <f t="shared" si="273"/>
        <v>Xiamen [CNXAM]</v>
      </c>
      <c r="AN17424" t="s">
        <v>6240</v>
      </c>
      <c r="AO17424" t="s">
        <v>6241</v>
      </c>
    </row>
    <row r="17425" spans="39:41" ht="12" customHeight="1" x14ac:dyDescent="0.2">
      <c r="AM17425" t="str">
        <f t="shared" si="273"/>
        <v>Xiamen Haicang [CNXMH]</v>
      </c>
      <c r="AN17425" t="s">
        <v>6242</v>
      </c>
      <c r="AO17425" t="s">
        <v>6243</v>
      </c>
    </row>
    <row r="17426" spans="39:41" ht="12" customHeight="1" x14ac:dyDescent="0.2">
      <c r="AM17426" t="str">
        <f t="shared" si="273"/>
        <v>Xiamen Pt [CNXMG]</v>
      </c>
      <c r="AN17426" t="s">
        <v>6244</v>
      </c>
      <c r="AO17426" t="s">
        <v>6245</v>
      </c>
    </row>
    <row r="17427" spans="39:41" ht="12" customHeight="1" x14ac:dyDescent="0.2">
      <c r="AM17427" t="str">
        <f t="shared" si="273"/>
        <v>Xian [CNXIA]</v>
      </c>
      <c r="AN17427" t="s">
        <v>6246</v>
      </c>
      <c r="AO17427" t="s">
        <v>6247</v>
      </c>
    </row>
    <row r="17428" spans="39:41" ht="12" customHeight="1" x14ac:dyDescent="0.2">
      <c r="AM17428" t="str">
        <f t="shared" si="273"/>
        <v>Xiangkou [CNXGK]</v>
      </c>
      <c r="AN17428" t="s">
        <v>6248</v>
      </c>
      <c r="AO17428" t="s">
        <v>6249</v>
      </c>
    </row>
    <row r="17429" spans="39:41" ht="12" customHeight="1" x14ac:dyDescent="0.2">
      <c r="AM17429" t="str">
        <f t="shared" si="273"/>
        <v>Xiangshui [CNXSI]</v>
      </c>
      <c r="AN17429" t="s">
        <v>6250</v>
      </c>
      <c r="AO17429" t="s">
        <v>6251</v>
      </c>
    </row>
    <row r="17430" spans="39:41" ht="12" customHeight="1" x14ac:dyDescent="0.2">
      <c r="AM17430" t="str">
        <f t="shared" si="273"/>
        <v>Xiangtan [CNXTA]</v>
      </c>
      <c r="AN17430" t="s">
        <v>6252</v>
      </c>
      <c r="AO17430" t="s">
        <v>6253</v>
      </c>
    </row>
    <row r="17431" spans="39:41" ht="12" customHeight="1" x14ac:dyDescent="0.2">
      <c r="AM17431" t="str">
        <f t="shared" si="273"/>
        <v>Xianguojilugang [CNXAG]</v>
      </c>
      <c r="AN17431" t="s">
        <v>6254</v>
      </c>
      <c r="AO17431" t="s">
        <v>6255</v>
      </c>
    </row>
    <row r="17432" spans="39:41" ht="12" customHeight="1" x14ac:dyDescent="0.2">
      <c r="AM17432" t="str">
        <f t="shared" si="273"/>
        <v>Xiangyu Terminal/ Xiamen [CNXXY]</v>
      </c>
      <c r="AN17432" t="s">
        <v>6256</v>
      </c>
      <c r="AO17432" t="s">
        <v>6257</v>
      </c>
    </row>
    <row r="17433" spans="39:41" ht="12" customHeight="1" x14ac:dyDescent="0.2">
      <c r="AM17433" t="str">
        <f t="shared" si="273"/>
        <v>Xiangzhi [CNXZI]</v>
      </c>
      <c r="AN17433" t="s">
        <v>6258</v>
      </c>
      <c r="AO17433" t="s">
        <v>6259</v>
      </c>
    </row>
    <row r="17434" spans="39:41" ht="12" customHeight="1" x14ac:dyDescent="0.2">
      <c r="AM17434" t="str">
        <f t="shared" si="273"/>
        <v>Xiangzhou [CNXGZ]</v>
      </c>
      <c r="AN17434" t="s">
        <v>6260</v>
      </c>
      <c r="AO17434" t="s">
        <v>6261</v>
      </c>
    </row>
    <row r="17435" spans="39:41" ht="12" customHeight="1" x14ac:dyDescent="0.2">
      <c r="AM17435" t="str">
        <f t="shared" si="273"/>
        <v>Xiangzhou [CNXZU]</v>
      </c>
      <c r="AN17435" t="s">
        <v>6262</v>
      </c>
      <c r="AO17435" t="s">
        <v>6261</v>
      </c>
    </row>
    <row r="17436" spans="39:41" ht="12" customHeight="1" x14ac:dyDescent="0.2">
      <c r="AM17436" t="str">
        <f t="shared" si="273"/>
        <v>Xianing [CNXNG]</v>
      </c>
      <c r="AN17436" t="s">
        <v>6263</v>
      </c>
      <c r="AO17436" t="s">
        <v>6264</v>
      </c>
    </row>
    <row r="17437" spans="39:41" ht="12" customHeight="1" x14ac:dyDescent="0.2">
      <c r="AM17437" t="str">
        <f t="shared" si="273"/>
        <v>Xiantan [CNXTN]</v>
      </c>
      <c r="AN17437" t="s">
        <v>6265</v>
      </c>
      <c r="AO17437" t="s">
        <v>6266</v>
      </c>
    </row>
    <row r="17438" spans="39:41" ht="12" customHeight="1" x14ac:dyDescent="0.2">
      <c r="AM17438" t="str">
        <f t="shared" si="273"/>
        <v>Xiaochi [CNXCI]</v>
      </c>
      <c r="AN17438" t="s">
        <v>6267</v>
      </c>
      <c r="AO17438" t="s">
        <v>6268</v>
      </c>
    </row>
    <row r="17439" spans="39:41" ht="12" customHeight="1" x14ac:dyDescent="0.2">
      <c r="AM17439" t="str">
        <f t="shared" si="273"/>
        <v>Xiaocuo Pt [CNXCU]</v>
      </c>
      <c r="AN17439" t="s">
        <v>6269</v>
      </c>
      <c r="AO17439" t="s">
        <v>6270</v>
      </c>
    </row>
    <row r="17440" spans="39:41" ht="12" customHeight="1" x14ac:dyDescent="0.2">
      <c r="AM17440" t="str">
        <f t="shared" si="273"/>
        <v>Xiaohudao [CNXHO]</v>
      </c>
      <c r="AN17440" t="s">
        <v>6271</v>
      </c>
      <c r="AO17440" t="s">
        <v>6272</v>
      </c>
    </row>
    <row r="17441" spans="39:41" ht="12" customHeight="1" x14ac:dyDescent="0.2">
      <c r="AM17441" t="str">
        <f t="shared" si="273"/>
        <v>Xiaojiangba [CNXJB]</v>
      </c>
      <c r="AN17441" t="s">
        <v>6273</v>
      </c>
      <c r="AO17441" t="s">
        <v>6274</v>
      </c>
    </row>
    <row r="17442" spans="39:41" ht="12" customHeight="1" x14ac:dyDescent="0.2">
      <c r="AM17442" t="str">
        <f t="shared" si="273"/>
        <v>Xiaolan [CNXAO]</v>
      </c>
      <c r="AN17442" t="s">
        <v>6275</v>
      </c>
      <c r="AO17442" t="s">
        <v>6276</v>
      </c>
    </row>
    <row r="17443" spans="39:41" ht="12" customHeight="1" x14ac:dyDescent="0.2">
      <c r="AM17443" t="str">
        <f t="shared" si="273"/>
        <v>Xiaotang [CNXOT]</v>
      </c>
      <c r="AN17443" t="s">
        <v>6277</v>
      </c>
      <c r="AO17443" t="s">
        <v>6278</v>
      </c>
    </row>
    <row r="17444" spans="39:41" ht="12" customHeight="1" x14ac:dyDescent="0.2">
      <c r="AM17444" t="str">
        <f t="shared" si="273"/>
        <v>Xiashan [CNXAS]</v>
      </c>
      <c r="AN17444" t="s">
        <v>6279</v>
      </c>
      <c r="AO17444" t="s">
        <v>6280</v>
      </c>
    </row>
    <row r="17445" spans="39:41" ht="12" customHeight="1" x14ac:dyDescent="0.2">
      <c r="AM17445" t="str">
        <f t="shared" si="273"/>
        <v>Xiaying [CNXYN]</v>
      </c>
      <c r="AN17445" t="s">
        <v>6281</v>
      </c>
      <c r="AO17445" t="s">
        <v>6282</v>
      </c>
    </row>
    <row r="17446" spans="39:41" ht="12" customHeight="1" x14ac:dyDescent="0.2">
      <c r="AM17446" t="str">
        <f t="shared" si="273"/>
        <v>Xiazhai [CNZXZ]</v>
      </c>
      <c r="AN17446" t="s">
        <v>6283</v>
      </c>
      <c r="AO17446" t="s">
        <v>6284</v>
      </c>
    </row>
    <row r="17447" spans="39:41" ht="12" customHeight="1" x14ac:dyDescent="0.2">
      <c r="AM17447" t="str">
        <f t="shared" si="273"/>
        <v>Xichong Pt [CNXCG]</v>
      </c>
      <c r="AN17447" t="s">
        <v>6285</v>
      </c>
      <c r="AO17447" t="s">
        <v>6286</v>
      </c>
    </row>
    <row r="17448" spans="39:41" ht="12" customHeight="1" x14ac:dyDescent="0.2">
      <c r="AM17448" t="str">
        <f t="shared" si="273"/>
        <v>Xidi [CNXTI]</v>
      </c>
      <c r="AN17448" t="s">
        <v>6287</v>
      </c>
      <c r="AO17448" t="s">
        <v>6288</v>
      </c>
    </row>
    <row r="17449" spans="39:41" ht="12" customHeight="1" x14ac:dyDescent="0.2">
      <c r="AM17449" t="str">
        <f t="shared" si="273"/>
        <v>Xiexu [CNXEX]</v>
      </c>
      <c r="AN17449" t="s">
        <v>6289</v>
      </c>
      <c r="AO17449" t="s">
        <v>6290</v>
      </c>
    </row>
    <row r="17450" spans="39:41" ht="12" customHeight="1" x14ac:dyDescent="0.2">
      <c r="AM17450" t="str">
        <f t="shared" si="273"/>
        <v>Xijiang [CNXIJ]</v>
      </c>
      <c r="AN17450" t="s">
        <v>6291</v>
      </c>
      <c r="AO17450" t="s">
        <v>6292</v>
      </c>
    </row>
    <row r="17451" spans="39:41" ht="12" customHeight="1" x14ac:dyDescent="0.2">
      <c r="AM17451" t="str">
        <f t="shared" si="273"/>
        <v>Xiliangshan [CNXLS]</v>
      </c>
      <c r="AN17451" t="s">
        <v>6293</v>
      </c>
      <c r="AO17451" t="s">
        <v>6294</v>
      </c>
    </row>
    <row r="17452" spans="39:41" ht="12" customHeight="1" x14ac:dyDescent="0.2">
      <c r="AM17452" t="str">
        <f t="shared" si="273"/>
        <v>Xilin Hot [CNXHT]</v>
      </c>
      <c r="AN17452" t="s">
        <v>6295</v>
      </c>
      <c r="AO17452" t="s">
        <v>6296</v>
      </c>
    </row>
    <row r="17453" spans="39:41" ht="12" customHeight="1" x14ac:dyDescent="0.2">
      <c r="AM17453" t="str">
        <f t="shared" si="273"/>
        <v>Xinan [CNSHX]</v>
      </c>
      <c r="AN17453" t="s">
        <v>6297</v>
      </c>
      <c r="AO17453" t="s">
        <v>6298</v>
      </c>
    </row>
    <row r="17454" spans="39:41" ht="12" customHeight="1" x14ac:dyDescent="0.2">
      <c r="AM17454" t="str">
        <f t="shared" si="273"/>
        <v>Xincun [CNLSX]</v>
      </c>
      <c r="AN17454" t="s">
        <v>6299</v>
      </c>
      <c r="AO17454" t="s">
        <v>6300</v>
      </c>
    </row>
    <row r="17455" spans="39:41" ht="12" customHeight="1" x14ac:dyDescent="0.2">
      <c r="AM17455" t="str">
        <f t="shared" si="273"/>
        <v>Xindi [CNXID]</v>
      </c>
      <c r="AN17455" t="s">
        <v>6301</v>
      </c>
      <c r="AO17455" t="s">
        <v>6302</v>
      </c>
    </row>
    <row r="17456" spans="39:41" ht="12" customHeight="1" x14ac:dyDescent="0.2">
      <c r="AM17456" t="str">
        <f t="shared" si="273"/>
        <v>Xindian [CNXDI]</v>
      </c>
      <c r="AN17456" t="s">
        <v>6303</v>
      </c>
      <c r="AO17456" t="s">
        <v>6304</v>
      </c>
    </row>
    <row r="17457" spans="39:41" ht="12" customHeight="1" x14ac:dyDescent="0.2">
      <c r="AM17457" t="str">
        <f t="shared" si="273"/>
        <v>Xindu [CNXDU]</v>
      </c>
      <c r="AN17457" t="s">
        <v>6305</v>
      </c>
      <c r="AO17457" t="s">
        <v>6306</v>
      </c>
    </row>
    <row r="17458" spans="39:41" ht="12" customHeight="1" x14ac:dyDescent="0.2">
      <c r="AM17458" t="str">
        <f t="shared" si="273"/>
        <v>Xingang [CNXIP]</v>
      </c>
      <c r="AN17458" t="s">
        <v>6307</v>
      </c>
      <c r="AO17458" t="s">
        <v>6308</v>
      </c>
    </row>
    <row r="17459" spans="39:41" ht="12" customHeight="1" x14ac:dyDescent="0.2">
      <c r="AM17459" t="str">
        <f t="shared" si="273"/>
        <v>Xingang [CNXGA]</v>
      </c>
      <c r="AN17459" t="s">
        <v>6309</v>
      </c>
      <c r="AO17459" t="s">
        <v>6308</v>
      </c>
    </row>
    <row r="17460" spans="39:41" ht="12" customHeight="1" x14ac:dyDescent="0.2">
      <c r="AM17460" t="str">
        <f t="shared" si="273"/>
        <v>Xingcheng [CNXCE]</v>
      </c>
      <c r="AN17460" t="s">
        <v>6310</v>
      </c>
      <c r="AO17460" t="s">
        <v>6311</v>
      </c>
    </row>
    <row r="17461" spans="39:41" ht="12" customHeight="1" x14ac:dyDescent="0.2">
      <c r="AM17461" t="str">
        <f t="shared" si="273"/>
        <v>Xingdong [CNXGD]</v>
      </c>
      <c r="AN17461" t="s">
        <v>6312</v>
      </c>
      <c r="AO17461" t="s">
        <v>6313</v>
      </c>
    </row>
    <row r="17462" spans="39:41" ht="12" customHeight="1" x14ac:dyDescent="0.2">
      <c r="AM17462" t="str">
        <f t="shared" si="273"/>
        <v>Xinhekou [CNXHK]</v>
      </c>
      <c r="AN17462" t="s">
        <v>6314</v>
      </c>
      <c r="AO17462" t="s">
        <v>6315</v>
      </c>
    </row>
    <row r="17463" spans="39:41" ht="12" customHeight="1" x14ac:dyDescent="0.2">
      <c r="AM17463" t="str">
        <f t="shared" ref="AM17463:AM17526" si="274">AO17463 &amp; " [" &amp; AN17463 &amp; "]"</f>
        <v>Xinhuan [CNDMX]</v>
      </c>
      <c r="AN17463" t="s">
        <v>6316</v>
      </c>
      <c r="AO17463" t="s">
        <v>6317</v>
      </c>
    </row>
    <row r="17464" spans="39:41" ht="12" customHeight="1" x14ac:dyDescent="0.2">
      <c r="AM17464" t="str">
        <f t="shared" si="274"/>
        <v>Xinhui Pt [CNXIN]</v>
      </c>
      <c r="AN17464" t="s">
        <v>6318</v>
      </c>
      <c r="AO17464" t="s">
        <v>6319</v>
      </c>
    </row>
    <row r="17465" spans="39:41" ht="12" customHeight="1" x14ac:dyDescent="0.2">
      <c r="AM17465" t="str">
        <f t="shared" si="274"/>
        <v>Xinkai [CNXIK]</v>
      </c>
      <c r="AN17465" t="s">
        <v>6320</v>
      </c>
      <c r="AO17465" t="s">
        <v>6321</v>
      </c>
    </row>
    <row r="17466" spans="39:41" ht="12" customHeight="1" x14ac:dyDescent="0.2">
      <c r="AM17466" t="str">
        <f t="shared" si="274"/>
        <v>Xinsha [CNXNA]</v>
      </c>
      <c r="AN17466" t="s">
        <v>6322</v>
      </c>
      <c r="AO17466" t="s">
        <v>6323</v>
      </c>
    </row>
    <row r="17467" spans="39:41" ht="12" customHeight="1" x14ac:dyDescent="0.2">
      <c r="AM17467" t="str">
        <f t="shared" si="274"/>
        <v>Xintang Pt [CNXIT]</v>
      </c>
      <c r="AN17467" t="s">
        <v>6324</v>
      </c>
      <c r="AO17467" t="s">
        <v>6325</v>
      </c>
    </row>
    <row r="17468" spans="39:41" ht="12" customHeight="1" x14ac:dyDescent="0.2">
      <c r="AM17468" t="str">
        <f t="shared" si="274"/>
        <v>Xinxing [CNXNI]</v>
      </c>
      <c r="AN17468" t="s">
        <v>6326</v>
      </c>
      <c r="AO17468" t="s">
        <v>6327</v>
      </c>
    </row>
    <row r="17469" spans="39:41" ht="12" customHeight="1" x14ac:dyDescent="0.2">
      <c r="AM17469" t="str">
        <f t="shared" si="274"/>
        <v>Xinxu [CNCNX]</v>
      </c>
      <c r="AN17469" t="s">
        <v>6328</v>
      </c>
      <c r="AO17469" t="s">
        <v>6329</v>
      </c>
    </row>
    <row r="17470" spans="39:41" ht="12" customHeight="1" x14ac:dyDescent="0.2">
      <c r="AM17470" t="str">
        <f t="shared" si="274"/>
        <v>Xinyang [CNING]</v>
      </c>
      <c r="AN17470" t="s">
        <v>6330</v>
      </c>
      <c r="AO17470" t="s">
        <v>6331</v>
      </c>
    </row>
    <row r="17471" spans="39:41" ht="12" customHeight="1" x14ac:dyDescent="0.2">
      <c r="AM17471" t="str">
        <f t="shared" si="274"/>
        <v>Xinying [CNXYI]</v>
      </c>
      <c r="AN17471" t="s">
        <v>6332</v>
      </c>
      <c r="AO17471" t="s">
        <v>6333</v>
      </c>
    </row>
    <row r="17472" spans="39:41" ht="12" customHeight="1" x14ac:dyDescent="0.2">
      <c r="AM17472" t="str">
        <f t="shared" si="274"/>
        <v>Xirokambion [GRXKB]</v>
      </c>
      <c r="AN17472" t="s">
        <v>15579</v>
      </c>
      <c r="AO17472" t="s">
        <v>35994</v>
      </c>
    </row>
    <row r="17473" spans="39:41" ht="12" customHeight="1" x14ac:dyDescent="0.2">
      <c r="AM17473" t="str">
        <f t="shared" si="274"/>
        <v>Xitou [CNXTO]</v>
      </c>
      <c r="AN17473" t="s">
        <v>6334</v>
      </c>
      <c r="AO17473" t="s">
        <v>6335</v>
      </c>
    </row>
    <row r="17474" spans="39:41" ht="12" customHeight="1" x14ac:dyDescent="0.2">
      <c r="AM17474" t="str">
        <f t="shared" si="274"/>
        <v>Xiulin [CNXUL]</v>
      </c>
      <c r="AN17474" t="s">
        <v>6336</v>
      </c>
      <c r="AO17474" t="s">
        <v>6337</v>
      </c>
    </row>
    <row r="17475" spans="39:41" ht="12" customHeight="1" x14ac:dyDescent="0.2">
      <c r="AM17475" t="str">
        <f t="shared" si="274"/>
        <v>Xiuyu Pt [CNXYG]</v>
      </c>
      <c r="AN17475" t="s">
        <v>6338</v>
      </c>
      <c r="AO17475" t="s">
        <v>6339</v>
      </c>
    </row>
    <row r="17476" spans="39:41" ht="12" customHeight="1" x14ac:dyDescent="0.2">
      <c r="AM17476" t="str">
        <f t="shared" si="274"/>
        <v>Xochimancas [MX9AS]</v>
      </c>
      <c r="AN17476" t="s">
        <v>22480</v>
      </c>
      <c r="AO17476" t="s">
        <v>22481</v>
      </c>
    </row>
    <row r="17477" spans="39:41" ht="12" customHeight="1" x14ac:dyDescent="0.2">
      <c r="AM17477" t="str">
        <f t="shared" si="274"/>
        <v>Xuanmen [CNXUM]</v>
      </c>
      <c r="AN17477" t="s">
        <v>6340</v>
      </c>
      <c r="AO17477" t="s">
        <v>6341</v>
      </c>
    </row>
    <row r="17478" spans="39:41" ht="12" customHeight="1" x14ac:dyDescent="0.2">
      <c r="AM17478" t="str">
        <f t="shared" si="274"/>
        <v>Xueao [CNXEO]</v>
      </c>
      <c r="AN17478" t="s">
        <v>6342</v>
      </c>
      <c r="AO17478" t="s">
        <v>6343</v>
      </c>
    </row>
    <row r="17479" spans="39:41" ht="12" customHeight="1" x14ac:dyDescent="0.2">
      <c r="AM17479" t="str">
        <f t="shared" si="274"/>
        <v>Xuejiadao [CNXJD]</v>
      </c>
      <c r="AN17479" t="s">
        <v>6344</v>
      </c>
      <c r="AO17479" t="s">
        <v>6345</v>
      </c>
    </row>
    <row r="17480" spans="39:41" ht="12" customHeight="1" x14ac:dyDescent="0.2">
      <c r="AM17480" t="str">
        <f t="shared" si="274"/>
        <v>Xuetangzhou [CNXTZ]</v>
      </c>
      <c r="AN17480" t="s">
        <v>6346</v>
      </c>
      <c r="AO17480" t="s">
        <v>6347</v>
      </c>
    </row>
    <row r="17481" spans="39:41" ht="12" customHeight="1" x14ac:dyDescent="0.2">
      <c r="AM17481" t="str">
        <f t="shared" si="274"/>
        <v>Xunke [CNXUK]</v>
      </c>
      <c r="AN17481" t="s">
        <v>6348</v>
      </c>
      <c r="AO17481" t="s">
        <v>6349</v>
      </c>
    </row>
    <row r="17482" spans="39:41" ht="12" customHeight="1" x14ac:dyDescent="0.2">
      <c r="AM17482" t="str">
        <f t="shared" si="274"/>
        <v>Yabagou [CNYBG]</v>
      </c>
      <c r="AN17482" t="s">
        <v>6350</v>
      </c>
      <c r="AO17482" t="s">
        <v>6351</v>
      </c>
    </row>
    <row r="17483" spans="39:41" ht="12" customHeight="1" x14ac:dyDescent="0.2">
      <c r="AM17483" t="str">
        <f t="shared" si="274"/>
        <v>Yachiyo [JPYCH]</v>
      </c>
      <c r="AN17483" t="s">
        <v>21390</v>
      </c>
      <c r="AO17483" t="s">
        <v>21391</v>
      </c>
    </row>
    <row r="17484" spans="39:41" ht="12" customHeight="1" x14ac:dyDescent="0.2">
      <c r="AM17484" t="str">
        <f t="shared" si="274"/>
        <v>Yaene [JPYNE]</v>
      </c>
      <c r="AN17484" t="s">
        <v>21392</v>
      </c>
      <c r="AO17484" t="s">
        <v>21393</v>
      </c>
    </row>
    <row r="17485" spans="39:41" ht="12" customHeight="1" x14ac:dyDescent="0.2">
      <c r="AM17485" t="str">
        <f t="shared" si="274"/>
        <v>Yagelnaya Bukhta [RUYAB]</v>
      </c>
      <c r="AN17485" t="s">
        <v>27341</v>
      </c>
      <c r="AO17485" t="s">
        <v>27342</v>
      </c>
    </row>
    <row r="17486" spans="39:41" ht="12" customHeight="1" x14ac:dyDescent="0.2">
      <c r="AM17486" t="str">
        <f t="shared" si="274"/>
        <v>Yagi, Hyogo [JPYAG]</v>
      </c>
      <c r="AN17486" t="s">
        <v>21394</v>
      </c>
      <c r="AO17486" t="s">
        <v>21395</v>
      </c>
    </row>
    <row r="17487" spans="39:41" ht="12" customHeight="1" x14ac:dyDescent="0.2">
      <c r="AM17487" t="str">
        <f t="shared" si="274"/>
        <v>Yagi, Iwate [JPYGI]</v>
      </c>
      <c r="AN17487" t="s">
        <v>21396</v>
      </c>
      <c r="AO17487" t="s">
        <v>21397</v>
      </c>
    </row>
    <row r="17488" spans="39:41" ht="12" customHeight="1" x14ac:dyDescent="0.2">
      <c r="AM17488" t="str">
        <f t="shared" si="274"/>
        <v>Yagishiri [JPYGR]</v>
      </c>
      <c r="AN17488" t="s">
        <v>21398</v>
      </c>
      <c r="AO17488" t="s">
        <v>21399</v>
      </c>
    </row>
    <row r="17489" spans="39:41" ht="12" customHeight="1" x14ac:dyDescent="0.2">
      <c r="AM17489" t="str">
        <f t="shared" si="274"/>
        <v>Yaizu [JPYZU]</v>
      </c>
      <c r="AN17489" t="s">
        <v>21400</v>
      </c>
      <c r="AO17489" t="s">
        <v>21401</v>
      </c>
    </row>
    <row r="17490" spans="39:41" ht="12" customHeight="1" x14ac:dyDescent="0.2">
      <c r="AM17490" t="str">
        <f t="shared" si="274"/>
        <v>Yakuzu [JPYKU]</v>
      </c>
      <c r="AN17490" t="s">
        <v>21402</v>
      </c>
      <c r="AO17490" t="s">
        <v>21403</v>
      </c>
    </row>
    <row r="17491" spans="39:41" ht="12" customHeight="1" x14ac:dyDescent="0.2">
      <c r="AM17491" t="str">
        <f t="shared" si="274"/>
        <v>Yali Island [GRYLI]</v>
      </c>
      <c r="AN17491" t="s">
        <v>15580</v>
      </c>
      <c r="AO17491" t="s">
        <v>15581</v>
      </c>
    </row>
    <row r="17492" spans="39:41" ht="12" customHeight="1" x14ac:dyDescent="0.2">
      <c r="AM17492" t="str">
        <f t="shared" si="274"/>
        <v>Yalova [TRYAL]</v>
      </c>
      <c r="AN17492" t="s">
        <v>28614</v>
      </c>
      <c r="AO17492" t="s">
        <v>28615</v>
      </c>
    </row>
    <row r="17493" spans="39:41" ht="12" customHeight="1" x14ac:dyDescent="0.2">
      <c r="AM17493" t="str">
        <f t="shared" si="274"/>
        <v>Yaltra [GRYAL]</v>
      </c>
      <c r="AN17493" t="s">
        <v>15582</v>
      </c>
      <c r="AO17493" t="s">
        <v>15583</v>
      </c>
    </row>
    <row r="17494" spans="39:41" ht="12" customHeight="1" x14ac:dyDescent="0.2">
      <c r="AM17494" t="str">
        <f t="shared" si="274"/>
        <v>Yamachiche [CAZYE]</v>
      </c>
      <c r="AN17494" t="s">
        <v>4609</v>
      </c>
      <c r="AO17494" t="s">
        <v>4610</v>
      </c>
    </row>
    <row r="17495" spans="39:41" ht="12" customHeight="1" x14ac:dyDescent="0.2">
      <c r="AM17495" t="str">
        <f t="shared" si="274"/>
        <v>Yamada [JPYQD]</v>
      </c>
      <c r="AN17495" t="s">
        <v>21404</v>
      </c>
      <c r="AO17495" t="s">
        <v>21405</v>
      </c>
    </row>
    <row r="17496" spans="39:41" ht="12" customHeight="1" x14ac:dyDescent="0.2">
      <c r="AM17496" t="str">
        <f t="shared" si="274"/>
        <v>Yamada, Iwate [JPYAD]</v>
      </c>
      <c r="AN17496" t="s">
        <v>21406</v>
      </c>
      <c r="AO17496" t="s">
        <v>21407</v>
      </c>
    </row>
    <row r="17497" spans="39:41" ht="12" customHeight="1" x14ac:dyDescent="0.2">
      <c r="AM17497" t="str">
        <f t="shared" si="274"/>
        <v>Yamada, Okayama [JPYMD]</v>
      </c>
      <c r="AN17497" t="s">
        <v>21408</v>
      </c>
      <c r="AO17497" t="s">
        <v>21409</v>
      </c>
    </row>
    <row r="17498" spans="39:41" ht="12" customHeight="1" x14ac:dyDescent="0.2">
      <c r="AM17498" t="str">
        <f t="shared" si="274"/>
        <v>Yamagawa [JPYAM]</v>
      </c>
      <c r="AN17498" t="s">
        <v>21410</v>
      </c>
      <c r="AO17498" t="s">
        <v>21411</v>
      </c>
    </row>
    <row r="17499" spans="39:41" ht="12" customHeight="1" x14ac:dyDescent="0.2">
      <c r="AM17499" t="str">
        <f t="shared" si="274"/>
        <v>Yamaguchi [JPYMG]</v>
      </c>
      <c r="AN17499" t="s">
        <v>21412</v>
      </c>
      <c r="AO17499" t="s">
        <v>21413</v>
      </c>
    </row>
    <row r="17500" spans="39:41" ht="12" customHeight="1" x14ac:dyDescent="0.2">
      <c r="AM17500" t="str">
        <f t="shared" si="274"/>
        <v>Yamaguchihigashi [JPYGH]</v>
      </c>
      <c r="AN17500" t="s">
        <v>21414</v>
      </c>
      <c r="AO17500" t="s">
        <v>21415</v>
      </c>
    </row>
    <row r="17501" spans="39:41" ht="12" customHeight="1" x14ac:dyDescent="0.2">
      <c r="AM17501" t="str">
        <f t="shared" si="274"/>
        <v>Yamanoura [JPYMN]</v>
      </c>
      <c r="AN17501" t="s">
        <v>21416</v>
      </c>
      <c r="AO17501" t="s">
        <v>21417</v>
      </c>
    </row>
    <row r="17502" spans="39:41" ht="12" customHeight="1" x14ac:dyDescent="0.2">
      <c r="AM17502" t="str">
        <f t="shared" si="274"/>
        <v>Yamatani [JPYMT]</v>
      </c>
      <c r="AN17502" t="s">
        <v>21418</v>
      </c>
      <c r="AO17502" t="s">
        <v>21419</v>
      </c>
    </row>
    <row r="17503" spans="39:41" ht="12" customHeight="1" x14ac:dyDescent="0.2">
      <c r="AM17503" t="str">
        <f t="shared" si="274"/>
        <v>Yamba [AUYBA]</v>
      </c>
      <c r="AN17503" t="s">
        <v>2134</v>
      </c>
      <c r="AO17503" t="s">
        <v>2135</v>
      </c>
    </row>
    <row r="17504" spans="39:41" ht="12" customHeight="1" x14ac:dyDescent="0.2">
      <c r="AM17504" t="str">
        <f t="shared" si="274"/>
        <v>Yamburg [RUYAM]</v>
      </c>
      <c r="AN17504" t="s">
        <v>27343</v>
      </c>
      <c r="AO17504" t="s">
        <v>27344</v>
      </c>
    </row>
    <row r="17505" spans="39:41" ht="12" customHeight="1" x14ac:dyDescent="0.2">
      <c r="AM17505" t="str">
        <f t="shared" si="274"/>
        <v>Yampi [AUYAM]</v>
      </c>
      <c r="AN17505" t="s">
        <v>2136</v>
      </c>
      <c r="AO17505" t="s">
        <v>2137</v>
      </c>
    </row>
    <row r="17506" spans="39:41" ht="12" customHeight="1" x14ac:dyDescent="0.2">
      <c r="AM17506" t="str">
        <f t="shared" si="274"/>
        <v>Yanagi [JPYAA]</v>
      </c>
      <c r="AN17506" t="s">
        <v>21420</v>
      </c>
      <c r="AO17506" t="s">
        <v>21421</v>
      </c>
    </row>
    <row r="17507" spans="39:41" ht="12" customHeight="1" x14ac:dyDescent="0.2">
      <c r="AM17507" t="str">
        <f t="shared" si="274"/>
        <v>Yanai [JPYAN]</v>
      </c>
      <c r="AN17507" t="s">
        <v>21422</v>
      </c>
      <c r="AO17507" t="s">
        <v>21423</v>
      </c>
    </row>
    <row r="17508" spans="39:41" ht="12" customHeight="1" x14ac:dyDescent="0.2">
      <c r="AM17508" t="str">
        <f t="shared" si="274"/>
        <v>Yanbu al-Bahr [SAYNB]</v>
      </c>
      <c r="AN17508" t="s">
        <v>27425</v>
      </c>
      <c r="AO17508" t="s">
        <v>27426</v>
      </c>
    </row>
    <row r="17509" spans="39:41" ht="12" customHeight="1" x14ac:dyDescent="0.2">
      <c r="AM17509" t="str">
        <f t="shared" si="274"/>
        <v>Yanbu Industrial City [SAYBI]</v>
      </c>
      <c r="AN17509" t="s">
        <v>27427</v>
      </c>
      <c r="AO17509" t="s">
        <v>27428</v>
      </c>
    </row>
    <row r="17510" spans="39:41" ht="12" customHeight="1" x14ac:dyDescent="0.2">
      <c r="AM17510" t="str">
        <f t="shared" si="274"/>
        <v>Yandina, Russell Island [SBXYA]</v>
      </c>
      <c r="AN17510" t="s">
        <v>27465</v>
      </c>
      <c r="AO17510" t="s">
        <v>27466</v>
      </c>
    </row>
    <row r="17511" spans="39:41" ht="12" customHeight="1" x14ac:dyDescent="0.2">
      <c r="AM17511" t="str">
        <f t="shared" si="274"/>
        <v>Yangjiachang [CNYJC]</v>
      </c>
      <c r="AN17511" t="s">
        <v>6352</v>
      </c>
      <c r="AO17511" t="s">
        <v>6353</v>
      </c>
    </row>
    <row r="17512" spans="39:41" ht="12" customHeight="1" x14ac:dyDescent="0.2">
      <c r="AM17512" t="str">
        <f t="shared" si="274"/>
        <v>Yangjiang Pt [CNYJI]</v>
      </c>
      <c r="AN17512" t="s">
        <v>6354</v>
      </c>
      <c r="AO17512" t="s">
        <v>6355</v>
      </c>
    </row>
    <row r="17513" spans="39:41" ht="12" customHeight="1" x14ac:dyDescent="0.2">
      <c r="AM17513" t="str">
        <f t="shared" si="274"/>
        <v>Yangkou [CNYGK]</v>
      </c>
      <c r="AN17513" t="s">
        <v>6356</v>
      </c>
      <c r="AO17513" t="s">
        <v>6357</v>
      </c>
    </row>
    <row r="17514" spans="39:41" ht="12" customHeight="1" x14ac:dyDescent="0.2">
      <c r="AM17514" t="str">
        <f t="shared" si="274"/>
        <v>Yangkou Pt [CNYKG]</v>
      </c>
      <c r="AN17514" t="s">
        <v>33829</v>
      </c>
      <c r="AO17514" t="s">
        <v>33952</v>
      </c>
    </row>
    <row r="17515" spans="39:41" ht="12" customHeight="1" x14ac:dyDescent="0.2">
      <c r="AM17515" t="str">
        <f t="shared" si="274"/>
        <v>Yangli [CNYLI]</v>
      </c>
      <c r="AN17515" t="s">
        <v>6358</v>
      </c>
      <c r="AO17515" t="s">
        <v>6359</v>
      </c>
    </row>
    <row r="17516" spans="39:41" ht="12" customHeight="1" x14ac:dyDescent="0.2">
      <c r="AM17516" t="str">
        <f t="shared" si="274"/>
        <v>Yangmadao [CNYMD]</v>
      </c>
      <c r="AN17516" t="s">
        <v>6360</v>
      </c>
      <c r="AO17516" t="s">
        <v>6361</v>
      </c>
    </row>
    <row r="17517" spans="39:41" ht="12" customHeight="1" x14ac:dyDescent="0.2">
      <c r="AM17517" t="str">
        <f t="shared" si="274"/>
        <v>Yangon [MMRGN]</v>
      </c>
      <c r="AN17517" t="s">
        <v>22218</v>
      </c>
      <c r="AO17517" t="s">
        <v>22219</v>
      </c>
    </row>
    <row r="17518" spans="39:41" ht="12" customHeight="1" x14ac:dyDescent="0.2">
      <c r="AM17518" t="str">
        <f t="shared" si="274"/>
        <v>Yangpeng [CNYPE]</v>
      </c>
      <c r="AN17518" t="s">
        <v>6362</v>
      </c>
      <c r="AO17518" t="s">
        <v>6363</v>
      </c>
    </row>
    <row r="17519" spans="39:41" ht="12" customHeight="1" x14ac:dyDescent="0.2">
      <c r="AM17519" t="str">
        <f t="shared" si="274"/>
        <v>Yangpu Pt [CNYPG]</v>
      </c>
      <c r="AN17519" t="s">
        <v>6364</v>
      </c>
      <c r="AO17519" t="s">
        <v>6365</v>
      </c>
    </row>
    <row r="17520" spans="39:41" ht="12" customHeight="1" x14ac:dyDescent="0.2">
      <c r="AM17520" t="str">
        <f t="shared" si="274"/>
        <v>Yangshan [CNYSN]</v>
      </c>
      <c r="AN17520" t="s">
        <v>6367</v>
      </c>
      <c r="AO17520" t="s">
        <v>6366</v>
      </c>
    </row>
    <row r="17521" spans="39:41" ht="12" customHeight="1" x14ac:dyDescent="0.2">
      <c r="AM17521" t="str">
        <f t="shared" si="274"/>
        <v>Yangshan Pt [CNYSA]</v>
      </c>
      <c r="AN17521" t="s">
        <v>6368</v>
      </c>
      <c r="AO17521" t="s">
        <v>6369</v>
      </c>
    </row>
    <row r="17522" spans="39:41" ht="12" customHeight="1" x14ac:dyDescent="0.2">
      <c r="AM17522" t="str">
        <f t="shared" si="274"/>
        <v>Yangshuo [CNYSO]</v>
      </c>
      <c r="AN17522" t="s">
        <v>6370</v>
      </c>
      <c r="AO17522" t="s">
        <v>6371</v>
      </c>
    </row>
    <row r="17523" spans="39:41" ht="12" customHeight="1" x14ac:dyDescent="0.2">
      <c r="AM17523" t="str">
        <f t="shared" si="274"/>
        <v>Yangxi [CNYGX]</v>
      </c>
      <c r="AN17523" t="s">
        <v>6372</v>
      </c>
      <c r="AO17523" t="s">
        <v>6373</v>
      </c>
    </row>
    <row r="17524" spans="39:41" ht="12" customHeight="1" x14ac:dyDescent="0.2">
      <c r="AM17524" t="str">
        <f t="shared" si="274"/>
        <v>Yangxifengtou [CNYXT]</v>
      </c>
      <c r="AN17524" t="s">
        <v>6374</v>
      </c>
      <c r="AO17524" t="s">
        <v>6375</v>
      </c>
    </row>
    <row r="17525" spans="39:41" ht="12" customHeight="1" x14ac:dyDescent="0.2">
      <c r="AM17525" t="str">
        <f t="shared" si="274"/>
        <v>Yangzhong [CNYNG]</v>
      </c>
      <c r="AN17525" t="s">
        <v>6376</v>
      </c>
      <c r="AO17525" t="s">
        <v>6377</v>
      </c>
    </row>
    <row r="17526" spans="39:41" ht="12" customHeight="1" x14ac:dyDescent="0.2">
      <c r="AM17526" t="str">
        <f t="shared" si="274"/>
        <v>Yangzhou Pt [CNYZH]</v>
      </c>
      <c r="AN17526" t="s">
        <v>6378</v>
      </c>
      <c r="AO17526" t="s">
        <v>6379</v>
      </c>
    </row>
    <row r="17527" spans="39:41" ht="12" customHeight="1" x14ac:dyDescent="0.2">
      <c r="AM17527" t="str">
        <f t="shared" ref="AM17527:AM17589" si="275">AO17527 &amp; " [" &amp; AN17527 &amp; "]"</f>
        <v>Yani [JPYNI]</v>
      </c>
      <c r="AN17527" t="s">
        <v>21424</v>
      </c>
      <c r="AO17527" t="s">
        <v>21425</v>
      </c>
    </row>
    <row r="17528" spans="39:41" ht="12" customHeight="1" x14ac:dyDescent="0.2">
      <c r="AM17528" t="str">
        <f t="shared" si="275"/>
        <v>Yanjia [CNYJA]</v>
      </c>
      <c r="AN17528" t="s">
        <v>6380</v>
      </c>
      <c r="AO17528" t="s">
        <v>6381</v>
      </c>
    </row>
    <row r="17529" spans="39:41" ht="12" customHeight="1" x14ac:dyDescent="0.2">
      <c r="AM17529" t="str">
        <f t="shared" si="275"/>
        <v>Yanma [JPYNN]</v>
      </c>
      <c r="AN17529" t="s">
        <v>21426</v>
      </c>
      <c r="AO17529" t="s">
        <v>21427</v>
      </c>
    </row>
    <row r="17530" spans="39:41" ht="12" customHeight="1" x14ac:dyDescent="0.2">
      <c r="AM17530" t="str">
        <f t="shared" si="275"/>
        <v>Yantai [CNYAT]</v>
      </c>
      <c r="AN17530" t="s">
        <v>6382</v>
      </c>
      <c r="AO17530" t="s">
        <v>6383</v>
      </c>
    </row>
    <row r="17531" spans="39:41" ht="12" customHeight="1" x14ac:dyDescent="0.2">
      <c r="AM17531" t="str">
        <f t="shared" si="275"/>
        <v>Yantai Pt [CNYTG]</v>
      </c>
      <c r="AN17531" t="s">
        <v>6384</v>
      </c>
      <c r="AO17531" t="s">
        <v>6385</v>
      </c>
    </row>
    <row r="17532" spans="39:41" ht="12" customHeight="1" x14ac:dyDescent="0.2">
      <c r="AM17532" t="str">
        <f t="shared" si="275"/>
        <v>Yantian Pt [CNYTN]</v>
      </c>
      <c r="AN17532" t="s">
        <v>6386</v>
      </c>
      <c r="AO17532" t="s">
        <v>6387</v>
      </c>
    </row>
    <row r="17533" spans="39:41" ht="12" customHeight="1" x14ac:dyDescent="0.2">
      <c r="AM17533" t="str">
        <f t="shared" si="275"/>
        <v>Yaogou [CNYGO]</v>
      </c>
      <c r="AN17533" t="s">
        <v>6388</v>
      </c>
      <c r="AO17533" t="s">
        <v>6389</v>
      </c>
    </row>
    <row r="17534" spans="39:41" ht="12" customHeight="1" x14ac:dyDescent="0.2">
      <c r="AM17534" t="str">
        <f t="shared" si="275"/>
        <v>Yaojia Pt [CNYJP]</v>
      </c>
      <c r="AN17534" t="s">
        <v>6390</v>
      </c>
      <c r="AO17534" t="s">
        <v>6391</v>
      </c>
    </row>
    <row r="17535" spans="39:41" ht="12" customHeight="1" x14ac:dyDescent="0.2">
      <c r="AM17535" t="str">
        <f t="shared" si="275"/>
        <v>Yap [FMYAP]</v>
      </c>
      <c r="AN17535" t="s">
        <v>10669</v>
      </c>
      <c r="AO17535" t="s">
        <v>10670</v>
      </c>
    </row>
    <row r="17536" spans="39:41" ht="12" customHeight="1" x14ac:dyDescent="0.2">
      <c r="AM17536" t="str">
        <f t="shared" si="275"/>
        <v>Yapton [GBYAP]</v>
      </c>
      <c r="AN17536" t="s">
        <v>14911</v>
      </c>
      <c r="AO17536" t="s">
        <v>14912</v>
      </c>
    </row>
    <row r="17537" spans="39:41" ht="12" customHeight="1" x14ac:dyDescent="0.2">
      <c r="AM17537" t="str">
        <f t="shared" si="275"/>
        <v>Yarimca [TRYAR]</v>
      </c>
      <c r="AN17537" t="s">
        <v>28616</v>
      </c>
      <c r="AO17537" t="s">
        <v>28617</v>
      </c>
    </row>
    <row r="17538" spans="39:41" ht="12" customHeight="1" x14ac:dyDescent="0.2">
      <c r="AM17538" t="str">
        <f t="shared" si="275"/>
        <v>Yarmouth [CAYRH]</v>
      </c>
      <c r="AN17538" t="s">
        <v>4611</v>
      </c>
      <c r="AO17538" t="s">
        <v>4612</v>
      </c>
    </row>
    <row r="17539" spans="39:41" ht="12" customHeight="1" x14ac:dyDescent="0.2">
      <c r="AM17539" t="str">
        <f t="shared" si="275"/>
        <v>Yarmouth [GBYMO]</v>
      </c>
      <c r="AN17539" t="s">
        <v>14913</v>
      </c>
      <c r="AO17539" t="s">
        <v>4612</v>
      </c>
    </row>
    <row r="17540" spans="39:41" ht="12" customHeight="1" x14ac:dyDescent="0.2">
      <c r="AM17540" t="str">
        <f t="shared" si="275"/>
        <v>Yaroslavl [RUIAR]</v>
      </c>
      <c r="AN17540" t="s">
        <v>27345</v>
      </c>
      <c r="AO17540" t="s">
        <v>27346</v>
      </c>
    </row>
    <row r="17541" spans="39:41" ht="12" customHeight="1" x14ac:dyDescent="0.2">
      <c r="AM17541" t="str">
        <f t="shared" si="275"/>
        <v>Yarra Junction [AUYRR]</v>
      </c>
      <c r="AN17541" t="s">
        <v>2138</v>
      </c>
      <c r="AO17541" t="s">
        <v>2139</v>
      </c>
    </row>
    <row r="17542" spans="39:41" ht="12" customHeight="1" x14ac:dyDescent="0.2">
      <c r="AM17542" t="str">
        <f t="shared" si="275"/>
        <v>Yartsevo [RUYTS]</v>
      </c>
      <c r="AN17542" t="s">
        <v>27347</v>
      </c>
      <c r="AO17542" t="s">
        <v>27348</v>
      </c>
    </row>
    <row r="17543" spans="39:41" ht="12" customHeight="1" x14ac:dyDescent="0.2">
      <c r="AM17543" t="str">
        <f t="shared" si="275"/>
        <v>Yas Island [AEYAS]</v>
      </c>
      <c r="AN17543" t="s">
        <v>784</v>
      </c>
      <c r="AO17543" t="s">
        <v>785</v>
      </c>
    </row>
    <row r="17544" spans="39:41" ht="12" customHeight="1" x14ac:dyDescent="0.2">
      <c r="AM17544" t="str">
        <f t="shared" si="275"/>
        <v>Yasugi [JPYSG]</v>
      </c>
      <c r="AN17544" t="s">
        <v>21428</v>
      </c>
      <c r="AO17544" t="s">
        <v>21429</v>
      </c>
    </row>
    <row r="17545" spans="39:41" ht="12" customHeight="1" x14ac:dyDescent="0.2">
      <c r="AM17545" t="str">
        <f t="shared" si="275"/>
        <v>Yasumiya [JPYAS]</v>
      </c>
      <c r="AN17545" t="s">
        <v>21430</v>
      </c>
      <c r="AO17545" t="s">
        <v>21431</v>
      </c>
    </row>
    <row r="17546" spans="39:41" ht="12" customHeight="1" x14ac:dyDescent="0.2">
      <c r="AM17546" t="str">
        <f t="shared" si="275"/>
        <v>Yasurahama [JPYMA]</v>
      </c>
      <c r="AN17546" t="s">
        <v>21432</v>
      </c>
      <c r="AO17546" t="s">
        <v>21433</v>
      </c>
    </row>
    <row r="17547" spans="39:41" ht="12" customHeight="1" x14ac:dyDescent="0.2">
      <c r="AM17547" t="str">
        <f t="shared" si="275"/>
        <v>Yatsushiro [JPYAT]</v>
      </c>
      <c r="AN17547" t="s">
        <v>21434</v>
      </c>
      <c r="AO17547" t="s">
        <v>21435</v>
      </c>
    </row>
    <row r="17548" spans="39:41" ht="12" customHeight="1" x14ac:dyDescent="0.2">
      <c r="AM17548" t="str">
        <f t="shared" si="275"/>
        <v>Yawata/Kitakyushu [JPYWT]</v>
      </c>
      <c r="AN17548" t="s">
        <v>21436</v>
      </c>
      <c r="AO17548" t="s">
        <v>21437</v>
      </c>
    </row>
    <row r="17549" spans="39:41" ht="12" customHeight="1" x14ac:dyDescent="0.2">
      <c r="AM17549" t="str">
        <f t="shared" si="275"/>
        <v>Yawatahama [JPYWH]</v>
      </c>
      <c r="AN17549" t="s">
        <v>21438</v>
      </c>
      <c r="AO17549" t="s">
        <v>21439</v>
      </c>
    </row>
    <row r="17550" spans="39:41" ht="12" customHeight="1" x14ac:dyDescent="0.2">
      <c r="AM17550" t="str">
        <f t="shared" si="275"/>
        <v>Yazd [IRAZD]</v>
      </c>
      <c r="AN17550" t="s">
        <v>17667</v>
      </c>
      <c r="AO17550" t="s">
        <v>17668</v>
      </c>
    </row>
    <row r="17551" spans="39:41" ht="12" customHeight="1" x14ac:dyDescent="0.2">
      <c r="AM17551" t="str">
        <f t="shared" si="275"/>
        <v>Yazoo City [USYAZ]</v>
      </c>
      <c r="AN17551" t="s">
        <v>32085</v>
      </c>
      <c r="AO17551" t="s">
        <v>32086</v>
      </c>
    </row>
    <row r="17552" spans="39:41" ht="12" customHeight="1" x14ac:dyDescent="0.2">
      <c r="AM17552" t="str">
        <f t="shared" si="275"/>
        <v>Ye [MMXYE]</v>
      </c>
      <c r="AN17552" t="s">
        <v>22220</v>
      </c>
      <c r="AO17552" t="s">
        <v>22221</v>
      </c>
    </row>
    <row r="17553" spans="39:41" ht="12" customHeight="1" x14ac:dyDescent="0.2">
      <c r="AM17553" t="str">
        <f t="shared" si="275"/>
        <v>Yell and Fetlar [GBYFR]</v>
      </c>
      <c r="AN17553" t="s">
        <v>14914</v>
      </c>
      <c r="AO17553" t="s">
        <v>14915</v>
      </c>
    </row>
    <row r="17554" spans="39:41" ht="12" customHeight="1" x14ac:dyDescent="0.2">
      <c r="AM17554" t="str">
        <f t="shared" si="275"/>
        <v>Yelland [GBYLL]</v>
      </c>
      <c r="AN17554" t="s">
        <v>14916</v>
      </c>
      <c r="AO17554" t="s">
        <v>14917</v>
      </c>
    </row>
    <row r="17555" spans="39:41" ht="12" customHeight="1" x14ac:dyDescent="0.2">
      <c r="AM17555" t="str">
        <f t="shared" si="275"/>
        <v>Yenikoy-Autoport [TRAUT]</v>
      </c>
      <c r="AN17555" t="s">
        <v>28618</v>
      </c>
      <c r="AO17555" t="s">
        <v>36582</v>
      </c>
    </row>
    <row r="17556" spans="39:41" ht="12" customHeight="1" x14ac:dyDescent="0.2">
      <c r="AM17556" t="str">
        <f t="shared" si="275"/>
        <v>Yentchan [PGYEN]</v>
      </c>
      <c r="AN17556" t="s">
        <v>25500</v>
      </c>
      <c r="AO17556" t="s">
        <v>25501</v>
      </c>
    </row>
    <row r="17557" spans="39:41" ht="12" customHeight="1" x14ac:dyDescent="0.2">
      <c r="AM17557" t="str">
        <f t="shared" si="275"/>
        <v>Yeonpyeongdo [KRYPD]</v>
      </c>
      <c r="AN17557" t="s">
        <v>21744</v>
      </c>
      <c r="AO17557" t="s">
        <v>21745</v>
      </c>
    </row>
    <row r="17558" spans="39:41" ht="12" customHeight="1" x14ac:dyDescent="0.2">
      <c r="AM17558" t="str">
        <f t="shared" si="275"/>
        <v>Yeosu [KRYOS]</v>
      </c>
      <c r="AN17558" t="s">
        <v>21746</v>
      </c>
      <c r="AO17558" t="s">
        <v>21747</v>
      </c>
    </row>
    <row r="17559" spans="39:41" ht="12" customHeight="1" x14ac:dyDescent="0.2">
      <c r="AM17559" t="str">
        <f t="shared" si="275"/>
        <v>Yerakini [GRYER]</v>
      </c>
      <c r="AN17559" t="s">
        <v>15584</v>
      </c>
      <c r="AO17559" t="s">
        <v>35995</v>
      </c>
    </row>
    <row r="17560" spans="39:41" ht="12" customHeight="1" x14ac:dyDescent="0.2">
      <c r="AM17560" t="str">
        <f t="shared" si="275"/>
        <v>Yerseke [NLYSK]</v>
      </c>
      <c r="AN17560" t="s">
        <v>37071</v>
      </c>
      <c r="AO17560" t="s">
        <v>37072</v>
      </c>
    </row>
    <row r="17561" spans="39:41" ht="12" customHeight="1" x14ac:dyDescent="0.2">
      <c r="AM17561" t="str">
        <f t="shared" si="275"/>
        <v>Yesilovacik [TRYIK]</v>
      </c>
      <c r="AN17561" t="s">
        <v>28619</v>
      </c>
      <c r="AO17561" t="s">
        <v>28620</v>
      </c>
    </row>
    <row r="17562" spans="39:41" ht="12" customHeight="1" x14ac:dyDescent="0.2">
      <c r="AM17562" t="str">
        <f t="shared" si="275"/>
        <v>Yetagun Field [XZYET]</v>
      </c>
      <c r="AN17562" t="s">
        <v>32624</v>
      </c>
      <c r="AO17562" t="s">
        <v>32625</v>
      </c>
    </row>
    <row r="17563" spans="39:41" ht="12" customHeight="1" x14ac:dyDescent="0.2">
      <c r="AM17563" t="str">
        <f t="shared" si="275"/>
        <v>Yeysk [RUYEY]</v>
      </c>
      <c r="AN17563" t="s">
        <v>27349</v>
      </c>
      <c r="AO17563" t="s">
        <v>27350</v>
      </c>
    </row>
    <row r="17564" spans="39:41" ht="12" customHeight="1" x14ac:dyDescent="0.2">
      <c r="AM17564" t="str">
        <f t="shared" si="275"/>
        <v>Yibin [CNYIB]</v>
      </c>
      <c r="AN17564" t="s">
        <v>6392</v>
      </c>
      <c r="AO17564" t="s">
        <v>6393</v>
      </c>
    </row>
    <row r="17565" spans="39:41" ht="12" customHeight="1" x14ac:dyDescent="0.2">
      <c r="AM17565" t="str">
        <f t="shared" si="275"/>
        <v>Yichang Pt [CNYCG]</v>
      </c>
      <c r="AN17565" t="s">
        <v>6394</v>
      </c>
      <c r="AO17565" t="s">
        <v>6395</v>
      </c>
    </row>
    <row r="17566" spans="39:41" ht="12" customHeight="1" x14ac:dyDescent="0.2">
      <c r="AM17566" t="str">
        <f t="shared" si="275"/>
        <v>Yilport [TRYPO]</v>
      </c>
      <c r="AN17566" t="s">
        <v>28621</v>
      </c>
      <c r="AO17566" t="s">
        <v>28622</v>
      </c>
    </row>
    <row r="17567" spans="39:41" ht="12" customHeight="1" x14ac:dyDescent="0.2">
      <c r="AM17567" t="str">
        <f t="shared" si="275"/>
        <v>Yingchuan [CNYCA]</v>
      </c>
      <c r="AN17567" t="s">
        <v>6396</v>
      </c>
      <c r="AO17567" t="s">
        <v>6397</v>
      </c>
    </row>
    <row r="17568" spans="39:41" ht="12" customHeight="1" x14ac:dyDescent="0.2">
      <c r="AM17568" t="str">
        <f t="shared" si="275"/>
        <v>Yingde [CNYGD]</v>
      </c>
      <c r="AN17568" t="s">
        <v>6398</v>
      </c>
      <c r="AO17568" t="s">
        <v>6399</v>
      </c>
    </row>
    <row r="17569" spans="39:41" ht="12" customHeight="1" x14ac:dyDescent="0.2">
      <c r="AM17569" t="str">
        <f t="shared" si="275"/>
        <v>Ying-Ge [TWYGE]</v>
      </c>
      <c r="AN17569" t="s">
        <v>28699</v>
      </c>
      <c r="AO17569" t="s">
        <v>28700</v>
      </c>
    </row>
    <row r="17570" spans="39:41" ht="12" customHeight="1" x14ac:dyDescent="0.2">
      <c r="AM17570" t="str">
        <f t="shared" si="275"/>
        <v>Yingkou Pt [CNYIK]</v>
      </c>
      <c r="AN17570" t="s">
        <v>6400</v>
      </c>
      <c r="AO17570" t="s">
        <v>6401</v>
      </c>
    </row>
    <row r="17571" spans="39:41" ht="12" customHeight="1" x14ac:dyDescent="0.2">
      <c r="AM17571" t="str">
        <f t="shared" si="275"/>
        <v>Yingzai [CNLJY]</v>
      </c>
      <c r="AN17571" t="s">
        <v>6402</v>
      </c>
      <c r="AO17571" t="s">
        <v>6403</v>
      </c>
    </row>
    <row r="17572" spans="39:41" ht="12" customHeight="1" x14ac:dyDescent="0.2">
      <c r="AM17572" t="str">
        <f t="shared" si="275"/>
        <v>Yixing [CNYXS]</v>
      </c>
      <c r="AN17572" t="s">
        <v>6404</v>
      </c>
      <c r="AO17572" t="s">
        <v>6405</v>
      </c>
    </row>
    <row r="17573" spans="39:41" ht="12" customHeight="1" x14ac:dyDescent="0.2">
      <c r="AM17573" t="str">
        <f t="shared" si="275"/>
        <v>Yizheng [CNYIZ]</v>
      </c>
      <c r="AN17573" t="s">
        <v>6406</v>
      </c>
      <c r="AO17573" t="s">
        <v>6407</v>
      </c>
    </row>
    <row r="17574" spans="39:41" ht="12" customHeight="1" x14ac:dyDescent="0.2">
      <c r="AM17574" t="str">
        <f t="shared" si="275"/>
        <v>Yobuko [JPYBK]</v>
      </c>
      <c r="AN17574" t="s">
        <v>21440</v>
      </c>
      <c r="AO17574" t="s">
        <v>21441</v>
      </c>
    </row>
    <row r="17575" spans="39:41" ht="12" customHeight="1" x14ac:dyDescent="0.2">
      <c r="AM17575" t="str">
        <f t="shared" si="275"/>
        <v>Yochon [KRYOC]</v>
      </c>
      <c r="AN17575" t="s">
        <v>21748</v>
      </c>
      <c r="AO17575" t="s">
        <v>21749</v>
      </c>
    </row>
    <row r="17576" spans="39:41" ht="12" customHeight="1" x14ac:dyDescent="0.2">
      <c r="AM17576" t="str">
        <f t="shared" si="275"/>
        <v>Yoichi [JPYIC]</v>
      </c>
      <c r="AN17576" t="s">
        <v>21442</v>
      </c>
      <c r="AO17576" t="s">
        <v>21443</v>
      </c>
    </row>
    <row r="17577" spans="39:41" ht="12" customHeight="1" x14ac:dyDescent="0.2">
      <c r="AM17577" t="str">
        <f t="shared" si="275"/>
        <v>Yoichigaura [JPYOC]</v>
      </c>
      <c r="AN17577" t="s">
        <v>21444</v>
      </c>
      <c r="AO17577" t="s">
        <v>21445</v>
      </c>
    </row>
    <row r="17578" spans="39:41" ht="12" customHeight="1" x14ac:dyDescent="0.2">
      <c r="AM17578" t="str">
        <f t="shared" si="275"/>
        <v>Yoke Bay [USYOK]</v>
      </c>
      <c r="AN17578" t="s">
        <v>32087</v>
      </c>
      <c r="AO17578" t="s">
        <v>32088</v>
      </c>
    </row>
    <row r="17579" spans="39:41" ht="12" customHeight="1" x14ac:dyDescent="0.2">
      <c r="AM17579" t="str">
        <f t="shared" si="275"/>
        <v>Yoker [GBYKE]</v>
      </c>
      <c r="AN17579" t="s">
        <v>14918</v>
      </c>
      <c r="AO17579" t="s">
        <v>14919</v>
      </c>
    </row>
    <row r="17580" spans="39:41" ht="12" customHeight="1" x14ac:dyDescent="0.2">
      <c r="AM17580" t="str">
        <f t="shared" si="275"/>
        <v>Yokkaichi [JPYKK]</v>
      </c>
      <c r="AN17580" t="s">
        <v>21446</v>
      </c>
      <c r="AO17580" t="s">
        <v>21447</v>
      </c>
    </row>
    <row r="17581" spans="39:41" ht="12" customHeight="1" x14ac:dyDescent="0.2">
      <c r="AM17581" t="str">
        <f t="shared" si="275"/>
        <v>Yokohama [JPYOK]</v>
      </c>
      <c r="AN17581" t="s">
        <v>21448</v>
      </c>
      <c r="AO17581" t="s">
        <v>21449</v>
      </c>
    </row>
    <row r="17582" spans="39:41" ht="12" customHeight="1" x14ac:dyDescent="0.2">
      <c r="AM17582" t="str">
        <f t="shared" si="275"/>
        <v>Yokoshima/Kurahashi [JPYKS]</v>
      </c>
      <c r="AN17582" t="s">
        <v>21450</v>
      </c>
      <c r="AO17582" t="s">
        <v>21451</v>
      </c>
    </row>
    <row r="17583" spans="39:41" ht="12" customHeight="1" x14ac:dyDescent="0.2">
      <c r="AM17583" t="str">
        <f t="shared" si="275"/>
        <v>Yokosuka [JPYOS]</v>
      </c>
      <c r="AN17583" t="s">
        <v>21452</v>
      </c>
      <c r="AO17583" t="s">
        <v>21453</v>
      </c>
    </row>
    <row r="17584" spans="39:41" ht="12" customHeight="1" x14ac:dyDescent="0.2">
      <c r="AM17584" t="str">
        <f t="shared" si="275"/>
        <v>Yokota, Hiroshima [JPYKT]</v>
      </c>
      <c r="AN17584" t="s">
        <v>21454</v>
      </c>
      <c r="AO17584" t="s">
        <v>21455</v>
      </c>
    </row>
    <row r="17585" spans="39:41" ht="12" customHeight="1" x14ac:dyDescent="0.2">
      <c r="AM17585" t="str">
        <f t="shared" si="275"/>
        <v>Yombo [CGYOM]</v>
      </c>
      <c r="AN17585" t="s">
        <v>4644</v>
      </c>
      <c r="AO17585" t="s">
        <v>4645</v>
      </c>
    </row>
    <row r="17586" spans="39:41" ht="12" customHeight="1" x14ac:dyDescent="0.2">
      <c r="AM17586" t="str">
        <f t="shared" si="275"/>
        <v>Yonegura [JPYOG]</v>
      </c>
      <c r="AN17586" t="s">
        <v>21456</v>
      </c>
      <c r="AO17586" t="s">
        <v>21457</v>
      </c>
    </row>
    <row r="17587" spans="39:41" ht="12" customHeight="1" x14ac:dyDescent="0.2">
      <c r="AM17587" t="str">
        <f t="shared" si="275"/>
        <v>Yongan [CNYGN]</v>
      </c>
      <c r="AN17587" t="s">
        <v>6408</v>
      </c>
      <c r="AO17587" t="s">
        <v>6409</v>
      </c>
    </row>
    <row r="17588" spans="39:41" ht="12" customHeight="1" x14ac:dyDescent="0.2">
      <c r="AM17588" t="str">
        <f t="shared" si="275"/>
        <v>Yongfu [CNYFU]</v>
      </c>
      <c r="AN17588" t="s">
        <v>6410</v>
      </c>
      <c r="AO17588" t="s">
        <v>6411</v>
      </c>
    </row>
    <row r="17589" spans="39:41" ht="12" customHeight="1" x14ac:dyDescent="0.2">
      <c r="AM17589" t="str">
        <f t="shared" si="275"/>
        <v>Yonggipo [KRYGP]</v>
      </c>
      <c r="AN17589" t="s">
        <v>21750</v>
      </c>
      <c r="AO17589" t="s">
        <v>21751</v>
      </c>
    </row>
    <row r="17590" spans="39:41" ht="12" customHeight="1" x14ac:dyDescent="0.2">
      <c r="AM17590" t="str">
        <f t="shared" ref="AM17590:AM17653" si="276">AO17590 &amp; " [" &amp; AN17590 &amp; "]"</f>
        <v>Yonglong [CNYLO]</v>
      </c>
      <c r="AN17590" t="s">
        <v>6412</v>
      </c>
      <c r="AO17590" t="s">
        <v>6413</v>
      </c>
    </row>
    <row r="17591" spans="39:41" ht="12" customHeight="1" x14ac:dyDescent="0.2">
      <c r="AM17591" t="str">
        <f t="shared" si="276"/>
        <v>Yongning [CNYNN]</v>
      </c>
      <c r="AN17591" t="s">
        <v>6414</v>
      </c>
      <c r="AO17591" t="s">
        <v>6415</v>
      </c>
    </row>
    <row r="17592" spans="39:41" ht="12" customHeight="1" x14ac:dyDescent="0.2">
      <c r="AM17592" t="str">
        <f t="shared" si="276"/>
        <v>Yongtai [CNYTI]</v>
      </c>
      <c r="AN17592" t="s">
        <v>6416</v>
      </c>
      <c r="AO17592" t="s">
        <v>6417</v>
      </c>
    </row>
    <row r="17593" spans="39:41" ht="12" customHeight="1" x14ac:dyDescent="0.2">
      <c r="AM17593" t="str">
        <f t="shared" si="276"/>
        <v>Yonouzu [JPYNZ]</v>
      </c>
      <c r="AN17593" t="s">
        <v>21458</v>
      </c>
      <c r="AO17593" t="s">
        <v>21459</v>
      </c>
    </row>
    <row r="17594" spans="39:41" ht="12" customHeight="1" x14ac:dyDescent="0.2">
      <c r="AM17594" t="str">
        <f t="shared" si="276"/>
        <v>York [GBYRK]</v>
      </c>
      <c r="AN17594" t="s">
        <v>14920</v>
      </c>
      <c r="AO17594" t="s">
        <v>14921</v>
      </c>
    </row>
    <row r="17595" spans="39:41" ht="12" customHeight="1" x14ac:dyDescent="0.2">
      <c r="AM17595" t="str">
        <f t="shared" si="276"/>
        <v>York Beach [USYKB]</v>
      </c>
      <c r="AN17595" t="s">
        <v>32089</v>
      </c>
      <c r="AO17595" t="s">
        <v>32090</v>
      </c>
    </row>
    <row r="17596" spans="39:41" ht="12" customHeight="1" x14ac:dyDescent="0.2">
      <c r="AM17596" t="str">
        <f t="shared" si="276"/>
        <v>York Harbor [USZYH]</v>
      </c>
      <c r="AN17596" t="s">
        <v>32091</v>
      </c>
      <c r="AO17596" t="s">
        <v>32092</v>
      </c>
    </row>
    <row r="17597" spans="39:41" ht="12" customHeight="1" x14ac:dyDescent="0.2">
      <c r="AM17597" t="str">
        <f t="shared" si="276"/>
        <v>Yoro [JPYOR]</v>
      </c>
      <c r="AN17597" t="s">
        <v>21460</v>
      </c>
      <c r="AO17597" t="s">
        <v>21461</v>
      </c>
    </row>
    <row r="17598" spans="39:41" ht="12" customHeight="1" x14ac:dyDescent="0.2">
      <c r="AM17598" t="str">
        <f t="shared" si="276"/>
        <v>Yoshiase [JPYSS]</v>
      </c>
      <c r="AN17598" t="s">
        <v>21462</v>
      </c>
      <c r="AO17598" t="s">
        <v>21463</v>
      </c>
    </row>
    <row r="17599" spans="39:41" ht="12" customHeight="1" x14ac:dyDescent="0.2">
      <c r="AM17599" t="str">
        <f t="shared" si="276"/>
        <v>Yoshida, Aichi [JPYDA]</v>
      </c>
      <c r="AN17599" t="s">
        <v>21464</v>
      </c>
      <c r="AO17599" t="s">
        <v>21465</v>
      </c>
    </row>
    <row r="17600" spans="39:41" ht="12" customHeight="1" x14ac:dyDescent="0.2">
      <c r="AM17600" t="str">
        <f t="shared" si="276"/>
        <v>Yoshida, Ehime [JPYSD]</v>
      </c>
      <c r="AN17600" t="s">
        <v>21466</v>
      </c>
      <c r="AO17600" t="s">
        <v>21467</v>
      </c>
    </row>
    <row r="17601" spans="39:41" ht="12" customHeight="1" x14ac:dyDescent="0.2">
      <c r="AM17601" t="str">
        <f t="shared" si="276"/>
        <v>Yoshima [JPYSM]</v>
      </c>
      <c r="AN17601" t="s">
        <v>21468</v>
      </c>
      <c r="AO17601" t="s">
        <v>21469</v>
      </c>
    </row>
    <row r="17602" spans="39:41" ht="12" customHeight="1" x14ac:dyDescent="0.2">
      <c r="AM17602" t="str">
        <f t="shared" si="276"/>
        <v>Yoshinozaki [JPYSN]</v>
      </c>
      <c r="AN17602" t="s">
        <v>21470</v>
      </c>
      <c r="AO17602" t="s">
        <v>21471</v>
      </c>
    </row>
    <row r="17603" spans="39:41" ht="12" customHeight="1" x14ac:dyDescent="0.2">
      <c r="AM17603" t="str">
        <f t="shared" si="276"/>
        <v>Yoshiumi [JPYHI]</v>
      </c>
      <c r="AN17603" t="s">
        <v>21472</v>
      </c>
      <c r="AO17603" t="s">
        <v>21473</v>
      </c>
    </row>
    <row r="17604" spans="39:41" ht="12" customHeight="1" x14ac:dyDescent="0.2">
      <c r="AM17604" t="str">
        <f t="shared" si="276"/>
        <v>Yoshiura [JPYSU]</v>
      </c>
      <c r="AN17604" t="s">
        <v>21474</v>
      </c>
      <c r="AO17604" t="s">
        <v>21475</v>
      </c>
    </row>
    <row r="17605" spans="39:41" ht="12" customHeight="1" x14ac:dyDescent="0.2">
      <c r="AM17605" t="str">
        <f t="shared" si="276"/>
        <v>Yoshiura/Misumi [JPYSR]</v>
      </c>
      <c r="AN17605" t="s">
        <v>21476</v>
      </c>
      <c r="AO17605" t="s">
        <v>21477</v>
      </c>
    </row>
    <row r="17606" spans="39:41" ht="12" customHeight="1" x14ac:dyDescent="0.2">
      <c r="AM17606" t="str">
        <f t="shared" si="276"/>
        <v>Yoshiura/Yunotsu [JPYHA]</v>
      </c>
      <c r="AN17606" t="s">
        <v>21478</v>
      </c>
      <c r="AO17606" t="s">
        <v>21479</v>
      </c>
    </row>
    <row r="17607" spans="39:41" ht="12" customHeight="1" x14ac:dyDescent="0.2">
      <c r="AM17607" t="str">
        <f t="shared" si="276"/>
        <v>Yoshizu [JPYSZ]</v>
      </c>
      <c r="AN17607" t="s">
        <v>21480</v>
      </c>
      <c r="AO17607" t="s">
        <v>21481</v>
      </c>
    </row>
    <row r="17608" spans="39:41" ht="12" customHeight="1" x14ac:dyDescent="0.2">
      <c r="AM17608" t="str">
        <f t="shared" si="276"/>
        <v>Yotsukura [JPYOT]</v>
      </c>
      <c r="AN17608" t="s">
        <v>21482</v>
      </c>
      <c r="AO17608" t="s">
        <v>21483</v>
      </c>
    </row>
    <row r="17609" spans="39:41" ht="12" customHeight="1" x14ac:dyDescent="0.2">
      <c r="AM17609" t="str">
        <f t="shared" si="276"/>
        <v>Youghal [IEYOU]</v>
      </c>
      <c r="AN17609" t="s">
        <v>16946</v>
      </c>
      <c r="AO17609" t="s">
        <v>16947</v>
      </c>
    </row>
    <row r="17610" spans="39:41" ht="12" customHeight="1" x14ac:dyDescent="0.2">
      <c r="AM17610" t="str">
        <f t="shared" si="276"/>
        <v>Youngstown [USYTW]</v>
      </c>
      <c r="AN17610" t="s">
        <v>32093</v>
      </c>
      <c r="AO17610" t="s">
        <v>32094</v>
      </c>
    </row>
    <row r="17611" spans="39:41" ht="12" customHeight="1" x14ac:dyDescent="0.2">
      <c r="AM17611" t="str">
        <f t="shared" si="276"/>
        <v>Youra [JPYOU]</v>
      </c>
      <c r="AN17611" t="s">
        <v>21484</v>
      </c>
      <c r="AO17611" t="s">
        <v>21485</v>
      </c>
    </row>
    <row r="17612" spans="39:41" ht="12" customHeight="1" x14ac:dyDescent="0.2">
      <c r="AM17612" t="str">
        <f t="shared" si="276"/>
        <v>Ystad [SEYST]</v>
      </c>
      <c r="AN17612" t="s">
        <v>27957</v>
      </c>
      <c r="AO17612" t="s">
        <v>27958</v>
      </c>
    </row>
    <row r="17613" spans="39:41" ht="12" customHeight="1" x14ac:dyDescent="0.2">
      <c r="AM17613" t="str">
        <f t="shared" si="276"/>
        <v>Ytroy [NOYTO]</v>
      </c>
      <c r="AN17613" t="s">
        <v>25042</v>
      </c>
      <c r="AO17613" t="s">
        <v>34165</v>
      </c>
    </row>
    <row r="17614" spans="39:41" ht="12" customHeight="1" x14ac:dyDescent="0.2">
      <c r="AM17614" t="str">
        <f t="shared" si="276"/>
        <v>Yttergryta [XZYGT]</v>
      </c>
      <c r="AN17614" t="s">
        <v>32626</v>
      </c>
      <c r="AO17614" t="s">
        <v>32627</v>
      </c>
    </row>
    <row r="17615" spans="39:41" ht="12" customHeight="1" x14ac:dyDescent="0.2">
      <c r="AM17615" t="str">
        <f t="shared" si="276"/>
        <v>Yuanshi [CNYSH]</v>
      </c>
      <c r="AN17615" t="s">
        <v>6418</v>
      </c>
      <c r="AO17615" t="s">
        <v>6419</v>
      </c>
    </row>
    <row r="17616" spans="39:41" ht="12" customHeight="1" x14ac:dyDescent="0.2">
      <c r="AM17616" t="str">
        <f t="shared" si="276"/>
        <v>Yuasahiro [JPYSH]</v>
      </c>
      <c r="AN17616" t="s">
        <v>21486</v>
      </c>
      <c r="AO17616" t="s">
        <v>21487</v>
      </c>
    </row>
    <row r="17617" spans="39:41" ht="12" customHeight="1" x14ac:dyDescent="0.2">
      <c r="AM17617" t="str">
        <f t="shared" si="276"/>
        <v>Yubetsu [JPYBT]</v>
      </c>
      <c r="AN17617" t="s">
        <v>21488</v>
      </c>
      <c r="AO17617" t="s">
        <v>21489</v>
      </c>
    </row>
    <row r="17618" spans="39:41" ht="12" customHeight="1" x14ac:dyDescent="0.2">
      <c r="AM17618" t="str">
        <f t="shared" si="276"/>
        <v>Yudomari [JPYDM]</v>
      </c>
      <c r="AN17618" t="s">
        <v>21490</v>
      </c>
      <c r="AO17618" t="s">
        <v>21491</v>
      </c>
    </row>
    <row r="17619" spans="39:41" ht="12" customHeight="1" x14ac:dyDescent="0.2">
      <c r="AM17619" t="str">
        <f t="shared" si="276"/>
        <v>Yuecheng [CNYHG]</v>
      </c>
      <c r="AN17619" t="s">
        <v>6420</v>
      </c>
      <c r="AO17619" t="s">
        <v>6421</v>
      </c>
    </row>
    <row r="17620" spans="39:41" ht="12" customHeight="1" x14ac:dyDescent="0.2">
      <c r="AM17620" t="str">
        <f t="shared" si="276"/>
        <v>Yuelai [CNYLA]</v>
      </c>
      <c r="AN17620" t="s">
        <v>6422</v>
      </c>
      <c r="AO17620" t="s">
        <v>6423</v>
      </c>
    </row>
    <row r="17621" spans="39:41" ht="12" customHeight="1" x14ac:dyDescent="0.2">
      <c r="AM17621" t="str">
        <f t="shared" si="276"/>
        <v>Yuen Long [HKYUE]</v>
      </c>
      <c r="AN17621" t="s">
        <v>15663</v>
      </c>
      <c r="AO17621" t="s">
        <v>15664</v>
      </c>
    </row>
    <row r="17622" spans="39:41" ht="12" customHeight="1" x14ac:dyDescent="0.2">
      <c r="AM17622" t="str">
        <f t="shared" si="276"/>
        <v>Yueyang [CNYYA]</v>
      </c>
      <c r="AN17622" t="s">
        <v>6424</v>
      </c>
      <c r="AO17622" t="s">
        <v>6425</v>
      </c>
    </row>
    <row r="17623" spans="39:41" ht="12" customHeight="1" x14ac:dyDescent="0.2">
      <c r="AM17623" t="str">
        <f t="shared" si="276"/>
        <v>Yuge [JPYGE]</v>
      </c>
      <c r="AN17623" t="s">
        <v>21492</v>
      </c>
      <c r="AO17623" t="s">
        <v>21493</v>
      </c>
    </row>
    <row r="17624" spans="39:41" ht="12" customHeight="1" x14ac:dyDescent="0.2">
      <c r="AM17624" t="str">
        <f t="shared" si="276"/>
        <v>Yuhuan [CNYUH]</v>
      </c>
      <c r="AN17624" t="s">
        <v>6426</v>
      </c>
      <c r="AO17624" t="s">
        <v>6427</v>
      </c>
    </row>
    <row r="17625" spans="39:41" ht="12" customHeight="1" x14ac:dyDescent="0.2">
      <c r="AM17625" t="str">
        <f t="shared" si="276"/>
        <v>Yukalpeten [MXYUK]</v>
      </c>
      <c r="AN17625" t="s">
        <v>22482</v>
      </c>
      <c r="AO17625" t="s">
        <v>22483</v>
      </c>
    </row>
    <row r="17626" spans="39:41" ht="12" customHeight="1" x14ac:dyDescent="0.2">
      <c r="AM17626" t="str">
        <f t="shared" si="276"/>
        <v>Yuki [JPYUK]</v>
      </c>
      <c r="AN17626" t="s">
        <v>21494</v>
      </c>
      <c r="AO17626" t="s">
        <v>21495</v>
      </c>
    </row>
    <row r="17627" spans="39:41" ht="12" customHeight="1" x14ac:dyDescent="0.2">
      <c r="AM17627" t="str">
        <f t="shared" si="276"/>
        <v>Yule Island [PGRKU]</v>
      </c>
      <c r="AN17627" t="s">
        <v>25502</v>
      </c>
      <c r="AO17627" t="s">
        <v>25503</v>
      </c>
    </row>
    <row r="17628" spans="39:41" ht="12" customHeight="1" x14ac:dyDescent="0.2">
      <c r="AM17628" t="str">
        <f t="shared" si="276"/>
        <v>Yumachi [JPYMC]</v>
      </c>
      <c r="AN17628" t="s">
        <v>21496</v>
      </c>
      <c r="AO17628" t="s">
        <v>21497</v>
      </c>
    </row>
    <row r="17629" spans="39:41" ht="12" customHeight="1" x14ac:dyDescent="0.2">
      <c r="AM17629" t="str">
        <f t="shared" si="276"/>
        <v>Yumbe [UGYMB]</v>
      </c>
      <c r="AN17629" t="s">
        <v>28777</v>
      </c>
      <c r="AO17629" t="s">
        <v>28778</v>
      </c>
    </row>
    <row r="17630" spans="39:41" ht="12" customHeight="1" x14ac:dyDescent="0.2">
      <c r="AM17630" t="str">
        <f t="shared" si="276"/>
        <v>Yumbo [COYMB]</v>
      </c>
      <c r="AN17630" t="s">
        <v>6552</v>
      </c>
      <c r="AO17630" t="s">
        <v>6553</v>
      </c>
    </row>
    <row r="17631" spans="39:41" ht="12" customHeight="1" x14ac:dyDescent="0.2">
      <c r="AM17631" t="str">
        <f t="shared" si="276"/>
        <v>Yumugi [JPYMU]</v>
      </c>
      <c r="AN17631" t="s">
        <v>21498</v>
      </c>
      <c r="AO17631" t="s">
        <v>21499</v>
      </c>
    </row>
    <row r="17632" spans="39:41" ht="12" customHeight="1" x14ac:dyDescent="0.2">
      <c r="AM17632" t="str">
        <f t="shared" si="276"/>
        <v>Yumurtalik [TRADY]</v>
      </c>
      <c r="AN17632" t="s">
        <v>28623</v>
      </c>
      <c r="AO17632" t="s">
        <v>28624</v>
      </c>
    </row>
    <row r="17633" spans="39:41" ht="12" customHeight="1" x14ac:dyDescent="0.2">
      <c r="AM17633" t="str">
        <f t="shared" si="276"/>
        <v>Yunlin [TWYLN]</v>
      </c>
      <c r="AN17633" t="s">
        <v>28701</v>
      </c>
      <c r="AO17633" t="s">
        <v>28702</v>
      </c>
    </row>
    <row r="17634" spans="39:41" ht="12" customHeight="1" x14ac:dyDescent="0.2">
      <c r="AM17634" t="str">
        <f t="shared" si="276"/>
        <v>Yunomochiki [JPYNM]</v>
      </c>
      <c r="AN17634" t="s">
        <v>21500</v>
      </c>
      <c r="AO17634" t="s">
        <v>21501</v>
      </c>
    </row>
    <row r="17635" spans="39:41" ht="12" customHeight="1" x14ac:dyDescent="0.2">
      <c r="AM17635" t="str">
        <f t="shared" si="276"/>
        <v>Yunotsu [JPYNT]</v>
      </c>
      <c r="AN17635" t="s">
        <v>21502</v>
      </c>
      <c r="AO17635" t="s">
        <v>21503</v>
      </c>
    </row>
    <row r="17636" spans="39:41" ht="12" customHeight="1" x14ac:dyDescent="0.2">
      <c r="AM17636" t="str">
        <f t="shared" si="276"/>
        <v>Yura, Hyogo [JPYRA]</v>
      </c>
      <c r="AN17636" t="s">
        <v>21504</v>
      </c>
      <c r="AO17636" t="s">
        <v>21505</v>
      </c>
    </row>
    <row r="17637" spans="39:41" ht="12" customHeight="1" x14ac:dyDescent="0.2">
      <c r="AM17637" t="str">
        <f t="shared" si="276"/>
        <v>Yura, Wakayama [JPYUR]</v>
      </c>
      <c r="AN17637" t="s">
        <v>21506</v>
      </c>
      <c r="AO17637" t="s">
        <v>21507</v>
      </c>
    </row>
    <row r="17638" spans="39:41" ht="12" customHeight="1" x14ac:dyDescent="0.2">
      <c r="AM17638" t="str">
        <f t="shared" si="276"/>
        <v>Yura, Yamagata [JPYUJ]</v>
      </c>
      <c r="AN17638" t="s">
        <v>21508</v>
      </c>
      <c r="AO17638" t="s">
        <v>21509</v>
      </c>
    </row>
    <row r="17639" spans="39:41" ht="12" customHeight="1" x14ac:dyDescent="0.2">
      <c r="AM17639" t="str">
        <f t="shared" si="276"/>
        <v>Yura, Yamaguchi [JPYUA]</v>
      </c>
      <c r="AN17639" t="s">
        <v>21510</v>
      </c>
      <c r="AO17639" t="s">
        <v>21511</v>
      </c>
    </row>
    <row r="17640" spans="39:41" ht="12" customHeight="1" x14ac:dyDescent="0.2">
      <c r="AM17640" t="str">
        <f t="shared" si="276"/>
        <v>Yurigahama [JPYRG]</v>
      </c>
      <c r="AN17640" t="s">
        <v>21512</v>
      </c>
      <c r="AO17640" t="s">
        <v>21513</v>
      </c>
    </row>
    <row r="17641" spans="39:41" ht="12" customHeight="1" x14ac:dyDescent="0.2">
      <c r="AM17641" t="str">
        <f t="shared" si="276"/>
        <v>Yurimaguas [PEYMS]</v>
      </c>
      <c r="AN17641" t="s">
        <v>25312</v>
      </c>
      <c r="AO17641" t="s">
        <v>25313</v>
      </c>
    </row>
    <row r="17642" spans="39:41" ht="12" customHeight="1" x14ac:dyDescent="0.2">
      <c r="AM17642" t="str">
        <f t="shared" si="276"/>
        <v>Yusu [JPYUS]</v>
      </c>
      <c r="AN17642" t="s">
        <v>21514</v>
      </c>
      <c r="AO17642" t="s">
        <v>21515</v>
      </c>
    </row>
    <row r="17643" spans="39:41" ht="12" customHeight="1" x14ac:dyDescent="0.2">
      <c r="AM17643" t="str">
        <f t="shared" si="276"/>
        <v>Yutai [JPYTI]</v>
      </c>
      <c r="AN17643" t="s">
        <v>21516</v>
      </c>
      <c r="AO17643" t="s">
        <v>21517</v>
      </c>
    </row>
    <row r="17644" spans="39:41" ht="12" customHeight="1" x14ac:dyDescent="0.2">
      <c r="AM17644" t="str">
        <f t="shared" si="276"/>
        <v>Yuu [JPYUU]</v>
      </c>
      <c r="AN17644" t="s">
        <v>21518</v>
      </c>
      <c r="AO17644" t="s">
        <v>21519</v>
      </c>
    </row>
    <row r="17645" spans="39:41" ht="12" customHeight="1" x14ac:dyDescent="0.2">
      <c r="AM17645" t="str">
        <f t="shared" si="276"/>
        <v>Yuum K'Ak'Naab [MXYKN]</v>
      </c>
      <c r="AN17645" t="s">
        <v>22484</v>
      </c>
      <c r="AO17645" t="s">
        <v>36103</v>
      </c>
    </row>
    <row r="17646" spans="39:41" ht="12" customHeight="1" x14ac:dyDescent="0.2">
      <c r="AM17646" t="str">
        <f t="shared" si="276"/>
        <v>Yuwan [JPYWN]</v>
      </c>
      <c r="AN17646" t="s">
        <v>21520</v>
      </c>
      <c r="AO17646" t="s">
        <v>21521</v>
      </c>
    </row>
    <row r="17647" spans="39:41" ht="12" customHeight="1" x14ac:dyDescent="0.2">
      <c r="AM17647" t="str">
        <f t="shared" si="276"/>
        <v>Yuyue Pt [CNYYP]</v>
      </c>
      <c r="AN17647" t="s">
        <v>6428</v>
      </c>
      <c r="AO17647" t="s">
        <v>6429</v>
      </c>
    </row>
    <row r="17648" spans="39:41" ht="12" customHeight="1" x14ac:dyDescent="0.2">
      <c r="AM17648" t="str">
        <f t="shared" si="276"/>
        <v>Yuzhno-Kuril'sk [RUDEE]</v>
      </c>
      <c r="AN17648" t="s">
        <v>27351</v>
      </c>
      <c r="AO17648" t="s">
        <v>27352</v>
      </c>
    </row>
    <row r="17649" spans="39:41" ht="12" customHeight="1" x14ac:dyDescent="0.2">
      <c r="AM17649" t="str">
        <f t="shared" si="276"/>
        <v>Yuzhnyy [UAYUZ]</v>
      </c>
      <c r="AN17649" t="s">
        <v>28771</v>
      </c>
      <c r="AO17649" t="s">
        <v>28772</v>
      </c>
    </row>
    <row r="17650" spans="39:41" ht="12" customHeight="1" x14ac:dyDescent="0.2">
      <c r="AM17650" t="str">
        <f t="shared" si="276"/>
        <v>Yuzhu [CNYZU]</v>
      </c>
      <c r="AN17650" t="s">
        <v>6430</v>
      </c>
      <c r="AO17650" t="s">
        <v>6431</v>
      </c>
    </row>
    <row r="17651" spans="39:41" ht="12" customHeight="1" x14ac:dyDescent="0.2">
      <c r="AM17651" t="str">
        <f t="shared" si="276"/>
        <v>Yvoir [BEYVO]</v>
      </c>
      <c r="AN17651" t="s">
        <v>3097</v>
      </c>
      <c r="AO17651" t="s">
        <v>3098</v>
      </c>
    </row>
    <row r="17652" spans="39:41" ht="12" customHeight="1" x14ac:dyDescent="0.2">
      <c r="AM17652" t="str">
        <f t="shared" si="276"/>
        <v>Yxpila [FIYXP]</v>
      </c>
      <c r="AN17652" t="s">
        <v>10610</v>
      </c>
      <c r="AO17652" t="s">
        <v>10611</v>
      </c>
    </row>
    <row r="17653" spans="39:41" ht="12" customHeight="1" x14ac:dyDescent="0.2">
      <c r="AM17653" t="str">
        <f t="shared" si="276"/>
        <v>Zaandam [NLZAA]</v>
      </c>
      <c r="AN17653" t="s">
        <v>23791</v>
      </c>
      <c r="AO17653" t="s">
        <v>23792</v>
      </c>
    </row>
    <row r="17654" spans="39:41" ht="12" customHeight="1" x14ac:dyDescent="0.2">
      <c r="AM17654" t="str">
        <f t="shared" ref="AM17654:AM17717" si="277">AO17654 &amp; " [" &amp; AN17654 &amp; "]"</f>
        <v>Zabnica [SIZAB]</v>
      </c>
      <c r="AN17654" t="s">
        <v>34197</v>
      </c>
      <c r="AO17654" t="s">
        <v>34269</v>
      </c>
    </row>
    <row r="17655" spans="39:41" ht="12" customHeight="1" x14ac:dyDescent="0.2">
      <c r="AM17655" t="str">
        <f t="shared" si="277"/>
        <v>Zabukovje nad Sevnico [SIZBU]</v>
      </c>
      <c r="AN17655" t="s">
        <v>34198</v>
      </c>
      <c r="AO17655" t="s">
        <v>34270</v>
      </c>
    </row>
    <row r="17656" spans="39:41" ht="12" customHeight="1" x14ac:dyDescent="0.2">
      <c r="AM17656" t="str">
        <f t="shared" si="277"/>
        <v>Zadar [HRZAD]</v>
      </c>
      <c r="AN17656" t="s">
        <v>16016</v>
      </c>
      <c r="AO17656" t="s">
        <v>16017</v>
      </c>
    </row>
    <row r="17657" spans="39:41" ht="12" customHeight="1" x14ac:dyDescent="0.2">
      <c r="AM17657" t="str">
        <f t="shared" si="277"/>
        <v>Zafiro Terminal [GQZAF]</v>
      </c>
      <c r="AN17657" t="s">
        <v>15077</v>
      </c>
      <c r="AO17657" t="s">
        <v>15078</v>
      </c>
    </row>
    <row r="17658" spans="39:41" ht="12" customHeight="1" x14ac:dyDescent="0.2">
      <c r="AM17658" t="str">
        <f t="shared" si="277"/>
        <v>Zagorje ob Savi [SIZ42]</v>
      </c>
      <c r="AN17658" t="s">
        <v>34199</v>
      </c>
      <c r="AO17658" t="s">
        <v>34271</v>
      </c>
    </row>
    <row r="17659" spans="39:41" ht="12" customHeight="1" x14ac:dyDescent="0.2">
      <c r="AM17659" t="str">
        <f t="shared" si="277"/>
        <v>Zagorow [PLZGO]</v>
      </c>
      <c r="AN17659" t="s">
        <v>26408</v>
      </c>
      <c r="AO17659" t="s">
        <v>26409</v>
      </c>
    </row>
    <row r="17660" spans="39:41" ht="12" customHeight="1" x14ac:dyDescent="0.2">
      <c r="AM17660" t="str">
        <f t="shared" si="277"/>
        <v>Zagradec [SIZAG]</v>
      </c>
      <c r="AN17660" t="s">
        <v>34200</v>
      </c>
      <c r="AO17660" t="s">
        <v>34272</v>
      </c>
    </row>
    <row r="17661" spans="39:41" ht="12" customHeight="1" x14ac:dyDescent="0.2">
      <c r="AM17661" t="str">
        <f t="shared" si="277"/>
        <v>Zagreb [HRZAG]</v>
      </c>
      <c r="AN17661" t="s">
        <v>36995</v>
      </c>
      <c r="AO17661" t="s">
        <v>36996</v>
      </c>
    </row>
    <row r="17662" spans="39:41" ht="12" customHeight="1" x14ac:dyDescent="0.2">
      <c r="AM17662" t="str">
        <f t="shared" si="277"/>
        <v>Zahna [DEZHA]</v>
      </c>
      <c r="AN17662" t="s">
        <v>8559</v>
      </c>
      <c r="AO17662" t="s">
        <v>8560</v>
      </c>
    </row>
    <row r="17663" spans="39:41" ht="12" customHeight="1" x14ac:dyDescent="0.2">
      <c r="AM17663" t="str">
        <f t="shared" si="277"/>
        <v>Zahrani Terminal [LBZHR]</v>
      </c>
      <c r="AN17663" t="s">
        <v>21807</v>
      </c>
      <c r="AO17663" t="s">
        <v>21808</v>
      </c>
    </row>
    <row r="17664" spans="39:41" ht="12" customHeight="1" x14ac:dyDescent="0.2">
      <c r="AM17664" t="str">
        <f t="shared" si="277"/>
        <v>Zaisenhausen [DEZIZ]</v>
      </c>
      <c r="AN17664" t="s">
        <v>8561</v>
      </c>
      <c r="AO17664" t="s">
        <v>8562</v>
      </c>
    </row>
    <row r="17665" spans="39:41" ht="12" customHeight="1" x14ac:dyDescent="0.2">
      <c r="AM17665" t="str">
        <f t="shared" si="277"/>
        <v>Zaisertshofen [DEZAI]</v>
      </c>
      <c r="AN17665" t="s">
        <v>8563</v>
      </c>
      <c r="AO17665" t="s">
        <v>8564</v>
      </c>
    </row>
    <row r="17666" spans="39:41" ht="12" customHeight="1" x14ac:dyDescent="0.2">
      <c r="AM17666" t="str">
        <f t="shared" si="277"/>
        <v>Zakapu [MXZKP]</v>
      </c>
      <c r="AN17666" t="s">
        <v>22485</v>
      </c>
      <c r="AO17666" t="s">
        <v>22486</v>
      </c>
    </row>
    <row r="17667" spans="39:41" ht="12" customHeight="1" x14ac:dyDescent="0.2">
      <c r="AM17667" t="str">
        <f t="shared" si="277"/>
        <v>Zakho [IQZAO]</v>
      </c>
      <c r="AN17667" t="s">
        <v>17588</v>
      </c>
      <c r="AO17667" t="s">
        <v>17589</v>
      </c>
    </row>
    <row r="17668" spans="39:41" ht="12" customHeight="1" x14ac:dyDescent="0.2">
      <c r="AM17668" t="str">
        <f t="shared" si="277"/>
        <v>Zakynthos [GRZTH]</v>
      </c>
      <c r="AN17668" t="s">
        <v>15585</v>
      </c>
      <c r="AO17668" t="s">
        <v>35996</v>
      </c>
    </row>
    <row r="17669" spans="39:41" ht="12" customHeight="1" x14ac:dyDescent="0.2">
      <c r="AM17669" t="str">
        <f t="shared" si="277"/>
        <v>Zamami [JPZMM]</v>
      </c>
      <c r="AN17669" t="s">
        <v>21522</v>
      </c>
      <c r="AO17669" t="s">
        <v>21523</v>
      </c>
    </row>
    <row r="17670" spans="39:41" ht="12" customHeight="1" x14ac:dyDescent="0.2">
      <c r="AM17670" t="str">
        <f t="shared" si="277"/>
        <v>Zamboanga [PHZAM]</v>
      </c>
      <c r="AN17670" t="s">
        <v>26242</v>
      </c>
      <c r="AO17670" t="s">
        <v>26243</v>
      </c>
    </row>
    <row r="17671" spans="39:41" ht="12" customHeight="1" x14ac:dyDescent="0.2">
      <c r="AM17671" t="str">
        <f t="shared" si="277"/>
        <v>Zamora [US8PR]</v>
      </c>
      <c r="AN17671" t="s">
        <v>32095</v>
      </c>
      <c r="AO17671" t="s">
        <v>32096</v>
      </c>
    </row>
    <row r="17672" spans="39:41" ht="12" customHeight="1" x14ac:dyDescent="0.2">
      <c r="AM17672" t="str">
        <f t="shared" si="277"/>
        <v>Zandbergen [BEZBR]</v>
      </c>
      <c r="AN17672" t="s">
        <v>3099</v>
      </c>
      <c r="AO17672" t="s">
        <v>3100</v>
      </c>
    </row>
    <row r="17673" spans="39:41" ht="12" customHeight="1" x14ac:dyDescent="0.2">
      <c r="AM17673" t="str">
        <f t="shared" si="277"/>
        <v>Zandhoven [BEZAN]</v>
      </c>
      <c r="AN17673" t="s">
        <v>36818</v>
      </c>
      <c r="AO17673" t="s">
        <v>36819</v>
      </c>
    </row>
    <row r="17674" spans="39:41" ht="12" customHeight="1" x14ac:dyDescent="0.2">
      <c r="AM17674" t="str">
        <f t="shared" si="277"/>
        <v>Zandpol [NLZPO]</v>
      </c>
      <c r="AN17674" t="s">
        <v>23793</v>
      </c>
      <c r="AO17674" t="s">
        <v>23794</v>
      </c>
    </row>
    <row r="17675" spans="39:41" ht="12" customHeight="1" x14ac:dyDescent="0.2">
      <c r="AM17675" t="str">
        <f t="shared" si="277"/>
        <v>Zandvliet [BEZVT]</v>
      </c>
      <c r="AN17675" t="s">
        <v>3101</v>
      </c>
      <c r="AO17675" t="s">
        <v>3102</v>
      </c>
    </row>
    <row r="17676" spans="39:41" ht="12" customHeight="1" x14ac:dyDescent="0.2">
      <c r="AM17676" t="str">
        <f t="shared" si="277"/>
        <v>Zandvoorde [BEZVD]</v>
      </c>
      <c r="AN17676" t="s">
        <v>3103</v>
      </c>
      <c r="AO17676" t="s">
        <v>3104</v>
      </c>
    </row>
    <row r="17677" spans="39:41" ht="12" customHeight="1" x14ac:dyDescent="0.2">
      <c r="AM17677" t="str">
        <f t="shared" si="277"/>
        <v>Zanzibar [TZZNZ]</v>
      </c>
      <c r="AN17677" t="s">
        <v>28739</v>
      </c>
      <c r="AO17677" t="s">
        <v>28740</v>
      </c>
    </row>
    <row r="17678" spans="39:41" ht="12" customHeight="1" x14ac:dyDescent="0.2">
      <c r="AM17678" t="str">
        <f t="shared" si="277"/>
        <v>Zaporizhia [UAZPR]</v>
      </c>
      <c r="AN17678" t="s">
        <v>28773</v>
      </c>
      <c r="AO17678" t="s">
        <v>28774</v>
      </c>
    </row>
    <row r="17679" spans="39:41" ht="12" customHeight="1" x14ac:dyDescent="0.2">
      <c r="AM17679" t="str">
        <f t="shared" si="277"/>
        <v>Zapotal [ECZTL]</v>
      </c>
      <c r="AN17679" t="s">
        <v>9128</v>
      </c>
      <c r="AO17679" t="s">
        <v>9129</v>
      </c>
    </row>
    <row r="17680" spans="39:41" ht="12" customHeight="1" x14ac:dyDescent="0.2">
      <c r="AM17680" t="str">
        <f t="shared" si="277"/>
        <v>Zaragoza [ESZAZ]</v>
      </c>
      <c r="AN17680" t="s">
        <v>10303</v>
      </c>
      <c r="AO17680" t="s">
        <v>10304</v>
      </c>
    </row>
    <row r="17681" spans="39:41" ht="12" customHeight="1" x14ac:dyDescent="0.2">
      <c r="AM17681" t="str">
        <f t="shared" si="277"/>
        <v>Zaragoza [MXZRZ]</v>
      </c>
      <c r="AN17681" t="s">
        <v>22487</v>
      </c>
      <c r="AO17681" t="s">
        <v>10304</v>
      </c>
    </row>
    <row r="17682" spans="39:41" ht="12" customHeight="1" x14ac:dyDescent="0.2">
      <c r="AM17682" t="str">
        <f t="shared" si="277"/>
        <v>Zarate [ARZAE]</v>
      </c>
      <c r="AN17682" t="s">
        <v>1158</v>
      </c>
      <c r="AO17682" t="s">
        <v>35254</v>
      </c>
    </row>
    <row r="17683" spans="39:41" ht="12" customHeight="1" x14ac:dyDescent="0.2">
      <c r="AM17683" t="str">
        <f t="shared" si="277"/>
        <v>Zarcero / Naranjo [CRZAR]</v>
      </c>
      <c r="AN17683" t="s">
        <v>6661</v>
      </c>
      <c r="AO17683" t="s">
        <v>6662</v>
      </c>
    </row>
    <row r="17684" spans="39:41" ht="12" customHeight="1" x14ac:dyDescent="0.2">
      <c r="AM17684" t="str">
        <f t="shared" si="277"/>
        <v>Zarubino [RUZAR]</v>
      </c>
      <c r="AN17684" t="s">
        <v>27353</v>
      </c>
      <c r="AO17684" t="s">
        <v>27354</v>
      </c>
    </row>
    <row r="17685" spans="39:41" ht="12" customHeight="1" x14ac:dyDescent="0.2">
      <c r="AM17685" t="str">
        <f t="shared" si="277"/>
        <v>Zarzis [TNZRZ]</v>
      </c>
      <c r="AN17685" t="s">
        <v>28373</v>
      </c>
      <c r="AO17685" t="s">
        <v>28374</v>
      </c>
    </row>
    <row r="17686" spans="39:41" ht="12" customHeight="1" x14ac:dyDescent="0.2">
      <c r="AM17686" t="str">
        <f t="shared" si="277"/>
        <v>Zaule [ITULE]</v>
      </c>
      <c r="AN17686" t="s">
        <v>18416</v>
      </c>
      <c r="AO17686" t="s">
        <v>18417</v>
      </c>
    </row>
    <row r="17687" spans="39:41" ht="12" customHeight="1" x14ac:dyDescent="0.2">
      <c r="AM17687" t="str">
        <f t="shared" si="277"/>
        <v>Zavrc [SIZAV]</v>
      </c>
      <c r="AN17687" t="s">
        <v>34201</v>
      </c>
      <c r="AO17687" t="s">
        <v>34273</v>
      </c>
    </row>
    <row r="17688" spans="39:41" ht="12" customHeight="1" x14ac:dyDescent="0.2">
      <c r="AM17688" t="str">
        <f t="shared" si="277"/>
        <v>Zavyalova, O [RUZAO]</v>
      </c>
      <c r="AN17688" t="s">
        <v>27355</v>
      </c>
      <c r="AO17688" t="s">
        <v>27356</v>
      </c>
    </row>
    <row r="17689" spans="39:41" ht="12" customHeight="1" x14ac:dyDescent="0.2">
      <c r="AM17689" t="str">
        <f t="shared" si="277"/>
        <v>Zdole [SIZDO]</v>
      </c>
      <c r="AN17689" t="s">
        <v>34202</v>
      </c>
      <c r="AO17689" t="s">
        <v>34274</v>
      </c>
    </row>
    <row r="17690" spans="39:41" ht="12" customHeight="1" x14ac:dyDescent="0.2">
      <c r="AM17690" t="str">
        <f t="shared" si="277"/>
        <v>Zeballos [CAZEB]</v>
      </c>
      <c r="AN17690" t="s">
        <v>4613</v>
      </c>
      <c r="AO17690" t="s">
        <v>4614</v>
      </c>
    </row>
    <row r="17691" spans="39:41" ht="12" customHeight="1" x14ac:dyDescent="0.2">
      <c r="AM17691" t="str">
        <f t="shared" si="277"/>
        <v>Zechlinerhutte [DEZRH]</v>
      </c>
      <c r="AN17691" t="s">
        <v>8565</v>
      </c>
      <c r="AO17691" t="s">
        <v>35516</v>
      </c>
    </row>
    <row r="17692" spans="39:41" ht="12" customHeight="1" x14ac:dyDescent="0.2">
      <c r="AM17692" t="str">
        <f t="shared" si="277"/>
        <v>Zeebrugge [BEZEE]</v>
      </c>
      <c r="AN17692" t="s">
        <v>3105</v>
      </c>
      <c r="AO17692" t="s">
        <v>3106</v>
      </c>
    </row>
    <row r="17693" spans="39:41" ht="12" customHeight="1" x14ac:dyDescent="0.2">
      <c r="AM17693" t="str">
        <f t="shared" si="277"/>
        <v>Zeewolde [NLZEW]</v>
      </c>
      <c r="AN17693" t="s">
        <v>33936</v>
      </c>
      <c r="AO17693" t="s">
        <v>34058</v>
      </c>
    </row>
    <row r="17694" spans="39:41" ht="12" customHeight="1" x14ac:dyDescent="0.2">
      <c r="AM17694" t="str">
        <f t="shared" si="277"/>
        <v>Zehdenick [DEZHD]</v>
      </c>
      <c r="AN17694" t="s">
        <v>8566</v>
      </c>
      <c r="AO17694" t="s">
        <v>8567</v>
      </c>
    </row>
    <row r="17695" spans="39:41" ht="12" customHeight="1" x14ac:dyDescent="0.2">
      <c r="AM17695" t="str">
        <f t="shared" si="277"/>
        <v>Zehren [DEZH8]</v>
      </c>
      <c r="AN17695" t="s">
        <v>8568</v>
      </c>
      <c r="AO17695" t="s">
        <v>8569</v>
      </c>
    </row>
    <row r="17696" spans="39:41" ht="12" customHeight="1" x14ac:dyDescent="0.2">
      <c r="AM17696" t="str">
        <f t="shared" si="277"/>
        <v>Zeit Bay [EGZTB]</v>
      </c>
      <c r="AN17696" t="s">
        <v>9544</v>
      </c>
      <c r="AO17696" t="s">
        <v>9545</v>
      </c>
    </row>
    <row r="17697" spans="39:41" ht="12" customHeight="1" x14ac:dyDescent="0.2">
      <c r="AM17697" t="str">
        <f t="shared" si="277"/>
        <v>Zele [BEZLE]</v>
      </c>
      <c r="AN17697" t="s">
        <v>3107</v>
      </c>
      <c r="AO17697" t="s">
        <v>3108</v>
      </c>
    </row>
    <row r="17698" spans="39:41" ht="12" customHeight="1" x14ac:dyDescent="0.2">
      <c r="AM17698" t="str">
        <f t="shared" si="277"/>
        <v>Zelenika [MEZEL]</v>
      </c>
      <c r="AN17698" t="s">
        <v>22096</v>
      </c>
      <c r="AO17698" t="s">
        <v>22097</v>
      </c>
    </row>
    <row r="17699" spans="39:41" ht="12" customHeight="1" x14ac:dyDescent="0.2">
      <c r="AM17699" t="str">
        <f t="shared" si="277"/>
        <v>Zeleniy Mys [RUZEM]</v>
      </c>
      <c r="AN17699" t="s">
        <v>27357</v>
      </c>
      <c r="AO17699" t="s">
        <v>27358</v>
      </c>
    </row>
    <row r="17700" spans="39:41" ht="12" customHeight="1" x14ac:dyDescent="0.2">
      <c r="AM17700" t="str">
        <f t="shared" si="277"/>
        <v>Zelenodol'sk [RUZDK]</v>
      </c>
      <c r="AN17700" t="s">
        <v>27359</v>
      </c>
      <c r="AO17700" t="s">
        <v>36409</v>
      </c>
    </row>
    <row r="17701" spans="39:41" ht="12" customHeight="1" x14ac:dyDescent="0.2">
      <c r="AM17701" t="str">
        <f t="shared" si="277"/>
        <v>Zellertal [DEZZL]</v>
      </c>
      <c r="AN17701" t="s">
        <v>8570</v>
      </c>
      <c r="AO17701" t="s">
        <v>8571</v>
      </c>
    </row>
    <row r="17702" spans="39:41" ht="12" customHeight="1" x14ac:dyDescent="0.2">
      <c r="AM17702" t="str">
        <f t="shared" si="277"/>
        <v>Zeltingen-Rachtig [DEZLT]</v>
      </c>
      <c r="AN17702" t="s">
        <v>8572</v>
      </c>
      <c r="AO17702" t="s">
        <v>8573</v>
      </c>
    </row>
    <row r="17703" spans="39:41" ht="12" customHeight="1" x14ac:dyDescent="0.2">
      <c r="AM17703" t="str">
        <f t="shared" si="277"/>
        <v>Zelzate [BEZEL]</v>
      </c>
      <c r="AN17703" t="s">
        <v>3109</v>
      </c>
      <c r="AO17703" t="s">
        <v>3110</v>
      </c>
    </row>
    <row r="17704" spans="39:41" ht="12" customHeight="1" x14ac:dyDescent="0.2">
      <c r="AM17704" t="str">
        <f t="shared" si="277"/>
        <v>Zemst [BEZET]</v>
      </c>
      <c r="AN17704" t="s">
        <v>3111</v>
      </c>
      <c r="AO17704" t="s">
        <v>3112</v>
      </c>
    </row>
    <row r="17705" spans="39:41" ht="12" customHeight="1" x14ac:dyDescent="0.2">
      <c r="AM17705" t="str">
        <f t="shared" si="277"/>
        <v>Zetale [SIZET]</v>
      </c>
      <c r="AN17705" t="s">
        <v>34203</v>
      </c>
      <c r="AO17705" t="s">
        <v>34275</v>
      </c>
    </row>
    <row r="17706" spans="39:41" ht="12" customHeight="1" x14ac:dyDescent="0.2">
      <c r="AM17706" t="str">
        <f t="shared" si="277"/>
        <v>Zeuthen [DEZTH]</v>
      </c>
      <c r="AN17706" t="s">
        <v>8574</v>
      </c>
      <c r="AO17706" t="s">
        <v>8575</v>
      </c>
    </row>
    <row r="17707" spans="39:41" ht="12" customHeight="1" x14ac:dyDescent="0.2">
      <c r="AM17707" t="str">
        <f t="shared" si="277"/>
        <v>Zevenbergen [NLZVG]</v>
      </c>
      <c r="AN17707" t="s">
        <v>23795</v>
      </c>
      <c r="AO17707" t="s">
        <v>23796</v>
      </c>
    </row>
    <row r="17708" spans="39:41" ht="12" customHeight="1" x14ac:dyDescent="0.2">
      <c r="AM17708" t="str">
        <f t="shared" si="277"/>
        <v>Zeytinburnu [TRZEY]</v>
      </c>
      <c r="AN17708" t="s">
        <v>28625</v>
      </c>
      <c r="AO17708" t="s">
        <v>28626</v>
      </c>
    </row>
    <row r="17709" spans="39:41" ht="12" customHeight="1" x14ac:dyDescent="0.2">
      <c r="AM17709" t="str">
        <f t="shared" si="277"/>
        <v>Zgornja Besnica [SIZGB]</v>
      </c>
      <c r="AN17709" t="s">
        <v>34204</v>
      </c>
      <c r="AO17709" t="s">
        <v>34276</v>
      </c>
    </row>
    <row r="17710" spans="39:41" ht="12" customHeight="1" x14ac:dyDescent="0.2">
      <c r="AM17710" t="str">
        <f t="shared" si="277"/>
        <v>Zgornja Korena [SIZGK]</v>
      </c>
      <c r="AN17710" t="s">
        <v>34205</v>
      </c>
      <c r="AO17710" t="s">
        <v>34277</v>
      </c>
    </row>
    <row r="17711" spans="39:41" ht="12" customHeight="1" x14ac:dyDescent="0.2">
      <c r="AM17711" t="str">
        <f t="shared" si="277"/>
        <v>Zgornja Loznica [SIZGL]</v>
      </c>
      <c r="AN17711" t="s">
        <v>34206</v>
      </c>
      <c r="AO17711" t="s">
        <v>34278</v>
      </c>
    </row>
    <row r="17712" spans="39:41" ht="12" customHeight="1" x14ac:dyDescent="0.2">
      <c r="AM17712" t="str">
        <f t="shared" si="277"/>
        <v>Zgornja Polskava [SIZGP]</v>
      </c>
      <c r="AN17712" t="s">
        <v>34207</v>
      </c>
      <c r="AO17712" t="s">
        <v>34279</v>
      </c>
    </row>
    <row r="17713" spans="39:41" ht="12" customHeight="1" x14ac:dyDescent="0.2">
      <c r="AM17713" t="str">
        <f t="shared" si="277"/>
        <v>Zgornja Velka [SIZGV]</v>
      </c>
      <c r="AN17713" t="s">
        <v>34208</v>
      </c>
      <c r="AO17713" t="s">
        <v>34280</v>
      </c>
    </row>
    <row r="17714" spans="39:41" ht="12" customHeight="1" x14ac:dyDescent="0.2">
      <c r="AM17714" t="str">
        <f t="shared" si="277"/>
        <v>Zgornje Jezersko [SIZ95]</v>
      </c>
      <c r="AN17714" t="s">
        <v>34209</v>
      </c>
      <c r="AO17714" t="s">
        <v>34281</v>
      </c>
    </row>
    <row r="17715" spans="39:41" ht="12" customHeight="1" x14ac:dyDescent="0.2">
      <c r="AM17715" t="str">
        <f t="shared" si="277"/>
        <v>Zgornji Jakobski Dol [SIXZA]</v>
      </c>
      <c r="AN17715" t="s">
        <v>28026</v>
      </c>
      <c r="AO17715" t="s">
        <v>28027</v>
      </c>
    </row>
    <row r="17716" spans="39:41" ht="12" customHeight="1" x14ac:dyDescent="0.2">
      <c r="AM17716" t="str">
        <f t="shared" si="277"/>
        <v>Zgornji Leskovec [SIZ35]</v>
      </c>
      <c r="AN17716" t="s">
        <v>34210</v>
      </c>
      <c r="AO17716" t="s">
        <v>34282</v>
      </c>
    </row>
    <row r="17717" spans="39:41" ht="12" customHeight="1" x14ac:dyDescent="0.2">
      <c r="AM17717" t="str">
        <f t="shared" si="277"/>
        <v>Zhanghu [CNZAG]</v>
      </c>
      <c r="AN17717" t="s">
        <v>6432</v>
      </c>
      <c r="AO17717" t="s">
        <v>6433</v>
      </c>
    </row>
    <row r="17718" spans="39:41" ht="12" customHeight="1" x14ac:dyDescent="0.2">
      <c r="AM17718" t="str">
        <f t="shared" ref="AM17718:AM17780" si="278">AO17718 &amp; " [" &amp; AN17718 &amp; "]"</f>
        <v>Zhangjiabian [CNZJB]</v>
      </c>
      <c r="AN17718" t="s">
        <v>6434</v>
      </c>
      <c r="AO17718" t="s">
        <v>6435</v>
      </c>
    </row>
    <row r="17719" spans="39:41" ht="12" customHeight="1" x14ac:dyDescent="0.2">
      <c r="AM17719" t="str">
        <f t="shared" si="278"/>
        <v>Zhangjiabu [CNWHZ]</v>
      </c>
      <c r="AN17719" t="s">
        <v>6436</v>
      </c>
      <c r="AO17719" t="s">
        <v>6437</v>
      </c>
    </row>
    <row r="17720" spans="39:41" ht="12" customHeight="1" x14ac:dyDescent="0.2">
      <c r="AM17720" t="str">
        <f t="shared" si="278"/>
        <v>Zhangjiagang [CNZJG]</v>
      </c>
      <c r="AN17720" t="s">
        <v>6438</v>
      </c>
      <c r="AO17720" t="s">
        <v>6439</v>
      </c>
    </row>
    <row r="17721" spans="39:41" ht="12" customHeight="1" x14ac:dyDescent="0.2">
      <c r="AM17721" t="str">
        <f t="shared" si="278"/>
        <v>Zhangshan [CNZGS]</v>
      </c>
      <c r="AN17721" t="s">
        <v>6440</v>
      </c>
      <c r="AO17721" t="s">
        <v>6441</v>
      </c>
    </row>
    <row r="17722" spans="39:41" ht="12" customHeight="1" x14ac:dyDescent="0.2">
      <c r="AM17722" t="str">
        <f t="shared" si="278"/>
        <v>Zhangwan [CNZGW]</v>
      </c>
      <c r="AN17722" t="s">
        <v>6442</v>
      </c>
      <c r="AO17722" t="s">
        <v>6443</v>
      </c>
    </row>
    <row r="17723" spans="39:41" ht="12" customHeight="1" x14ac:dyDescent="0.2">
      <c r="AM17723" t="str">
        <f t="shared" si="278"/>
        <v>Zhangzhou Pt [CNZZU]</v>
      </c>
      <c r="AN17723" t="s">
        <v>6444</v>
      </c>
      <c r="AO17723" t="s">
        <v>6445</v>
      </c>
    </row>
    <row r="17724" spans="39:41" ht="12" customHeight="1" x14ac:dyDescent="0.2">
      <c r="AM17724" t="str">
        <f t="shared" si="278"/>
        <v>Zhanjiang Pt [CNZNG]</v>
      </c>
      <c r="AN17724" t="s">
        <v>6446</v>
      </c>
      <c r="AO17724" t="s">
        <v>6447</v>
      </c>
    </row>
    <row r="17725" spans="39:41" ht="12" customHeight="1" x14ac:dyDescent="0.2">
      <c r="AM17725" t="str">
        <f t="shared" si="278"/>
        <v>Zhaodong [CNZDO]</v>
      </c>
      <c r="AN17725" t="s">
        <v>6448</v>
      </c>
      <c r="AO17725" t="s">
        <v>6449</v>
      </c>
    </row>
    <row r="17726" spans="39:41" ht="12" customHeight="1" x14ac:dyDescent="0.2">
      <c r="AM17726" t="str">
        <f t="shared" si="278"/>
        <v>Zhaogang [CNZHG]</v>
      </c>
      <c r="AN17726" t="s">
        <v>6450</v>
      </c>
      <c r="AO17726" t="s">
        <v>6451</v>
      </c>
    </row>
    <row r="17727" spans="39:41" ht="12" customHeight="1" x14ac:dyDescent="0.2">
      <c r="AM17727" t="str">
        <f t="shared" si="278"/>
        <v>Zhaoping [CNZPI]</v>
      </c>
      <c r="AN17727" t="s">
        <v>6452</v>
      </c>
      <c r="AO17727" t="s">
        <v>6453</v>
      </c>
    </row>
    <row r="17728" spans="39:41" ht="12" customHeight="1" x14ac:dyDescent="0.2">
      <c r="AM17728" t="str">
        <f t="shared" si="278"/>
        <v>Zhaoqing Pt [CNZQG]</v>
      </c>
      <c r="AN17728" t="s">
        <v>6454</v>
      </c>
      <c r="AO17728" t="s">
        <v>6455</v>
      </c>
    </row>
    <row r="17729" spans="39:41" ht="12" customHeight="1" x14ac:dyDescent="0.2">
      <c r="AM17729" t="str">
        <f t="shared" si="278"/>
        <v>Zhaoyuan [CNZHY]</v>
      </c>
      <c r="AN17729" t="s">
        <v>6456</v>
      </c>
      <c r="AO17729" t="s">
        <v>6457</v>
      </c>
    </row>
    <row r="17730" spans="39:41" ht="12" customHeight="1" x14ac:dyDescent="0.2">
      <c r="AM17730" t="str">
        <f t="shared" si="278"/>
        <v>Zhapo [CNZPO]</v>
      </c>
      <c r="AN17730" t="s">
        <v>6458</v>
      </c>
      <c r="AO17730" t="s">
        <v>6459</v>
      </c>
    </row>
    <row r="17731" spans="39:41" ht="12" customHeight="1" x14ac:dyDescent="0.2">
      <c r="AM17731" t="str">
        <f t="shared" si="278"/>
        <v>Zhapoyouku [CNZPK]</v>
      </c>
      <c r="AN17731" t="s">
        <v>6460</v>
      </c>
      <c r="AO17731" t="s">
        <v>6461</v>
      </c>
    </row>
    <row r="17732" spans="39:41" ht="12" customHeight="1" x14ac:dyDescent="0.2">
      <c r="AM17732" t="str">
        <f t="shared" si="278"/>
        <v>Zhapu Pt [CNZPU]</v>
      </c>
      <c r="AN17732" t="s">
        <v>6462</v>
      </c>
      <c r="AO17732" t="s">
        <v>6463</v>
      </c>
    </row>
    <row r="17733" spans="39:41" ht="12" customHeight="1" x14ac:dyDescent="0.2">
      <c r="AM17733" t="str">
        <f t="shared" si="278"/>
        <v>Zhelin [CNZEL]</v>
      </c>
      <c r="AN17733" t="s">
        <v>6464</v>
      </c>
      <c r="AO17733" t="s">
        <v>6465</v>
      </c>
    </row>
    <row r="17734" spans="39:41" ht="12" customHeight="1" x14ac:dyDescent="0.2">
      <c r="AM17734" t="str">
        <f t="shared" si="278"/>
        <v>zhengpugang Pt [CNZPG]</v>
      </c>
      <c r="AN17734" t="s">
        <v>33830</v>
      </c>
      <c r="AO17734" t="s">
        <v>33953</v>
      </c>
    </row>
    <row r="17735" spans="39:41" ht="12" customHeight="1" x14ac:dyDescent="0.2">
      <c r="AM17735" t="str">
        <f t="shared" si="278"/>
        <v>Zhenhai Pt [CNZHI]</v>
      </c>
      <c r="AN17735" t="s">
        <v>6466</v>
      </c>
      <c r="AO17735" t="s">
        <v>6467</v>
      </c>
    </row>
    <row r="17736" spans="39:41" ht="12" customHeight="1" x14ac:dyDescent="0.2">
      <c r="AM17736" t="str">
        <f t="shared" si="278"/>
        <v>Zhenjiang Pt [CNZHE]</v>
      </c>
      <c r="AN17736" t="s">
        <v>6468</v>
      </c>
      <c r="AO17736" t="s">
        <v>6469</v>
      </c>
    </row>
    <row r="17737" spans="39:41" ht="12" customHeight="1" x14ac:dyDescent="0.2">
      <c r="AM17737" t="str">
        <f t="shared" si="278"/>
        <v>Zhexiang [CNZXI]</v>
      </c>
      <c r="AN17737" t="s">
        <v>6470</v>
      </c>
      <c r="AO17737" t="s">
        <v>6471</v>
      </c>
    </row>
    <row r="17738" spans="39:41" ht="12" customHeight="1" x14ac:dyDescent="0.2">
      <c r="AM17738" t="str">
        <f t="shared" si="278"/>
        <v>Zhicheng [CNZCG]</v>
      </c>
      <c r="AN17738" t="s">
        <v>6472</v>
      </c>
      <c r="AO17738" t="s">
        <v>6473</v>
      </c>
    </row>
    <row r="17739" spans="39:41" ht="12" customHeight="1" x14ac:dyDescent="0.2">
      <c r="AM17739" t="str">
        <f t="shared" si="278"/>
        <v>Zhongshan [AQZGN]</v>
      </c>
      <c r="AN17739" t="s">
        <v>973</v>
      </c>
      <c r="AO17739" t="s">
        <v>974</v>
      </c>
    </row>
    <row r="17740" spans="39:41" ht="12" customHeight="1" x14ac:dyDescent="0.2">
      <c r="AM17740" t="str">
        <f t="shared" si="278"/>
        <v>Zhongshan Pt [CNZSN]</v>
      </c>
      <c r="AN17740" t="s">
        <v>6474</v>
      </c>
      <c r="AO17740" t="s">
        <v>6475</v>
      </c>
    </row>
    <row r="17741" spans="39:41" ht="12" customHeight="1" x14ac:dyDescent="0.2">
      <c r="AM17741" t="str">
        <f t="shared" si="278"/>
        <v>Zhongtang [CNZGT]</v>
      </c>
      <c r="AN17741" t="s">
        <v>6476</v>
      </c>
      <c r="AO17741" t="s">
        <v>6477</v>
      </c>
    </row>
    <row r="17742" spans="39:41" ht="12" customHeight="1" x14ac:dyDescent="0.2">
      <c r="AM17742" t="str">
        <f t="shared" si="278"/>
        <v>Zhongxian [CNZXN]</v>
      </c>
      <c r="AN17742" t="s">
        <v>6478</v>
      </c>
      <c r="AO17742" t="s">
        <v>6479</v>
      </c>
    </row>
    <row r="17743" spans="39:41" ht="12" customHeight="1" x14ac:dyDescent="0.2">
      <c r="AM17743" t="str">
        <f t="shared" si="278"/>
        <v>Zhouqujia [CNZQJ]</v>
      </c>
      <c r="AN17743" t="s">
        <v>6480</v>
      </c>
      <c r="AO17743" t="s">
        <v>6481</v>
      </c>
    </row>
    <row r="17744" spans="39:41" ht="12" customHeight="1" x14ac:dyDescent="0.2">
      <c r="AM17744" t="str">
        <f t="shared" si="278"/>
        <v>Zhoushan Pt [CNZOS]</v>
      </c>
      <c r="AN17744" t="s">
        <v>6482</v>
      </c>
      <c r="AO17744" t="s">
        <v>6483</v>
      </c>
    </row>
    <row r="17745" spans="39:41" ht="12" customHeight="1" x14ac:dyDescent="0.2">
      <c r="AM17745" t="str">
        <f t="shared" si="278"/>
        <v>Zhouzhuang [CNZZG]</v>
      </c>
      <c r="AN17745" t="s">
        <v>6484</v>
      </c>
      <c r="AO17745" t="s">
        <v>6485</v>
      </c>
    </row>
    <row r="17746" spans="39:41" ht="12" customHeight="1" x14ac:dyDescent="0.2">
      <c r="AM17746" t="str">
        <f t="shared" si="278"/>
        <v>Zhuanghe Pt [CNZHH]</v>
      </c>
      <c r="AN17746" t="s">
        <v>6486</v>
      </c>
      <c r="AO17746" t="s">
        <v>6487</v>
      </c>
    </row>
    <row r="17747" spans="39:41" ht="12" customHeight="1" x14ac:dyDescent="0.2">
      <c r="AM17747" t="str">
        <f t="shared" si="278"/>
        <v>Zhuangyuanao [CNZYO]</v>
      </c>
      <c r="AN17747" t="s">
        <v>6488</v>
      </c>
      <c r="AO17747" t="s">
        <v>6489</v>
      </c>
    </row>
    <row r="17748" spans="39:41" ht="12" customHeight="1" x14ac:dyDescent="0.2">
      <c r="AM17748" t="str">
        <f t="shared" si="278"/>
        <v>Zhuhai Pt [CNZUH]</v>
      </c>
      <c r="AN17748" t="s">
        <v>6490</v>
      </c>
      <c r="AO17748" t="s">
        <v>6491</v>
      </c>
    </row>
    <row r="17749" spans="39:41" ht="12" customHeight="1" x14ac:dyDescent="0.2">
      <c r="AM17749" t="str">
        <f t="shared" si="278"/>
        <v>Zhuliao [CNZLO]</v>
      </c>
      <c r="AN17749" t="s">
        <v>6492</v>
      </c>
      <c r="AO17749" t="s">
        <v>6493</v>
      </c>
    </row>
    <row r="17750" spans="39:41" ht="12" customHeight="1" x14ac:dyDescent="0.2">
      <c r="AM17750" t="str">
        <f t="shared" si="278"/>
        <v>Zhushan [CNZUS]</v>
      </c>
      <c r="AN17750" t="s">
        <v>6494</v>
      </c>
      <c r="AO17750" t="s">
        <v>6495</v>
      </c>
    </row>
    <row r="17751" spans="39:41" ht="12" customHeight="1" x14ac:dyDescent="0.2">
      <c r="AM17751" t="str">
        <f t="shared" si="278"/>
        <v>Zhuyang [CNZUY]</v>
      </c>
      <c r="AN17751" t="s">
        <v>6496</v>
      </c>
      <c r="AO17751" t="s">
        <v>6497</v>
      </c>
    </row>
    <row r="17752" spans="39:41" ht="12" customHeight="1" x14ac:dyDescent="0.2">
      <c r="AM17752" t="str">
        <f t="shared" si="278"/>
        <v>Ziar nad Hronom [SKZIA]</v>
      </c>
      <c r="AN17752" t="s">
        <v>28076</v>
      </c>
      <c r="AO17752" t="s">
        <v>28077</v>
      </c>
    </row>
    <row r="17753" spans="39:41" ht="12" customHeight="1" x14ac:dyDescent="0.2">
      <c r="AM17753" t="str">
        <f t="shared" si="278"/>
        <v>Zidani Most [SIZID]</v>
      </c>
      <c r="AN17753" t="s">
        <v>34211</v>
      </c>
      <c r="AO17753" t="s">
        <v>34283</v>
      </c>
    </row>
    <row r="17754" spans="39:41" ht="12" customHeight="1" x14ac:dyDescent="0.2">
      <c r="AM17754" t="str">
        <f t="shared" si="278"/>
        <v>Zierikzee [NLZIE]</v>
      </c>
      <c r="AN17754" t="s">
        <v>23797</v>
      </c>
      <c r="AO17754" t="s">
        <v>23798</v>
      </c>
    </row>
    <row r="17755" spans="39:41" ht="12" customHeight="1" x14ac:dyDescent="0.2">
      <c r="AM17755" t="str">
        <f t="shared" si="278"/>
        <v>Zigljen [HRZGL]</v>
      </c>
      <c r="AN17755" t="s">
        <v>16018</v>
      </c>
      <c r="AO17755" t="s">
        <v>16019</v>
      </c>
    </row>
    <row r="17756" spans="39:41" ht="12" customHeight="1" x14ac:dyDescent="0.2">
      <c r="AM17756" t="str">
        <f t="shared" si="278"/>
        <v>Ziguinchor [SNZIG]</v>
      </c>
      <c r="AN17756" t="s">
        <v>28102</v>
      </c>
      <c r="AO17756" t="s">
        <v>28103</v>
      </c>
    </row>
    <row r="17757" spans="39:41" ht="12" customHeight="1" x14ac:dyDescent="0.2">
      <c r="AM17757" t="str">
        <f t="shared" si="278"/>
        <v>Zihuatanejo [MXXIH]</v>
      </c>
      <c r="AN17757" t="s">
        <v>22488</v>
      </c>
      <c r="AO17757" t="s">
        <v>22489</v>
      </c>
    </row>
    <row r="17758" spans="39:41" ht="12" customHeight="1" x14ac:dyDescent="0.2">
      <c r="AM17758" t="str">
        <f t="shared" si="278"/>
        <v>Zijpersluis [NLZPS]</v>
      </c>
      <c r="AN17758" t="s">
        <v>23799</v>
      </c>
      <c r="AO17758" t="s">
        <v>23800</v>
      </c>
    </row>
    <row r="17759" spans="39:41" ht="12" customHeight="1" x14ac:dyDescent="0.2">
      <c r="AM17759" t="str">
        <f t="shared" si="278"/>
        <v>Zimbabwe [ZWZMZ]</v>
      </c>
      <c r="AN17759" t="s">
        <v>32758</v>
      </c>
      <c r="AO17759" t="s">
        <v>32759</v>
      </c>
    </row>
    <row r="17760" spans="39:41" ht="12" customHeight="1" x14ac:dyDescent="0.2">
      <c r="AM17760" t="str">
        <f t="shared" si="278"/>
        <v>Zimnicea [ROZIC]</v>
      </c>
      <c r="AN17760" t="s">
        <v>26830</v>
      </c>
      <c r="AO17760" t="s">
        <v>26831</v>
      </c>
    </row>
    <row r="17761" spans="39:41" ht="12" customHeight="1" x14ac:dyDescent="0.2">
      <c r="AM17761" t="str">
        <f t="shared" si="278"/>
        <v>Zingem [BEZGM]</v>
      </c>
      <c r="AN17761" t="s">
        <v>3113</v>
      </c>
      <c r="AO17761" t="s">
        <v>3114</v>
      </c>
    </row>
    <row r="17762" spans="39:41" ht="12" customHeight="1" x14ac:dyDescent="0.2">
      <c r="AM17762" t="str">
        <f t="shared" si="278"/>
        <v>Zingst [DEZIS]</v>
      </c>
      <c r="AN17762" t="s">
        <v>8576</v>
      </c>
      <c r="AO17762" t="s">
        <v>8577</v>
      </c>
    </row>
    <row r="17763" spans="39:41" ht="12" customHeight="1" x14ac:dyDescent="0.2">
      <c r="AM17763" t="str">
        <f t="shared" si="278"/>
        <v>Ziniare [BFOB2]</v>
      </c>
      <c r="AN17763" t="s">
        <v>3131</v>
      </c>
      <c r="AO17763" t="s">
        <v>35283</v>
      </c>
    </row>
    <row r="17764" spans="39:41" ht="12" customHeight="1" x14ac:dyDescent="0.2">
      <c r="AM17764" t="str">
        <f t="shared" si="278"/>
        <v>Zinnowitz [DEZIN]</v>
      </c>
      <c r="AN17764" t="s">
        <v>8578</v>
      </c>
      <c r="AO17764" t="s">
        <v>8579</v>
      </c>
    </row>
    <row r="17765" spans="39:41" ht="12" customHeight="1" x14ac:dyDescent="0.2">
      <c r="AM17765" t="str">
        <f t="shared" si="278"/>
        <v>Zirconia [USZR9]</v>
      </c>
      <c r="AN17765" t="s">
        <v>32097</v>
      </c>
      <c r="AO17765" t="s">
        <v>32098</v>
      </c>
    </row>
    <row r="17766" spans="39:41" ht="12" customHeight="1" x14ac:dyDescent="0.2">
      <c r="AM17766" t="str">
        <f t="shared" si="278"/>
        <v>Zirku Island [AEZUR]</v>
      </c>
      <c r="AN17766" t="s">
        <v>786</v>
      </c>
      <c r="AO17766" t="s">
        <v>787</v>
      </c>
    </row>
    <row r="17767" spans="39:41" ht="12" customHeight="1" x14ac:dyDescent="0.2">
      <c r="AM17767" t="str">
        <f t="shared" si="278"/>
        <v>Zirovnica [SIZIR]</v>
      </c>
      <c r="AN17767" t="s">
        <v>34212</v>
      </c>
      <c r="AO17767" t="s">
        <v>34284</v>
      </c>
    </row>
    <row r="17768" spans="39:41" ht="12" customHeight="1" x14ac:dyDescent="0.2">
      <c r="AM17768" t="str">
        <f t="shared" si="278"/>
        <v>Ziyuan Pt [CNZIY]</v>
      </c>
      <c r="AN17768" t="s">
        <v>6498</v>
      </c>
      <c r="AO17768" t="s">
        <v>6499</v>
      </c>
    </row>
    <row r="17769" spans="39:41" ht="12" customHeight="1" x14ac:dyDescent="0.2">
      <c r="AM17769" t="str">
        <f t="shared" si="278"/>
        <v>Zlarin [HRZLR]</v>
      </c>
      <c r="AN17769" t="s">
        <v>16020</v>
      </c>
      <c r="AO17769" t="s">
        <v>16021</v>
      </c>
    </row>
    <row r="17770" spans="39:41" ht="12" customHeight="1" x14ac:dyDescent="0.2">
      <c r="AM17770" t="str">
        <f t="shared" si="278"/>
        <v>Zlate Klasy [HUZTK]</v>
      </c>
      <c r="AN17770" t="s">
        <v>16135</v>
      </c>
      <c r="AO17770" t="s">
        <v>16136</v>
      </c>
    </row>
    <row r="17771" spans="39:41" ht="12" customHeight="1" x14ac:dyDescent="0.2">
      <c r="AM17771" t="str">
        <f t="shared" si="278"/>
        <v>Zliten [LYZLI]</v>
      </c>
      <c r="AN17771" t="s">
        <v>22014</v>
      </c>
      <c r="AO17771" t="s">
        <v>22015</v>
      </c>
    </row>
    <row r="17772" spans="39:41" ht="12" customHeight="1" x14ac:dyDescent="0.2">
      <c r="AM17772" t="str">
        <f t="shared" si="278"/>
        <v>Znin [PLZNI]</v>
      </c>
      <c r="AN17772" t="s">
        <v>26410</v>
      </c>
      <c r="AO17772" t="s">
        <v>26411</v>
      </c>
    </row>
    <row r="17773" spans="39:41" ht="12" customHeight="1" x14ac:dyDescent="0.2">
      <c r="AM17773" t="str">
        <f t="shared" si="278"/>
        <v>Zobing [ATZNG]</v>
      </c>
      <c r="AN17773" t="s">
        <v>1375</v>
      </c>
      <c r="AO17773" t="s">
        <v>1376</v>
      </c>
    </row>
    <row r="17774" spans="39:41" ht="12" customHeight="1" x14ac:dyDescent="0.2">
      <c r="AM17774" t="str">
        <f t="shared" si="278"/>
        <v>Zoeterwoude [NLZOU]</v>
      </c>
      <c r="AN17774" t="s">
        <v>23801</v>
      </c>
      <c r="AO17774" t="s">
        <v>23802</v>
      </c>
    </row>
    <row r="17775" spans="39:41" ht="12" customHeight="1" x14ac:dyDescent="0.2">
      <c r="AM17775" t="str">
        <f t="shared" si="278"/>
        <v>Zolder [BEZOD]</v>
      </c>
      <c r="AN17775" t="s">
        <v>3115</v>
      </c>
      <c r="AO17775" t="s">
        <v>3116</v>
      </c>
    </row>
    <row r="17776" spans="39:41" ht="12" customHeight="1" x14ac:dyDescent="0.2">
      <c r="AM17776" t="str">
        <f t="shared" si="278"/>
        <v>Zomergem [BEZRM]</v>
      </c>
      <c r="AN17776" t="s">
        <v>3117</v>
      </c>
      <c r="AO17776" t="s">
        <v>3118</v>
      </c>
    </row>
    <row r="17777" spans="39:41" ht="12" customHeight="1" x14ac:dyDescent="0.2">
      <c r="AM17777" t="str">
        <f t="shared" si="278"/>
        <v>Zona Franca da Madeira [PTZFM]</v>
      </c>
      <c r="AN17777" t="s">
        <v>26651</v>
      </c>
      <c r="AO17777" t="s">
        <v>26652</v>
      </c>
    </row>
    <row r="17778" spans="39:41" ht="12" customHeight="1" x14ac:dyDescent="0.2">
      <c r="AM17778" t="str">
        <f t="shared" si="278"/>
        <v>Zona Franca de Cadiz [ESZFR]</v>
      </c>
      <c r="AN17778" t="s">
        <v>36932</v>
      </c>
      <c r="AO17778" t="s">
        <v>36933</v>
      </c>
    </row>
    <row r="17779" spans="39:41" ht="12" customHeight="1" x14ac:dyDescent="0.2">
      <c r="AM17779" t="str">
        <f t="shared" si="278"/>
        <v>Zonguldak [TRZON]</v>
      </c>
      <c r="AN17779" t="s">
        <v>28627</v>
      </c>
      <c r="AO17779" t="s">
        <v>28628</v>
      </c>
    </row>
    <row r="17780" spans="39:41" ht="12" customHeight="1" x14ac:dyDescent="0.2">
      <c r="AM17780" t="str">
        <f t="shared" si="278"/>
        <v>Zongyang [CNZYG]</v>
      </c>
      <c r="AN17780" t="s">
        <v>6500</v>
      </c>
      <c r="AO17780" t="s">
        <v>6501</v>
      </c>
    </row>
    <row r="17781" spans="39:41" ht="12" customHeight="1" x14ac:dyDescent="0.2">
      <c r="AM17781" t="str">
        <f t="shared" ref="AM17781:AM17811" si="279">AO17781 &amp; " [" &amp; AN17781 &amp; "]"</f>
        <v>Zorge [DEZOR]</v>
      </c>
      <c r="AN17781" t="s">
        <v>8580</v>
      </c>
      <c r="AO17781" t="s">
        <v>8581</v>
      </c>
    </row>
    <row r="17782" spans="39:41" ht="12" customHeight="1" x14ac:dyDescent="0.2">
      <c r="AM17782" t="str">
        <f t="shared" si="279"/>
        <v>Zouk [LBZUK]</v>
      </c>
      <c r="AN17782" t="s">
        <v>21809</v>
      </c>
      <c r="AO17782" t="s">
        <v>21810</v>
      </c>
    </row>
    <row r="17783" spans="39:41" ht="12" customHeight="1" x14ac:dyDescent="0.2">
      <c r="AM17783" t="str">
        <f t="shared" si="279"/>
        <v>Zoutelande [NLZLD]</v>
      </c>
      <c r="AN17783" t="s">
        <v>23803</v>
      </c>
      <c r="AO17783" t="s">
        <v>23804</v>
      </c>
    </row>
    <row r="17784" spans="39:41" ht="12" customHeight="1" x14ac:dyDescent="0.2">
      <c r="AM17784" t="str">
        <f t="shared" si="279"/>
        <v>Zsira [HUZSI]</v>
      </c>
      <c r="AN17784" t="s">
        <v>16137</v>
      </c>
      <c r="AO17784" t="s">
        <v>16138</v>
      </c>
    </row>
    <row r="17785" spans="39:41" ht="12" customHeight="1" x14ac:dyDescent="0.2">
      <c r="AM17785" t="str">
        <f t="shared" si="279"/>
        <v>Zuara [LYZUA]</v>
      </c>
      <c r="AN17785" t="s">
        <v>22016</v>
      </c>
      <c r="AO17785" t="s">
        <v>22017</v>
      </c>
    </row>
    <row r="17786" spans="39:41" ht="12" customHeight="1" x14ac:dyDescent="0.2">
      <c r="AM17786" t="str">
        <f t="shared" si="279"/>
        <v>Zueitina [LYZUE]</v>
      </c>
      <c r="AN17786" t="s">
        <v>37033</v>
      </c>
      <c r="AO17786" t="s">
        <v>37034</v>
      </c>
    </row>
    <row r="17787" spans="39:41" ht="12" customHeight="1" x14ac:dyDescent="0.2">
      <c r="AM17787" t="str">
        <f t="shared" si="279"/>
        <v>Zuen (Zuun) [BEZUN]</v>
      </c>
      <c r="AN17787" t="s">
        <v>3119</v>
      </c>
      <c r="AO17787" t="s">
        <v>3120</v>
      </c>
    </row>
    <row r="17788" spans="39:41" ht="12" customHeight="1" x14ac:dyDescent="0.2">
      <c r="AM17788" t="str">
        <f t="shared" si="279"/>
        <v>Zuera [ESZUE]</v>
      </c>
      <c r="AN17788" t="s">
        <v>10305</v>
      </c>
      <c r="AO17788" t="s">
        <v>10306</v>
      </c>
    </row>
    <row r="17789" spans="39:41" ht="12" customHeight="1" x14ac:dyDescent="0.2">
      <c r="AM17789" t="str">
        <f t="shared" si="279"/>
        <v>Zuidbroek [NLZBO]</v>
      </c>
      <c r="AN17789" t="s">
        <v>23805</v>
      </c>
      <c r="AO17789" t="s">
        <v>23806</v>
      </c>
    </row>
    <row r="17790" spans="39:41" ht="12" customHeight="1" x14ac:dyDescent="0.2">
      <c r="AM17790" t="str">
        <f t="shared" si="279"/>
        <v>Zuideinde [NLZEI]</v>
      </c>
      <c r="AN17790" t="s">
        <v>23807</v>
      </c>
      <c r="AO17790" t="s">
        <v>23808</v>
      </c>
    </row>
    <row r="17791" spans="39:41" ht="12" customHeight="1" x14ac:dyDescent="0.2">
      <c r="AM17791" t="str">
        <f t="shared" si="279"/>
        <v>Zuidland [NLZUL]</v>
      </c>
      <c r="AN17791" t="s">
        <v>33937</v>
      </c>
      <c r="AO17791" t="s">
        <v>34059</v>
      </c>
    </row>
    <row r="17792" spans="39:41" ht="12" customHeight="1" x14ac:dyDescent="0.2">
      <c r="AM17792" t="str">
        <f t="shared" si="279"/>
        <v>Zuidlaren [NLZDL]</v>
      </c>
      <c r="AN17792" t="s">
        <v>23809</v>
      </c>
      <c r="AO17792" t="s">
        <v>23810</v>
      </c>
    </row>
    <row r="17793" spans="39:41" ht="12" customHeight="1" x14ac:dyDescent="0.2">
      <c r="AM17793" t="str">
        <f t="shared" si="279"/>
        <v>Zulayfayn [SAZUY]</v>
      </c>
      <c r="AN17793" t="s">
        <v>27429</v>
      </c>
      <c r="AO17793" t="s">
        <v>27430</v>
      </c>
    </row>
    <row r="17794" spans="39:41" ht="12" customHeight="1" x14ac:dyDescent="0.2">
      <c r="AM17794" t="str">
        <f t="shared" si="279"/>
        <v>Zulte [BEZUL]</v>
      </c>
      <c r="AN17794" t="s">
        <v>3121</v>
      </c>
      <c r="AO17794" t="s">
        <v>3122</v>
      </c>
    </row>
    <row r="17795" spans="39:41" ht="12" customHeight="1" x14ac:dyDescent="0.2">
      <c r="AM17795" t="str">
        <f t="shared" si="279"/>
        <v>Zumbrota [USZUM]</v>
      </c>
      <c r="AN17795" t="s">
        <v>32099</v>
      </c>
      <c r="AO17795" t="s">
        <v>32100</v>
      </c>
    </row>
    <row r="17796" spans="39:41" ht="12" customHeight="1" x14ac:dyDescent="0.2">
      <c r="AM17796" t="str">
        <f t="shared" si="279"/>
        <v>Zushi [JPAXZ]</v>
      </c>
      <c r="AN17796" t="s">
        <v>21524</v>
      </c>
      <c r="AO17796" t="s">
        <v>21525</v>
      </c>
    </row>
    <row r="17797" spans="39:41" ht="12" customHeight="1" x14ac:dyDescent="0.2">
      <c r="AM17797" t="str">
        <f t="shared" si="279"/>
        <v>Zut Marina [HRZUT]</v>
      </c>
      <c r="AN17797" t="s">
        <v>16022</v>
      </c>
      <c r="AO17797" t="s">
        <v>16023</v>
      </c>
    </row>
    <row r="17798" spans="39:41" ht="12" customHeight="1" x14ac:dyDescent="0.2">
      <c r="AM17798" t="str">
        <f t="shared" si="279"/>
        <v>Zutendaal [BEZTL]</v>
      </c>
      <c r="AN17798" t="s">
        <v>3123</v>
      </c>
      <c r="AO17798" t="s">
        <v>3124</v>
      </c>
    </row>
    <row r="17799" spans="39:41" ht="12" customHeight="1" x14ac:dyDescent="0.2">
      <c r="AM17799" t="str">
        <f t="shared" si="279"/>
        <v>Zutphen [NLZUT]</v>
      </c>
      <c r="AN17799" t="s">
        <v>34115</v>
      </c>
      <c r="AO17799" t="s">
        <v>34161</v>
      </c>
    </row>
    <row r="17800" spans="39:41" ht="12" customHeight="1" x14ac:dyDescent="0.2">
      <c r="AM17800" t="str">
        <f t="shared" si="279"/>
        <v>Zuzemberk [SIZUZ]</v>
      </c>
      <c r="AN17800" t="s">
        <v>34213</v>
      </c>
      <c r="AO17800" t="s">
        <v>34285</v>
      </c>
    </row>
    <row r="17801" spans="39:41" ht="12" customHeight="1" x14ac:dyDescent="0.2">
      <c r="AM17801" t="str">
        <f t="shared" si="279"/>
        <v>Zuzenhausen [DEZZH]</v>
      </c>
      <c r="AN17801" t="s">
        <v>8582</v>
      </c>
      <c r="AO17801" t="s">
        <v>8583</v>
      </c>
    </row>
    <row r="17802" spans="39:41" ht="12" customHeight="1" x14ac:dyDescent="0.2">
      <c r="AM17802" t="str">
        <f t="shared" si="279"/>
        <v>Zvornik [BAZNK]</v>
      </c>
      <c r="AN17802" t="s">
        <v>2182</v>
      </c>
      <c r="AO17802" t="s">
        <v>2183</v>
      </c>
    </row>
    <row r="17803" spans="39:41" ht="12" customHeight="1" x14ac:dyDescent="0.2">
      <c r="AM17803" t="str">
        <f t="shared" si="279"/>
        <v>Zwaanshoek [NLZHO]</v>
      </c>
      <c r="AN17803" t="s">
        <v>23811</v>
      </c>
      <c r="AO17803" t="s">
        <v>23812</v>
      </c>
    </row>
    <row r="17804" spans="39:41" ht="12" customHeight="1" x14ac:dyDescent="0.2">
      <c r="AM17804" t="str">
        <f t="shared" si="279"/>
        <v>Zwartsluis [NLZWS]</v>
      </c>
      <c r="AN17804" t="s">
        <v>23813</v>
      </c>
      <c r="AO17804" t="s">
        <v>23814</v>
      </c>
    </row>
    <row r="17805" spans="39:41" ht="12" customHeight="1" x14ac:dyDescent="0.2">
      <c r="AM17805" t="str">
        <f t="shared" si="279"/>
        <v>Zwevegem [BEZWE]</v>
      </c>
      <c r="AN17805" t="s">
        <v>3125</v>
      </c>
      <c r="AO17805" t="s">
        <v>3126</v>
      </c>
    </row>
    <row r="17806" spans="39:41" ht="12" customHeight="1" x14ac:dyDescent="0.2">
      <c r="AM17806" t="str">
        <f t="shared" si="279"/>
        <v>Zwiefalten [DEAWI]</v>
      </c>
      <c r="AN17806" t="s">
        <v>8584</v>
      </c>
      <c r="AO17806" t="s">
        <v>8585</v>
      </c>
    </row>
    <row r="17807" spans="39:41" ht="12" customHeight="1" x14ac:dyDescent="0.2">
      <c r="AM17807" t="str">
        <f t="shared" si="279"/>
        <v>Zwijnaarde [BEZWN]</v>
      </c>
      <c r="AN17807" t="s">
        <v>3127</v>
      </c>
      <c r="AO17807" t="s">
        <v>3128</v>
      </c>
    </row>
    <row r="17808" spans="39:41" ht="12" customHeight="1" x14ac:dyDescent="0.2">
      <c r="AM17808" t="str">
        <f t="shared" si="279"/>
        <v>Zwijndrecht [BEZWL]</v>
      </c>
      <c r="AN17808" t="s">
        <v>3129</v>
      </c>
      <c r="AO17808" t="s">
        <v>3130</v>
      </c>
    </row>
    <row r="17809" spans="39:41" ht="12" customHeight="1" x14ac:dyDescent="0.2">
      <c r="AM17809" t="str">
        <f t="shared" si="279"/>
        <v>Zwijndrecht [NLZWI]</v>
      </c>
      <c r="AN17809" t="s">
        <v>23815</v>
      </c>
      <c r="AO17809" t="s">
        <v>3130</v>
      </c>
    </row>
    <row r="17810" spans="39:41" ht="12" customHeight="1" x14ac:dyDescent="0.2">
      <c r="AM17810" t="str">
        <f t="shared" si="279"/>
        <v>Zwinderen [NLZWN]</v>
      </c>
      <c r="AN17810" t="s">
        <v>23816</v>
      </c>
      <c r="AO17810" t="s">
        <v>23817</v>
      </c>
    </row>
    <row r="17811" spans="39:41" ht="12" customHeight="1" x14ac:dyDescent="0.2">
      <c r="AM17811" t="str">
        <f t="shared" si="279"/>
        <v>Zyyi [CYZYY]</v>
      </c>
      <c r="AN17811" t="s">
        <v>36849</v>
      </c>
      <c r="AO17811" t="s">
        <v>36850</v>
      </c>
    </row>
  </sheetData>
  <sheetProtection algorithmName="SHA-512" hashValue="ajAmIcPqQ5h6y+NtX2tlI3EFoxTU08YcpBc3qRzINimIvfKEwPk1B+k7E72a6fAt5odAMBWzRR9QeZ2SbA4oCQ==" saltValue="4Ev3yF3FWQeW8p4wPkwbzA==" spinCount="100000" sheet="1" objects="1" scenarios="1"/>
  <sortState ref="AS2:AT330">
    <sortCondition ref="AT2:AT330"/>
  </sortState>
  <dataValidations disablePrompts="1" count="1">
    <dataValidation type="list" allowBlank="1" showInputMessage="1" showErrorMessage="1" sqref="Y26">
      <formula1>waste_types</formula1>
    </dataValidation>
  </dataValidations>
  <pageMargins left="0.7" right="0.7" top="0.75" bottom="0.75" header="0.3" footer="0.3"/>
  <pageSetup paperSize="9" orientation="portrait" r:id="rId1"/>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0070C0"/>
    <pageSetUpPr fitToPage="1"/>
  </sheetPr>
  <dimension ref="A1:AA62"/>
  <sheetViews>
    <sheetView zoomScale="90" zoomScaleNormal="90" workbookViewId="0">
      <pane ySplit="3" topLeftCell="A4" activePane="bottomLeft" state="frozen"/>
      <selection pane="bottomLeft" activeCell="D22" sqref="D22"/>
    </sheetView>
  </sheetViews>
  <sheetFormatPr defaultColWidth="9.140625" defaultRowHeight="12.75" x14ac:dyDescent="0.2"/>
  <cols>
    <col min="1" max="1" width="2.42578125" style="36" customWidth="1"/>
    <col min="2" max="2" width="10.140625" style="3" customWidth="1"/>
    <col min="3" max="3" width="25" style="171" customWidth="1"/>
    <col min="4" max="4" width="44.85546875" style="3" customWidth="1"/>
    <col min="5" max="5" width="6" style="3" customWidth="1"/>
    <col min="6" max="6" width="14.28515625" style="11" customWidth="1"/>
    <col min="7" max="7" width="16.5703125" style="3" customWidth="1"/>
    <col min="8" max="8" width="12.7109375" style="3" customWidth="1"/>
    <col min="9" max="9" width="9.5703125" style="3" customWidth="1"/>
    <col min="10" max="10" width="24.28515625" style="3" customWidth="1"/>
    <col min="11" max="11" width="36.5703125" style="3" customWidth="1"/>
    <col min="12" max="16384" width="9.140625" style="36"/>
  </cols>
  <sheetData>
    <row r="1" spans="1:27" s="34" customFormat="1" ht="4.5" customHeight="1" x14ac:dyDescent="0.2"/>
    <row r="2" spans="1:27" s="78" customFormat="1" ht="20.25" x14ac:dyDescent="0.2">
      <c r="A2" s="75"/>
      <c r="B2" s="76" t="s">
        <v>33356</v>
      </c>
      <c r="C2" s="76"/>
      <c r="D2" s="76"/>
      <c r="E2" s="275"/>
      <c r="F2" s="275" t="s">
        <v>33411</v>
      </c>
      <c r="G2" s="276" t="str">
        <f>VES_STATUS</f>
        <v>Empty</v>
      </c>
      <c r="H2" s="277" t="str">
        <f>IFERROR(VES_VALID_RES,"")</f>
        <v>At least two of ‘IMO number’, ‘Ship name’, ‘Call sign’ and ‘MMSI number’ must be given</v>
      </c>
      <c r="I2" s="277"/>
      <c r="J2" s="277"/>
      <c r="K2" s="277"/>
      <c r="L2" s="277"/>
      <c r="M2" s="277"/>
      <c r="N2" s="277"/>
      <c r="O2" s="277"/>
      <c r="P2" s="277"/>
      <c r="Q2" s="277"/>
      <c r="R2" s="277"/>
      <c r="S2" s="277"/>
      <c r="T2" s="277"/>
      <c r="U2" s="277"/>
      <c r="V2" s="277"/>
      <c r="W2" s="277"/>
      <c r="X2" s="277"/>
      <c r="Y2" s="277"/>
      <c r="Z2" s="277"/>
      <c r="AA2" s="277"/>
    </row>
    <row r="3" spans="1:27" s="78" customFormat="1" ht="4.5" customHeight="1" x14ac:dyDescent="0.2">
      <c r="B3" s="274"/>
      <c r="C3" s="274"/>
      <c r="D3" s="273"/>
      <c r="E3" s="278"/>
      <c r="F3" s="278"/>
      <c r="G3" s="278"/>
      <c r="H3" s="278"/>
      <c r="I3" s="279"/>
    </row>
    <row r="4" spans="1:27" s="262" customFormat="1" ht="12.75" customHeight="1" thickBot="1" x14ac:dyDescent="0.25">
      <c r="B4" s="11"/>
      <c r="C4" s="11"/>
      <c r="D4" s="171"/>
      <c r="E4" s="31"/>
      <c r="F4" s="31"/>
      <c r="G4" s="31"/>
      <c r="H4" s="31"/>
      <c r="I4" s="8"/>
    </row>
    <row r="5" spans="1:27" ht="20.25" customHeight="1" thickTop="1" x14ac:dyDescent="0.2">
      <c r="B5" s="635" t="s">
        <v>33357</v>
      </c>
      <c r="C5" s="636"/>
      <c r="D5" s="637"/>
      <c r="E5" s="31"/>
      <c r="F5" s="643" t="s">
        <v>35104</v>
      </c>
      <c r="G5" s="644"/>
      <c r="H5" s="644"/>
      <c r="I5" s="645"/>
      <c r="J5" s="36"/>
      <c r="K5" s="36"/>
    </row>
    <row r="6" spans="1:27" ht="12" customHeight="1" x14ac:dyDescent="0.2">
      <c r="B6" s="641" t="s">
        <v>33769</v>
      </c>
      <c r="C6" s="294" t="s">
        <v>33345</v>
      </c>
      <c r="D6" s="296"/>
      <c r="E6" s="485"/>
      <c r="F6" s="646" t="str">
        <f>IF(SUM_SRC_EMAIL&lt;&gt;"",SUM_SRC_EMAIL,"Please set voyage contact email on the summary tab")</f>
        <v>Please set voyage contact email on the summary tab</v>
      </c>
      <c r="G6" s="647"/>
      <c r="H6" s="647"/>
      <c r="I6" s="648"/>
      <c r="J6" s="36"/>
      <c r="K6" s="36"/>
    </row>
    <row r="7" spans="1:27" ht="12" customHeight="1" thickBot="1" x14ac:dyDescent="0.25">
      <c r="B7" s="641"/>
      <c r="C7" s="295" t="s">
        <v>5</v>
      </c>
      <c r="D7" s="297"/>
      <c r="E7" s="485"/>
      <c r="F7" s="649"/>
      <c r="G7" s="650"/>
      <c r="H7" s="650"/>
      <c r="I7" s="651"/>
      <c r="J7" s="36"/>
      <c r="K7" s="36"/>
    </row>
    <row r="8" spans="1:27" ht="12" customHeight="1" thickTop="1" x14ac:dyDescent="0.2">
      <c r="B8" s="641"/>
      <c r="C8" s="295" t="s">
        <v>678</v>
      </c>
      <c r="D8" s="297"/>
      <c r="E8" s="485"/>
      <c r="F8" s="652" t="s">
        <v>35105</v>
      </c>
      <c r="G8" s="652"/>
      <c r="H8" s="652"/>
      <c r="I8" s="652"/>
      <c r="J8" s="36"/>
      <c r="K8" s="36"/>
    </row>
    <row r="9" spans="1:27" ht="12" customHeight="1" x14ac:dyDescent="0.2">
      <c r="B9" s="642"/>
      <c r="C9" s="314" t="s">
        <v>6</v>
      </c>
      <c r="D9" s="298"/>
      <c r="E9" s="485"/>
      <c r="F9" s="653"/>
      <c r="G9" s="653"/>
      <c r="H9" s="653"/>
      <c r="I9" s="653"/>
      <c r="J9" s="36"/>
      <c r="K9" s="36"/>
    </row>
    <row r="10" spans="1:27" ht="12" customHeight="1" thickBot="1" x14ac:dyDescent="0.25">
      <c r="B10" s="315"/>
      <c r="C10" s="316" t="s">
        <v>45</v>
      </c>
      <c r="D10" s="254"/>
      <c r="E10" s="485"/>
      <c r="F10" s="653"/>
      <c r="G10" s="653"/>
      <c r="H10" s="653"/>
      <c r="I10" s="653"/>
      <c r="J10" s="36"/>
      <c r="K10" s="36"/>
    </row>
    <row r="11" spans="1:27" ht="6.75" customHeight="1" thickTop="1" thickBot="1" x14ac:dyDescent="0.25">
      <c r="E11" s="8"/>
      <c r="F11" s="653"/>
      <c r="G11" s="653"/>
      <c r="H11" s="653"/>
      <c r="I11" s="653"/>
      <c r="J11" s="36"/>
      <c r="K11" s="36"/>
    </row>
    <row r="12" spans="1:27" ht="20.25" customHeight="1" thickTop="1" x14ac:dyDescent="0.2">
      <c r="B12" s="635" t="s">
        <v>33358</v>
      </c>
      <c r="C12" s="636"/>
      <c r="D12" s="637"/>
      <c r="E12" s="8"/>
      <c r="F12" s="8"/>
      <c r="G12" s="8"/>
      <c r="H12" s="8"/>
      <c r="I12" s="8"/>
      <c r="J12" s="36"/>
      <c r="K12" s="36"/>
    </row>
    <row r="13" spans="1:27" ht="12" customHeight="1" x14ac:dyDescent="0.2">
      <c r="B13" s="40" t="s">
        <v>51</v>
      </c>
      <c r="C13" s="263"/>
      <c r="D13" s="109"/>
      <c r="E13" s="8"/>
      <c r="F13" s="8"/>
      <c r="G13" s="8"/>
      <c r="H13" s="8"/>
      <c r="I13" s="8"/>
      <c r="J13" s="36"/>
      <c r="K13" s="36"/>
    </row>
    <row r="14" spans="1:27" ht="12" customHeight="1" x14ac:dyDescent="0.2">
      <c r="B14" s="39" t="s">
        <v>52</v>
      </c>
      <c r="C14" s="123"/>
      <c r="D14" s="56"/>
      <c r="E14" s="36"/>
      <c r="F14" s="36"/>
      <c r="G14" s="36"/>
      <c r="H14" s="36"/>
      <c r="I14" s="36"/>
      <c r="J14" s="36"/>
      <c r="K14" s="36"/>
    </row>
    <row r="15" spans="1:27" ht="12" customHeight="1" x14ac:dyDescent="0.2">
      <c r="B15" s="39" t="s">
        <v>638</v>
      </c>
      <c r="C15" s="123"/>
      <c r="D15" s="467" t="str">
        <f>IF(ISERROR(VLOOKUP(VES_VDE_SHIPTYPE, REF_SHIP_TYPE_TABLE[], 2,FALSE)),"Select ship type from cell above...",VLOOKUP(VES_VDE_SHIPTYPE, REF_SHIP_TYPE_TABLE[], 2,FALSE))</f>
        <v>Select ship type from cell above...</v>
      </c>
      <c r="E15" s="36"/>
      <c r="F15" s="36"/>
      <c r="G15" s="36"/>
      <c r="H15" s="36"/>
      <c r="I15" s="36"/>
      <c r="J15" s="36"/>
      <c r="K15" s="36"/>
    </row>
    <row r="16" spans="1:27" ht="15" customHeight="1" x14ac:dyDescent="0.2">
      <c r="B16" s="39" t="s">
        <v>33069</v>
      </c>
      <c r="C16" s="123"/>
      <c r="D16" s="67"/>
      <c r="E16" s="36"/>
      <c r="F16" s="36"/>
      <c r="G16" s="368"/>
      <c r="H16" s="36"/>
      <c r="I16" s="36"/>
      <c r="J16" s="36"/>
      <c r="K16" s="36"/>
    </row>
    <row r="17" spans="2:11" ht="12" customHeight="1" x14ac:dyDescent="0.2">
      <c r="B17" s="39" t="s">
        <v>33070</v>
      </c>
      <c r="C17" s="123"/>
      <c r="D17" s="83" t="str">
        <f>IF(ISERROR(VLOOKUP(VES_VDE_REGPORT,REF_LOCODE_PORTNAME_COUNTRY, 2,FALSE)),"Select port of registry from cell above…",VLOOKUP(VES_VDE_REGPORT,REF_LOCODE_PORTNAME_COUNTRY, 2,FALSE))</f>
        <v>Select port of registry from cell above…</v>
      </c>
      <c r="E17" s="36"/>
      <c r="F17" s="36"/>
      <c r="G17" s="36"/>
      <c r="H17" s="36"/>
      <c r="I17" s="36"/>
      <c r="J17" s="36"/>
      <c r="K17" s="36"/>
    </row>
    <row r="18" spans="2:11" ht="12" customHeight="1" thickBot="1" x14ac:dyDescent="0.25">
      <c r="B18" s="41" t="s">
        <v>33301</v>
      </c>
      <c r="C18" s="269"/>
      <c r="D18" s="506" t="str">
        <f>IF(ISERROR(TMP_VDE_REGPORT),"Select port of registry from cell above…",TMP_VDE_REGPORT)</f>
        <v>Select port of registry from cell above…</v>
      </c>
      <c r="E18" s="36"/>
      <c r="F18" s="36"/>
      <c r="G18" s="36"/>
      <c r="H18" s="36"/>
      <c r="I18" s="36"/>
      <c r="J18" s="36"/>
      <c r="K18" s="36"/>
    </row>
    <row r="19" spans="2:11" ht="6.75" customHeight="1" thickTop="1" thickBot="1" x14ac:dyDescent="0.25">
      <c r="B19" s="11"/>
      <c r="C19" s="11"/>
      <c r="E19" s="36"/>
      <c r="F19" s="36"/>
      <c r="G19" s="36"/>
      <c r="H19" s="36"/>
      <c r="I19" s="36"/>
      <c r="J19" s="36"/>
      <c r="K19" s="36"/>
    </row>
    <row r="20" spans="2:11" ht="20.25" customHeight="1" thickTop="1" x14ac:dyDescent="0.2">
      <c r="B20" s="635" t="s">
        <v>33359</v>
      </c>
      <c r="C20" s="636"/>
      <c r="D20" s="637"/>
      <c r="E20" s="36"/>
      <c r="F20" s="36"/>
      <c r="G20" s="36"/>
      <c r="H20" s="36"/>
      <c r="I20" s="36"/>
      <c r="J20" s="36"/>
      <c r="K20" s="36"/>
    </row>
    <row r="21" spans="2:11" ht="12" customHeight="1" x14ac:dyDescent="0.2">
      <c r="B21" s="40" t="s">
        <v>53</v>
      </c>
      <c r="C21" s="263"/>
      <c r="D21" s="380"/>
      <c r="E21" s="36"/>
      <c r="F21" s="36"/>
      <c r="G21" s="36"/>
      <c r="H21" s="36"/>
      <c r="I21" s="36"/>
      <c r="J21" s="36"/>
      <c r="K21" s="36"/>
    </row>
    <row r="22" spans="2:11" ht="12" customHeight="1" x14ac:dyDescent="0.2">
      <c r="B22" s="39" t="s">
        <v>54</v>
      </c>
      <c r="C22" s="123"/>
      <c r="D22" s="56"/>
      <c r="E22" s="36"/>
      <c r="F22" s="36"/>
      <c r="G22" s="36"/>
      <c r="H22" s="36"/>
      <c r="I22" s="36"/>
      <c r="J22" s="36"/>
      <c r="K22" s="36"/>
    </row>
    <row r="23" spans="2:11" ht="12" customHeight="1" x14ac:dyDescent="0.2">
      <c r="B23" s="39" t="s">
        <v>12</v>
      </c>
      <c r="C23" s="123"/>
      <c r="D23" s="56"/>
      <c r="E23" s="36"/>
      <c r="F23" s="35"/>
      <c r="G23" s="35"/>
      <c r="H23" s="35"/>
      <c r="I23" s="36"/>
      <c r="J23" s="36"/>
      <c r="K23" s="36"/>
    </row>
    <row r="24" spans="2:11" ht="12" customHeight="1" thickBot="1" x14ac:dyDescent="0.25">
      <c r="B24" s="41" t="s">
        <v>33077</v>
      </c>
      <c r="C24" s="269"/>
      <c r="D24" s="58"/>
      <c r="E24" s="36"/>
      <c r="F24" s="35"/>
      <c r="G24" s="35"/>
      <c r="H24" s="35"/>
      <c r="I24" s="36"/>
      <c r="J24" s="36"/>
      <c r="K24" s="36"/>
    </row>
    <row r="25" spans="2:11" ht="6.75" customHeight="1" thickTop="1" thickBot="1" x14ac:dyDescent="0.25">
      <c r="B25" s="11"/>
      <c r="C25" s="11"/>
      <c r="E25" s="36"/>
      <c r="F25" s="35"/>
      <c r="G25" s="35"/>
      <c r="H25" s="35"/>
      <c r="I25" s="36"/>
      <c r="J25" s="36"/>
      <c r="K25" s="36"/>
    </row>
    <row r="26" spans="2:11" ht="20.25" customHeight="1" thickTop="1" x14ac:dyDescent="0.2">
      <c r="B26" s="635" t="s">
        <v>629</v>
      </c>
      <c r="C26" s="636"/>
      <c r="D26" s="637"/>
      <c r="E26" s="36"/>
      <c r="F26" s="35"/>
      <c r="G26" s="35"/>
      <c r="H26" s="35"/>
      <c r="I26" s="36"/>
      <c r="J26" s="36"/>
      <c r="K26" s="36"/>
    </row>
    <row r="27" spans="2:11" ht="12" customHeight="1" x14ac:dyDescent="0.2">
      <c r="B27" s="40" t="s">
        <v>631</v>
      </c>
      <c r="C27" s="263"/>
      <c r="D27" s="59"/>
      <c r="F27" s="640"/>
      <c r="G27" s="640"/>
      <c r="H27" s="640"/>
      <c r="I27" s="36"/>
      <c r="J27" s="36"/>
      <c r="K27" s="36"/>
    </row>
    <row r="28" spans="2:11" ht="12" customHeight="1" x14ac:dyDescent="0.2">
      <c r="B28" s="39" t="s">
        <v>632</v>
      </c>
      <c r="C28" s="123"/>
      <c r="D28" s="56"/>
      <c r="F28" s="640"/>
      <c r="G28" s="640"/>
      <c r="H28" s="640"/>
      <c r="I28" s="36"/>
      <c r="J28" s="36"/>
      <c r="K28" s="36"/>
    </row>
    <row r="29" spans="2:11" ht="12" customHeight="1" x14ac:dyDescent="0.2">
      <c r="B29" s="39" t="s">
        <v>633</v>
      </c>
      <c r="C29" s="123"/>
      <c r="D29" s="56"/>
      <c r="F29" s="640"/>
      <c r="G29" s="640"/>
      <c r="H29" s="640"/>
      <c r="I29" s="36"/>
      <c r="J29" s="36"/>
      <c r="K29" s="36"/>
    </row>
    <row r="30" spans="2:11" ht="12" customHeight="1" x14ac:dyDescent="0.2">
      <c r="B30" s="39" t="s">
        <v>634</v>
      </c>
      <c r="C30" s="123"/>
      <c r="D30" s="56"/>
      <c r="F30" s="640"/>
      <c r="G30" s="640"/>
      <c r="H30" s="640"/>
      <c r="I30" s="36"/>
      <c r="J30" s="36"/>
      <c r="K30" s="36"/>
    </row>
    <row r="31" spans="2:11" ht="12" customHeight="1" thickBot="1" x14ac:dyDescent="0.25">
      <c r="B31" s="41" t="s">
        <v>635</v>
      </c>
      <c r="C31" s="269"/>
      <c r="D31" s="58"/>
      <c r="F31" s="640"/>
      <c r="G31" s="640"/>
      <c r="H31" s="640"/>
      <c r="I31" s="36"/>
      <c r="J31" s="36"/>
      <c r="K31" s="36"/>
    </row>
    <row r="32" spans="2:11" ht="30.75" customHeight="1" thickTop="1" x14ac:dyDescent="0.2">
      <c r="B32" s="638" t="s">
        <v>33310</v>
      </c>
      <c r="C32" s="638"/>
      <c r="D32" s="638"/>
      <c r="F32" s="1"/>
      <c r="G32" s="1"/>
      <c r="H32" s="1"/>
      <c r="I32" s="36"/>
      <c r="J32" s="36"/>
      <c r="K32" s="36"/>
    </row>
    <row r="33" spans="1:27" ht="4.5" customHeight="1" x14ac:dyDescent="0.2">
      <c r="B33" s="639"/>
      <c r="C33" s="639"/>
      <c r="D33" s="639"/>
      <c r="F33" s="1"/>
      <c r="G33" s="1"/>
      <c r="H33" s="1"/>
      <c r="I33" s="36"/>
      <c r="J33" s="36"/>
      <c r="K33" s="36"/>
    </row>
    <row r="34" spans="1:27" ht="0.75" hidden="1" customHeight="1" x14ac:dyDescent="0.2">
      <c r="B34" s="11"/>
      <c r="C34" s="11"/>
      <c r="F34" s="1"/>
      <c r="G34" s="1"/>
      <c r="H34" s="1"/>
      <c r="I34" s="36"/>
      <c r="J34" s="36"/>
      <c r="K34" s="36"/>
    </row>
    <row r="35" spans="1:27" ht="15" hidden="1" customHeight="1" x14ac:dyDescent="0.2">
      <c r="B35" s="11" t="s">
        <v>33821</v>
      </c>
      <c r="C35" s="379" t="s">
        <v>37195</v>
      </c>
      <c r="F35" s="1"/>
      <c r="G35" s="1"/>
      <c r="H35" s="1"/>
      <c r="I35" s="36"/>
      <c r="J35" s="36"/>
      <c r="K35" s="36"/>
    </row>
    <row r="36" spans="1:27" ht="12" customHeight="1" x14ac:dyDescent="0.2">
      <c r="B36" s="11"/>
      <c r="C36" s="11"/>
      <c r="F36" s="1"/>
      <c r="G36" s="1"/>
      <c r="H36" s="1"/>
      <c r="I36" s="36"/>
      <c r="J36" s="36"/>
      <c r="K36" s="36"/>
    </row>
    <row r="37" spans="1:27" ht="12" customHeight="1" x14ac:dyDescent="0.2">
      <c r="B37" s="11"/>
      <c r="C37" s="11"/>
      <c r="F37" s="1"/>
      <c r="G37" s="1"/>
      <c r="H37" s="1"/>
      <c r="I37" s="36"/>
      <c r="J37" s="36"/>
      <c r="K37" s="36"/>
    </row>
    <row r="38" spans="1:27" ht="12" customHeight="1" x14ac:dyDescent="0.2">
      <c r="B38" s="11"/>
      <c r="C38" s="11"/>
      <c r="F38" s="1"/>
      <c r="G38" s="1"/>
      <c r="H38" s="1"/>
      <c r="I38" s="36"/>
      <c r="J38" s="36"/>
      <c r="K38" s="36"/>
    </row>
    <row r="39" spans="1:27" ht="12" customHeight="1" x14ac:dyDescent="0.2">
      <c r="B39" s="11"/>
      <c r="C39" s="11"/>
      <c r="F39" s="1"/>
      <c r="G39" s="1"/>
      <c r="H39" s="1"/>
      <c r="I39" s="36"/>
      <c r="J39" s="36"/>
      <c r="K39" s="36"/>
    </row>
    <row r="40" spans="1:27" x14ac:dyDescent="0.2">
      <c r="B40" s="11"/>
      <c r="C40" s="11"/>
      <c r="F40" s="3"/>
      <c r="I40" s="36"/>
      <c r="J40" s="36"/>
      <c r="K40" s="36"/>
    </row>
    <row r="41" spans="1:27" ht="12.75" customHeight="1" x14ac:dyDescent="0.2">
      <c r="B41" s="11"/>
      <c r="C41" s="11"/>
      <c r="F41" s="3"/>
      <c r="I41" s="36"/>
      <c r="J41" s="36"/>
      <c r="K41" s="36"/>
    </row>
    <row r="42" spans="1:27" s="3" customFormat="1" x14ac:dyDescent="0.2">
      <c r="A42" s="36"/>
      <c r="B42" s="11"/>
      <c r="C42" s="11"/>
      <c r="I42" s="36"/>
      <c r="J42" s="36"/>
      <c r="K42" s="36"/>
      <c r="L42" s="36"/>
      <c r="M42" s="36"/>
      <c r="N42" s="36"/>
      <c r="O42" s="36"/>
      <c r="P42" s="36"/>
      <c r="Q42" s="36"/>
      <c r="R42" s="36"/>
      <c r="S42" s="36"/>
      <c r="T42" s="36"/>
      <c r="U42" s="36"/>
      <c r="V42" s="36"/>
      <c r="W42" s="36"/>
      <c r="X42" s="36"/>
      <c r="Y42" s="36"/>
      <c r="Z42" s="36"/>
      <c r="AA42" s="36"/>
    </row>
    <row r="43" spans="1:27" s="3" customFormat="1" x14ac:dyDescent="0.2">
      <c r="A43" s="36"/>
      <c r="B43" s="11"/>
      <c r="C43" s="11"/>
      <c r="I43" s="36"/>
      <c r="J43" s="36"/>
      <c r="K43" s="36"/>
      <c r="L43" s="36"/>
      <c r="M43" s="36"/>
      <c r="N43" s="36"/>
      <c r="O43" s="36"/>
      <c r="P43" s="36"/>
      <c r="Q43" s="36"/>
      <c r="R43" s="36"/>
      <c r="S43" s="36"/>
      <c r="T43" s="36"/>
      <c r="U43" s="36"/>
      <c r="V43" s="36"/>
      <c r="W43" s="36"/>
      <c r="X43" s="36"/>
      <c r="Y43" s="36"/>
      <c r="Z43" s="36"/>
      <c r="AA43" s="36"/>
    </row>
    <row r="44" spans="1:27" s="3" customFormat="1" x14ac:dyDescent="0.2">
      <c r="A44" s="36"/>
      <c r="B44" s="11"/>
      <c r="C44" s="11"/>
      <c r="I44" s="36"/>
      <c r="J44" s="36"/>
      <c r="K44" s="36"/>
      <c r="L44" s="36"/>
      <c r="M44" s="36"/>
      <c r="N44" s="36"/>
      <c r="O44" s="36"/>
      <c r="P44" s="36"/>
      <c r="Q44" s="36"/>
      <c r="R44" s="36"/>
      <c r="S44" s="36"/>
      <c r="T44" s="36"/>
      <c r="U44" s="36"/>
      <c r="V44" s="36"/>
      <c r="W44" s="36"/>
      <c r="X44" s="36"/>
      <c r="Y44" s="36"/>
      <c r="Z44" s="36"/>
      <c r="AA44" s="36"/>
    </row>
    <row r="45" spans="1:27" s="3" customFormat="1" x14ac:dyDescent="0.2">
      <c r="A45" s="36"/>
      <c r="B45" s="11"/>
      <c r="C45" s="11"/>
      <c r="I45" s="36"/>
      <c r="J45" s="36"/>
      <c r="K45" s="36"/>
      <c r="L45" s="36"/>
      <c r="M45" s="36"/>
      <c r="N45" s="36"/>
      <c r="O45" s="36"/>
      <c r="P45" s="36"/>
      <c r="Q45" s="36"/>
      <c r="R45" s="36"/>
      <c r="S45" s="36"/>
      <c r="T45" s="36"/>
      <c r="U45" s="36"/>
      <c r="V45" s="36"/>
      <c r="W45" s="36"/>
      <c r="X45" s="36"/>
      <c r="Y45" s="36"/>
      <c r="Z45" s="36"/>
      <c r="AA45" s="36"/>
    </row>
    <row r="46" spans="1:27" s="3" customFormat="1" x14ac:dyDescent="0.2">
      <c r="A46" s="36"/>
      <c r="B46" s="11"/>
      <c r="C46" s="11"/>
      <c r="I46" s="36"/>
      <c r="J46" s="36"/>
      <c r="K46" s="36"/>
      <c r="L46" s="36"/>
      <c r="M46" s="36"/>
      <c r="N46" s="36"/>
      <c r="O46" s="36"/>
      <c r="P46" s="36"/>
      <c r="Q46" s="36"/>
      <c r="R46" s="36"/>
      <c r="S46" s="36"/>
      <c r="T46" s="36"/>
      <c r="U46" s="36"/>
      <c r="V46" s="36"/>
      <c r="W46" s="36"/>
      <c r="X46" s="36"/>
      <c r="Y46" s="36"/>
      <c r="Z46" s="36"/>
      <c r="AA46" s="36"/>
    </row>
    <row r="47" spans="1:27" s="3" customFormat="1" x14ac:dyDescent="0.2">
      <c r="A47" s="36"/>
      <c r="B47" s="11"/>
      <c r="C47" s="11"/>
      <c r="I47" s="36"/>
      <c r="J47" s="36"/>
      <c r="K47" s="36"/>
      <c r="L47" s="36"/>
      <c r="M47" s="36"/>
      <c r="N47" s="36"/>
      <c r="O47" s="36"/>
      <c r="P47" s="36"/>
      <c r="Q47" s="36"/>
      <c r="R47" s="36"/>
      <c r="S47" s="36"/>
      <c r="T47" s="36"/>
      <c r="U47" s="36"/>
      <c r="V47" s="36"/>
      <c r="W47" s="36"/>
      <c r="X47" s="36"/>
      <c r="Y47" s="36"/>
      <c r="Z47" s="36"/>
      <c r="AA47" s="36"/>
    </row>
    <row r="48" spans="1:27" s="3" customFormat="1" x14ac:dyDescent="0.2">
      <c r="A48" s="36"/>
      <c r="B48" s="11"/>
      <c r="C48" s="11"/>
      <c r="I48" s="36"/>
      <c r="J48" s="36"/>
      <c r="K48" s="36"/>
      <c r="L48" s="36"/>
      <c r="M48" s="36"/>
      <c r="N48" s="36"/>
      <c r="O48" s="36"/>
      <c r="P48" s="36"/>
      <c r="Q48" s="36"/>
      <c r="R48" s="36"/>
      <c r="S48" s="36"/>
      <c r="T48" s="36"/>
      <c r="U48" s="36"/>
      <c r="V48" s="36"/>
      <c r="W48" s="36"/>
      <c r="X48" s="36"/>
      <c r="Y48" s="36"/>
      <c r="Z48" s="36"/>
      <c r="AA48" s="36"/>
    </row>
    <row r="49" spans="1:27" s="3" customFormat="1" x14ac:dyDescent="0.2">
      <c r="A49" s="36"/>
      <c r="B49" s="11"/>
      <c r="C49" s="11"/>
      <c r="I49" s="36"/>
      <c r="J49" s="36"/>
      <c r="K49" s="36"/>
      <c r="L49" s="36"/>
      <c r="M49" s="36"/>
      <c r="N49" s="36"/>
      <c r="O49" s="36"/>
      <c r="P49" s="36"/>
      <c r="Q49" s="36"/>
      <c r="R49" s="36"/>
      <c r="S49" s="36"/>
      <c r="T49" s="36"/>
      <c r="U49" s="36"/>
      <c r="V49" s="36"/>
      <c r="W49" s="36"/>
      <c r="X49" s="36"/>
      <c r="Y49" s="36"/>
      <c r="Z49" s="36"/>
      <c r="AA49" s="36"/>
    </row>
    <row r="50" spans="1:27" s="3" customFormat="1" x14ac:dyDescent="0.2">
      <c r="A50" s="36"/>
      <c r="B50" s="11"/>
      <c r="C50" s="11"/>
      <c r="I50" s="36"/>
      <c r="J50" s="36"/>
      <c r="K50" s="36"/>
      <c r="L50" s="36"/>
      <c r="M50" s="36"/>
      <c r="N50" s="36"/>
      <c r="O50" s="36"/>
      <c r="P50" s="36"/>
      <c r="Q50" s="36"/>
      <c r="R50" s="36"/>
      <c r="S50" s="36"/>
      <c r="T50" s="36"/>
      <c r="U50" s="36"/>
      <c r="V50" s="36"/>
      <c r="W50" s="36"/>
      <c r="X50" s="36"/>
      <c r="Y50" s="36"/>
      <c r="Z50" s="36"/>
      <c r="AA50" s="36"/>
    </row>
    <row r="51" spans="1:27" s="3" customFormat="1" x14ac:dyDescent="0.2">
      <c r="A51" s="36"/>
      <c r="B51" s="11"/>
      <c r="C51" s="11"/>
      <c r="I51" s="36"/>
      <c r="J51" s="36"/>
      <c r="K51" s="36"/>
      <c r="L51" s="36"/>
      <c r="M51" s="36"/>
      <c r="N51" s="36"/>
      <c r="O51" s="36"/>
      <c r="P51" s="36"/>
      <c r="Q51" s="36"/>
      <c r="R51" s="36"/>
      <c r="S51" s="36"/>
      <c r="T51" s="36"/>
      <c r="U51" s="36"/>
      <c r="V51" s="36"/>
      <c r="W51" s="36"/>
      <c r="X51" s="36"/>
      <c r="Y51" s="36"/>
      <c r="Z51" s="36"/>
      <c r="AA51" s="36"/>
    </row>
    <row r="52" spans="1:27" s="3" customFormat="1" x14ac:dyDescent="0.2">
      <c r="A52" s="36"/>
      <c r="B52" s="11"/>
      <c r="C52" s="11"/>
      <c r="I52" s="36"/>
      <c r="J52" s="36"/>
      <c r="K52" s="36"/>
      <c r="L52" s="36"/>
      <c r="M52" s="36"/>
      <c r="N52" s="36"/>
      <c r="O52" s="36"/>
      <c r="P52" s="36"/>
      <c r="Q52" s="36"/>
      <c r="R52" s="36"/>
      <c r="S52" s="36"/>
      <c r="T52" s="36"/>
      <c r="U52" s="36"/>
      <c r="V52" s="36"/>
      <c r="W52" s="36"/>
      <c r="X52" s="36"/>
      <c r="Y52" s="36"/>
      <c r="Z52" s="36"/>
      <c r="AA52" s="36"/>
    </row>
    <row r="53" spans="1:27" s="3" customFormat="1" ht="14.25" customHeight="1" x14ac:dyDescent="0.2">
      <c r="A53" s="36"/>
      <c r="B53" s="11"/>
      <c r="C53" s="11"/>
      <c r="I53" s="36"/>
      <c r="J53" s="36"/>
      <c r="K53" s="36"/>
      <c r="L53" s="36"/>
      <c r="M53" s="36"/>
      <c r="N53" s="36"/>
      <c r="O53" s="36"/>
      <c r="P53" s="36"/>
      <c r="Q53" s="36"/>
      <c r="R53" s="36"/>
      <c r="S53" s="36"/>
      <c r="T53" s="36"/>
      <c r="U53" s="36"/>
      <c r="V53" s="36"/>
      <c r="W53" s="36"/>
      <c r="X53" s="36"/>
      <c r="Y53" s="36"/>
      <c r="Z53" s="36"/>
      <c r="AA53" s="36"/>
    </row>
    <row r="54" spans="1:27" s="3" customFormat="1" ht="13.5" customHeight="1" x14ac:dyDescent="0.2">
      <c r="A54" s="36"/>
      <c r="B54" s="11"/>
      <c r="C54" s="11"/>
      <c r="I54" s="36"/>
      <c r="J54" s="36"/>
      <c r="K54" s="36"/>
      <c r="L54" s="36"/>
      <c r="M54" s="36"/>
      <c r="N54" s="36"/>
      <c r="O54" s="36"/>
      <c r="P54" s="36"/>
      <c r="Q54" s="36"/>
      <c r="R54" s="36"/>
      <c r="S54" s="36"/>
      <c r="T54" s="36"/>
      <c r="U54" s="36"/>
      <c r="V54" s="36"/>
      <c r="W54" s="36"/>
      <c r="X54" s="36"/>
      <c r="Y54" s="36"/>
      <c r="Z54" s="36"/>
      <c r="AA54" s="36"/>
    </row>
    <row r="55" spans="1:27" s="3" customFormat="1" x14ac:dyDescent="0.2">
      <c r="A55" s="36"/>
      <c r="B55" s="11"/>
      <c r="C55" s="11"/>
      <c r="I55" s="36"/>
      <c r="J55" s="36"/>
      <c r="K55" s="36"/>
      <c r="L55" s="36"/>
      <c r="M55" s="36"/>
      <c r="N55" s="36"/>
      <c r="O55" s="36"/>
      <c r="P55" s="36"/>
      <c r="Q55" s="36"/>
      <c r="R55" s="36"/>
      <c r="S55" s="36"/>
      <c r="T55" s="36"/>
      <c r="U55" s="36"/>
      <c r="V55" s="36"/>
      <c r="W55" s="36"/>
      <c r="X55" s="36"/>
      <c r="Y55" s="36"/>
      <c r="Z55" s="36"/>
      <c r="AA55" s="36"/>
    </row>
    <row r="56" spans="1:27" s="3" customFormat="1" x14ac:dyDescent="0.2">
      <c r="A56" s="36"/>
      <c r="B56" s="11"/>
      <c r="C56" s="11"/>
      <c r="I56" s="36"/>
      <c r="J56" s="36"/>
      <c r="K56" s="36"/>
      <c r="L56" s="36"/>
      <c r="M56" s="36"/>
      <c r="N56" s="36"/>
      <c r="O56" s="36"/>
      <c r="P56" s="36"/>
      <c r="Q56" s="36"/>
      <c r="R56" s="36"/>
      <c r="S56" s="36"/>
      <c r="T56" s="36"/>
      <c r="U56" s="36"/>
      <c r="V56" s="36"/>
      <c r="W56" s="36"/>
      <c r="X56" s="36"/>
      <c r="Y56" s="36"/>
      <c r="Z56" s="36"/>
      <c r="AA56" s="36"/>
    </row>
    <row r="57" spans="1:27" s="3" customFormat="1" x14ac:dyDescent="0.2">
      <c r="A57" s="36"/>
      <c r="B57" s="11"/>
      <c r="C57" s="11"/>
      <c r="I57" s="36"/>
      <c r="J57" s="36"/>
      <c r="K57" s="36"/>
      <c r="L57" s="36"/>
      <c r="M57" s="36"/>
      <c r="N57" s="36"/>
      <c r="O57" s="36"/>
      <c r="P57" s="36"/>
      <c r="Q57" s="36"/>
      <c r="R57" s="36"/>
      <c r="S57" s="36"/>
      <c r="T57" s="36"/>
      <c r="U57" s="36"/>
      <c r="V57" s="36"/>
      <c r="W57" s="36"/>
      <c r="X57" s="36"/>
      <c r="Y57" s="36"/>
      <c r="Z57" s="36"/>
      <c r="AA57" s="36"/>
    </row>
    <row r="58" spans="1:27" s="3" customFormat="1" x14ac:dyDescent="0.2">
      <c r="A58" s="36"/>
      <c r="B58" s="11"/>
      <c r="C58" s="11"/>
      <c r="I58" s="36"/>
      <c r="J58" s="36"/>
      <c r="K58" s="36"/>
      <c r="L58" s="36"/>
      <c r="M58" s="36"/>
      <c r="N58" s="36"/>
      <c r="O58" s="36"/>
      <c r="P58" s="36"/>
      <c r="Q58" s="36"/>
      <c r="R58" s="36"/>
      <c r="S58" s="36"/>
      <c r="T58" s="36"/>
      <c r="U58" s="36"/>
      <c r="V58" s="36"/>
      <c r="W58" s="36"/>
      <c r="X58" s="36"/>
      <c r="Y58" s="36"/>
      <c r="Z58" s="36"/>
      <c r="AA58" s="36"/>
    </row>
    <row r="59" spans="1:27" s="3" customFormat="1" x14ac:dyDescent="0.2">
      <c r="A59" s="36"/>
      <c r="B59" s="11"/>
      <c r="C59" s="11"/>
      <c r="I59" s="36"/>
      <c r="J59" s="36"/>
      <c r="K59" s="36"/>
      <c r="L59" s="36"/>
      <c r="M59" s="36"/>
      <c r="N59" s="36"/>
      <c r="O59" s="36"/>
      <c r="P59" s="36"/>
      <c r="Q59" s="36"/>
      <c r="R59" s="36"/>
      <c r="S59" s="36"/>
      <c r="T59" s="36"/>
      <c r="U59" s="36"/>
      <c r="V59" s="36"/>
      <c r="W59" s="36"/>
      <c r="X59" s="36"/>
      <c r="Y59" s="36"/>
      <c r="Z59" s="36"/>
      <c r="AA59" s="36"/>
    </row>
    <row r="60" spans="1:27" s="3" customFormat="1" ht="12.75" customHeight="1" x14ac:dyDescent="0.2">
      <c r="A60" s="36"/>
      <c r="B60" s="11"/>
      <c r="C60" s="11"/>
      <c r="I60" s="36"/>
      <c r="J60" s="36"/>
      <c r="K60" s="36"/>
      <c r="L60" s="36"/>
      <c r="M60" s="36"/>
      <c r="N60" s="36"/>
      <c r="O60" s="36"/>
      <c r="P60" s="36"/>
      <c r="Q60" s="36"/>
      <c r="R60" s="36"/>
      <c r="S60" s="36"/>
      <c r="T60" s="36"/>
      <c r="U60" s="36"/>
      <c r="V60" s="36"/>
      <c r="W60" s="36"/>
      <c r="X60" s="36"/>
      <c r="Y60" s="36"/>
      <c r="Z60" s="36"/>
      <c r="AA60" s="36"/>
    </row>
    <row r="61" spans="1:27" s="3" customFormat="1" x14ac:dyDescent="0.2">
      <c r="A61" s="36"/>
      <c r="B61" s="11"/>
      <c r="C61" s="11"/>
      <c r="I61" s="36"/>
      <c r="J61" s="36"/>
      <c r="K61" s="36"/>
      <c r="L61" s="36"/>
      <c r="M61" s="36"/>
      <c r="N61" s="36"/>
      <c r="O61" s="36"/>
      <c r="P61" s="36"/>
      <c r="Q61" s="36"/>
      <c r="R61" s="36"/>
      <c r="S61" s="36"/>
      <c r="T61" s="36"/>
      <c r="U61" s="36"/>
      <c r="V61" s="36"/>
      <c r="W61" s="36"/>
      <c r="X61" s="36"/>
      <c r="Y61" s="36"/>
      <c r="Z61" s="36"/>
      <c r="AA61" s="36"/>
    </row>
    <row r="62" spans="1:27" x14ac:dyDescent="0.2">
      <c r="B62" s="11"/>
      <c r="C62" s="11"/>
      <c r="F62" s="3"/>
      <c r="I62" s="36"/>
      <c r="J62" s="36"/>
      <c r="K62" s="36"/>
    </row>
  </sheetData>
  <sheetProtection algorithmName="SHA-512" hashValue="O4p0m4PqjhzQAoW0nI3vJowmgt7Nb/KF6YHYbOwMaugAIYlhaT3ewt02YyYdRHLHZ3roGDBLfW2SjAiLkwpLYA==" saltValue="46e1vYdLsL3QPxtmqLwjxA==" spinCount="100000" sheet="1" formatCells="0" formatColumns="0" formatRows="0" selectLockedCells="1"/>
  <dataConsolidate link="1"/>
  <mergeCells count="10">
    <mergeCell ref="B5:D5"/>
    <mergeCell ref="B26:D26"/>
    <mergeCell ref="B32:D33"/>
    <mergeCell ref="F27:H31"/>
    <mergeCell ref="B20:D20"/>
    <mergeCell ref="B12:D12"/>
    <mergeCell ref="B6:B9"/>
    <mergeCell ref="F5:I5"/>
    <mergeCell ref="F6:I7"/>
    <mergeCell ref="F8:I11"/>
  </mergeCells>
  <conditionalFormatting sqref="G2">
    <cfRule type="expression" dxfId="124" priority="1">
      <formula>VES_STATUS="Empty"</formula>
    </cfRule>
    <cfRule type="expression" dxfId="123" priority="2">
      <formula>VES_STATUS="Invalid"</formula>
    </cfRule>
    <cfRule type="expression" dxfId="122" priority="3">
      <formula>VES_STATUS="Valid"</formula>
    </cfRule>
  </conditionalFormatting>
  <dataValidations xWindow="777" yWindow="657" count="14">
    <dataValidation type="textLength" operator="equal" allowBlank="1" showInputMessage="1" showErrorMessage="1" error="Must be 7 characters." promptTitle="Company IMO number" prompt="The IMO number of the operating company _x000a__x000a_Must be 7 characters" sqref="D24">
      <formula1>7</formula1>
    </dataValidation>
    <dataValidation type="textLength" operator="equal" showDropDown="1" showInputMessage="1" showErrorMessage="1" errorTitle="Error" error="Invalid LOCODE: must be 5 characters of letters and numbers with no spaces." promptTitle="LOCODE" prompt="Must be 5 characters." sqref="D18">
      <formula1>5</formula1>
    </dataValidation>
    <dataValidation type="whole" allowBlank="1" showInputMessage="1" showErrorMessage="1" error="Must be a 9 digit number" promptTitle="MMSI Number" prompt="MMSI number of the vessel_x000a__x000a_Must be a 9 digit number" sqref="D9">
      <formula1>100000000</formula1>
      <formula2>999999999</formula2>
    </dataValidation>
    <dataValidation type="custom" showInputMessage="1" showErrorMessage="1" error="The IMO number must be in a valid IMO format. Please check the IMO number is correct and try again." promptTitle="IMO number" prompt="IMO number of the vessel_x000a__x000a_Valid 7 digit number in correct IMO format" sqref="D6">
      <formula1>IF(ISBLANK(D6), TRUE(),IFERROR(IF(AND(LEN(TRIM(D6))=7,EXACT(MOD(RIGHT(LEFT(D6,1),1)*7+RIGHT(LEFT(D6,2),1)*6+RIGHT(LEFT(D6,3),1)*5+RIGHT(LEFT(D6,4),1)*4+RIGHT(LEFT(D6,5),1)*3+RIGHT(LEFT(D6,6),1)*2,10),RIGHT(LEFT(D6,7)))),TRUE(),FALSE()),FALSE()))</formula1>
    </dataValidation>
    <dataValidation type="list" allowBlank="1" showInputMessage="1" showErrorMessage="1" error="Select from dropdown_x000a_" promptTitle="Flag state" prompt="Flag state of the vessel_x000a__x000a_Choose from dropdown menu" sqref="D10">
      <formula1>REF_COUNTRIES</formula1>
    </dataValidation>
    <dataValidation type="list" allowBlank="1" showInputMessage="1" showErrorMessage="1" error="Select from dropdown" promptTitle="Ship Type" prompt="The ship type_x000a__x000a_Choose from dropdown menu_x000a_" sqref="D14">
      <formula1>Ship_types</formula1>
    </dataValidation>
    <dataValidation type="whole" allowBlank="1" showInputMessage="1" showErrorMessage="1" error="Must be whole number, less than 1000000" promptTitle="Gross Tonnage" prompt="The measure of the overall size of a ship_x000a__x000a_Must be whole number, less than 1000000" sqref="D13">
      <formula1>1</formula1>
      <formula2>999999</formula2>
    </dataValidation>
    <dataValidation type="date" allowBlank="1" showInputMessage="1" showErrorMessage="1" error="Invalid date. Try inserting the date in the same format as your computer system's date format." promptTitle="Issue date" prompt="Date indicating when the certificate was issued_x000a__x000a_Should be in Excel date format_x000a_" sqref="D21">
      <formula1>1</formula1>
      <formula2>73051</formula2>
    </dataValidation>
    <dataValidation type="custom" allowBlank="1" showInputMessage="1" showErrorMessage="1" error="Max 35 characters. Accepted characters are uppercase (A-Z) and lowercase letters (a-z), numerals (0-9) and the special characters dots (&quot;.&quot;), dashes (&quot;-&quot;) and single apostrophe (&quot;'&quot;)." promptTitle="Ship name" prompt="Name of the vessel_x000a__x000a_Accepted characters are uppercase (A-Z) and lowercase letters (a-z), numerals (0-9) and the special characters dots (&quot;.&quot;), dashes (&quot;-&quot;) and single apostrophe (&quot;'&quot;)_x000a__x000a__x000a_Max 35 characters" sqref="D7">
      <formula1>AND(ISNUMBER(SUMPRODUCT(SEARCH(MID(VES_VID_SHIPNAME,ROW(INDIRECT("1:"&amp;LEN(VES_VID_SHIPNAME))),1),"0123456789abcdefghijklmnopqrstuvwxyz.- '"))),LEN(VES_VID_SHIPNAME)&lt;36)</formula1>
    </dataValidation>
    <dataValidation type="textLength" allowBlank="1" showInputMessage="1" showErrorMessage="1" error="Max. 7 characters" promptTitle="Call sign" prompt="Call sign of the vessel_x000a__x000a_Max 7 characters" sqref="D8">
      <formula1>0</formula1>
      <formula2>7</formula2>
    </dataValidation>
    <dataValidation type="textLength" allowBlank="1" showInputMessage="1" showErrorMessage="1" error="Max 35 characters." promptTitle="Certificate number" prompt="Number of the certification of registry_x000a__x000a_Max 35 characters" sqref="D22">
      <formula1>1</formula1>
      <formula2>35</formula2>
    </dataValidation>
    <dataValidation type="textLength" allowBlank="1" showInputMessage="1" showErrorMessage="1" error="Max 70 characters." promptTitle="Company name" prompt="Name of ship's operating company, as defined in the ISM_x000a_code_x000a__x000a_Max 70 characters" sqref="D23">
      <formula1>0</formula1>
      <formula2>70</formula2>
    </dataValidation>
    <dataValidation type="textLength" allowBlank="1" showInputMessage="1" showErrorMessage="1" error="Max 45 characters." promptTitle="Inmarsat call number" prompt="The Inmarsat call numbers of the vessel_x000a__x000a_Max 45 characters" sqref="D27:D31">
      <formula1>1</formula1>
      <formula2>45</formula2>
    </dataValidation>
    <dataValidation allowBlank="1" showInputMessage="1" showErrorMessage="1" promptTitle="Inmarsat" prompt="Insert Inmarsat call number (maximum 5 rows)." sqref="B27:C31"/>
  </dataValidations>
  <pageMargins left="0.23622047244094488" right="0.23622047244094488" top="0.39370078740157483" bottom="0.39370078740157483" header="0.31496062992125984" footer="0.31496062992125984"/>
  <pageSetup paperSize="9" fitToHeight="0" orientation="landscape" r:id="rId1"/>
  <drawing r:id="rId2"/>
  <legacyDrawing r:id="rId3"/>
  <controls>
    <mc:AlternateContent xmlns:mc="http://schemas.openxmlformats.org/markup-compatibility/2006">
      <mc:Choice Requires="x14">
        <control shapeId="38913" r:id="rId4" name="VOY_VOY_LASTPORT_DROPDOWN">
          <controlPr defaultSize="0" autoLine="0" autoPict="0" linkedCell="VOY_VOY_LASTPORT" listFillRange="REF_LOCODE_PORTNAME_COUNTRY" r:id="rId5">
            <anchor moveWithCells="1" sizeWithCells="1">
              <from>
                <xdr:col>1</xdr:col>
                <xdr:colOff>0</xdr:colOff>
                <xdr:row>11</xdr:row>
                <xdr:rowOff>0</xdr:rowOff>
              </from>
              <to>
                <xdr:col>1</xdr:col>
                <xdr:colOff>0</xdr:colOff>
                <xdr:row>11</xdr:row>
                <xdr:rowOff>0</xdr:rowOff>
              </to>
            </anchor>
          </controlPr>
        </control>
      </mc:Choice>
      <mc:Fallback>
        <control shapeId="38913" r:id="rId4" name="VOY_VOY_LASTPORT_DROPDOWN"/>
      </mc:Fallback>
    </mc:AlternateContent>
    <mc:AlternateContent xmlns:mc="http://schemas.openxmlformats.org/markup-compatibility/2006">
      <mc:Choice Requires="x14">
        <control shapeId="38914" r:id="rId6" name="ComboBox1">
          <controlPr defaultSize="0" autoLine="0" autoPict="0" linkedCell="VOY_VOY_NEXTPORT" listFillRange="REF_LOCODE_PORTNAME_COUNTRY" r:id="rId7">
            <anchor moveWithCells="1" sizeWithCells="1">
              <from>
                <xdr:col>1</xdr:col>
                <xdr:colOff>0</xdr:colOff>
                <xdr:row>13</xdr:row>
                <xdr:rowOff>9525</xdr:rowOff>
              </from>
              <to>
                <xdr:col>1</xdr:col>
                <xdr:colOff>0</xdr:colOff>
                <xdr:row>14</xdr:row>
                <xdr:rowOff>0</xdr:rowOff>
              </to>
            </anchor>
          </controlPr>
        </control>
      </mc:Choice>
      <mc:Fallback>
        <control shapeId="38914" r:id="rId6" name="ComboBox1"/>
      </mc:Fallback>
    </mc:AlternateContent>
    <mc:AlternateContent xmlns:mc="http://schemas.openxmlformats.org/markup-compatibility/2006">
      <mc:Choice Requires="x14">
        <control shapeId="38916" r:id="rId8" name="VOY_VOY_POC_DROPDOWN">
          <controlPr defaultSize="0" autoLine="0" autoPict="0" linkedCell="VOY_VOY_PORTOFCALL" listFillRange="REF_UK_LOCODES_PORTNAMES" r:id="rId7">
            <anchor moveWithCells="1" sizeWithCells="1">
              <from>
                <xdr:col>1</xdr:col>
                <xdr:colOff>0</xdr:colOff>
                <xdr:row>5</xdr:row>
                <xdr:rowOff>19050</xdr:rowOff>
              </from>
              <to>
                <xdr:col>1</xdr:col>
                <xdr:colOff>0</xdr:colOff>
                <xdr:row>6</xdr:row>
                <xdr:rowOff>19050</xdr:rowOff>
              </to>
            </anchor>
          </controlPr>
        </control>
      </mc:Choice>
      <mc:Fallback>
        <control shapeId="38916" r:id="rId8" name="VOY_VOY_POC_DROPDOWN"/>
      </mc:Fallback>
    </mc:AlternateContent>
    <mc:AlternateContent xmlns:mc="http://schemas.openxmlformats.org/markup-compatibility/2006">
      <mc:Choice Requires="x14">
        <control shapeId="38920" r:id="rId9" name="ComboBox2">
          <controlPr defaultSize="0" autoLine="0" autoPict="0" linkedCell="TMP_VDE_REGPORT" listFillRange="REF_LOCODE_PORTNAME_COUNTRY" r:id="rId10">
            <anchor moveWithCells="1" sizeWithCells="1">
              <from>
                <xdr:col>3</xdr:col>
                <xdr:colOff>9525</xdr:colOff>
                <xdr:row>15</xdr:row>
                <xdr:rowOff>9525</xdr:rowOff>
              </from>
              <to>
                <xdr:col>3</xdr:col>
                <xdr:colOff>2990850</xdr:colOff>
                <xdr:row>15</xdr:row>
                <xdr:rowOff>190500</xdr:rowOff>
              </to>
            </anchor>
          </controlPr>
        </control>
      </mc:Choice>
      <mc:Fallback>
        <control shapeId="38920" r:id="rId9" name="ComboBox2"/>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00B0F0"/>
    <pageSetUpPr fitToPage="1"/>
  </sheetPr>
  <dimension ref="A1:Y66"/>
  <sheetViews>
    <sheetView zoomScale="90" zoomScaleNormal="90" workbookViewId="0">
      <pane ySplit="3" topLeftCell="A4" activePane="bottomLeft" state="frozen"/>
      <selection pane="bottomLeft" activeCell="C10" sqref="C10"/>
    </sheetView>
  </sheetViews>
  <sheetFormatPr defaultColWidth="9.140625" defaultRowHeight="12.75" x14ac:dyDescent="0.2"/>
  <cols>
    <col min="1" max="1" width="2.42578125" style="2" customWidth="1"/>
    <col min="2" max="2" width="38.85546875" style="3" customWidth="1"/>
    <col min="3" max="3" width="46.7109375" style="303" customWidth="1"/>
    <col min="4" max="4" width="1.28515625" style="3" customWidth="1"/>
    <col min="5" max="5" width="23.140625" style="161" customWidth="1"/>
    <col min="6" max="6" width="16.42578125" style="161" customWidth="1"/>
    <col min="7" max="7" width="16.42578125" style="11" customWidth="1"/>
    <col min="8" max="8" width="4.140625" style="3" customWidth="1"/>
    <col min="9" max="9" width="12.7109375" style="3" customWidth="1"/>
    <col min="10" max="10" width="24.28515625" style="3" customWidth="1"/>
    <col min="11" max="11" width="22.7109375" style="3" customWidth="1"/>
    <col min="12" max="13" width="9.140625" style="36"/>
    <col min="14" max="16384" width="9.140625" style="2"/>
  </cols>
  <sheetData>
    <row r="1" spans="1:25" s="34" customFormat="1" ht="4.5" customHeight="1" x14ac:dyDescent="0.2"/>
    <row r="2" spans="1:25" s="78" customFormat="1" ht="20.25" x14ac:dyDescent="0.2">
      <c r="A2" s="75"/>
      <c r="B2" s="76" t="s">
        <v>33360</v>
      </c>
      <c r="C2" s="302"/>
      <c r="D2" s="275" t="s">
        <v>33411</v>
      </c>
      <c r="E2" s="281" t="str">
        <f>VOY_STATUS</f>
        <v>Empty</v>
      </c>
      <c r="F2" s="277" t="str">
        <f>IFERROR(VOY_VALID_RES,"")</f>
        <v xml:space="preserve">‘Port of call LOCODE' required and must be exactly 5 characters </v>
      </c>
      <c r="H2" s="275"/>
      <c r="I2" s="442"/>
      <c r="J2" s="280"/>
      <c r="K2" s="280"/>
      <c r="L2" s="280"/>
      <c r="M2" s="280"/>
      <c r="N2" s="280"/>
      <c r="O2" s="280"/>
      <c r="P2" s="280"/>
      <c r="Q2" s="280"/>
      <c r="R2" s="280"/>
      <c r="S2" s="280"/>
      <c r="T2" s="280"/>
      <c r="U2" s="280"/>
      <c r="V2" s="280"/>
      <c r="W2" s="280"/>
      <c r="X2" s="280"/>
      <c r="Y2" s="280"/>
    </row>
    <row r="3" spans="1:25" s="78" customFormat="1" ht="4.5" customHeight="1" x14ac:dyDescent="0.2">
      <c r="B3" s="273"/>
      <c r="C3" s="301"/>
      <c r="D3" s="273"/>
      <c r="E3" s="273"/>
      <c r="F3" s="273"/>
      <c r="G3" s="278"/>
      <c r="H3" s="278"/>
      <c r="I3" s="278"/>
      <c r="J3" s="278"/>
    </row>
    <row r="4" spans="1:25" s="262" customFormat="1" ht="12.75" customHeight="1" thickBot="1" x14ac:dyDescent="0.25">
      <c r="B4" s="171"/>
      <c r="C4" s="303"/>
      <c r="D4" s="171"/>
      <c r="E4" s="171"/>
      <c r="F4" s="171"/>
      <c r="G4" s="31"/>
      <c r="H4" s="31"/>
      <c r="I4" s="31"/>
      <c r="J4" s="31"/>
    </row>
    <row r="5" spans="1:25" ht="21" customHeight="1" thickTop="1" x14ac:dyDescent="0.25">
      <c r="B5" s="635" t="s">
        <v>33770</v>
      </c>
      <c r="C5" s="637"/>
      <c r="E5" s="250" t="s">
        <v>33420</v>
      </c>
      <c r="F5" s="201"/>
      <c r="G5" s="202"/>
      <c r="H5" s="33"/>
      <c r="I5" s="643" t="s">
        <v>35104</v>
      </c>
      <c r="J5" s="644"/>
      <c r="K5" s="645"/>
    </row>
    <row r="6" spans="1:25" ht="15" customHeight="1" x14ac:dyDescent="0.2">
      <c r="B6" s="291" t="s">
        <v>32878</v>
      </c>
      <c r="C6" s="64"/>
      <c r="D6" s="2"/>
      <c r="E6" s="654" t="str">
        <f>'Reference data'!AJ2</f>
        <v>Cargo operations</v>
      </c>
      <c r="F6" s="655"/>
      <c r="G6" s="185" t="s">
        <v>84</v>
      </c>
      <c r="I6" s="646" t="str">
        <f>IF(SUM_SRC_EMAIL&lt;&gt;"",SUM_SRC_EMAIL,"Please set voyage contact email on the summary tab")</f>
        <v>Please set voyage contact email on the summary tab</v>
      </c>
      <c r="J6" s="647"/>
      <c r="K6" s="648"/>
    </row>
    <row r="7" spans="1:25" s="36" customFormat="1" ht="13.5" customHeight="1" thickBot="1" x14ac:dyDescent="0.25">
      <c r="B7" s="62" t="s">
        <v>32875</v>
      </c>
      <c r="C7" s="68" t="str">
        <f>IF(ISERROR(VLOOKUP(VOY_VOY_PORTOFCALL,REF_LOCODE_PORTNAME_COUNTRY, 2,FALSE)),"Select port of call from cell above…",VLOOKUP(VOY_VOY_PORTOFCALL,REF_LOCODE_PORTNAME_COUNTRY, 2,FALSE))</f>
        <v>Select port of call from cell above…</v>
      </c>
      <c r="E7" s="654" t="str">
        <f>'Reference data'!AJ3</f>
        <v>Passenger movement</v>
      </c>
      <c r="F7" s="655"/>
      <c r="G7" s="186" t="s">
        <v>84</v>
      </c>
      <c r="I7" s="649"/>
      <c r="J7" s="650"/>
      <c r="K7" s="651"/>
    </row>
    <row r="8" spans="1:25" s="36" customFormat="1" ht="12" customHeight="1" thickTop="1" x14ac:dyDescent="0.2">
      <c r="B8" s="292" t="s">
        <v>32876</v>
      </c>
      <c r="C8" s="389" t="str">
        <f>IF(ISERROR(TMP_VOY_PORTOFCALL),"Select port of call from cell above…",TMP_VOY_PORTOFCALL)</f>
        <v>Select port of call from cell above…</v>
      </c>
      <c r="E8" s="654" t="str">
        <f>'Reference data'!AJ4</f>
        <v>Taking bunkers</v>
      </c>
      <c r="F8" s="655"/>
      <c r="G8" s="186" t="s">
        <v>84</v>
      </c>
      <c r="I8" s="653" t="s">
        <v>35105</v>
      </c>
      <c r="J8" s="653"/>
      <c r="K8" s="653"/>
    </row>
    <row r="9" spans="1:25" ht="12" customHeight="1" x14ac:dyDescent="0.2">
      <c r="B9" s="38" t="s">
        <v>3</v>
      </c>
      <c r="C9" s="56"/>
      <c r="D9" s="2"/>
      <c r="E9" s="654" t="str">
        <f>'Reference data'!AJ5</f>
        <v>Changing crew</v>
      </c>
      <c r="F9" s="655"/>
      <c r="G9" s="186" t="s">
        <v>84</v>
      </c>
      <c r="I9" s="32"/>
      <c r="J9" s="32"/>
      <c r="K9" s="36"/>
    </row>
    <row r="10" spans="1:25" ht="12" customHeight="1" x14ac:dyDescent="0.2">
      <c r="B10" s="39" t="s">
        <v>47</v>
      </c>
      <c r="C10" s="56"/>
      <c r="D10" s="2"/>
      <c r="E10" s="654" t="str">
        <f>'Reference data'!AJ6</f>
        <v>Goodwill visit</v>
      </c>
      <c r="F10" s="655"/>
      <c r="G10" s="186" t="s">
        <v>84</v>
      </c>
      <c r="I10" s="32"/>
      <c r="J10" s="32"/>
      <c r="K10" s="36"/>
    </row>
    <row r="11" spans="1:25" ht="12" customHeight="1" x14ac:dyDescent="0.2">
      <c r="B11" s="299" t="s">
        <v>49</v>
      </c>
      <c r="C11" s="57"/>
      <c r="D11" s="2"/>
      <c r="E11" s="654" t="str">
        <f>'Reference data'!AJ7</f>
        <v>Taking supplies</v>
      </c>
      <c r="F11" s="655"/>
      <c r="G11" s="186" t="s">
        <v>84</v>
      </c>
      <c r="I11" s="32"/>
      <c r="J11" s="32"/>
      <c r="K11" s="36"/>
    </row>
    <row r="12" spans="1:25" ht="12" customHeight="1" x14ac:dyDescent="0.2">
      <c r="B12" s="300" t="s">
        <v>55</v>
      </c>
      <c r="C12" s="57"/>
      <c r="D12" s="2"/>
      <c r="E12" s="654" t="str">
        <f>'Reference data'!AJ8</f>
        <v>Repair</v>
      </c>
      <c r="F12" s="655"/>
      <c r="G12" s="186" t="s">
        <v>84</v>
      </c>
      <c r="I12" s="32"/>
      <c r="J12" s="32"/>
      <c r="K12" s="36"/>
    </row>
    <row r="13" spans="1:25" ht="17.25" customHeight="1" x14ac:dyDescent="0.2">
      <c r="B13" s="39" t="s">
        <v>32881</v>
      </c>
      <c r="C13" s="63"/>
      <c r="D13" s="2"/>
      <c r="E13" s="654" t="str">
        <f>'Reference data'!AJ9</f>
        <v>Laid-up</v>
      </c>
      <c r="F13" s="655"/>
      <c r="G13" s="186" t="s">
        <v>84</v>
      </c>
      <c r="I13" s="8"/>
      <c r="J13" s="8"/>
      <c r="K13" s="36"/>
    </row>
    <row r="14" spans="1:25" s="36" customFormat="1" ht="12" customHeight="1" x14ac:dyDescent="0.2">
      <c r="B14" s="39" t="s">
        <v>32880</v>
      </c>
      <c r="C14" s="84" t="str">
        <f>IF(ISERROR(VLOOKUP(VOY_VOY_LASTPORT,REF_LOCODE_PORTNAME_COUNTRY, 2,FALSE)),"Select last port from cell above…",VLOOKUP(VOY_VOY_LASTPORT,REF_LOCODE_PORTNAME_COUNTRY, 2,FALSE))</f>
        <v>Select last port from cell above…</v>
      </c>
      <c r="E14" s="654" t="str">
        <f>'Reference data'!AJ10</f>
        <v>Awaiting orders</v>
      </c>
      <c r="F14" s="655"/>
      <c r="G14" s="186" t="s">
        <v>84</v>
      </c>
      <c r="I14" s="8"/>
      <c r="J14" s="8"/>
    </row>
    <row r="15" spans="1:25" s="36" customFormat="1" ht="12" customHeight="1" x14ac:dyDescent="0.2">
      <c r="B15" s="39" t="s">
        <v>32877</v>
      </c>
      <c r="C15" s="390" t="str">
        <f>IF(ISERROR(TMP_VOY_LASTPORT),"Select last port from cell above…",TMP_VOY_LASTPORT)</f>
        <v>Select last port from cell above…</v>
      </c>
      <c r="E15" s="654" t="str">
        <f>'Reference data'!AJ11</f>
        <v>Miscellaneous</v>
      </c>
      <c r="F15" s="655"/>
      <c r="G15" s="186" t="s">
        <v>84</v>
      </c>
      <c r="I15" s="8"/>
      <c r="J15" s="8"/>
    </row>
    <row r="16" spans="1:25" ht="14.25" customHeight="1" x14ac:dyDescent="0.2">
      <c r="B16" s="39" t="s">
        <v>46</v>
      </c>
      <c r="C16" s="57"/>
      <c r="D16" s="2"/>
      <c r="E16" s="654" t="str">
        <f>'Reference data'!AJ12</f>
        <v>Crew movement</v>
      </c>
      <c r="F16" s="655"/>
      <c r="G16" s="186" t="s">
        <v>84</v>
      </c>
      <c r="I16" s="8"/>
      <c r="J16" s="8"/>
      <c r="K16" s="36"/>
    </row>
    <row r="17" spans="2:11" ht="18" customHeight="1" x14ac:dyDescent="0.2">
      <c r="B17" s="38" t="s">
        <v>32882</v>
      </c>
      <c r="C17" s="65"/>
      <c r="D17" s="2"/>
      <c r="E17" s="654" t="str">
        <f>'Reference data'!AJ13</f>
        <v>Cruise, leisure and recreation</v>
      </c>
      <c r="F17" s="655"/>
      <c r="G17" s="186" t="s">
        <v>84</v>
      </c>
      <c r="I17" s="36"/>
      <c r="J17" s="36"/>
      <c r="K17" s="36"/>
    </row>
    <row r="18" spans="2:11" s="36" customFormat="1" ht="12" customHeight="1" x14ac:dyDescent="0.2">
      <c r="B18" s="38" t="s">
        <v>32883</v>
      </c>
      <c r="C18" s="84" t="str">
        <f>IF(ISERROR(VLOOKUP(VOY_VOY_NEXTPORT,REF_LOCODE_PORTNAME_COUNTRY, 2,FALSE)),"Select next port from cell above…",VLOOKUP(VOY_VOY_NEXTPORT,REF_LOCODE_PORTNAME_COUNTRY, 2,FALSE))</f>
        <v>Select next port from cell above…</v>
      </c>
      <c r="E18" s="654" t="str">
        <f>'Reference data'!AJ14</f>
        <v>Under government order</v>
      </c>
      <c r="F18" s="655"/>
      <c r="G18" s="186" t="s">
        <v>84</v>
      </c>
    </row>
    <row r="19" spans="2:11" s="36" customFormat="1" ht="12" customHeight="1" x14ac:dyDescent="0.2">
      <c r="B19" s="38" t="s">
        <v>32879</v>
      </c>
      <c r="C19" s="390" t="str">
        <f>IF(ISERROR(TMP_VOY_NEXTPORT),"Select next port from cell above…",TMP_VOY_NEXTPORT)</f>
        <v>Select next port from cell above…</v>
      </c>
      <c r="E19" s="654" t="str">
        <f>'Reference data'!AJ15</f>
        <v>Quarantine inspection</v>
      </c>
      <c r="F19" s="655"/>
      <c r="G19" s="186" t="s">
        <v>84</v>
      </c>
      <c r="J19" s="216"/>
    </row>
    <row r="20" spans="2:11" ht="13.5" customHeight="1" thickBot="1" x14ac:dyDescent="0.25">
      <c r="B20" s="38" t="s">
        <v>48</v>
      </c>
      <c r="C20" s="57"/>
      <c r="D20" s="2"/>
      <c r="E20" s="654" t="str">
        <f>'Reference data'!AJ16</f>
        <v>Refuge</v>
      </c>
      <c r="F20" s="655"/>
      <c r="G20" s="186" t="s">
        <v>84</v>
      </c>
      <c r="I20" s="36"/>
      <c r="J20" s="36"/>
      <c r="K20" s="36"/>
    </row>
    <row r="21" spans="2:11" ht="12" customHeight="1" thickBot="1" x14ac:dyDescent="0.25">
      <c r="B21" s="667" t="s">
        <v>50</v>
      </c>
      <c r="C21" s="664"/>
      <c r="D21" s="2"/>
      <c r="E21" s="659" t="s">
        <v>628</v>
      </c>
      <c r="F21" s="660"/>
      <c r="G21" s="187">
        <f>COUNTIF(Voyage!$G$6:$G$20,"Yes")</f>
        <v>0</v>
      </c>
      <c r="I21" s="36"/>
      <c r="J21" s="36"/>
      <c r="K21" s="36"/>
    </row>
    <row r="22" spans="2:11" ht="4.5" customHeight="1" thickTop="1" x14ac:dyDescent="0.2">
      <c r="B22" s="668"/>
      <c r="C22" s="665"/>
      <c r="D22" s="2"/>
      <c r="E22" s="162"/>
      <c r="F22" s="162"/>
      <c r="G22" s="3"/>
      <c r="I22" s="36"/>
      <c r="J22" s="36"/>
      <c r="K22" s="36"/>
    </row>
    <row r="23" spans="2:11" s="36" customFormat="1" ht="12" customHeight="1" x14ac:dyDescent="0.2">
      <c r="B23" s="668"/>
      <c r="C23" s="665"/>
    </row>
    <row r="24" spans="2:11" s="36" customFormat="1" ht="12" customHeight="1" x14ac:dyDescent="0.2">
      <c r="B24" s="668"/>
      <c r="C24" s="665"/>
      <c r="E24" s="172"/>
      <c r="F24" s="172"/>
      <c r="G24" s="172"/>
    </row>
    <row r="25" spans="2:11" s="36" customFormat="1" ht="12" customHeight="1" thickBot="1" x14ac:dyDescent="0.25">
      <c r="B25" s="669"/>
      <c r="C25" s="666"/>
      <c r="E25" s="172"/>
      <c r="F25" s="172"/>
      <c r="G25" s="172"/>
    </row>
    <row r="26" spans="2:11" s="36" customFormat="1" ht="6.75" customHeight="1" thickTop="1" thickBot="1" x14ac:dyDescent="0.25">
      <c r="B26" s="3"/>
      <c r="C26" s="303"/>
      <c r="E26" s="172"/>
      <c r="F26" s="172"/>
      <c r="G26" s="172"/>
    </row>
    <row r="27" spans="2:11" ht="12" customHeight="1" thickTop="1" thickBot="1" x14ac:dyDescent="0.25">
      <c r="B27" s="635" t="s">
        <v>33771</v>
      </c>
      <c r="C27" s="637"/>
      <c r="D27" s="2"/>
      <c r="E27" s="663" t="s">
        <v>33369</v>
      </c>
      <c r="F27" s="663"/>
      <c r="G27" s="663"/>
      <c r="I27" s="36"/>
      <c r="J27" s="36"/>
      <c r="K27" s="36"/>
    </row>
    <row r="28" spans="2:11" ht="12" customHeight="1" thickTop="1" x14ac:dyDescent="0.2">
      <c r="B28" s="661"/>
      <c r="C28" s="662"/>
      <c r="D28" s="2"/>
      <c r="E28" s="663"/>
      <c r="F28" s="663"/>
      <c r="G28" s="663"/>
      <c r="I28" s="35"/>
      <c r="J28" s="35"/>
      <c r="K28" s="36"/>
    </row>
    <row r="29" spans="2:11" ht="13.5" customHeight="1" thickBot="1" x14ac:dyDescent="0.25">
      <c r="B29" s="42" t="s">
        <v>34848</v>
      </c>
      <c r="C29" s="110"/>
      <c r="D29" s="2"/>
      <c r="E29" s="657" t="s">
        <v>33773</v>
      </c>
      <c r="F29" s="658"/>
      <c r="G29" s="57"/>
      <c r="I29" s="35"/>
      <c r="J29" s="35"/>
      <c r="K29" s="36"/>
    </row>
    <row r="30" spans="2:11" ht="13.5" customHeight="1" thickTop="1" thickBot="1" x14ac:dyDescent="0.25">
      <c r="D30" s="7"/>
      <c r="E30" s="659" t="s">
        <v>34847</v>
      </c>
      <c r="F30" s="660"/>
      <c r="G30" s="111"/>
      <c r="I30" s="35"/>
      <c r="J30" s="35"/>
      <c r="K30" s="36"/>
    </row>
    <row r="31" spans="2:11" ht="12" customHeight="1" thickTop="1" thickBot="1" x14ac:dyDescent="0.25">
      <c r="B31" s="656" t="s">
        <v>33368</v>
      </c>
      <c r="C31" s="656"/>
      <c r="D31" s="112"/>
      <c r="E31" s="167"/>
      <c r="F31" s="162"/>
      <c r="G31" s="36"/>
      <c r="H31" s="35"/>
      <c r="I31" s="35"/>
      <c r="J31" s="35"/>
      <c r="K31" s="36"/>
    </row>
    <row r="32" spans="2:11" ht="12" customHeight="1" thickTop="1" x14ac:dyDescent="0.2">
      <c r="B32" s="656"/>
      <c r="C32" s="656"/>
      <c r="D32" s="112"/>
      <c r="E32" s="159"/>
      <c r="G32" s="3"/>
      <c r="H32" s="1"/>
      <c r="I32" s="1"/>
      <c r="J32" s="1"/>
      <c r="K32" s="36"/>
    </row>
    <row r="33" spans="2:11" ht="12" customHeight="1" x14ac:dyDescent="0.2">
      <c r="B33" s="174" t="s">
        <v>33772</v>
      </c>
      <c r="C33" s="304"/>
      <c r="D33" s="166"/>
      <c r="E33" s="159"/>
      <c r="G33" s="3"/>
      <c r="H33" s="100"/>
      <c r="I33" s="100"/>
      <c r="J33" s="100"/>
      <c r="K33" s="36"/>
    </row>
    <row r="34" spans="2:11" ht="12" customHeight="1" thickBot="1" x14ac:dyDescent="0.25">
      <c r="B34" s="173" t="s">
        <v>56</v>
      </c>
      <c r="C34" s="305"/>
      <c r="D34" s="184"/>
      <c r="E34" s="159"/>
      <c r="G34" s="3"/>
      <c r="H34" s="100"/>
      <c r="I34" s="100"/>
      <c r="J34" s="100"/>
      <c r="K34" s="36"/>
    </row>
    <row r="35" spans="2:11" ht="4.5" customHeight="1" thickTop="1" x14ac:dyDescent="0.2">
      <c r="D35" s="31"/>
      <c r="G35" s="3"/>
      <c r="H35" s="100"/>
      <c r="I35" s="100"/>
      <c r="J35" s="100"/>
      <c r="K35" s="36"/>
    </row>
    <row r="36" spans="2:11" ht="1.5" hidden="1" customHeight="1" x14ac:dyDescent="0.2">
      <c r="G36" s="3"/>
      <c r="H36" s="100"/>
      <c r="I36" s="100"/>
      <c r="J36" s="100"/>
      <c r="K36" s="36"/>
    </row>
    <row r="37" spans="2:11" ht="4.5" hidden="1" customHeight="1" x14ac:dyDescent="0.2">
      <c r="B37" s="3" t="s">
        <v>33821</v>
      </c>
      <c r="C37" s="303" t="s">
        <v>37196</v>
      </c>
      <c r="G37" s="3"/>
      <c r="H37" s="100"/>
      <c r="I37" s="100"/>
      <c r="J37" s="100"/>
      <c r="K37" s="36"/>
    </row>
    <row r="38" spans="2:11" ht="12" customHeight="1" x14ac:dyDescent="0.2">
      <c r="G38" s="3"/>
      <c r="H38" s="1"/>
      <c r="I38" s="1"/>
      <c r="J38" s="1"/>
      <c r="K38" s="36"/>
    </row>
    <row r="39" spans="2:11" ht="12" customHeight="1" x14ac:dyDescent="0.2">
      <c r="G39" s="3"/>
      <c r="H39" s="1"/>
      <c r="I39" s="1"/>
      <c r="J39" s="1"/>
      <c r="K39" s="36"/>
    </row>
    <row r="40" spans="2:11" ht="12" customHeight="1" x14ac:dyDescent="0.2">
      <c r="G40" s="3"/>
      <c r="K40" s="36"/>
    </row>
    <row r="41" spans="2:11" ht="12" customHeight="1" x14ac:dyDescent="0.2">
      <c r="G41" s="3"/>
      <c r="K41" s="36"/>
    </row>
    <row r="42" spans="2:11" ht="12" customHeight="1" x14ac:dyDescent="0.2">
      <c r="G42" s="3"/>
      <c r="K42" s="36"/>
    </row>
    <row r="43" spans="2:11" ht="12" customHeight="1" x14ac:dyDescent="0.2">
      <c r="B43" s="499"/>
      <c r="G43" s="3"/>
      <c r="K43" s="36"/>
    </row>
    <row r="44" spans="2:11" ht="12" customHeight="1" x14ac:dyDescent="0.2">
      <c r="G44" s="3"/>
      <c r="K44" s="36"/>
    </row>
    <row r="45" spans="2:11" ht="12" customHeight="1" x14ac:dyDescent="0.2">
      <c r="G45" s="3"/>
      <c r="K45" s="36"/>
    </row>
    <row r="46" spans="2:11" ht="12" customHeight="1" x14ac:dyDescent="0.2">
      <c r="G46" s="3"/>
      <c r="K46" s="36"/>
    </row>
    <row r="47" spans="2:11" ht="12.75" customHeight="1" x14ac:dyDescent="0.2">
      <c r="G47" s="3"/>
      <c r="K47" s="36"/>
    </row>
    <row r="48" spans="2:11" x14ac:dyDescent="0.2">
      <c r="G48" s="3"/>
      <c r="K48" s="36"/>
    </row>
    <row r="49" spans="7:11" x14ac:dyDescent="0.2">
      <c r="G49" s="3"/>
      <c r="K49" s="36"/>
    </row>
    <row r="59" spans="7:11" ht="14.25" customHeight="1" x14ac:dyDescent="0.2"/>
    <row r="60" spans="7:11" ht="13.5" customHeight="1" x14ac:dyDescent="0.2"/>
    <row r="66" ht="12.75" customHeight="1" x14ac:dyDescent="0.2"/>
  </sheetData>
  <sheetProtection algorithmName="SHA-512" hashValue="IqoF/CuuaIJPLOMsbt9Z9qmW/TUqpYcmV77DtdzjoU2zfuNLLvo/i2GCn0CbhFEHN0HiL2i3H5WwjSi9gXxLrg==" saltValue="FvWpQfv11iOb7V5rGdSpiw==" spinCount="100000" sheet="1" formatCells="0" formatColumns="0" formatRows="0" selectLockedCells="1"/>
  <mergeCells count="27">
    <mergeCell ref="B31:C32"/>
    <mergeCell ref="E29:F29"/>
    <mergeCell ref="E30:F30"/>
    <mergeCell ref="B27:C28"/>
    <mergeCell ref="E20:F20"/>
    <mergeCell ref="E21:F21"/>
    <mergeCell ref="E27:G28"/>
    <mergeCell ref="C21:C25"/>
    <mergeCell ref="B21:B25"/>
    <mergeCell ref="E12:F12"/>
    <mergeCell ref="E13:F13"/>
    <mergeCell ref="E19:F19"/>
    <mergeCell ref="E14:F14"/>
    <mergeCell ref="E15:F15"/>
    <mergeCell ref="E16:F16"/>
    <mergeCell ref="E17:F17"/>
    <mergeCell ref="E18:F18"/>
    <mergeCell ref="I5:K5"/>
    <mergeCell ref="I6:K7"/>
    <mergeCell ref="I8:K8"/>
    <mergeCell ref="B5:C5"/>
    <mergeCell ref="E11:F11"/>
    <mergeCell ref="E6:F6"/>
    <mergeCell ref="E7:F7"/>
    <mergeCell ref="E8:F8"/>
    <mergeCell ref="E9:F9"/>
    <mergeCell ref="E10:F10"/>
  </mergeCells>
  <conditionalFormatting sqref="G6:G20">
    <cfRule type="expression" dxfId="121" priority="27">
      <formula>G6="Yes"</formula>
    </cfRule>
  </conditionalFormatting>
  <conditionalFormatting sqref="B33">
    <cfRule type="expression" dxfId="120" priority="21">
      <formula xml:space="preserve"> OR( AND(VOY_VOY_ETA="",VOY_ARR_ATA=""), AND(VOY_VOY_ETA="",VOY_ARR_ATA&lt;&gt;""), AND(VOY_VOY_ETA&lt;&gt;"",VOY_ARR_ATA&lt;&gt;"") )</formula>
    </cfRule>
  </conditionalFormatting>
  <conditionalFormatting sqref="B34">
    <cfRule type="expression" dxfId="119" priority="18">
      <formula xml:space="preserve"> OR( AND(VOY_ARR_ANCHORAGE="",VOY_ARR_ATA&lt;&gt;""), AND(VOY_ARR_ANCHORAGE&lt;&gt;"",VOY_ARR_ATA&lt;&gt;"") )</formula>
    </cfRule>
  </conditionalFormatting>
  <conditionalFormatting sqref="E6:E20">
    <cfRule type="expression" dxfId="118" priority="497">
      <formula>G6="Yes"</formula>
    </cfRule>
  </conditionalFormatting>
  <conditionalFormatting sqref="E2">
    <cfRule type="expression" dxfId="117" priority="3">
      <formula>VOY_STATUS="Empty"</formula>
    </cfRule>
    <cfRule type="expression" dxfId="116" priority="15">
      <formula>VOY_STATUS="Invalid"</formula>
    </cfRule>
    <cfRule type="expression" dxfId="115" priority="499">
      <formula>VOY_STATUS="Valid"</formula>
    </cfRule>
  </conditionalFormatting>
  <conditionalFormatting sqref="C7">
    <cfRule type="expression" dxfId="114" priority="14">
      <formula>iserrror(TMP_VOY_PORTOFCALL)</formula>
    </cfRule>
  </conditionalFormatting>
  <conditionalFormatting sqref="B29">
    <cfRule type="expression" dxfId="113" priority="12">
      <formula>IHZ_DET_HAZONBOARD="Yes"</formula>
    </cfRule>
  </conditionalFormatting>
  <conditionalFormatting sqref="B17">
    <cfRule type="expression" dxfId="112" priority="11">
      <formula>AND(SUM_INCLUDE_OHZ="Include",OHZ_DET_HAZONBOARD="Yes",LEN(VOY_VOY_NEXTPORT)&lt;&gt;5)</formula>
    </cfRule>
  </conditionalFormatting>
  <conditionalFormatting sqref="E30">
    <cfRule type="expression" dxfId="111" priority="9">
      <formula>OHZ_DET_HAZONBOARD="Yes"</formula>
    </cfRule>
  </conditionalFormatting>
  <conditionalFormatting sqref="B20">
    <cfRule type="expression" dxfId="110" priority="8">
      <formula>OHZ_DET_HAZONBOARD="Yes"</formula>
    </cfRule>
  </conditionalFormatting>
  <conditionalFormatting sqref="B11">
    <cfRule type="expression" dxfId="109" priority="7">
      <formula xml:space="preserve"> OR( AND(VOY_VOY_ETA="",VOY_ARR_ATA=""), AND(VOY_VOY_ETA&lt;&gt;"",VOY_ARR_ATA=""), AND(VOY_VOY_ETA&lt;&gt;"",VOY_ARR_ATA&lt;&gt;"") )</formula>
    </cfRule>
  </conditionalFormatting>
  <conditionalFormatting sqref="B12">
    <cfRule type="expression" dxfId="108" priority="6">
      <formula xml:space="preserve"> OR( AND(VOY_VOY_ETD="",VOY_DEP_ATD=""), AND(VOY_VOY_ETD&lt;&gt;"",VOY_DEP_ATD=""), AND(VOY_VOY_ETD&lt;&gt;"",VOY_DEP_ATD&lt;&gt;"") )</formula>
    </cfRule>
  </conditionalFormatting>
  <conditionalFormatting sqref="E29:F29">
    <cfRule type="expression" dxfId="107" priority="5">
      <formula xml:space="preserve"> OR( AND(VOY_VOY_ETD="",VOY_DEP_ATD=""), AND(VOY_VOY_ETD="",VOY_DEP_ATD&lt;&gt;""), AND(VOY_VOY_ETD&lt;&gt;"",VOY_DEP_ATD&lt;&gt;"") )</formula>
    </cfRule>
  </conditionalFormatting>
  <conditionalFormatting sqref="C8">
    <cfRule type="expression" dxfId="106" priority="1">
      <formula>iserrror(TMP_VOY_PORTOFCALL)</formula>
    </cfRule>
  </conditionalFormatting>
  <dataValidations xWindow="843" yWindow="434" count="16">
    <dataValidation type="list" allowBlank="1" showInputMessage="1" showErrorMessage="1" error="Select 'Yes' or 'No' from the dropdown" promptTitle="Anchorage" prompt="Indicates whether the ship is at anchorage_x000a__x000a_Choose 'Yes' or 'No' from dropdown menu" sqref="C34">
      <formula1>REF_YES_NO</formula1>
    </dataValidation>
    <dataValidation type="textLength" operator="lessThanOrEqual" allowBlank="1" showInputMessage="1" showErrorMessage="1" error="Max 50 characters." promptTitle="Position in port of call" prompt="The vessels position in the port of call_x000a__x000a_Max 50 characters" sqref="C10">
      <formula1>50</formula1>
    </dataValidation>
    <dataValidation type="custom" allowBlank="1" showInputMessage="1" showErrorMessage="1" errorTitle="Warning" error="Port facility must be exactly 4 digits." promptTitle="Port facility" prompt="The port facility's code as in the IMO GISIS maritime security database._x000a_Generic code “0000” to be used in case port facility is:_x000a_- not ISPS-approved_x000a_- recently approved but still not included in the GISIS database_x000a__x000a_Must be 4 characters" sqref="C9">
      <formula1>IF(AND(LEN(C9)=4,ISNUMBER(TRIM(C9)*1)),TRUE(),FALSE())</formula1>
    </dataValidation>
    <dataValidation type="whole" allowBlank="1" showInputMessage="1" showErrorMessage="1" error="Invalid number. Use '99999' if number is unknown." promptTitle="Persons aboard" prompt="Total number of persons aboard toward port of call_x000a__x000a_Use '99999' if number is unknown_x000a__x000a_Must be whole number less than 100000" sqref="C29">
      <formula1>1</formula1>
      <formula2>99999</formula2>
    </dataValidation>
    <dataValidation type="whole" allowBlank="1" showInputMessage="1" showErrorMessage="1" errorTitle="Warning" error="Invalid number. Use '99999' if number is unknown." promptTitle="Persons aboard" prompt="Total number of persons aboard towards next port_x000a__x000a_Use '99999' if number is unknown_x000a__x000a_Must be whole number less than 100000" sqref="G30">
      <formula1>1</formula1>
      <formula2>99999</formula2>
    </dataValidation>
    <dataValidation type="list" allowBlank="1" showErrorMessage="1" errorTitle="Error" error="Possible values are 'Yes' and 'No'" sqref="G6:G20">
      <formula1>REF_YES_NO</formula1>
    </dataValidation>
    <dataValidation type="date" allowBlank="1" showInputMessage="1" showErrorMessage="1" errorTitle="Error" error="Invalid date. Try inserting the date in the same format as your computer system's datetime format." promptTitle="ATA Port of call" prompt="The vessel's actual time of arrival at the port of call _x000a__x000a_Must be in the dd/mm/yyyy hh:mm 24 hour format" sqref="C33">
      <formula1>1</formula1>
      <formula2>72686</formula2>
    </dataValidation>
    <dataValidation type="time" operator="lessThanOrEqual" allowBlank="1" showInputMessage="1" showErrorMessage="1" errorTitle="Invalid Date" error="Invalid date. Try inserting the date in the same format as your computer system's datetime format. Must be less than ETA to port of call." promptTitle="ETD from last port" prompt="The expected time of departure from the last port_x000a__x000a_Must be less than ETA to port of call_x000a__x000a_Should be in Excel datetime format_x000a_" sqref="C16">
      <formula1>VOY_VOY_ETA</formula1>
    </dataValidation>
    <dataValidation type="date" operator="greaterThanOrEqual" allowBlank="1" showInputMessage="1" showErrorMessage="1" errorTitle="Invalid Date" error="Invalid date. Try inserting the date in the same format as your computer system's date format. Should be in Excel datetime  format and greater than ATA to port of call" promptTitle="ATD Port of call" prompt="The vessels actual time of departure from the port of call_x000a__x000a_Must be greater than ATA to port of call_x000a__x000a_Should be in Excel datetime format" sqref="G29">
      <formula1>VOY_ARR_ATA</formula1>
    </dataValidation>
    <dataValidation type="textLength" allowBlank="1" showInputMessage="1" showErrorMessage="1" error="Max 255 characters." promptTitle="Brief cargo description" prompt="Brief description of the vessel's cargo_x000a__x000a_Max 255 characters" sqref="C21:C25">
      <formula1>0</formula1>
      <formula2>255</formula2>
    </dataValidation>
    <dataValidation type="custom" operator="equal" showDropDown="1" showInputMessage="1" showErrorMessage="1" error="Invalid LOCODE: must be 5 characters of letters and numbers with no spaces." promptTitle="LOCODE" prompt="Must be 5 characters." sqref="C19 C15 C8">
      <formula1>IFERROR(AND(SUMPRODUCT(SEARCH(MID(C8,ROW(INDIRECT("1:"&amp;LEN(C8))),1),"abcdefghijklmnopqrstuvwxyz0123456789")),LEN(C8)=5),FALSE)</formula1>
    </dataValidation>
    <dataValidation type="date" allowBlank="1" showInputMessage="1" showErrorMessage="1" errorTitle="Error" error="Invalid date time. Try inserting the date in the same format as your computer system's date format." promptTitle="ETA to port of call" prompt="The vessel's expected time of arrival at the port of call_x000a__x000a_Should be in Excel datetime format_x000a_" sqref="C11">
      <formula1>1</formula1>
      <formula2>72686</formula2>
    </dataValidation>
    <dataValidation type="date" allowBlank="1" showInputMessage="1" showErrorMessage="1" errorTitle="Error" error="Invalid date. Try inserting the date in the same format as your computer system's datetime format." promptTitle="ETD from port of call" prompt="The vessels expected time of departure from the port of call_x000a__x000a_Should be in Excel datetime format_x000a_" sqref="C12">
      <formula1>1</formula1>
      <formula2>72686</formula2>
    </dataValidation>
    <dataValidation operator="lessThanOrEqual" allowBlank="1" sqref="G21"/>
    <dataValidation type="date" allowBlank="1" showInputMessage="1" showErrorMessage="1" errorTitle="Error" error="Invalid date. Try inserting the date in the same format as your computer system's datetime format." promptTitle="ETA to next port" prompt="The vessels expected time of arrival at the next port of call_x000a__x000a_Should be in Excel datetime format" sqref="C20">
      <formula1>1</formula1>
      <formula2>72686</formula2>
    </dataValidation>
    <dataValidation type="custom" allowBlank="1" showInputMessage="1" showErrorMessage="1" sqref="C14">
      <formula1>IFERROR(AND(SUMPRODUCT(SEARCH(MID(C15,ROW(INDIRECT("1:"&amp;LEN(C15))),1),"abcdefghijklmnopqrstuvwxyz0123456789")),LEN(C15)=5),FALSE)</formula1>
    </dataValidation>
  </dataValidations>
  <pageMargins left="0.23622047244094488" right="0.23622047244094488" top="0.39370078740157483" bottom="0.39370078740157483" header="0.31496062992125984" footer="0.31496062992125984"/>
  <pageSetup paperSize="9" scale="77" fitToHeight="0" orientation="landscape" r:id="rId1"/>
  <drawing r:id="rId2"/>
  <legacyDrawing r:id="rId3"/>
  <controls>
    <mc:AlternateContent xmlns:mc="http://schemas.openxmlformats.org/markup-compatibility/2006">
      <mc:Choice Requires="x14">
        <control shapeId="13341" r:id="rId4" name="VOY_VOY_LASTPORT_DROPDOWN">
          <controlPr defaultSize="0" autoLine="0" linkedCell="TMP_VOY_LASTPORT" listFillRange="REF_LOCODE_PORTNAME_COUNTRY" r:id="rId5">
            <anchor moveWithCells="1" sizeWithCells="1">
              <from>
                <xdr:col>2</xdr:col>
                <xdr:colOff>9525</xdr:colOff>
                <xdr:row>12</xdr:row>
                <xdr:rowOff>19050</xdr:rowOff>
              </from>
              <to>
                <xdr:col>3</xdr:col>
                <xdr:colOff>0</xdr:colOff>
                <xdr:row>13</xdr:row>
                <xdr:rowOff>0</xdr:rowOff>
              </to>
            </anchor>
          </controlPr>
        </control>
      </mc:Choice>
      <mc:Fallback>
        <control shapeId="13341" r:id="rId4" name="VOY_VOY_LASTPORT_DROPDOWN"/>
      </mc:Fallback>
    </mc:AlternateContent>
    <mc:AlternateContent xmlns:mc="http://schemas.openxmlformats.org/markup-compatibility/2006">
      <mc:Choice Requires="x14">
        <control shapeId="13342" r:id="rId6" name="ComboBox1">
          <controlPr defaultSize="0" autoLine="0" linkedCell="TMP_VOY_NEXTPORT" listFillRange="REF_LOCODE_PORTNAME_COUNTRY" r:id="rId7">
            <anchor moveWithCells="1" sizeWithCells="1">
              <from>
                <xdr:col>2</xdr:col>
                <xdr:colOff>19050</xdr:colOff>
                <xdr:row>16</xdr:row>
                <xdr:rowOff>9525</xdr:rowOff>
              </from>
              <to>
                <xdr:col>2</xdr:col>
                <xdr:colOff>3105150</xdr:colOff>
                <xdr:row>16</xdr:row>
                <xdr:rowOff>209550</xdr:rowOff>
              </to>
            </anchor>
          </controlPr>
        </control>
      </mc:Choice>
      <mc:Fallback>
        <control shapeId="13342" r:id="rId6" name="ComboBox1"/>
      </mc:Fallback>
    </mc:AlternateContent>
    <mc:AlternateContent xmlns:mc="http://schemas.openxmlformats.org/markup-compatibility/2006">
      <mc:Choice Requires="x14">
        <control shapeId="13345" r:id="rId8" name="ComboBox2">
          <controlPr defaultSize="0" autoLine="0" autoPict="0" linkedCell="VES_VDE_REGPORT" listFillRange="REF_LOCODE_PORTNAME_COUNTRY" r:id="rId9">
            <anchor moveWithCells="1" sizeWithCells="1">
              <from>
                <xdr:col>4</xdr:col>
                <xdr:colOff>0</xdr:colOff>
                <xdr:row>18</xdr:row>
                <xdr:rowOff>9525</xdr:rowOff>
              </from>
              <to>
                <xdr:col>4</xdr:col>
                <xdr:colOff>0</xdr:colOff>
                <xdr:row>18</xdr:row>
                <xdr:rowOff>38100</xdr:rowOff>
              </to>
            </anchor>
          </controlPr>
        </control>
      </mc:Choice>
      <mc:Fallback>
        <control shapeId="13345" r:id="rId8" name="ComboBox2"/>
      </mc:Fallback>
    </mc:AlternateContent>
    <mc:AlternateContent xmlns:mc="http://schemas.openxmlformats.org/markup-compatibility/2006">
      <mc:Choice Requires="x14">
        <control shapeId="13346" r:id="rId10" name="VOY_VOY_POC_DROPDOWN">
          <controlPr defaultSize="0" autoLine="0" autoPict="0" linkedCell="TMP_VOY_PORTOFCALL" listFillRange="REF_UK_LOCODES_PORTNAMES" r:id="rId11">
            <anchor moveWithCells="1" sizeWithCells="1">
              <from>
                <xdr:col>2</xdr:col>
                <xdr:colOff>19050</xdr:colOff>
                <xdr:row>5</xdr:row>
                <xdr:rowOff>0</xdr:rowOff>
              </from>
              <to>
                <xdr:col>2</xdr:col>
                <xdr:colOff>3324225</xdr:colOff>
                <xdr:row>5</xdr:row>
                <xdr:rowOff>180975</xdr:rowOff>
              </to>
            </anchor>
          </controlPr>
        </control>
      </mc:Choice>
      <mc:Fallback>
        <control shapeId="13346" r:id="rId10" name="VOY_VOY_POC_DROPDOWN"/>
      </mc:Fallback>
    </mc:AlternateContent>
  </controls>
  <extLst>
    <ext xmlns:x14="http://schemas.microsoft.com/office/spreadsheetml/2009/9/main" uri="{78C0D931-6437-407d-A8EE-F0AAD7539E65}">
      <x14:conditionalFormattings>
        <x14:conditionalFormatting xmlns:xm="http://schemas.microsoft.com/office/excel/2006/main">
          <x14:cfRule type="iconSet" priority="24" id="{90DF9F65-932F-4D8B-A2D0-CEC0FF08F407}">
            <x14:iconSet iconSet="3Symbols" custom="1">
              <x14:cfvo type="percent">
                <xm:f>0</xm:f>
              </x14:cfvo>
              <x14:cfvo type="num" gte="0">
                <xm:f>0</xm:f>
              </x14:cfvo>
              <x14:cfvo type="num" gte="0">
                <xm:f>9</xm:f>
              </x14:cfvo>
              <x14:cfIcon iconSet="3TrafficLights1" iconId="1"/>
              <x14:cfIcon iconSet="3Symbols" iconId="2"/>
              <x14:cfIcon iconSet="3Symbols" iconId="0"/>
            </x14:iconSet>
          </x14:cfRule>
          <xm:sqref>G21</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rgb="FF00B0F0"/>
    <pageSetUpPr autoPageBreaks="0" fitToPage="1"/>
  </sheetPr>
  <dimension ref="A1:AE74"/>
  <sheetViews>
    <sheetView showGridLines="0" zoomScale="90" zoomScaleNormal="90" zoomScaleSheetLayoutView="95" workbookViewId="0">
      <pane ySplit="3" topLeftCell="A4" activePane="bottomLeft" state="frozen"/>
      <selection activeCell="A2" sqref="A2"/>
      <selection pane="bottomLeft" activeCell="D15" sqref="D15"/>
    </sheetView>
  </sheetViews>
  <sheetFormatPr defaultColWidth="9.140625" defaultRowHeight="12.75" x14ac:dyDescent="0.2"/>
  <cols>
    <col min="1" max="1" width="3.28515625" style="2" customWidth="1"/>
    <col min="2" max="2" width="11.140625" style="3" customWidth="1"/>
    <col min="3" max="3" width="17" style="88" customWidth="1"/>
    <col min="4" max="4" width="28" style="3" customWidth="1"/>
    <col min="5" max="5" width="1.28515625" style="80" customWidth="1"/>
    <col min="6" max="6" width="8.42578125" style="98" customWidth="1"/>
    <col min="7" max="7" width="4.5703125" style="440" customWidth="1"/>
    <col min="8" max="8" width="20" style="3" bestFit="1" customWidth="1"/>
    <col min="9" max="9" width="16.42578125" style="152" customWidth="1"/>
    <col min="10" max="10" width="8.42578125" style="3" customWidth="1"/>
    <col min="11" max="11" width="4.5703125" style="88" customWidth="1"/>
    <col min="12" max="12" width="9.140625" style="156" customWidth="1"/>
    <col min="13" max="13" width="4.42578125" style="88" customWidth="1"/>
    <col min="14" max="14" width="5.28515625" style="3" customWidth="1"/>
    <col min="15" max="15" width="3.7109375" style="171" customWidth="1"/>
    <col min="16" max="16" width="5.42578125" style="3" customWidth="1"/>
    <col min="17" max="17" width="5" style="3" customWidth="1"/>
    <col min="18" max="18" width="1.85546875" style="3" customWidth="1"/>
    <col min="19" max="19" width="6" style="171" customWidth="1"/>
    <col min="20" max="20" width="10.5703125" style="441" customWidth="1"/>
    <col min="21" max="21" width="4.7109375" style="441" customWidth="1"/>
    <col min="22" max="22" width="13.85546875" style="2" customWidth="1"/>
    <col min="23" max="23" width="13.7109375" style="157" customWidth="1"/>
    <col min="24" max="24" width="2.85546875" style="2" customWidth="1"/>
    <col min="25" max="25" width="4" style="270" customWidth="1"/>
    <col min="26" max="26" width="18.28515625" style="3" customWidth="1"/>
    <col min="27" max="27" width="4.85546875" style="3" customWidth="1"/>
    <col min="28" max="28" width="29.140625" style="2" customWidth="1"/>
    <col min="29" max="29" width="23" style="2" customWidth="1"/>
    <col min="30" max="30" width="14.7109375" style="2" customWidth="1"/>
    <col min="31" max="16384" width="9.140625" style="2"/>
  </cols>
  <sheetData>
    <row r="1" spans="1:31" s="34" customFormat="1" ht="4.5" customHeight="1" x14ac:dyDescent="0.2"/>
    <row r="2" spans="1:31" s="78" customFormat="1" ht="20.25" x14ac:dyDescent="0.2">
      <c r="A2" s="75"/>
      <c r="B2" s="75" t="s">
        <v>33331</v>
      </c>
      <c r="C2" s="75"/>
      <c r="D2" s="75"/>
      <c r="E2" s="75"/>
      <c r="F2" s="75"/>
      <c r="G2" s="75"/>
      <c r="H2" s="275" t="s">
        <v>33411</v>
      </c>
      <c r="I2" s="503" t="str">
        <f>WAS_STATUS</f>
        <v>Empty</v>
      </c>
      <c r="J2" s="442" t="str">
        <f>IFERROR(WAS_VALID_RES,"")</f>
        <v>‘Waste delivery status’ is required</v>
      </c>
      <c r="K2" s="277"/>
      <c r="L2" s="277"/>
      <c r="M2" s="277"/>
      <c r="N2" s="277"/>
      <c r="O2" s="277"/>
      <c r="P2" s="277"/>
      <c r="Q2" s="277"/>
      <c r="R2" s="277"/>
      <c r="S2" s="277"/>
      <c r="T2" s="277"/>
      <c r="U2" s="277"/>
      <c r="V2" s="277"/>
      <c r="W2" s="277"/>
      <c r="X2" s="277"/>
      <c r="Y2" s="277"/>
      <c r="Z2" s="277"/>
      <c r="AA2" s="277"/>
      <c r="AB2" s="277"/>
      <c r="AC2" s="277"/>
    </row>
    <row r="3" spans="1:31" s="78" customFormat="1" ht="4.5" customHeight="1" x14ac:dyDescent="0.2">
      <c r="A3" s="75"/>
      <c r="B3" s="75"/>
      <c r="C3" s="75"/>
      <c r="D3" s="75"/>
      <c r="F3" s="275"/>
      <c r="G3" s="275"/>
      <c r="H3" s="276"/>
      <c r="I3" s="277"/>
      <c r="J3" s="75"/>
      <c r="K3" s="75"/>
      <c r="L3" s="75"/>
      <c r="M3" s="75"/>
      <c r="N3" s="75"/>
      <c r="O3" s="75" t="s">
        <v>33416</v>
      </c>
      <c r="P3" s="75"/>
      <c r="Q3" s="75"/>
      <c r="R3" s="282"/>
      <c r="S3" s="282"/>
      <c r="T3" s="282"/>
      <c r="U3" s="282"/>
      <c r="V3" s="282"/>
      <c r="W3" s="282"/>
      <c r="X3" s="282"/>
      <c r="Y3" s="282"/>
      <c r="Z3" s="283"/>
      <c r="AA3" s="283"/>
      <c r="AB3" s="283"/>
      <c r="AC3" s="283"/>
    </row>
    <row r="4" spans="1:31" s="290" customFormat="1" ht="12.75" customHeight="1" thickBot="1" x14ac:dyDescent="0.25">
      <c r="A4" s="287"/>
      <c r="B4" s="287"/>
      <c r="C4" s="287"/>
      <c r="D4" s="287"/>
      <c r="F4" s="307"/>
      <c r="G4" s="307"/>
      <c r="H4" s="308"/>
      <c r="I4" s="309"/>
      <c r="J4" s="287"/>
      <c r="K4" s="287"/>
      <c r="L4" s="287"/>
      <c r="M4" s="287"/>
      <c r="N4" s="287"/>
      <c r="O4" s="287"/>
      <c r="P4" s="287"/>
      <c r="Q4" s="287"/>
      <c r="R4" s="310"/>
      <c r="S4" s="310"/>
      <c r="T4" s="310"/>
      <c r="U4" s="310"/>
      <c r="V4" s="310"/>
      <c r="W4" s="310"/>
      <c r="X4" s="310"/>
      <c r="Y4" s="310"/>
      <c r="Z4" s="311"/>
      <c r="AA4" s="311"/>
      <c r="AB4" s="311"/>
      <c r="AC4" s="311"/>
    </row>
    <row r="5" spans="1:31" s="7" customFormat="1" ht="12.75" customHeight="1" thickTop="1" thickBot="1" x14ac:dyDescent="0.25">
      <c r="B5" s="663" t="s">
        <v>33357</v>
      </c>
      <c r="C5" s="663"/>
      <c r="D5" s="663"/>
      <c r="E5" s="97"/>
      <c r="F5" s="635" t="s">
        <v>33799</v>
      </c>
      <c r="G5" s="636"/>
      <c r="H5" s="636"/>
      <c r="I5" s="636"/>
      <c r="J5" s="636"/>
      <c r="K5" s="636"/>
      <c r="L5" s="637"/>
      <c r="N5" s="726" t="s">
        <v>32884</v>
      </c>
      <c r="O5" s="727"/>
      <c r="P5" s="727"/>
      <c r="Q5" s="727"/>
      <c r="R5" s="727"/>
      <c r="S5" s="727"/>
      <c r="T5" s="727"/>
      <c r="U5" s="727"/>
      <c r="V5" s="727"/>
      <c r="W5" s="727"/>
      <c r="X5" s="727"/>
      <c r="Y5" s="727"/>
      <c r="Z5" s="728"/>
      <c r="AA5" s="179"/>
    </row>
    <row r="6" spans="1:31" ht="13.5" customHeight="1" thickTop="1" x14ac:dyDescent="0.2">
      <c r="B6" s="663"/>
      <c r="C6" s="663"/>
      <c r="D6" s="663"/>
      <c r="E6" s="312"/>
      <c r="F6" s="661"/>
      <c r="G6" s="748"/>
      <c r="H6" s="748"/>
      <c r="I6" s="748"/>
      <c r="J6" s="748"/>
      <c r="K6" s="748"/>
      <c r="L6" s="662"/>
      <c r="N6" s="729"/>
      <c r="O6" s="730"/>
      <c r="P6" s="730"/>
      <c r="Q6" s="730"/>
      <c r="R6" s="730"/>
      <c r="S6" s="730"/>
      <c r="T6" s="730"/>
      <c r="U6" s="730"/>
      <c r="V6" s="730"/>
      <c r="W6" s="730"/>
      <c r="X6" s="730"/>
      <c r="Y6" s="730"/>
      <c r="Z6" s="731"/>
      <c r="AA6" s="179"/>
      <c r="AE6" s="492"/>
    </row>
    <row r="7" spans="1:31" ht="12.75" customHeight="1" x14ac:dyDescent="0.2">
      <c r="B7" s="641" t="s">
        <v>33769</v>
      </c>
      <c r="C7" s="294" t="s">
        <v>33345</v>
      </c>
      <c r="D7" s="55" t="str">
        <f>IF(OR(ISBLANK(VES_VID_IMO),ISERROR(VES_VID_IMO)),"",VES_VID_IMO)</f>
        <v/>
      </c>
      <c r="E7" s="312"/>
      <c r="F7" s="760" t="s">
        <v>34845</v>
      </c>
      <c r="G7" s="761"/>
      <c r="H7" s="756" t="s">
        <v>33412</v>
      </c>
      <c r="I7" s="313" t="s">
        <v>33063</v>
      </c>
      <c r="J7" s="758"/>
      <c r="K7" s="758"/>
      <c r="L7" s="759"/>
      <c r="N7" s="745" t="s">
        <v>32885</v>
      </c>
      <c r="O7" s="746"/>
      <c r="P7" s="746"/>
      <c r="Q7" s="747"/>
      <c r="R7" s="736"/>
      <c r="S7" s="737"/>
      <c r="T7" s="737"/>
      <c r="U7" s="737"/>
      <c r="V7" s="737"/>
      <c r="W7" s="737"/>
      <c r="X7" s="737"/>
      <c r="Y7" s="737"/>
      <c r="Z7" s="738"/>
      <c r="AE7" s="492"/>
    </row>
    <row r="8" spans="1:31" s="36" customFormat="1" ht="12" customHeight="1" x14ac:dyDescent="0.2">
      <c r="B8" s="641"/>
      <c r="C8" s="295" t="s">
        <v>5</v>
      </c>
      <c r="D8" s="53" t="str">
        <f>IF(OR(ISBLANK(VES_VID_SHIPNAME),ISERROR(VES_VID_SHIPNAME)),"",VES_VID_SHIPNAME)</f>
        <v/>
      </c>
      <c r="E8" s="312"/>
      <c r="F8" s="760"/>
      <c r="G8" s="761"/>
      <c r="H8" s="757"/>
      <c r="I8" s="295" t="s">
        <v>33064</v>
      </c>
      <c r="J8" s="752" t="str">
        <f>IF(ISERROR(VLOOKUP(WAS_LOC_LOCODE,REF_LOCODE_PORTNAME_COUNTRY, 2,FALSE)),"-",VLOOKUP(WAS_LOC_LOCODE,REF_LOCODE_PORTNAME_COUNTRY, 2,FALSE))</f>
        <v>-</v>
      </c>
      <c r="K8" s="752"/>
      <c r="L8" s="753"/>
      <c r="N8" s="745"/>
      <c r="O8" s="746"/>
      <c r="P8" s="746"/>
      <c r="Q8" s="747"/>
      <c r="R8" s="736"/>
      <c r="S8" s="737"/>
      <c r="T8" s="737"/>
      <c r="U8" s="737"/>
      <c r="V8" s="737"/>
      <c r="W8" s="737"/>
      <c r="X8" s="737"/>
      <c r="Y8" s="737"/>
      <c r="Z8" s="738"/>
    </row>
    <row r="9" spans="1:31" s="36" customFormat="1" ht="12.75" customHeight="1" thickBot="1" x14ac:dyDescent="0.25">
      <c r="B9" s="641"/>
      <c r="C9" s="295" t="s">
        <v>678</v>
      </c>
      <c r="D9" s="53" t="str">
        <f>IF(OR(ISBLANK(VES_VID_CALLSIGN),ISERROR(VES_VID_CALLSIGN)),"",VES_VID_CALLSIGN)</f>
        <v/>
      </c>
      <c r="E9" s="312"/>
      <c r="F9" s="762"/>
      <c r="G9" s="763"/>
      <c r="H9" s="355" t="s">
        <v>33820</v>
      </c>
      <c r="I9" s="317" t="s">
        <v>65</v>
      </c>
      <c r="J9" s="754"/>
      <c r="K9" s="754"/>
      <c r="L9" s="755"/>
      <c r="N9" s="732" t="s">
        <v>33062</v>
      </c>
      <c r="O9" s="733"/>
      <c r="P9" s="733"/>
      <c r="Q9" s="733"/>
      <c r="R9" s="739" t="e">
        <f>VLOOKUP(LEFT(WAS_LOCODE_LOOKUP,2),REF_COUNTRIES_CODES[], 2,FALSE)</f>
        <v>#N/A</v>
      </c>
      <c r="S9" s="740"/>
      <c r="T9" s="740"/>
      <c r="U9" s="740"/>
      <c r="V9" s="740"/>
      <c r="W9" s="740"/>
      <c r="X9" s="740"/>
      <c r="Y9" s="740"/>
      <c r="Z9" s="741"/>
    </row>
    <row r="10" spans="1:31" s="36" customFormat="1" ht="12.75" customHeight="1" thickTop="1" thickBot="1" x14ac:dyDescent="0.25">
      <c r="B10" s="642"/>
      <c r="C10" s="314" t="s">
        <v>6</v>
      </c>
      <c r="D10" s="53" t="str">
        <f>IF(OR(ISBLANK(VES_VID_MMSI),ISERROR(VES_VID_MMSI)),"",VES_VID_MMSI)</f>
        <v/>
      </c>
      <c r="E10" s="312"/>
      <c r="F10" s="394"/>
      <c r="G10" s="439"/>
      <c r="H10" s="394"/>
      <c r="I10" s="394"/>
      <c r="J10" s="394"/>
      <c r="K10" s="394"/>
      <c r="L10" s="394"/>
      <c r="N10" s="734" t="s">
        <v>32886</v>
      </c>
      <c r="O10" s="735"/>
      <c r="P10" s="735"/>
      <c r="Q10" s="735"/>
      <c r="R10" s="742" t="e">
        <v>#N/A</v>
      </c>
      <c r="S10" s="743"/>
      <c r="T10" s="743"/>
      <c r="U10" s="743"/>
      <c r="V10" s="743"/>
      <c r="W10" s="743"/>
      <c r="X10" s="743"/>
      <c r="Y10" s="743"/>
      <c r="Z10" s="744"/>
    </row>
    <row r="11" spans="1:31" s="36" customFormat="1" ht="13.5" customHeight="1" thickTop="1" thickBot="1" x14ac:dyDescent="0.25">
      <c r="B11" s="315"/>
      <c r="C11" s="316" t="s">
        <v>45</v>
      </c>
      <c r="D11" s="54"/>
      <c r="E11" s="312"/>
      <c r="F11" s="394"/>
      <c r="G11" s="439"/>
      <c r="I11" s="394"/>
      <c r="J11" s="394"/>
      <c r="K11" s="394"/>
      <c r="L11" s="394"/>
      <c r="N11" s="9" t="s">
        <v>32887</v>
      </c>
      <c r="O11" s="172"/>
      <c r="P11" s="172"/>
      <c r="Q11" s="172"/>
      <c r="R11" s="172"/>
      <c r="S11" s="172"/>
      <c r="T11" s="509"/>
      <c r="U11" s="509"/>
      <c r="V11" s="172"/>
      <c r="W11" s="172"/>
      <c r="Y11" s="270"/>
      <c r="AA11" s="158"/>
    </row>
    <row r="12" spans="1:31" s="35" customFormat="1" ht="6.75" customHeight="1" thickTop="1" thickBot="1" x14ac:dyDescent="0.25">
      <c r="B12" s="180"/>
      <c r="C12" s="103"/>
      <c r="D12" s="139"/>
      <c r="E12" s="97"/>
      <c r="H12" s="181"/>
      <c r="J12" s="181"/>
      <c r="K12" s="181"/>
      <c r="N12" s="8"/>
      <c r="O12" s="8"/>
      <c r="Z12" s="182"/>
      <c r="AA12" s="182"/>
      <c r="AB12" s="182"/>
      <c r="AC12" s="182"/>
    </row>
    <row r="13" spans="1:31" ht="13.5" customHeight="1" thickTop="1" thickBot="1" x14ac:dyDescent="0.25">
      <c r="B13" s="663" t="s">
        <v>33800</v>
      </c>
      <c r="C13" s="663"/>
      <c r="D13" s="663"/>
      <c r="F13" s="635" t="s">
        <v>33770</v>
      </c>
      <c r="G13" s="636"/>
      <c r="H13" s="636"/>
      <c r="I13" s="636"/>
      <c r="J13" s="636"/>
      <c r="K13" s="636"/>
      <c r="L13" s="636"/>
      <c r="M13" s="636"/>
      <c r="N13" s="636"/>
      <c r="O13" s="636"/>
      <c r="P13" s="636"/>
      <c r="Q13" s="636"/>
      <c r="R13" s="636"/>
      <c r="S13" s="636"/>
      <c r="T13" s="636"/>
      <c r="U13" s="636"/>
      <c r="V13" s="637"/>
      <c r="X13" s="643" t="s">
        <v>35104</v>
      </c>
      <c r="Y13" s="644"/>
      <c r="Z13" s="644"/>
      <c r="AA13" s="644"/>
      <c r="AB13" s="645"/>
    </row>
    <row r="14" spans="1:31" ht="13.5" customHeight="1" thickTop="1" x14ac:dyDescent="0.2">
      <c r="B14" s="663"/>
      <c r="C14" s="663"/>
      <c r="D14" s="663"/>
      <c r="F14" s="661"/>
      <c r="G14" s="748"/>
      <c r="H14" s="748"/>
      <c r="I14" s="748"/>
      <c r="J14" s="748"/>
      <c r="K14" s="748"/>
      <c r="L14" s="748"/>
      <c r="M14" s="748"/>
      <c r="N14" s="748"/>
      <c r="O14" s="748"/>
      <c r="P14" s="748"/>
      <c r="Q14" s="748"/>
      <c r="R14" s="748"/>
      <c r="S14" s="748"/>
      <c r="T14" s="748"/>
      <c r="U14" s="748"/>
      <c r="V14" s="662"/>
      <c r="X14" s="749"/>
      <c r="Y14" s="750"/>
      <c r="Z14" s="750"/>
      <c r="AA14" s="750"/>
      <c r="AB14" s="751"/>
    </row>
    <row r="15" spans="1:31" ht="13.5" customHeight="1" x14ac:dyDescent="0.2">
      <c r="B15" s="657" t="s">
        <v>33071</v>
      </c>
      <c r="C15" s="658"/>
      <c r="D15" s="52"/>
      <c r="E15" s="155"/>
      <c r="F15" s="769" t="s">
        <v>32881</v>
      </c>
      <c r="G15" s="770"/>
      <c r="H15" s="771"/>
      <c r="I15" s="804"/>
      <c r="J15" s="805"/>
      <c r="K15" s="805"/>
      <c r="L15" s="777" t="s">
        <v>32882</v>
      </c>
      <c r="M15" s="778"/>
      <c r="N15" s="778"/>
      <c r="O15" s="779"/>
      <c r="P15" s="819"/>
      <c r="Q15" s="820"/>
      <c r="R15" s="820"/>
      <c r="S15" s="820"/>
      <c r="T15" s="820"/>
      <c r="U15" s="820"/>
      <c r="V15" s="821"/>
      <c r="X15" s="646" t="str">
        <f>IF(SUM_SRC_EMAIL&lt;&gt;"",SUM_SRC_EMAIL,"Please set voyage contact email on the summary tab")</f>
        <v>Please set voyage contact email on the summary tab</v>
      </c>
      <c r="Y15" s="647"/>
      <c r="Z15" s="647"/>
      <c r="AA15" s="647"/>
      <c r="AB15" s="648"/>
    </row>
    <row r="16" spans="1:31" ht="13.5" customHeight="1" thickBot="1" x14ac:dyDescent="0.25">
      <c r="B16" s="794" t="s">
        <v>33072</v>
      </c>
      <c r="C16" s="795"/>
      <c r="D16" s="85" t="str">
        <f>IF(ISERROR(VLOOKUP(WAS_OVE_LASTPORT,REF_LOCODE_PORTNAME_COUNTRY, 2,FALSE)),"-",VLOOKUP(WAS_OVE_LASTPORT,REF_LOCODE_PORTNAME_COUNTRY, 2,FALSE))</f>
        <v>-</v>
      </c>
      <c r="E16" s="155"/>
      <c r="F16" s="764" t="s">
        <v>32880</v>
      </c>
      <c r="G16" s="765"/>
      <c r="H16" s="766"/>
      <c r="I16" s="806" t="str">
        <f>IF(ISERROR(VLOOKUP(WAS_VOY_LASTPORT,REF_LOCODE_PORTNAME_COUNTRY, 2,FALSE)),"Select last port from cell above…",VLOOKUP(WAS_VOY_LASTPORT,REF_LOCODE_PORTNAME_COUNTRY, 2,FALSE))</f>
        <v>Select last port from cell above…</v>
      </c>
      <c r="J16" s="807"/>
      <c r="K16" s="807"/>
      <c r="L16" s="780" t="s">
        <v>32883</v>
      </c>
      <c r="M16" s="781"/>
      <c r="N16" s="781"/>
      <c r="O16" s="782"/>
      <c r="P16" s="822" t="str">
        <f>IF(ISERROR(VLOOKUP(WAS_VOY_NEXTPORT,REF_LOCODE_PORTNAME_COUNTRY, 2,FALSE)),"Select next port from cell above…",VLOOKUP(WAS_VOY_NEXTPORT,REF_LOCODE_PORTNAME_COUNTRY, 2,FALSE))</f>
        <v>Select next port from cell above…</v>
      </c>
      <c r="Q16" s="823"/>
      <c r="R16" s="823"/>
      <c r="S16" s="823"/>
      <c r="T16" s="823"/>
      <c r="U16" s="823"/>
      <c r="V16" s="824"/>
      <c r="X16" s="649"/>
      <c r="Y16" s="650"/>
      <c r="Z16" s="650"/>
      <c r="AA16" s="650"/>
      <c r="AB16" s="651"/>
    </row>
    <row r="17" spans="2:31" ht="13.5" customHeight="1" thickTop="1" x14ac:dyDescent="0.2">
      <c r="B17" s="794" t="s">
        <v>58</v>
      </c>
      <c r="C17" s="795"/>
      <c r="D17" s="498"/>
      <c r="E17" s="155"/>
      <c r="F17" s="764" t="s">
        <v>32877</v>
      </c>
      <c r="G17" s="765"/>
      <c r="H17" s="766"/>
      <c r="I17" s="808" t="str">
        <f>IF(ISERROR(TMP_VOY_LASTPORT),"Select last port from cell above…",TMP_VOY_LASTPORT)</f>
        <v>Select last port from cell above…</v>
      </c>
      <c r="J17" s="809"/>
      <c r="K17" s="809"/>
      <c r="L17" s="780" t="s">
        <v>32879</v>
      </c>
      <c r="M17" s="781"/>
      <c r="N17" s="781"/>
      <c r="O17" s="782"/>
      <c r="P17" s="808" t="str">
        <f>IF(ISERROR(TMP_VOY_NEXTPORT),"Select next port from cell above…",TMP_VOY_NEXTPORT)</f>
        <v>Select next port from cell above…</v>
      </c>
      <c r="Q17" s="809"/>
      <c r="R17" s="809"/>
      <c r="S17" s="809"/>
      <c r="T17" s="809"/>
      <c r="U17" s="809"/>
      <c r="V17" s="825"/>
      <c r="W17" s="233"/>
      <c r="X17" s="653" t="s">
        <v>35105</v>
      </c>
      <c r="Y17" s="653"/>
      <c r="Z17" s="653"/>
      <c r="AA17" s="653"/>
      <c r="AB17" s="653"/>
    </row>
    <row r="18" spans="2:31" ht="13.5" customHeight="1" thickBot="1" x14ac:dyDescent="0.25">
      <c r="B18" s="796" t="s">
        <v>57</v>
      </c>
      <c r="C18" s="797"/>
      <c r="D18" s="238"/>
      <c r="E18" s="155"/>
      <c r="F18" s="788" t="s">
        <v>46</v>
      </c>
      <c r="G18" s="789"/>
      <c r="H18" s="790"/>
      <c r="I18" s="816" t="str">
        <f>IF(OR(ISBLANK(VOY_VOY_ETDFROMPOC),ISERROR(VOY_VOY_ETDFROMPOC)),"",VOY_VOY_ETDFROMPOC)</f>
        <v/>
      </c>
      <c r="J18" s="817"/>
      <c r="K18" s="817"/>
      <c r="L18" s="783" t="s">
        <v>33417</v>
      </c>
      <c r="M18" s="784"/>
      <c r="N18" s="784"/>
      <c r="O18" s="785"/>
      <c r="P18" s="774" t="str">
        <f>IF(OR(ISBLANK(VOY_VOY_ETATONEXTP),ISERROR(VOY_VOY_ETATONEXTP)),"",VOY_VOY_ETATONEXTP)</f>
        <v/>
      </c>
      <c r="Q18" s="775"/>
      <c r="R18" s="775"/>
      <c r="S18" s="775"/>
      <c r="T18" s="775"/>
      <c r="U18" s="775"/>
      <c r="V18" s="776"/>
      <c r="W18" s="233"/>
      <c r="X18" s="233"/>
    </row>
    <row r="19" spans="2:31" s="36" customFormat="1" ht="19.5" customHeight="1" thickTop="1" thickBot="1" x14ac:dyDescent="0.25">
      <c r="B19" s="592" t="s">
        <v>37209</v>
      </c>
      <c r="C19" s="165"/>
      <c r="D19" s="165"/>
      <c r="E19" s="155"/>
      <c r="G19" s="439"/>
      <c r="O19" s="172"/>
      <c r="S19" s="172"/>
      <c r="T19" s="509"/>
      <c r="U19" s="509"/>
      <c r="Y19" s="270"/>
    </row>
    <row r="20" spans="2:31" ht="13.5" customHeight="1" thickTop="1" thickBot="1" x14ac:dyDescent="0.25">
      <c r="B20" s="663" t="s">
        <v>33801</v>
      </c>
      <c r="C20" s="663"/>
      <c r="D20" s="663"/>
      <c r="E20" s="663"/>
      <c r="F20" s="663"/>
      <c r="G20" s="663"/>
      <c r="H20" s="663"/>
      <c r="I20" s="663"/>
      <c r="J20" s="663"/>
      <c r="K20" s="663"/>
      <c r="L20" s="663"/>
      <c r="M20" s="663"/>
      <c r="N20" s="663"/>
      <c r="O20" s="663"/>
      <c r="P20" s="663"/>
      <c r="Q20" s="663"/>
      <c r="R20" s="663"/>
      <c r="S20" s="663"/>
      <c r="T20" s="663"/>
      <c r="U20" s="663"/>
      <c r="V20" s="663"/>
      <c r="W20" s="663"/>
      <c r="X20" s="663"/>
      <c r="Y20" s="663"/>
      <c r="Z20" s="663"/>
      <c r="AE20" s="136"/>
    </row>
    <row r="21" spans="2:31" ht="12.75" customHeight="1" thickTop="1" x14ac:dyDescent="0.2">
      <c r="B21" s="663"/>
      <c r="C21" s="663"/>
      <c r="D21" s="663"/>
      <c r="E21" s="663"/>
      <c r="F21" s="663"/>
      <c r="G21" s="663"/>
      <c r="H21" s="663"/>
      <c r="I21" s="663"/>
      <c r="J21" s="663"/>
      <c r="K21" s="663"/>
      <c r="L21" s="663"/>
      <c r="M21" s="663"/>
      <c r="N21" s="663"/>
      <c r="O21" s="663"/>
      <c r="P21" s="663"/>
      <c r="Q21" s="663"/>
      <c r="R21" s="663"/>
      <c r="S21" s="663"/>
      <c r="T21" s="663"/>
      <c r="U21" s="663"/>
      <c r="V21" s="663"/>
      <c r="W21" s="663"/>
      <c r="X21" s="663"/>
      <c r="Y21" s="663"/>
      <c r="Z21" s="663"/>
      <c r="AE21" s="136"/>
    </row>
    <row r="22" spans="2:31" s="3" customFormat="1" ht="51" customHeight="1" thickBot="1" x14ac:dyDescent="0.25">
      <c r="B22" s="478" t="s">
        <v>33366</v>
      </c>
      <c r="C22" s="685" t="s">
        <v>626</v>
      </c>
      <c r="D22" s="685"/>
      <c r="E22" s="685"/>
      <c r="F22" s="810"/>
      <c r="G22" s="684" t="s">
        <v>34920</v>
      </c>
      <c r="H22" s="685"/>
      <c r="I22" s="818"/>
      <c r="J22" s="813" t="s">
        <v>35155</v>
      </c>
      <c r="K22" s="768"/>
      <c r="L22" s="813" t="s">
        <v>35178</v>
      </c>
      <c r="M22" s="768"/>
      <c r="N22" s="813" t="s">
        <v>33782</v>
      </c>
      <c r="O22" s="814"/>
      <c r="P22" s="768"/>
      <c r="Q22" s="813" t="s">
        <v>33783</v>
      </c>
      <c r="R22" s="814"/>
      <c r="S22" s="815"/>
      <c r="T22" s="767" t="s">
        <v>33784</v>
      </c>
      <c r="U22" s="768"/>
      <c r="V22" s="477" t="s">
        <v>34844</v>
      </c>
      <c r="W22" s="684" t="s">
        <v>33065</v>
      </c>
      <c r="X22" s="685"/>
      <c r="Y22" s="684" t="s">
        <v>34921</v>
      </c>
      <c r="Z22" s="793"/>
      <c r="AA22" s="670" t="s">
        <v>35090</v>
      </c>
      <c r="AB22" s="671"/>
      <c r="AC22" s="671"/>
      <c r="AD22" s="671"/>
      <c r="AE22" s="136"/>
    </row>
    <row r="23" spans="2:31" s="441" customFormat="1" ht="13.5" thickTop="1" x14ac:dyDescent="0.2">
      <c r="B23" s="486" t="s">
        <v>589</v>
      </c>
      <c r="C23" s="468"/>
      <c r="D23" s="468"/>
      <c r="E23" s="468"/>
      <c r="F23" s="468"/>
      <c r="G23" s="468"/>
      <c r="H23" s="468"/>
      <c r="I23" s="468"/>
      <c r="J23" s="468"/>
      <c r="K23" s="468"/>
      <c r="L23" s="468"/>
      <c r="M23" s="468"/>
      <c r="N23" s="468"/>
      <c r="O23" s="468"/>
      <c r="P23" s="468"/>
      <c r="Q23" s="468"/>
      <c r="R23" s="468"/>
      <c r="S23" s="468"/>
      <c r="T23" s="468"/>
      <c r="U23" s="468"/>
      <c r="V23" s="468"/>
      <c r="W23" s="468"/>
      <c r="X23" s="468"/>
      <c r="Y23" s="798"/>
      <c r="Z23" s="799"/>
      <c r="AA23" s="670"/>
      <c r="AB23" s="671"/>
      <c r="AC23" s="671"/>
      <c r="AD23" s="671"/>
      <c r="AE23" s="136"/>
    </row>
    <row r="24" spans="2:31" s="30" customFormat="1" ht="12.75" customHeight="1" x14ac:dyDescent="0.2">
      <c r="B24" s="450">
        <v>1200</v>
      </c>
      <c r="C24" s="786" t="s">
        <v>33344</v>
      </c>
      <c r="D24" s="786"/>
      <c r="E24" s="786"/>
      <c r="F24" s="787"/>
      <c r="G24" s="723" t="s">
        <v>34899</v>
      </c>
      <c r="H24" s="724"/>
      <c r="I24" s="811"/>
      <c r="J24" s="555">
        <v>0</v>
      </c>
      <c r="K24" s="526" t="s">
        <v>77</v>
      </c>
      <c r="L24" s="555">
        <v>0</v>
      </c>
      <c r="M24" s="526" t="s">
        <v>77</v>
      </c>
      <c r="N24" s="800">
        <v>0</v>
      </c>
      <c r="O24" s="707"/>
      <c r="P24" s="536" t="s">
        <v>77</v>
      </c>
      <c r="Q24" s="801">
        <v>0</v>
      </c>
      <c r="R24" s="802"/>
      <c r="S24" s="544" t="s">
        <v>77</v>
      </c>
      <c r="T24" s="453">
        <v>0</v>
      </c>
      <c r="U24" s="544" t="s">
        <v>77</v>
      </c>
      <c r="V24" s="252"/>
      <c r="W24" s="676" t="str">
        <f>IF(ISERROR(VLOOKUP(Waste!$V24,REF_LOCODE_PORTNAME_COUNTRY,2,FALSE)),"-",VLOOKUP(Waste!$V24,REF_LOCODE_PORTNAME_COUNTRY,2,FALSE))</f>
        <v>-</v>
      </c>
      <c r="X24" s="677"/>
      <c r="Y24" s="672" t="str">
        <f>IF(Validator!D7&lt;&gt;TRUE,"Amount or Unit missing",IF(Validator!D57&lt;&gt;TRUE,"LOCODE not valid",IF(AND(J24=0,L24=0,N24=0,Q24=0,T24=0),"Nothing reported","Waste type reported")))</f>
        <v>Nothing reported</v>
      </c>
      <c r="Z24" s="673"/>
      <c r="AA24" s="670"/>
      <c r="AB24" s="671"/>
      <c r="AC24" s="671"/>
      <c r="AD24" s="671"/>
      <c r="AE24" s="136"/>
    </row>
    <row r="25" spans="2:31" s="30" customFormat="1" ht="13.5" customHeight="1" x14ac:dyDescent="0.2">
      <c r="B25" s="450">
        <v>1100</v>
      </c>
      <c r="C25" s="791" t="s">
        <v>33343</v>
      </c>
      <c r="D25" s="791"/>
      <c r="E25" s="791"/>
      <c r="F25" s="792"/>
      <c r="G25" s="717" t="s">
        <v>34899</v>
      </c>
      <c r="H25" s="718"/>
      <c r="I25" s="812"/>
      <c r="J25" s="556">
        <v>0</v>
      </c>
      <c r="K25" s="527" t="s">
        <v>77</v>
      </c>
      <c r="L25" s="556">
        <v>0</v>
      </c>
      <c r="M25" s="527" t="s">
        <v>77</v>
      </c>
      <c r="N25" s="803">
        <v>0</v>
      </c>
      <c r="O25" s="714"/>
      <c r="P25" s="537" t="s">
        <v>77</v>
      </c>
      <c r="Q25" s="803">
        <v>0</v>
      </c>
      <c r="R25" s="714"/>
      <c r="S25" s="545" t="s">
        <v>77</v>
      </c>
      <c r="T25" s="454">
        <v>0</v>
      </c>
      <c r="U25" s="545" t="s">
        <v>77</v>
      </c>
      <c r="V25" s="445"/>
      <c r="W25" s="676" t="str">
        <f>IF(ISERROR(VLOOKUP(Waste!$V25,REF_LOCODE_PORTNAME_COUNTRY,2,FALSE)),"-",VLOOKUP(Waste!$V25,REF_LOCODE_PORTNAME_COUNTRY,2,FALSE))</f>
        <v>-</v>
      </c>
      <c r="X25" s="677"/>
      <c r="Y25" s="672" t="str">
        <f>IF(Validator!D8&lt;&gt;TRUE,"Amount or Unit missing",IF(Validator!D58&lt;&gt;TRUE,"LOCODE not valid",IF(AND(J25=0,L25=0,N25=0,Q25=0,T25=0),"Nothing reported","Waste type reported")))</f>
        <v>Nothing reported</v>
      </c>
      <c r="Z25" s="673"/>
      <c r="AA25" s="670"/>
      <c r="AB25" s="671"/>
      <c r="AC25" s="671"/>
      <c r="AD25" s="671"/>
      <c r="AE25" s="136"/>
    </row>
    <row r="26" spans="2:31" s="30" customFormat="1" ht="12.75" customHeight="1" x14ac:dyDescent="0.2">
      <c r="B26" s="450">
        <v>1301</v>
      </c>
      <c r="C26" s="786" t="s">
        <v>597</v>
      </c>
      <c r="D26" s="786"/>
      <c r="E26" s="786"/>
      <c r="F26" s="787"/>
      <c r="G26" s="723" t="s">
        <v>34899</v>
      </c>
      <c r="H26" s="724"/>
      <c r="I26" s="811"/>
      <c r="J26" s="555">
        <v>0</v>
      </c>
      <c r="K26" s="526" t="s">
        <v>77</v>
      </c>
      <c r="L26" s="555">
        <v>0</v>
      </c>
      <c r="M26" s="526" t="s">
        <v>77</v>
      </c>
      <c r="N26" s="800">
        <v>0</v>
      </c>
      <c r="O26" s="707"/>
      <c r="P26" s="536" t="s">
        <v>77</v>
      </c>
      <c r="Q26" s="800">
        <v>0</v>
      </c>
      <c r="R26" s="707"/>
      <c r="S26" s="546" t="s">
        <v>77</v>
      </c>
      <c r="T26" s="453">
        <v>0</v>
      </c>
      <c r="U26" s="546" t="s">
        <v>77</v>
      </c>
      <c r="V26" s="253"/>
      <c r="W26" s="676" t="str">
        <f>IF(ISERROR(VLOOKUP(Waste!$V26,REF_LOCODE_PORTNAME_COUNTRY,2,FALSE)),"-",VLOOKUP(Waste!$V26,REF_LOCODE_PORTNAME_COUNTRY,2,FALSE))</f>
        <v>-</v>
      </c>
      <c r="X26" s="677"/>
      <c r="Y26" s="672" t="str">
        <f>IF(Validator!D9&lt;&gt;TRUE,"Amount or Unit missing",IF(Validator!D59&lt;&gt;TRUE,"LOCODE not valid",IF(AND(J26=0,L26=0,N26=0,Q26=0,T26=0),"Nothing reported","Waste type reported")))</f>
        <v>Nothing reported</v>
      </c>
      <c r="Z26" s="673"/>
      <c r="AA26" s="670"/>
      <c r="AB26" s="671"/>
      <c r="AC26" s="671"/>
      <c r="AD26" s="671"/>
      <c r="AE26" s="483"/>
    </row>
    <row r="27" spans="2:31" s="30" customFormat="1" ht="12.75" customHeight="1" thickBot="1" x14ac:dyDescent="0.25">
      <c r="B27" s="450">
        <v>1300</v>
      </c>
      <c r="C27" s="830" t="s">
        <v>33316</v>
      </c>
      <c r="D27" s="830"/>
      <c r="E27" s="830"/>
      <c r="F27" s="831"/>
      <c r="G27" s="710"/>
      <c r="H27" s="711"/>
      <c r="I27" s="712"/>
      <c r="J27" s="556">
        <v>0</v>
      </c>
      <c r="K27" s="527" t="s">
        <v>77</v>
      </c>
      <c r="L27" s="556">
        <v>0</v>
      </c>
      <c r="M27" s="527" t="s">
        <v>77</v>
      </c>
      <c r="N27" s="772">
        <v>0</v>
      </c>
      <c r="O27" s="773"/>
      <c r="P27" s="537" t="s">
        <v>77</v>
      </c>
      <c r="Q27" s="772">
        <v>0</v>
      </c>
      <c r="R27" s="773"/>
      <c r="S27" s="527" t="s">
        <v>77</v>
      </c>
      <c r="T27" s="455">
        <v>0</v>
      </c>
      <c r="U27" s="527" t="s">
        <v>77</v>
      </c>
      <c r="V27" s="445"/>
      <c r="W27" s="678" t="str">
        <f>IF(ISERROR(VLOOKUP(Waste!$V27,REF_LOCODE_PORTNAME_COUNTRY,2,FALSE)),"-",VLOOKUP(Waste!$V27,REF_LOCODE_PORTNAME_COUNTRY,2,FALSE))</f>
        <v>-</v>
      </c>
      <c r="X27" s="679"/>
      <c r="Y27" s="672" t="str">
        <f>IF(Validator!D10&lt;&gt;TRUE,"Amount or Unit missing",IF(Validator!D60&lt;&gt;TRUE,"LOCODE not valid",IF(AND(J27=0,L27=0,N27=0,Q27=0,T27=0),"Nothing reported","Waste type reported")))</f>
        <v>Nothing reported</v>
      </c>
      <c r="Z27" s="673"/>
      <c r="AA27" s="686" t="s">
        <v>33811</v>
      </c>
      <c r="AB27" s="687"/>
      <c r="AC27" s="687"/>
      <c r="AD27" s="687"/>
      <c r="AE27" s="483"/>
    </row>
    <row r="28" spans="2:31" s="30" customFormat="1" ht="13.5" thickTop="1" x14ac:dyDescent="0.2">
      <c r="B28" s="486" t="s">
        <v>591</v>
      </c>
      <c r="C28" s="468"/>
      <c r="D28" s="468"/>
      <c r="E28" s="468"/>
      <c r="F28" s="468"/>
      <c r="G28" s="469"/>
      <c r="H28" s="468"/>
      <c r="I28" s="468"/>
      <c r="J28" s="557"/>
      <c r="K28" s="468"/>
      <c r="L28" s="557"/>
      <c r="M28" s="468"/>
      <c r="N28" s="557"/>
      <c r="O28" s="557"/>
      <c r="P28" s="468"/>
      <c r="Q28" s="557"/>
      <c r="R28" s="557"/>
      <c r="S28" s="468"/>
      <c r="T28" s="468"/>
      <c r="U28" s="468"/>
      <c r="V28" s="468"/>
      <c r="W28" s="468"/>
      <c r="X28" s="468"/>
      <c r="Y28" s="672"/>
      <c r="Z28" s="673"/>
      <c r="AA28" s="686"/>
      <c r="AB28" s="687"/>
      <c r="AC28" s="687"/>
      <c r="AD28" s="687"/>
      <c r="AE28" s="483"/>
    </row>
    <row r="29" spans="2:31" s="30" customFormat="1" ht="13.5" thickBot="1" x14ac:dyDescent="0.25">
      <c r="B29" s="451">
        <v>3000</v>
      </c>
      <c r="C29" s="826" t="s">
        <v>591</v>
      </c>
      <c r="D29" s="826"/>
      <c r="E29" s="826"/>
      <c r="F29" s="827"/>
      <c r="G29" s="690"/>
      <c r="H29" s="691"/>
      <c r="I29" s="692"/>
      <c r="J29" s="558">
        <v>0</v>
      </c>
      <c r="K29" s="528" t="s">
        <v>77</v>
      </c>
      <c r="L29" s="558">
        <v>0</v>
      </c>
      <c r="M29" s="528" t="s">
        <v>77</v>
      </c>
      <c r="N29" s="836">
        <v>0</v>
      </c>
      <c r="O29" s="837"/>
      <c r="P29" s="538" t="s">
        <v>77</v>
      </c>
      <c r="Q29" s="836">
        <v>0</v>
      </c>
      <c r="R29" s="837"/>
      <c r="S29" s="528" t="s">
        <v>77</v>
      </c>
      <c r="T29" s="474">
        <v>0</v>
      </c>
      <c r="U29" s="551" t="s">
        <v>77</v>
      </c>
      <c r="V29" s="444"/>
      <c r="W29" s="680" t="str">
        <f>IF(ISERROR(VLOOKUP(Waste!$V29,REF_LOCODE_PORTNAME_COUNTRY,2,FALSE)),"-",VLOOKUP(Waste!$V29,REF_LOCODE_PORTNAME_COUNTRY,2,FALSE))</f>
        <v>-</v>
      </c>
      <c r="X29" s="681"/>
      <c r="Y29" s="672" t="str">
        <f>IF(Validator!D12&lt;&gt;TRUE,"Amount or Unit missing",IF(Validator!D62&lt;&gt;TRUE,"LOCODE not valid",IF(AND(J29=0,L29=0,N29=0,Q29=0,T29=0),"Nothing reported","Waste type reported")))</f>
        <v>Nothing reported</v>
      </c>
      <c r="Z29" s="673"/>
      <c r="AA29" s="686"/>
      <c r="AB29" s="687"/>
      <c r="AC29" s="687"/>
      <c r="AD29" s="687"/>
      <c r="AE29" s="483"/>
    </row>
    <row r="30" spans="2:31" s="30" customFormat="1" ht="13.5" thickTop="1" x14ac:dyDescent="0.2">
      <c r="B30" s="486" t="s">
        <v>590</v>
      </c>
      <c r="C30" s="468"/>
      <c r="D30" s="468"/>
      <c r="E30" s="468"/>
      <c r="F30" s="468"/>
      <c r="G30" s="469"/>
      <c r="H30" s="468"/>
      <c r="I30" s="468"/>
      <c r="J30" s="557"/>
      <c r="K30" s="468"/>
      <c r="L30" s="557"/>
      <c r="M30" s="468"/>
      <c r="N30" s="557"/>
      <c r="O30" s="557"/>
      <c r="P30" s="468"/>
      <c r="Q30" s="557"/>
      <c r="R30" s="557"/>
      <c r="S30" s="468"/>
      <c r="T30" s="468"/>
      <c r="U30" s="468"/>
      <c r="V30" s="468"/>
      <c r="W30" s="468"/>
      <c r="X30" s="468"/>
      <c r="Y30" s="672"/>
      <c r="Z30" s="673"/>
      <c r="AA30" s="686"/>
      <c r="AB30" s="687"/>
      <c r="AC30" s="687"/>
      <c r="AD30" s="687"/>
      <c r="AE30" s="483"/>
    </row>
    <row r="31" spans="2:31" s="30" customFormat="1" ht="12.75" customHeight="1" x14ac:dyDescent="0.2">
      <c r="B31" s="449">
        <v>2100</v>
      </c>
      <c r="C31" s="791" t="s">
        <v>593</v>
      </c>
      <c r="D31" s="791"/>
      <c r="E31" s="791"/>
      <c r="F31" s="791"/>
      <c r="G31" s="717" t="s">
        <v>34899</v>
      </c>
      <c r="H31" s="718"/>
      <c r="I31" s="719"/>
      <c r="J31" s="559">
        <v>0</v>
      </c>
      <c r="K31" s="529" t="s">
        <v>77</v>
      </c>
      <c r="L31" s="559">
        <v>0</v>
      </c>
      <c r="M31" s="529" t="s">
        <v>77</v>
      </c>
      <c r="N31" s="838">
        <v>0</v>
      </c>
      <c r="O31" s="839"/>
      <c r="P31" s="539" t="s">
        <v>77</v>
      </c>
      <c r="Q31" s="838">
        <v>0</v>
      </c>
      <c r="R31" s="839"/>
      <c r="S31" s="529" t="s">
        <v>77</v>
      </c>
      <c r="T31" s="471">
        <v>0</v>
      </c>
      <c r="U31" s="552" t="s">
        <v>77</v>
      </c>
      <c r="V31" s="446"/>
      <c r="W31" s="682" t="str">
        <f>IF(ISERROR(VLOOKUP(Waste!$V31,REF_LOCODE_PORTNAME_COUNTRY,2,FALSE)),"-",VLOOKUP(Waste!$V31,REF_LOCODE_PORTNAME_COUNTRY,2,FALSE))</f>
        <v>-</v>
      </c>
      <c r="X31" s="683"/>
      <c r="Y31" s="672" t="str">
        <f>IF(Validator!D14&lt;&gt;TRUE,"Amount or Unit missing",IF(Validator!D64&lt;&gt;TRUE,"LOCODE not valid",IF(AND(J31=0,L31=0,N31=0,Q31=0,T31=0),"Nothing reported","Waste type reported")))</f>
        <v>Nothing reported</v>
      </c>
      <c r="Z31" s="673"/>
      <c r="AA31" s="686"/>
      <c r="AB31" s="687"/>
      <c r="AC31" s="687"/>
      <c r="AD31" s="687"/>
      <c r="AE31" s="483"/>
    </row>
    <row r="32" spans="2:31" s="30" customFormat="1" ht="12.75" customHeight="1" x14ac:dyDescent="0.2">
      <c r="B32" s="449">
        <v>2102</v>
      </c>
      <c r="C32" s="566" t="s">
        <v>35157</v>
      </c>
      <c r="D32" s="566"/>
      <c r="E32" s="566"/>
      <c r="F32" s="566"/>
      <c r="G32" s="717" t="s">
        <v>34899</v>
      </c>
      <c r="H32" s="718"/>
      <c r="I32" s="719"/>
      <c r="J32" s="559">
        <v>0</v>
      </c>
      <c r="K32" s="529" t="s">
        <v>77</v>
      </c>
      <c r="L32" s="559">
        <v>0</v>
      </c>
      <c r="M32" s="529" t="s">
        <v>77</v>
      </c>
      <c r="N32" s="838">
        <v>0</v>
      </c>
      <c r="O32" s="839"/>
      <c r="P32" s="539" t="s">
        <v>77</v>
      </c>
      <c r="Q32" s="838">
        <v>0</v>
      </c>
      <c r="R32" s="839"/>
      <c r="S32" s="529" t="s">
        <v>77</v>
      </c>
      <c r="T32" s="510">
        <v>0</v>
      </c>
      <c r="U32" s="552" t="s">
        <v>77</v>
      </c>
      <c r="V32" s="446"/>
      <c r="W32" s="682" t="str">
        <f>IF(ISERROR(VLOOKUP(Waste!$V32,REF_LOCODE_PORTNAME_COUNTRY,2,FALSE)),"-",VLOOKUP(Waste!$V32,REF_LOCODE_PORTNAME_COUNTRY,2,FALSE))</f>
        <v>-</v>
      </c>
      <c r="X32" s="683"/>
      <c r="Y32" s="672" t="str">
        <f>IF(Validator!D15&lt;&gt;TRUE,"Amount or Unit missing",IF(Validator!D65&lt;&gt;TRUE,"LOCODE not valid",IF(AND(J32=0,L32=0,N32=0,Q32=0,T32=0),"Nothing reported","Waste type reported")))</f>
        <v>Nothing reported</v>
      </c>
      <c r="Z32" s="673"/>
      <c r="AA32" s="686"/>
      <c r="AB32" s="687"/>
      <c r="AC32" s="687"/>
      <c r="AD32" s="687"/>
      <c r="AE32" s="483"/>
    </row>
    <row r="33" spans="2:31" s="30" customFormat="1" ht="12.75" customHeight="1" x14ac:dyDescent="0.2">
      <c r="B33" s="449">
        <v>2301</v>
      </c>
      <c r="C33" s="828" t="s">
        <v>598</v>
      </c>
      <c r="D33" s="828"/>
      <c r="E33" s="828"/>
      <c r="F33" s="828"/>
      <c r="G33" s="723" t="s">
        <v>34899</v>
      </c>
      <c r="H33" s="724"/>
      <c r="I33" s="725"/>
      <c r="J33" s="560">
        <v>0</v>
      </c>
      <c r="K33" s="530" t="s">
        <v>77</v>
      </c>
      <c r="L33" s="560">
        <v>0</v>
      </c>
      <c r="M33" s="530" t="s">
        <v>77</v>
      </c>
      <c r="N33" s="708">
        <v>0</v>
      </c>
      <c r="O33" s="709"/>
      <c r="P33" s="540" t="s">
        <v>77</v>
      </c>
      <c r="Q33" s="708">
        <v>0</v>
      </c>
      <c r="R33" s="709"/>
      <c r="S33" s="530" t="s">
        <v>77</v>
      </c>
      <c r="T33" s="470">
        <v>0</v>
      </c>
      <c r="U33" s="553" t="s">
        <v>77</v>
      </c>
      <c r="V33" s="443"/>
      <c r="W33" s="674" t="str">
        <f>IF(ISERROR(VLOOKUP(Waste!$V33,REF_LOCODE_PORTNAME_COUNTRY,2,FALSE)),"-",VLOOKUP(Waste!$V33,REF_LOCODE_PORTNAME_COUNTRY,2,FALSE))</f>
        <v>-</v>
      </c>
      <c r="X33" s="675"/>
      <c r="Y33" s="672" t="str">
        <f>IF(Validator!D16&lt;&gt;TRUE,"Amount or Unit missing",IF(Validator!D66&lt;&gt;TRUE,"LOCODE not valid",IF(AND(J33=0,L33=0,N33=0,Q33=0,T33=0),"Nothing reported","Waste type reported")))</f>
        <v>Nothing reported</v>
      </c>
      <c r="Z33" s="673"/>
      <c r="AA33" s="686"/>
      <c r="AB33" s="687"/>
      <c r="AC33" s="687"/>
      <c r="AD33" s="687"/>
      <c r="AE33" s="483"/>
    </row>
    <row r="34" spans="2:31" s="30" customFormat="1" ht="12.75" customHeight="1" x14ac:dyDescent="0.2">
      <c r="B34" s="449">
        <v>2200</v>
      </c>
      <c r="C34" s="791" t="s">
        <v>35156</v>
      </c>
      <c r="D34" s="791"/>
      <c r="E34" s="791"/>
      <c r="F34" s="791"/>
      <c r="G34" s="717" t="s">
        <v>34899</v>
      </c>
      <c r="H34" s="718"/>
      <c r="I34" s="719"/>
      <c r="J34" s="561">
        <v>0</v>
      </c>
      <c r="K34" s="531" t="s">
        <v>77</v>
      </c>
      <c r="L34" s="561">
        <v>0</v>
      </c>
      <c r="M34" s="531" t="s">
        <v>77</v>
      </c>
      <c r="N34" s="715">
        <v>0</v>
      </c>
      <c r="O34" s="716"/>
      <c r="P34" s="541" t="s">
        <v>77</v>
      </c>
      <c r="Q34" s="715">
        <v>0</v>
      </c>
      <c r="R34" s="716"/>
      <c r="S34" s="531" t="s">
        <v>77</v>
      </c>
      <c r="T34" s="472">
        <v>0</v>
      </c>
      <c r="U34" s="552" t="s">
        <v>77</v>
      </c>
      <c r="V34" s="447"/>
      <c r="W34" s="674" t="str">
        <f>IF(ISERROR(VLOOKUP(Waste!$V34,REF_LOCODE_PORTNAME_COUNTRY,2,FALSE)),"-",VLOOKUP(Waste!$V34,REF_LOCODE_PORTNAME_COUNTRY,2,FALSE))</f>
        <v>-</v>
      </c>
      <c r="X34" s="675"/>
      <c r="Y34" s="672" t="str">
        <f>IF(Validator!D17&lt;&gt;TRUE,"Amount or Unit missing",IF(Validator!D67&lt;&gt;TRUE,"LOCODE not valid",IF(AND(J34=0,L34=0,N34=0,Q34=0,T34=0),"Nothing reported","Waste type reported")))</f>
        <v>Nothing reported</v>
      </c>
      <c r="Z34" s="673"/>
      <c r="AA34" s="686"/>
      <c r="AB34" s="687"/>
      <c r="AC34" s="687"/>
      <c r="AD34" s="687"/>
      <c r="AE34" s="483"/>
    </row>
    <row r="35" spans="2:31" s="30" customFormat="1" ht="12.75" customHeight="1" x14ac:dyDescent="0.2">
      <c r="B35" s="449">
        <v>2302</v>
      </c>
      <c r="C35" s="828" t="s">
        <v>600</v>
      </c>
      <c r="D35" s="828"/>
      <c r="E35" s="828"/>
      <c r="F35" s="828"/>
      <c r="G35" s="723" t="s">
        <v>34899</v>
      </c>
      <c r="H35" s="724"/>
      <c r="I35" s="725"/>
      <c r="J35" s="560">
        <v>0</v>
      </c>
      <c r="K35" s="530" t="s">
        <v>77</v>
      </c>
      <c r="L35" s="560">
        <v>0</v>
      </c>
      <c r="M35" s="530" t="s">
        <v>77</v>
      </c>
      <c r="N35" s="708">
        <v>0</v>
      </c>
      <c r="O35" s="709"/>
      <c r="P35" s="540" t="s">
        <v>77</v>
      </c>
      <c r="Q35" s="708">
        <v>0</v>
      </c>
      <c r="R35" s="709"/>
      <c r="S35" s="530" t="s">
        <v>77</v>
      </c>
      <c r="T35" s="470">
        <v>0</v>
      </c>
      <c r="U35" s="553" t="s">
        <v>77</v>
      </c>
      <c r="V35" s="443"/>
      <c r="W35" s="674" t="str">
        <f>IF(ISERROR(VLOOKUP(Waste!$V35,REF_LOCODE_PORTNAME_COUNTRY,2,FALSE)),"-",VLOOKUP(Waste!$V35,REF_LOCODE_PORTNAME_COUNTRY,2,FALSE))</f>
        <v>-</v>
      </c>
      <c r="X35" s="675"/>
      <c r="Y35" s="672" t="str">
        <f>IF(Validator!D18&lt;&gt;TRUE,"Amount or Unit missing",IF(Validator!D68&lt;&gt;TRUE,"LOCODE not valid",IF(AND(J35=0,L35=0,N35=0,Q35=0,T35=0),"Nothing reported","Waste type reported")))</f>
        <v>Nothing reported</v>
      </c>
      <c r="Z35" s="673"/>
      <c r="AA35" s="686"/>
      <c r="AB35" s="687"/>
      <c r="AC35" s="687"/>
      <c r="AD35" s="687"/>
      <c r="AE35" s="483"/>
    </row>
    <row r="36" spans="2:31" s="30" customFormat="1" ht="12.75" customHeight="1" x14ac:dyDescent="0.2">
      <c r="B36" s="449">
        <v>2303</v>
      </c>
      <c r="C36" s="791" t="s">
        <v>602</v>
      </c>
      <c r="D36" s="791"/>
      <c r="E36" s="791"/>
      <c r="F36" s="791"/>
      <c r="G36" s="717" t="s">
        <v>34899</v>
      </c>
      <c r="H36" s="718"/>
      <c r="I36" s="719"/>
      <c r="J36" s="561">
        <v>0</v>
      </c>
      <c r="K36" s="531" t="s">
        <v>77</v>
      </c>
      <c r="L36" s="561">
        <v>0</v>
      </c>
      <c r="M36" s="531" t="s">
        <v>77</v>
      </c>
      <c r="N36" s="715">
        <v>0</v>
      </c>
      <c r="O36" s="716"/>
      <c r="P36" s="541" t="s">
        <v>77</v>
      </c>
      <c r="Q36" s="715">
        <v>0</v>
      </c>
      <c r="R36" s="716"/>
      <c r="S36" s="531" t="s">
        <v>77</v>
      </c>
      <c r="T36" s="472">
        <v>0</v>
      </c>
      <c r="U36" s="552" t="s">
        <v>77</v>
      </c>
      <c r="V36" s="447"/>
      <c r="W36" s="674" t="str">
        <f>IF(ISERROR(VLOOKUP(Waste!$V36,REF_LOCODE_PORTNAME_COUNTRY,2,FALSE)),"-",VLOOKUP(Waste!$V36,REF_LOCODE_PORTNAME_COUNTRY,2,FALSE))</f>
        <v>-</v>
      </c>
      <c r="X36" s="675"/>
      <c r="Y36" s="672" t="str">
        <f>IF(Validator!D19&lt;&gt;TRUE,"Amount or Unit missing",IF(Validator!D69&lt;&gt;TRUE,"LOCODE not valid",IF(AND(J36=0,L36=0,N36=0,Q36=0,T36=0),"Nothing reported","Waste type reported")))</f>
        <v>Nothing reported</v>
      </c>
      <c r="Z36" s="673"/>
      <c r="AA36" s="686"/>
      <c r="AB36" s="687"/>
      <c r="AC36" s="687"/>
      <c r="AD36" s="687"/>
      <c r="AE36" s="483"/>
    </row>
    <row r="37" spans="2:31" s="30" customFormat="1" x14ac:dyDescent="0.2">
      <c r="B37" s="449">
        <v>2304</v>
      </c>
      <c r="C37" s="828" t="s">
        <v>603</v>
      </c>
      <c r="D37" s="828"/>
      <c r="E37" s="828"/>
      <c r="F37" s="828"/>
      <c r="G37" s="723" t="s">
        <v>34899</v>
      </c>
      <c r="H37" s="724"/>
      <c r="I37" s="725"/>
      <c r="J37" s="560">
        <v>0</v>
      </c>
      <c r="K37" s="530" t="s">
        <v>77</v>
      </c>
      <c r="L37" s="560">
        <v>0</v>
      </c>
      <c r="M37" s="530" t="s">
        <v>77</v>
      </c>
      <c r="N37" s="708">
        <v>0</v>
      </c>
      <c r="O37" s="709"/>
      <c r="P37" s="540" t="s">
        <v>77</v>
      </c>
      <c r="Q37" s="708">
        <v>0</v>
      </c>
      <c r="R37" s="709"/>
      <c r="S37" s="530" t="s">
        <v>77</v>
      </c>
      <c r="T37" s="470">
        <v>0</v>
      </c>
      <c r="U37" s="553" t="s">
        <v>77</v>
      </c>
      <c r="V37" s="443"/>
      <c r="W37" s="674" t="str">
        <f>IF(ISERROR(VLOOKUP(Waste!$V37,REF_LOCODE_PORTNAME_COUNTRY,2,FALSE)),"-",VLOOKUP(Waste!$V37,REF_LOCODE_PORTNAME_COUNTRY,2,FALSE))</f>
        <v>-</v>
      </c>
      <c r="X37" s="675"/>
      <c r="Y37" s="672" t="str">
        <f>IF(Validator!D20&lt;&gt;TRUE,"Amount or Unit missing",IF(Validator!D70&lt;&gt;TRUE,"LOCODE not valid",IF(AND(J37=0,L37=0,N37=0,Q37=0,T37=0),"Nothing reported","Waste type reported")))</f>
        <v>Nothing reported</v>
      </c>
      <c r="Z37" s="673"/>
      <c r="AA37" s="686"/>
      <c r="AB37" s="687"/>
      <c r="AC37" s="687"/>
      <c r="AD37" s="687"/>
      <c r="AE37" s="483"/>
    </row>
    <row r="38" spans="2:31" s="30" customFormat="1" x14ac:dyDescent="0.2">
      <c r="B38" s="449">
        <v>2305</v>
      </c>
      <c r="C38" s="791" t="s">
        <v>605</v>
      </c>
      <c r="D38" s="791"/>
      <c r="E38" s="791"/>
      <c r="F38" s="791"/>
      <c r="G38" s="717" t="s">
        <v>34899</v>
      </c>
      <c r="H38" s="718"/>
      <c r="I38" s="719"/>
      <c r="J38" s="561">
        <v>0</v>
      </c>
      <c r="K38" s="531" t="s">
        <v>77</v>
      </c>
      <c r="L38" s="561">
        <v>0</v>
      </c>
      <c r="M38" s="531" t="s">
        <v>77</v>
      </c>
      <c r="N38" s="715">
        <v>0</v>
      </c>
      <c r="O38" s="716"/>
      <c r="P38" s="541" t="s">
        <v>77</v>
      </c>
      <c r="Q38" s="715">
        <v>0</v>
      </c>
      <c r="R38" s="716"/>
      <c r="S38" s="531" t="s">
        <v>77</v>
      </c>
      <c r="T38" s="472">
        <v>0</v>
      </c>
      <c r="U38" s="552" t="s">
        <v>77</v>
      </c>
      <c r="V38" s="447"/>
      <c r="W38" s="674" t="str">
        <f>IF(ISERROR(VLOOKUP(Waste!$V38,REF_LOCODE_PORTNAME_COUNTRY,2,FALSE)),"-",VLOOKUP(Waste!$V38,REF_LOCODE_PORTNAME_COUNTRY,2,FALSE))</f>
        <v>-</v>
      </c>
      <c r="X38" s="675"/>
      <c r="Y38" s="672" t="str">
        <f>IF(Validator!D21&lt;&gt;TRUE,"Amount or Unit missing",IF(Validator!D71&lt;&gt;TRUE,"LOCODE not valid",IF(AND(J38=0,L38=0,N38=0,Q38=0,T38=0),"Nothing reported","Waste type reported")))</f>
        <v>Nothing reported</v>
      </c>
      <c r="Z38" s="673"/>
      <c r="AA38" s="670" t="s">
        <v>33339</v>
      </c>
      <c r="AB38" s="671"/>
      <c r="AC38" s="671"/>
      <c r="AD38" s="671"/>
      <c r="AE38" s="483"/>
    </row>
    <row r="39" spans="2:31" s="30" customFormat="1" x14ac:dyDescent="0.2">
      <c r="B39" s="449">
        <v>2306</v>
      </c>
      <c r="C39" s="829" t="s">
        <v>607</v>
      </c>
      <c r="D39" s="829"/>
      <c r="E39" s="829"/>
      <c r="F39" s="829"/>
      <c r="G39" s="723" t="s">
        <v>34899</v>
      </c>
      <c r="H39" s="724"/>
      <c r="I39" s="725"/>
      <c r="J39" s="560">
        <v>0</v>
      </c>
      <c r="K39" s="530" t="s">
        <v>77</v>
      </c>
      <c r="L39" s="560">
        <v>0</v>
      </c>
      <c r="M39" s="530" t="s">
        <v>77</v>
      </c>
      <c r="N39" s="708">
        <v>0</v>
      </c>
      <c r="O39" s="709"/>
      <c r="P39" s="540" t="s">
        <v>77</v>
      </c>
      <c r="Q39" s="708">
        <v>0</v>
      </c>
      <c r="R39" s="709"/>
      <c r="S39" s="530" t="s">
        <v>77</v>
      </c>
      <c r="T39" s="470">
        <v>0</v>
      </c>
      <c r="U39" s="553" t="s">
        <v>77</v>
      </c>
      <c r="V39" s="443"/>
      <c r="W39" s="674" t="str">
        <f>IF(ISERROR(VLOOKUP(Waste!$V39,REF_LOCODE_PORTNAME_COUNTRY,2,FALSE)),"-",VLOOKUP(Waste!$V39,REF_LOCODE_PORTNAME_COUNTRY,2,FALSE))</f>
        <v>-</v>
      </c>
      <c r="X39" s="675"/>
      <c r="Y39" s="672" t="str">
        <f>IF(Validator!D22&lt;&gt;TRUE,"Amount or Unit missing",IF(Validator!D72&lt;&gt;TRUE,"LOCODE not valid",IF(AND(J39=0,L39=0,N39=0,Q39=0,T39=0),"Nothing reported","Waste type reported")))</f>
        <v>Nothing reported</v>
      </c>
      <c r="Z39" s="673"/>
      <c r="AA39" s="670"/>
      <c r="AB39" s="671"/>
      <c r="AC39" s="671"/>
      <c r="AD39" s="671"/>
      <c r="AE39" s="483"/>
    </row>
    <row r="40" spans="2:31" s="30" customFormat="1" x14ac:dyDescent="0.2">
      <c r="B40" s="449">
        <v>2307</v>
      </c>
      <c r="C40" s="832" t="s">
        <v>608</v>
      </c>
      <c r="D40" s="832"/>
      <c r="E40" s="832"/>
      <c r="F40" s="832"/>
      <c r="G40" s="717" t="s">
        <v>34899</v>
      </c>
      <c r="H40" s="718"/>
      <c r="I40" s="719"/>
      <c r="J40" s="561">
        <v>0</v>
      </c>
      <c r="K40" s="531" t="s">
        <v>77</v>
      </c>
      <c r="L40" s="561">
        <v>0</v>
      </c>
      <c r="M40" s="531" t="s">
        <v>77</v>
      </c>
      <c r="N40" s="715">
        <v>0</v>
      </c>
      <c r="O40" s="716"/>
      <c r="P40" s="541" t="s">
        <v>77</v>
      </c>
      <c r="Q40" s="715">
        <v>0</v>
      </c>
      <c r="R40" s="716"/>
      <c r="S40" s="531" t="s">
        <v>77</v>
      </c>
      <c r="T40" s="472">
        <v>0</v>
      </c>
      <c r="U40" s="552" t="s">
        <v>77</v>
      </c>
      <c r="V40" s="447"/>
      <c r="W40" s="674" t="str">
        <f>IF(ISERROR(VLOOKUP(Waste!$V40,REF_LOCODE_PORTNAME_COUNTRY,2,FALSE)),"-",VLOOKUP(Waste!$V40,REF_LOCODE_PORTNAME_COUNTRY,2,FALSE))</f>
        <v>-</v>
      </c>
      <c r="X40" s="675"/>
      <c r="Y40" s="672" t="str">
        <f>IF(Validator!D23&lt;&gt;TRUE,"Amount or Unit missing",IF(Validator!D73&lt;&gt;TRUE,"LOCODE not valid",IF(AND(J40=0,L40=0,N40=0,Q40=0,T40=0),"Nothing reported","Waste type reported")))</f>
        <v>Nothing reported</v>
      </c>
      <c r="Z40" s="673"/>
      <c r="AA40" s="670"/>
      <c r="AB40" s="671"/>
      <c r="AC40" s="671"/>
      <c r="AD40" s="671"/>
      <c r="AE40" s="483"/>
    </row>
    <row r="41" spans="2:31" s="30" customFormat="1" ht="12.75" customHeight="1" x14ac:dyDescent="0.2">
      <c r="B41" s="449">
        <v>2308</v>
      </c>
      <c r="C41" s="829" t="s">
        <v>610</v>
      </c>
      <c r="D41" s="829"/>
      <c r="E41" s="829"/>
      <c r="F41" s="829"/>
      <c r="G41" s="723" t="s">
        <v>34899</v>
      </c>
      <c r="H41" s="724"/>
      <c r="I41" s="725"/>
      <c r="J41" s="560">
        <v>0</v>
      </c>
      <c r="K41" s="530" t="s">
        <v>77</v>
      </c>
      <c r="L41" s="560">
        <v>0</v>
      </c>
      <c r="M41" s="530" t="s">
        <v>77</v>
      </c>
      <c r="N41" s="708">
        <v>0</v>
      </c>
      <c r="O41" s="709"/>
      <c r="P41" s="540" t="s">
        <v>77</v>
      </c>
      <c r="Q41" s="708">
        <v>0</v>
      </c>
      <c r="R41" s="709"/>
      <c r="S41" s="530" t="s">
        <v>77</v>
      </c>
      <c r="T41" s="470">
        <v>0</v>
      </c>
      <c r="U41" s="553" t="s">
        <v>77</v>
      </c>
      <c r="V41" s="443"/>
      <c r="W41" s="674" t="str">
        <f>IF(ISERROR(VLOOKUP(Waste!$V41,REF_LOCODE_PORTNAME_COUNTRY,2,FALSE)),"-",VLOOKUP(Waste!$V41,REF_LOCODE_PORTNAME_COUNTRY,2,FALSE))</f>
        <v>-</v>
      </c>
      <c r="X41" s="675"/>
      <c r="Y41" s="672" t="str">
        <f>IF(Validator!D24&lt;&gt;TRUE,"Amount or Unit missing",IF(Validator!D74&lt;&gt;TRUE,"LOCODE not valid",IF(AND(J41=0,L41=0,N41=0,Q41=0,T41=0),"Nothing reported","Waste type reported")))</f>
        <v>Nothing reported</v>
      </c>
      <c r="Z41" s="673"/>
      <c r="AA41" s="670"/>
      <c r="AB41" s="671"/>
      <c r="AC41" s="671"/>
      <c r="AD41" s="671"/>
      <c r="AE41" s="483"/>
    </row>
    <row r="42" spans="2:31" s="30" customFormat="1" ht="12.75" customHeight="1" x14ac:dyDescent="0.2">
      <c r="B42" s="449">
        <v>2309</v>
      </c>
      <c r="C42" s="832" t="s">
        <v>612</v>
      </c>
      <c r="D42" s="832"/>
      <c r="E42" s="832"/>
      <c r="F42" s="832"/>
      <c r="G42" s="717" t="s">
        <v>34899</v>
      </c>
      <c r="H42" s="718"/>
      <c r="I42" s="719"/>
      <c r="J42" s="561">
        <v>0</v>
      </c>
      <c r="K42" s="531" t="s">
        <v>77</v>
      </c>
      <c r="L42" s="561">
        <v>0</v>
      </c>
      <c r="M42" s="531" t="s">
        <v>77</v>
      </c>
      <c r="N42" s="715">
        <v>0</v>
      </c>
      <c r="O42" s="716"/>
      <c r="P42" s="541" t="s">
        <v>77</v>
      </c>
      <c r="Q42" s="715">
        <v>0</v>
      </c>
      <c r="R42" s="716"/>
      <c r="S42" s="531" t="s">
        <v>77</v>
      </c>
      <c r="T42" s="472">
        <v>0</v>
      </c>
      <c r="U42" s="552" t="s">
        <v>77</v>
      </c>
      <c r="V42" s="447"/>
      <c r="W42" s="674" t="str">
        <f>IF(ISERROR(VLOOKUP(Waste!$V42,REF_LOCODE_PORTNAME_COUNTRY,2,FALSE)),"-",VLOOKUP(Waste!$V42,REF_LOCODE_PORTNAME_COUNTRY,2,FALSE))</f>
        <v>-</v>
      </c>
      <c r="X42" s="675"/>
      <c r="Y42" s="672" t="str">
        <f>IF(Validator!D25&lt;&gt;TRUE,"Amount or Unit missing",IF(Validator!D75&lt;&gt;TRUE,"LOCODE not valid",IF(AND(J42=0,L42=0,N42=0,Q42=0,T42=0),"Nothing reported","Waste type reported")))</f>
        <v>Nothing reported</v>
      </c>
      <c r="Z42" s="673"/>
      <c r="AA42" s="670"/>
      <c r="AB42" s="671"/>
      <c r="AC42" s="671"/>
      <c r="AD42" s="671"/>
      <c r="AE42" s="483"/>
    </row>
    <row r="43" spans="2:31" s="30" customFormat="1" ht="25.5" customHeight="1" x14ac:dyDescent="0.2">
      <c r="B43" s="449">
        <v>2310</v>
      </c>
      <c r="C43" s="829" t="s">
        <v>33320</v>
      </c>
      <c r="D43" s="829"/>
      <c r="E43" s="829"/>
      <c r="F43" s="829"/>
      <c r="G43" s="690"/>
      <c r="H43" s="691"/>
      <c r="I43" s="692"/>
      <c r="J43" s="560">
        <v>0</v>
      </c>
      <c r="K43" s="530" t="s">
        <v>77</v>
      </c>
      <c r="L43" s="560">
        <v>0</v>
      </c>
      <c r="M43" s="530" t="s">
        <v>77</v>
      </c>
      <c r="N43" s="708">
        <v>0</v>
      </c>
      <c r="O43" s="709"/>
      <c r="P43" s="540" t="s">
        <v>77</v>
      </c>
      <c r="Q43" s="708">
        <v>0</v>
      </c>
      <c r="R43" s="709"/>
      <c r="S43" s="530" t="s">
        <v>77</v>
      </c>
      <c r="T43" s="470">
        <v>0</v>
      </c>
      <c r="U43" s="553" t="s">
        <v>77</v>
      </c>
      <c r="V43" s="443"/>
      <c r="W43" s="674" t="str">
        <f>IF(ISERROR(VLOOKUP(Waste!$V43,REF_LOCODE_PORTNAME_COUNTRY,2,FALSE)),"-",VLOOKUP(Waste!$V43,REF_LOCODE_PORTNAME_COUNTRY,2,FALSE))</f>
        <v>-</v>
      </c>
      <c r="X43" s="675"/>
      <c r="Y43" s="672" t="str">
        <f>IF(Validator!D26&lt;&gt;TRUE,"Amount or Unit missing",IF(Validator!D76&lt;&gt;TRUE,"LOCODE not valid",IF(AND(J43=0,L43=0,N43=0,Q43=0,T43=0),"Nothing reported","Waste type reported")))</f>
        <v>Nothing reported</v>
      </c>
      <c r="Z43" s="673"/>
      <c r="AA43" s="670"/>
      <c r="AB43" s="671"/>
      <c r="AC43" s="671"/>
      <c r="AD43" s="671"/>
    </row>
    <row r="44" spans="2:31" s="30" customFormat="1" ht="12.75" customHeight="1" x14ac:dyDescent="0.2">
      <c r="B44" s="449">
        <v>2311</v>
      </c>
      <c r="C44" s="832" t="s">
        <v>615</v>
      </c>
      <c r="D44" s="832"/>
      <c r="E44" s="832"/>
      <c r="F44" s="832"/>
      <c r="G44" s="717" t="s">
        <v>34899</v>
      </c>
      <c r="H44" s="718"/>
      <c r="I44" s="719"/>
      <c r="J44" s="561">
        <v>0</v>
      </c>
      <c r="K44" s="531" t="s">
        <v>77</v>
      </c>
      <c r="L44" s="561">
        <v>0</v>
      </c>
      <c r="M44" s="531" t="s">
        <v>77</v>
      </c>
      <c r="N44" s="715">
        <v>0</v>
      </c>
      <c r="O44" s="716"/>
      <c r="P44" s="541" t="s">
        <v>77</v>
      </c>
      <c r="Q44" s="715">
        <v>0</v>
      </c>
      <c r="R44" s="716"/>
      <c r="S44" s="531" t="s">
        <v>77</v>
      </c>
      <c r="T44" s="472">
        <v>0</v>
      </c>
      <c r="U44" s="552" t="s">
        <v>77</v>
      </c>
      <c r="V44" s="447"/>
      <c r="W44" s="674" t="str">
        <f>IF(ISERROR(VLOOKUP(Waste!$V44,REF_LOCODE_PORTNAME_COUNTRY,2,FALSE)),"-",VLOOKUP(Waste!$V44,REF_LOCODE_PORTNAME_COUNTRY,2,FALSE))</f>
        <v>-</v>
      </c>
      <c r="X44" s="675"/>
      <c r="Y44" s="672" t="str">
        <f>IF(Validator!D27&lt;&gt;TRUE,"Amount or Unit missing",IF(Validator!D77&lt;&gt;TRUE,"LOCODE not valid",IF(AND(J44=0,L44=0,N44=0,Q44=0,T44=0),"Nothing reported","Waste type reported")))</f>
        <v>Nothing reported</v>
      </c>
      <c r="Z44" s="673"/>
      <c r="AA44" s="670"/>
      <c r="AB44" s="671"/>
      <c r="AC44" s="671"/>
      <c r="AD44" s="671"/>
    </row>
    <row r="45" spans="2:31" s="30" customFormat="1" ht="13.5" customHeight="1" x14ac:dyDescent="0.2">
      <c r="B45" s="449">
        <v>2300</v>
      </c>
      <c r="C45" s="829" t="s">
        <v>33315</v>
      </c>
      <c r="D45" s="829"/>
      <c r="E45" s="829"/>
      <c r="F45" s="829"/>
      <c r="G45" s="690"/>
      <c r="H45" s="691"/>
      <c r="I45" s="692"/>
      <c r="J45" s="571">
        <v>0</v>
      </c>
      <c r="K45" s="530" t="s">
        <v>77</v>
      </c>
      <c r="L45" s="571">
        <v>0</v>
      </c>
      <c r="M45" s="530" t="s">
        <v>77</v>
      </c>
      <c r="N45" s="708">
        <v>0</v>
      </c>
      <c r="O45" s="709"/>
      <c r="P45" s="540" t="s">
        <v>77</v>
      </c>
      <c r="Q45" s="708">
        <v>0</v>
      </c>
      <c r="R45" s="709"/>
      <c r="S45" s="530" t="s">
        <v>77</v>
      </c>
      <c r="T45" s="470">
        <v>0</v>
      </c>
      <c r="U45" s="553" t="s">
        <v>77</v>
      </c>
      <c r="V45" s="443"/>
      <c r="W45" s="674" t="str">
        <f>IF(ISERROR(VLOOKUP(Waste!$V45,REF_LOCODE_PORTNAME_COUNTRY,2,FALSE)),"-",VLOOKUP(Waste!$V45,REF_LOCODE_PORTNAME_COUNTRY,2,FALSE))</f>
        <v>-</v>
      </c>
      <c r="X45" s="675"/>
      <c r="Y45" s="672" t="str">
        <f>IF(Validator!D28&lt;&gt;TRUE,"Amount or Unit missing",IF(Validator!D78&lt;&gt;TRUE,"LOCODE not valid",IF(AND(J45=0,L45=0,N45=0,Q45=0,T45=0),"Nothing reported","Waste type reported")))</f>
        <v>Nothing reported</v>
      </c>
      <c r="Z45" s="673"/>
      <c r="AA45" s="497"/>
      <c r="AB45" s="489"/>
      <c r="AC45" s="489"/>
      <c r="AD45" s="489"/>
    </row>
    <row r="46" spans="2:31" s="30" customFormat="1" ht="13.5" customHeight="1" thickBot="1" x14ac:dyDescent="0.25">
      <c r="B46" s="451">
        <v>2300</v>
      </c>
      <c r="C46" s="832" t="s">
        <v>34919</v>
      </c>
      <c r="D46" s="832"/>
      <c r="E46" s="832"/>
      <c r="F46" s="832"/>
      <c r="G46" s="833"/>
      <c r="H46" s="834"/>
      <c r="I46" s="835"/>
      <c r="J46" s="570">
        <v>0</v>
      </c>
      <c r="K46" s="531" t="s">
        <v>77</v>
      </c>
      <c r="L46" s="570">
        <v>0</v>
      </c>
      <c r="M46" s="531" t="s">
        <v>77</v>
      </c>
      <c r="N46" s="715">
        <v>0</v>
      </c>
      <c r="O46" s="716"/>
      <c r="P46" s="541" t="s">
        <v>77</v>
      </c>
      <c r="Q46" s="715">
        <v>0</v>
      </c>
      <c r="R46" s="716"/>
      <c r="S46" s="531" t="s">
        <v>77</v>
      </c>
      <c r="T46" s="472">
        <v>0</v>
      </c>
      <c r="U46" s="552" t="s">
        <v>77</v>
      </c>
      <c r="V46" s="447"/>
      <c r="W46" s="674" t="str">
        <f>IF(ISERROR(VLOOKUP(Waste!$V46,REF_LOCODE_PORTNAME_COUNTRY,2,FALSE)),"-",VLOOKUP(Waste!$V46,REF_LOCODE_PORTNAME_COUNTRY,2,FALSE))</f>
        <v>-</v>
      </c>
      <c r="X46" s="675"/>
      <c r="Y46" s="672" t="str">
        <f>IF(Validator!D29&lt;&gt;TRUE,"Amount or Unit missing",IF(Validator!D79&lt;&gt;TRUE,"LOCODE not valid",IF(AND(J46=0,L46=0,N46=0,Q46=0,T46=0),"Nothing reported","Waste type reported")))</f>
        <v>Nothing reported</v>
      </c>
      <c r="Z46" s="673"/>
    </row>
    <row r="47" spans="2:31" s="30" customFormat="1" ht="13.5" customHeight="1" thickTop="1" thickBot="1" x14ac:dyDescent="0.25">
      <c r="B47" s="458">
        <v>2600</v>
      </c>
      <c r="C47" s="829" t="s">
        <v>35158</v>
      </c>
      <c r="D47" s="829"/>
      <c r="E47" s="829"/>
      <c r="F47" s="829"/>
      <c r="G47" s="690"/>
      <c r="H47" s="691"/>
      <c r="I47" s="692"/>
      <c r="J47" s="571">
        <v>0</v>
      </c>
      <c r="K47" s="530" t="s">
        <v>77</v>
      </c>
      <c r="L47" s="571">
        <v>0</v>
      </c>
      <c r="M47" s="530" t="s">
        <v>77</v>
      </c>
      <c r="N47" s="708">
        <v>0</v>
      </c>
      <c r="O47" s="709"/>
      <c r="P47" s="540" t="s">
        <v>77</v>
      </c>
      <c r="Q47" s="708">
        <v>0</v>
      </c>
      <c r="R47" s="709"/>
      <c r="S47" s="530" t="s">
        <v>77</v>
      </c>
      <c r="T47" s="470">
        <v>0</v>
      </c>
      <c r="U47" s="553" t="s">
        <v>77</v>
      </c>
      <c r="V47" s="443"/>
      <c r="W47" s="674" t="str">
        <f>IF(ISERROR(VLOOKUP(Waste!$V47,REF_LOCODE_PORTNAME_COUNTRY,2,FALSE)),"-",VLOOKUP(Waste!$V47,REF_LOCODE_PORTNAME_COUNTRY,2,FALSE))</f>
        <v>-</v>
      </c>
      <c r="X47" s="675"/>
      <c r="Y47" s="672" t="str">
        <f>IF(Validator!D30&lt;&gt;TRUE,"Amount or Unit missing",IF(Validator!D80&lt;&gt;TRUE,"LOCODE not valid",IF(AND(J47=0,L47=0,N47=0,Q47=0,T47=0),"Nothing reported","Waste type reported")))</f>
        <v>Nothing reported</v>
      </c>
      <c r="Z47" s="673"/>
    </row>
    <row r="48" spans="2:31" s="30" customFormat="1" ht="13.5" customHeight="1" thickTop="1" x14ac:dyDescent="0.2">
      <c r="B48" s="494" t="s">
        <v>34891</v>
      </c>
      <c r="C48" s="468"/>
      <c r="D48" s="468"/>
      <c r="E48" s="468"/>
      <c r="F48" s="468"/>
      <c r="G48" s="469"/>
      <c r="H48" s="468"/>
      <c r="I48" s="468"/>
      <c r="J48" s="557"/>
      <c r="K48" s="468"/>
      <c r="L48" s="557"/>
      <c r="M48" s="468"/>
      <c r="N48" s="557"/>
      <c r="O48" s="557"/>
      <c r="P48" s="468"/>
      <c r="Q48" s="557"/>
      <c r="R48" s="557"/>
      <c r="S48" s="468"/>
      <c r="T48" s="493"/>
      <c r="U48" s="493"/>
      <c r="V48" s="468"/>
      <c r="W48" s="493"/>
      <c r="X48" s="493"/>
      <c r="Y48" s="672"/>
      <c r="Z48" s="673"/>
    </row>
    <row r="49" spans="2:26" s="30" customFormat="1" ht="12.75" customHeight="1" x14ac:dyDescent="0.2">
      <c r="B49" s="450">
        <v>5101</v>
      </c>
      <c r="C49" s="696" t="s">
        <v>596</v>
      </c>
      <c r="D49" s="696"/>
      <c r="E49" s="696"/>
      <c r="F49" s="697"/>
      <c r="G49" s="723" t="s">
        <v>34899</v>
      </c>
      <c r="H49" s="724"/>
      <c r="I49" s="725"/>
      <c r="J49" s="563">
        <v>0</v>
      </c>
      <c r="K49" s="532" t="s">
        <v>77</v>
      </c>
      <c r="L49" s="563">
        <v>0</v>
      </c>
      <c r="M49" s="532" t="s">
        <v>77</v>
      </c>
      <c r="N49" s="706">
        <v>0</v>
      </c>
      <c r="O49" s="707"/>
      <c r="P49" s="536" t="s">
        <v>77</v>
      </c>
      <c r="Q49" s="706">
        <v>0</v>
      </c>
      <c r="R49" s="707"/>
      <c r="S49" s="547" t="s">
        <v>77</v>
      </c>
      <c r="T49" s="453">
        <v>0</v>
      </c>
      <c r="U49" s="549" t="s">
        <v>77</v>
      </c>
      <c r="V49" s="480"/>
      <c r="W49" s="676" t="str">
        <f>IF(ISERROR(VLOOKUP(Waste!$V49,REF_LOCODE_PORTNAME_COUNTRY,2,FALSE)),"-",VLOOKUP(Waste!$V49,REF_LOCODE_PORTNAME_COUNTRY,2,FALSE))</f>
        <v>-</v>
      </c>
      <c r="X49" s="677"/>
      <c r="Y49" s="672" t="str">
        <f>IF(Validator!D32&lt;&gt;TRUE,"Amount or Unit missing",IF(Validator!D82&lt;&gt;TRUE,"LOCODE not valid",IF(AND(J49=0,L49=0,N49=0,Q49=0,T49=0),"Nothing reported","Waste type reported")))</f>
        <v>Nothing reported</v>
      </c>
      <c r="Z49" s="673"/>
    </row>
    <row r="50" spans="2:26" s="30" customFormat="1" ht="12.75" customHeight="1" x14ac:dyDescent="0.2">
      <c r="B50" s="450">
        <v>5102</v>
      </c>
      <c r="C50" s="698" t="s">
        <v>599</v>
      </c>
      <c r="D50" s="698"/>
      <c r="E50" s="698"/>
      <c r="F50" s="699"/>
      <c r="G50" s="717" t="s">
        <v>34899</v>
      </c>
      <c r="H50" s="718"/>
      <c r="I50" s="719"/>
      <c r="J50" s="562">
        <v>0</v>
      </c>
      <c r="K50" s="533" t="s">
        <v>77</v>
      </c>
      <c r="L50" s="562">
        <v>0</v>
      </c>
      <c r="M50" s="533" t="s">
        <v>77</v>
      </c>
      <c r="N50" s="713">
        <v>0</v>
      </c>
      <c r="O50" s="714"/>
      <c r="P50" s="537" t="s">
        <v>77</v>
      </c>
      <c r="Q50" s="713">
        <v>0</v>
      </c>
      <c r="R50" s="714"/>
      <c r="S50" s="548" t="s">
        <v>77</v>
      </c>
      <c r="T50" s="454">
        <v>0</v>
      </c>
      <c r="U50" s="550" t="s">
        <v>77</v>
      </c>
      <c r="V50" s="481"/>
      <c r="W50" s="676" t="str">
        <f>IF(ISERROR(VLOOKUP(Waste!$V50,REF_LOCODE_PORTNAME_COUNTRY,2,FALSE)),"-",VLOOKUP(Waste!$V50,REF_LOCODE_PORTNAME_COUNTRY,2,FALSE))</f>
        <v>-</v>
      </c>
      <c r="X50" s="677"/>
      <c r="Y50" s="672" t="str">
        <f>IF(Validator!D33&lt;&gt;TRUE,"Amount or Unit missing",IF(Validator!D83&lt;&gt;TRUE,"LOCODE not valid",IF(AND(J50=0,L50=0,N50=0,Q50=0,T50=0),"Nothing reported","Waste type reported")))</f>
        <v>Nothing reported</v>
      </c>
      <c r="Z50" s="673"/>
    </row>
    <row r="51" spans="2:26" s="30" customFormat="1" ht="12.75" customHeight="1" x14ac:dyDescent="0.2">
      <c r="B51" s="450">
        <v>5103</v>
      </c>
      <c r="C51" s="696" t="s">
        <v>601</v>
      </c>
      <c r="D51" s="696"/>
      <c r="E51" s="696"/>
      <c r="F51" s="697"/>
      <c r="G51" s="723" t="s">
        <v>34899</v>
      </c>
      <c r="H51" s="724"/>
      <c r="I51" s="725"/>
      <c r="J51" s="563">
        <v>0</v>
      </c>
      <c r="K51" s="532" t="s">
        <v>77</v>
      </c>
      <c r="L51" s="563">
        <v>0</v>
      </c>
      <c r="M51" s="532" t="s">
        <v>77</v>
      </c>
      <c r="N51" s="706">
        <v>0</v>
      </c>
      <c r="O51" s="707"/>
      <c r="P51" s="536" t="s">
        <v>77</v>
      </c>
      <c r="Q51" s="706">
        <v>0</v>
      </c>
      <c r="R51" s="707"/>
      <c r="S51" s="547" t="s">
        <v>77</v>
      </c>
      <c r="T51" s="453">
        <v>0</v>
      </c>
      <c r="U51" s="549" t="s">
        <v>77</v>
      </c>
      <c r="V51" s="480"/>
      <c r="W51" s="676" t="str">
        <f>IF(ISERROR(VLOOKUP(Waste!$V51,REF_LOCODE_PORTNAME_COUNTRY,2,FALSE)),"-",VLOOKUP(Waste!$V51,REF_LOCODE_PORTNAME_COUNTRY,2,FALSE))</f>
        <v>-</v>
      </c>
      <c r="X51" s="677"/>
      <c r="Y51" s="672" t="str">
        <f>IF(Validator!D34&lt;&gt;TRUE,"Amount or Unit missing",IF(Validator!D84&lt;&gt;TRUE,"LOCODE not valid",IF(AND(J51=0,L51=0,N51=0,Q51=0,T51=0),"Nothing reported","Waste type reported")))</f>
        <v>Nothing reported</v>
      </c>
      <c r="Z51" s="673"/>
    </row>
    <row r="52" spans="2:26" s="30" customFormat="1" ht="12.75" customHeight="1" x14ac:dyDescent="0.2">
      <c r="B52" s="450">
        <v>5100</v>
      </c>
      <c r="C52" s="698" t="s">
        <v>34900</v>
      </c>
      <c r="D52" s="698"/>
      <c r="E52" s="698"/>
      <c r="F52" s="699"/>
      <c r="G52" s="720"/>
      <c r="H52" s="721"/>
      <c r="I52" s="722"/>
      <c r="J52" s="562">
        <v>0</v>
      </c>
      <c r="K52" s="533" t="s">
        <v>77</v>
      </c>
      <c r="L52" s="562">
        <v>0</v>
      </c>
      <c r="M52" s="533" t="s">
        <v>77</v>
      </c>
      <c r="N52" s="713">
        <v>0</v>
      </c>
      <c r="O52" s="714"/>
      <c r="P52" s="537" t="s">
        <v>77</v>
      </c>
      <c r="Q52" s="713">
        <v>0</v>
      </c>
      <c r="R52" s="714"/>
      <c r="S52" s="548" t="s">
        <v>77</v>
      </c>
      <c r="T52" s="454">
        <v>0</v>
      </c>
      <c r="U52" s="550" t="s">
        <v>77</v>
      </c>
      <c r="V52" s="481"/>
      <c r="W52" s="676" t="str">
        <f>IF(ISERROR(VLOOKUP(Waste!$V52,REF_LOCODE_PORTNAME_COUNTRY,2,FALSE)),"-",VLOOKUP(Waste!$V52,REF_LOCODE_PORTNAME_COUNTRY,2,FALSE))</f>
        <v>-</v>
      </c>
      <c r="X52" s="677"/>
      <c r="Y52" s="672" t="str">
        <f>IF(Validator!D35&lt;&gt;TRUE,"Amount or Unit missing",IF(Validator!D85&lt;&gt;TRUE,"LOCODE not valid",IF(AND(J52=0,L52=0,N52=0,Q52=0,T52=0),"Nothing reported","Waste type reported")))</f>
        <v>Nothing reported</v>
      </c>
      <c r="Z52" s="673"/>
    </row>
    <row r="53" spans="2:26" s="30" customFormat="1" ht="24.75" customHeight="1" x14ac:dyDescent="0.2">
      <c r="B53" s="450">
        <v>5201</v>
      </c>
      <c r="C53" s="696" t="s">
        <v>34898</v>
      </c>
      <c r="D53" s="696"/>
      <c r="E53" s="696"/>
      <c r="F53" s="697"/>
      <c r="G53" s="690"/>
      <c r="H53" s="691"/>
      <c r="I53" s="692"/>
      <c r="J53" s="563">
        <v>0</v>
      </c>
      <c r="K53" s="532" t="s">
        <v>77</v>
      </c>
      <c r="L53" s="563">
        <v>0</v>
      </c>
      <c r="M53" s="532" t="s">
        <v>77</v>
      </c>
      <c r="N53" s="706">
        <v>0</v>
      </c>
      <c r="O53" s="707"/>
      <c r="P53" s="536" t="s">
        <v>77</v>
      </c>
      <c r="Q53" s="706">
        <v>0</v>
      </c>
      <c r="R53" s="707"/>
      <c r="S53" s="547" t="s">
        <v>77</v>
      </c>
      <c r="T53" s="453">
        <v>0</v>
      </c>
      <c r="U53" s="549" t="s">
        <v>77</v>
      </c>
      <c r="V53" s="480"/>
      <c r="W53" s="676" t="str">
        <f>IF(ISERROR(VLOOKUP(Waste!$V53,REF_LOCODE_PORTNAME_COUNTRY,2,FALSE)),"-",VLOOKUP(Waste!$V53,REF_LOCODE_PORTNAME_COUNTRY,2,FALSE))</f>
        <v>-</v>
      </c>
      <c r="X53" s="677"/>
      <c r="Y53" s="672" t="str">
        <f>IF(Validator!D36&lt;&gt;TRUE,"Amount or Unit missing",IF(Validator!D86&lt;&gt;TRUE,"LOCODE not valid",IF(AND(J53=0,L53=0,N53=0,Q53=0,T53=0),"Nothing reported","Waste type reported")))</f>
        <v>Nothing reported</v>
      </c>
      <c r="Z53" s="673"/>
    </row>
    <row r="54" spans="2:26" s="30" customFormat="1" ht="28.5" customHeight="1" x14ac:dyDescent="0.2">
      <c r="B54" s="450">
        <v>5202</v>
      </c>
      <c r="C54" s="698" t="s">
        <v>34897</v>
      </c>
      <c r="D54" s="698"/>
      <c r="E54" s="698"/>
      <c r="F54" s="699"/>
      <c r="G54" s="710"/>
      <c r="H54" s="711"/>
      <c r="I54" s="712"/>
      <c r="J54" s="562">
        <v>0</v>
      </c>
      <c r="K54" s="533" t="s">
        <v>77</v>
      </c>
      <c r="L54" s="562">
        <v>0</v>
      </c>
      <c r="M54" s="533" t="s">
        <v>77</v>
      </c>
      <c r="N54" s="713">
        <v>0</v>
      </c>
      <c r="O54" s="714"/>
      <c r="P54" s="537" t="s">
        <v>77</v>
      </c>
      <c r="Q54" s="713">
        <v>0</v>
      </c>
      <c r="R54" s="714"/>
      <c r="S54" s="548" t="s">
        <v>77</v>
      </c>
      <c r="T54" s="454">
        <v>0</v>
      </c>
      <c r="U54" s="550" t="s">
        <v>77</v>
      </c>
      <c r="V54" s="481"/>
      <c r="W54" s="676" t="str">
        <f>IF(ISERROR(VLOOKUP(Waste!$V54,REF_LOCODE_PORTNAME_COUNTRY,2,FALSE)),"-",VLOOKUP(Waste!$V54,REF_LOCODE_PORTNAME_COUNTRY,2,FALSE))</f>
        <v>-</v>
      </c>
      <c r="X54" s="677"/>
      <c r="Y54" s="672" t="str">
        <f>IF(Validator!D37&lt;&gt;TRUE,"Amount or Unit missing",IF(Validator!D87&lt;&gt;TRUE,"LOCODE not valid",IF(AND(J54=0,L54=0,N54=0,Q54=0,T54=0),"Nothing reported","Waste type reported")))</f>
        <v>Nothing reported</v>
      </c>
      <c r="Z54" s="673"/>
    </row>
    <row r="55" spans="2:26" s="30" customFormat="1" ht="30" customHeight="1" x14ac:dyDescent="0.2">
      <c r="B55" s="450">
        <v>5200</v>
      </c>
      <c r="C55" s="696" t="s">
        <v>34896</v>
      </c>
      <c r="D55" s="696"/>
      <c r="E55" s="696"/>
      <c r="F55" s="697"/>
      <c r="G55" s="690"/>
      <c r="H55" s="691"/>
      <c r="I55" s="692"/>
      <c r="J55" s="563">
        <v>0</v>
      </c>
      <c r="K55" s="532" t="s">
        <v>77</v>
      </c>
      <c r="L55" s="563">
        <v>0</v>
      </c>
      <c r="M55" s="532" t="s">
        <v>77</v>
      </c>
      <c r="N55" s="706">
        <v>0</v>
      </c>
      <c r="O55" s="707"/>
      <c r="P55" s="536" t="s">
        <v>77</v>
      </c>
      <c r="Q55" s="706">
        <v>0</v>
      </c>
      <c r="R55" s="707"/>
      <c r="S55" s="547" t="s">
        <v>77</v>
      </c>
      <c r="T55" s="453">
        <v>0</v>
      </c>
      <c r="U55" s="549" t="s">
        <v>77</v>
      </c>
      <c r="V55" s="480"/>
      <c r="W55" s="676" t="str">
        <f>IF(ISERROR(VLOOKUP(Waste!$V55,REF_LOCODE_PORTNAME_COUNTRY,2,FALSE)),"-",VLOOKUP(Waste!$V55,REF_LOCODE_PORTNAME_COUNTRY,2,FALSE))</f>
        <v>-</v>
      </c>
      <c r="X55" s="677"/>
      <c r="Y55" s="672" t="str">
        <f>IF(Validator!D38&lt;&gt;TRUE,"Amount or Unit missing",IF(Validator!D88&lt;&gt;TRUE,"LOCODE not valid",IF(AND(J55=0,L55=0,N55=0,Q55=0,T55=0),"Nothing reported","Waste type reported")))</f>
        <v>Nothing reported</v>
      </c>
      <c r="Z55" s="673"/>
    </row>
    <row r="56" spans="2:26" s="30" customFormat="1" ht="40.5" customHeight="1" x14ac:dyDescent="0.2">
      <c r="B56" s="450">
        <v>5301</v>
      </c>
      <c r="C56" s="698" t="s">
        <v>34892</v>
      </c>
      <c r="D56" s="698"/>
      <c r="E56" s="698"/>
      <c r="F56" s="699"/>
      <c r="G56" s="693"/>
      <c r="H56" s="694"/>
      <c r="I56" s="695"/>
      <c r="J56" s="562">
        <v>0</v>
      </c>
      <c r="K56" s="533" t="s">
        <v>77</v>
      </c>
      <c r="L56" s="562">
        <v>0</v>
      </c>
      <c r="M56" s="533" t="s">
        <v>77</v>
      </c>
      <c r="N56" s="713">
        <v>0</v>
      </c>
      <c r="O56" s="714"/>
      <c r="P56" s="537" t="s">
        <v>77</v>
      </c>
      <c r="Q56" s="713">
        <v>0</v>
      </c>
      <c r="R56" s="714"/>
      <c r="S56" s="548" t="s">
        <v>77</v>
      </c>
      <c r="T56" s="454">
        <v>0</v>
      </c>
      <c r="U56" s="550" t="s">
        <v>77</v>
      </c>
      <c r="V56" s="481"/>
      <c r="W56" s="676" t="str">
        <f>IF(ISERROR(VLOOKUP(Waste!$V56,REF_LOCODE_PORTNAME_COUNTRY,2,FALSE)),"-",VLOOKUP(Waste!$V56,REF_LOCODE_PORTNAME_COUNTRY,2,FALSE))</f>
        <v>-</v>
      </c>
      <c r="X56" s="677"/>
      <c r="Y56" s="672" t="str">
        <f>IF(Validator!D39&lt;&gt;TRUE,"Amount or Unit missing",IF(Validator!D89&lt;&gt;TRUE,"LOCODE not valid",IF(AND(J56=0,L56=0,N56=0,Q56=0,T56=0),"Nothing reported","Waste type reported")))</f>
        <v>Nothing reported</v>
      </c>
      <c r="Z56" s="673"/>
    </row>
    <row r="57" spans="2:26" s="30" customFormat="1" ht="40.5" customHeight="1" x14ac:dyDescent="0.2">
      <c r="B57" s="450">
        <v>5302</v>
      </c>
      <c r="C57" s="696" t="s">
        <v>34894</v>
      </c>
      <c r="D57" s="696"/>
      <c r="E57" s="696"/>
      <c r="F57" s="697"/>
      <c r="G57" s="690"/>
      <c r="H57" s="691"/>
      <c r="I57" s="692"/>
      <c r="J57" s="563">
        <v>0</v>
      </c>
      <c r="K57" s="532" t="s">
        <v>77</v>
      </c>
      <c r="L57" s="563">
        <v>0</v>
      </c>
      <c r="M57" s="532" t="s">
        <v>77</v>
      </c>
      <c r="N57" s="706">
        <v>0</v>
      </c>
      <c r="O57" s="707"/>
      <c r="P57" s="536" t="s">
        <v>77</v>
      </c>
      <c r="Q57" s="706">
        <v>0</v>
      </c>
      <c r="R57" s="707"/>
      <c r="S57" s="547" t="s">
        <v>77</v>
      </c>
      <c r="T57" s="453">
        <v>0</v>
      </c>
      <c r="U57" s="549" t="s">
        <v>77</v>
      </c>
      <c r="V57" s="480"/>
      <c r="W57" s="676" t="str">
        <f>IF(ISERROR(VLOOKUP(Waste!$V57,REF_LOCODE_PORTNAME_COUNTRY,2,FALSE)),"-",VLOOKUP(Waste!$V57,REF_LOCODE_PORTNAME_COUNTRY,2,FALSE))</f>
        <v>-</v>
      </c>
      <c r="X57" s="677"/>
      <c r="Y57" s="672" t="str">
        <f>IF(Validator!D40&lt;&gt;TRUE,"Amount or Unit missing",IF(Validator!D90&lt;&gt;TRUE,"LOCODE not valid",IF(AND(J57=0,L57=0,N57=0,Q57=0,T57=0),"Nothing reported","Waste type reported")))</f>
        <v>Nothing reported</v>
      </c>
      <c r="Z57" s="673"/>
    </row>
    <row r="58" spans="2:26" s="30" customFormat="1" ht="12.75" customHeight="1" x14ac:dyDescent="0.2">
      <c r="B58" s="450">
        <v>5303</v>
      </c>
      <c r="C58" s="698" t="s">
        <v>34895</v>
      </c>
      <c r="D58" s="698"/>
      <c r="E58" s="698"/>
      <c r="F58" s="699"/>
      <c r="G58" s="710"/>
      <c r="H58" s="711"/>
      <c r="I58" s="712"/>
      <c r="J58" s="562">
        <v>0</v>
      </c>
      <c r="K58" s="533" t="s">
        <v>77</v>
      </c>
      <c r="L58" s="562">
        <v>0</v>
      </c>
      <c r="M58" s="533" t="s">
        <v>77</v>
      </c>
      <c r="N58" s="713">
        <v>0</v>
      </c>
      <c r="O58" s="714"/>
      <c r="P58" s="537" t="s">
        <v>77</v>
      </c>
      <c r="Q58" s="713">
        <v>0</v>
      </c>
      <c r="R58" s="714"/>
      <c r="S58" s="548" t="s">
        <v>77</v>
      </c>
      <c r="T58" s="454">
        <v>0</v>
      </c>
      <c r="U58" s="550" t="s">
        <v>77</v>
      </c>
      <c r="V58" s="481"/>
      <c r="W58" s="676" t="str">
        <f>IF(ISERROR(VLOOKUP(Waste!$V58,REF_LOCODE_PORTNAME_COUNTRY,2,FALSE)),"-",VLOOKUP(Waste!$V58,REF_LOCODE_PORTNAME_COUNTRY,2,FALSE))</f>
        <v>-</v>
      </c>
      <c r="X58" s="677"/>
      <c r="Y58" s="672" t="str">
        <f>IF(Validator!D41&lt;&gt;TRUE,"Amount or Unit missing",IF(Validator!D91&lt;&gt;TRUE,"LOCODE not valid",IF(AND(J58=0,L58=0,N58=0,Q58=0,T58=0),"Nothing reported","Waste type reported")))</f>
        <v>Nothing reported</v>
      </c>
      <c r="Z58" s="673"/>
    </row>
    <row r="59" spans="2:26" s="30" customFormat="1" x14ac:dyDescent="0.2">
      <c r="B59" s="450">
        <v>5304</v>
      </c>
      <c r="C59" s="696" t="s">
        <v>34893</v>
      </c>
      <c r="D59" s="696"/>
      <c r="E59" s="696"/>
      <c r="F59" s="697"/>
      <c r="G59" s="690"/>
      <c r="H59" s="691"/>
      <c r="I59" s="692"/>
      <c r="J59" s="563">
        <v>0</v>
      </c>
      <c r="K59" s="532" t="s">
        <v>77</v>
      </c>
      <c r="L59" s="563">
        <v>0</v>
      </c>
      <c r="M59" s="532" t="s">
        <v>77</v>
      </c>
      <c r="N59" s="706">
        <v>0</v>
      </c>
      <c r="O59" s="707"/>
      <c r="P59" s="536" t="s">
        <v>77</v>
      </c>
      <c r="Q59" s="706">
        <v>0</v>
      </c>
      <c r="R59" s="707"/>
      <c r="S59" s="547" t="s">
        <v>77</v>
      </c>
      <c r="T59" s="453">
        <v>0</v>
      </c>
      <c r="U59" s="549" t="s">
        <v>77</v>
      </c>
      <c r="V59" s="480"/>
      <c r="W59" s="676" t="str">
        <f>IF(ISERROR(VLOOKUP(Waste!$V59,REF_LOCODE_PORTNAME_COUNTRY,2,FALSE)),"-",VLOOKUP(Waste!$V59,REF_LOCODE_PORTNAME_COUNTRY,2,FALSE))</f>
        <v>-</v>
      </c>
      <c r="X59" s="677"/>
      <c r="Y59" s="672" t="str">
        <f>IF(Validator!D42&lt;&gt;TRUE,"Amount or Unit missing",IF(Validator!D92&lt;&gt;TRUE,"LOCODE not valid",IF(AND(J59=0,L59=0,N59=0,Q59=0,T59=0),"Nothing reported","Waste type reported")))</f>
        <v>Nothing reported</v>
      </c>
      <c r="Z59" s="673"/>
    </row>
    <row r="60" spans="2:26" s="30" customFormat="1" ht="13.5" customHeight="1" thickBot="1" x14ac:dyDescent="0.25">
      <c r="B60" s="448">
        <v>5300</v>
      </c>
      <c r="C60" s="705" t="s">
        <v>34900</v>
      </c>
      <c r="D60" s="705"/>
      <c r="E60" s="705"/>
      <c r="F60" s="705"/>
      <c r="G60" s="841"/>
      <c r="H60" s="842"/>
      <c r="I60" s="843"/>
      <c r="J60" s="564">
        <v>0</v>
      </c>
      <c r="K60" s="534" t="s">
        <v>77</v>
      </c>
      <c r="L60" s="564">
        <v>0</v>
      </c>
      <c r="M60" s="534" t="s">
        <v>77</v>
      </c>
      <c r="N60" s="844">
        <v>0</v>
      </c>
      <c r="O60" s="845"/>
      <c r="P60" s="542" t="s">
        <v>77</v>
      </c>
      <c r="Q60" s="844">
        <v>0</v>
      </c>
      <c r="R60" s="845"/>
      <c r="S60" s="534" t="s">
        <v>77</v>
      </c>
      <c r="T60" s="473">
        <v>0</v>
      </c>
      <c r="U60" s="554" t="s">
        <v>77</v>
      </c>
      <c r="V60" s="452"/>
      <c r="W60" s="678" t="str">
        <f>IF(ISERROR(VLOOKUP(Waste!$V60,REF_LOCODE_PORTNAME_COUNTRY,2,FALSE)),"-",VLOOKUP(Waste!$V60,REF_LOCODE_PORTNAME_COUNTRY,2,FALSE))</f>
        <v>-</v>
      </c>
      <c r="X60" s="679"/>
      <c r="Y60" s="672" t="str">
        <f>IF(Validator!D43&lt;&gt;TRUE,"Amount or Unit missing",IF(Validator!D93&lt;&gt;TRUE,"LOCODE not valid",IF(AND(J60=0,L60=0,N60=0,Q60=0,T60=0),"Nothing reported","Waste type reported")))</f>
        <v>Nothing reported</v>
      </c>
      <c r="Z60" s="673"/>
    </row>
    <row r="61" spans="2:26" s="30" customFormat="1" ht="13.5" customHeight="1" thickTop="1" x14ac:dyDescent="0.2">
      <c r="B61" s="494" t="s">
        <v>34902</v>
      </c>
      <c r="C61" s="468"/>
      <c r="D61" s="468"/>
      <c r="E61" s="468"/>
      <c r="F61" s="468"/>
      <c r="G61" s="469"/>
      <c r="H61" s="468"/>
      <c r="I61" s="468"/>
      <c r="J61" s="557"/>
      <c r="K61" s="468"/>
      <c r="L61" s="557"/>
      <c r="M61" s="468"/>
      <c r="N61" s="557"/>
      <c r="O61" s="557"/>
      <c r="P61" s="468"/>
      <c r="Q61" s="557"/>
      <c r="R61" s="557"/>
      <c r="S61" s="468"/>
      <c r="T61" s="468"/>
      <c r="U61" s="468"/>
      <c r="V61" s="468"/>
      <c r="W61" s="847"/>
      <c r="X61" s="848"/>
      <c r="Y61" s="672"/>
      <c r="Z61" s="673"/>
    </row>
    <row r="62" spans="2:26" s="30" customFormat="1" ht="39.75" customHeight="1" x14ac:dyDescent="0.2">
      <c r="B62" s="458" t="e">
        <f>VLOOKUP(Waste!$D62, REF_WASTE_TYPE_CODE[], 2,FALSE)</f>
        <v>#N/A</v>
      </c>
      <c r="C62" s="490"/>
      <c r="D62" s="688"/>
      <c r="E62" s="689"/>
      <c r="F62" s="700"/>
      <c r="G62" s="853"/>
      <c r="H62" s="691"/>
      <c r="I62" s="692"/>
      <c r="J62" s="560"/>
      <c r="K62" s="530" t="s">
        <v>77</v>
      </c>
      <c r="L62" s="560"/>
      <c r="M62" s="530" t="s">
        <v>77</v>
      </c>
      <c r="N62" s="708"/>
      <c r="O62" s="709"/>
      <c r="P62" s="540" t="s">
        <v>77</v>
      </c>
      <c r="Q62" s="708"/>
      <c r="R62" s="709"/>
      <c r="S62" s="530" t="s">
        <v>77</v>
      </c>
      <c r="T62" s="470"/>
      <c r="U62" s="553" t="s">
        <v>77</v>
      </c>
      <c r="V62" s="443"/>
      <c r="W62" s="703" t="str">
        <f>IF(ISERROR(VLOOKUP(Waste!$V62,REF_LOCODE_PORTNAME_COUNTRY,2,FALSE)),"-",VLOOKUP(Waste!$V62,REF_LOCODE_PORTNAME_COUNTRY,2,FALSE))</f>
        <v>-</v>
      </c>
      <c r="X62" s="704"/>
      <c r="Y62" s="672" t="str">
        <f>IF(ISNA(B62),"Nothing reported",IF(Validator!D45&lt;&gt;TRUE,"Amount or Unit missing",IF(AND(L62=0,N62=0,Q62=0,T62=0),"Nothing reported","Waste type reported")))</f>
        <v>Nothing reported</v>
      </c>
      <c r="Z62" s="673"/>
    </row>
    <row r="63" spans="2:26" s="30" customFormat="1" ht="39.75" customHeight="1" x14ac:dyDescent="0.2">
      <c r="B63" s="458" t="e">
        <f>VLOOKUP(Waste!$D63, REF_WASTE_TYPE_CODE[], 2,FALSE)</f>
        <v>#N/A</v>
      </c>
      <c r="C63" s="475"/>
      <c r="D63" s="701"/>
      <c r="E63" s="702"/>
      <c r="F63" s="702"/>
      <c r="G63" s="854"/>
      <c r="H63" s="711"/>
      <c r="I63" s="712"/>
      <c r="J63" s="562"/>
      <c r="K63" s="533" t="s">
        <v>77</v>
      </c>
      <c r="L63" s="562"/>
      <c r="M63" s="533" t="s">
        <v>77</v>
      </c>
      <c r="N63" s="713"/>
      <c r="O63" s="714"/>
      <c r="P63" s="537" t="s">
        <v>77</v>
      </c>
      <c r="Q63" s="713"/>
      <c r="R63" s="714"/>
      <c r="S63" s="548" t="s">
        <v>77</v>
      </c>
      <c r="T63" s="454"/>
      <c r="U63" s="550" t="s">
        <v>77</v>
      </c>
      <c r="V63" s="481"/>
      <c r="W63" s="676" t="str">
        <f>IF(ISERROR(VLOOKUP(Waste!$V63,REF_LOCODE_PORTNAME_COUNTRY,2,FALSE)),"-",VLOOKUP(Waste!$V63,REF_LOCODE_PORTNAME_COUNTRY,2,FALSE))</f>
        <v>-</v>
      </c>
      <c r="X63" s="677"/>
      <c r="Y63" s="672" t="str">
        <f>IF(ISNA(B63),"Nothing reported",IF(Validator!D46&lt;&gt;TRUE,"Amount or Unit missing",IF(AND(L63=0,N63=0,Q63=0,T63=0),"Nothing reported","Waste type reported")))</f>
        <v>Nothing reported</v>
      </c>
      <c r="Z63" s="673"/>
    </row>
    <row r="64" spans="2:26" s="30" customFormat="1" ht="39.75" customHeight="1" x14ac:dyDescent="0.2">
      <c r="B64" s="458" t="e">
        <f>VLOOKUP(Waste!$D64, REF_WASTE_TYPE_CODE[], 2,FALSE)</f>
        <v>#N/A</v>
      </c>
      <c r="C64" s="476"/>
      <c r="D64" s="688"/>
      <c r="E64" s="689"/>
      <c r="F64" s="689"/>
      <c r="G64" s="853"/>
      <c r="H64" s="691"/>
      <c r="I64" s="692"/>
      <c r="J64" s="563"/>
      <c r="K64" s="532" t="s">
        <v>77</v>
      </c>
      <c r="L64" s="563"/>
      <c r="M64" s="532" t="s">
        <v>77</v>
      </c>
      <c r="N64" s="706"/>
      <c r="O64" s="707"/>
      <c r="P64" s="536" t="s">
        <v>77</v>
      </c>
      <c r="Q64" s="706"/>
      <c r="R64" s="707"/>
      <c r="S64" s="547" t="s">
        <v>77</v>
      </c>
      <c r="T64" s="453"/>
      <c r="U64" s="549" t="s">
        <v>77</v>
      </c>
      <c r="V64" s="480"/>
      <c r="W64" s="676" t="str">
        <f>IF(ISERROR(VLOOKUP(Waste!$V64,REF_LOCODE_PORTNAME_COUNTRY,2,FALSE)),"-",VLOOKUP(Waste!$V64,REF_LOCODE_PORTNAME_COUNTRY,2,FALSE))</f>
        <v>-</v>
      </c>
      <c r="X64" s="677"/>
      <c r="Y64" s="672" t="str">
        <f>IF(ISNA(B64),"Nothing reported",IF(Validator!D47&lt;&gt;TRUE,"Amount or Unit missing",IF(AND(L64=0,N64=0,Q64=0,T64=0),"Nothing reported","Waste type reported")))</f>
        <v>Nothing reported</v>
      </c>
      <c r="Z64" s="673"/>
    </row>
    <row r="65" spans="2:29" s="30" customFormat="1" ht="37.5" customHeight="1" thickBot="1" x14ac:dyDescent="0.25">
      <c r="B65" s="459" t="e">
        <f>VLOOKUP(Waste!$D65, REF_WASTE_TYPE_CODE[], 2,FALSE)</f>
        <v>#N/A</v>
      </c>
      <c r="C65" s="491"/>
      <c r="D65" s="849"/>
      <c r="E65" s="850"/>
      <c r="F65" s="850"/>
      <c r="G65" s="841"/>
      <c r="H65" s="842"/>
      <c r="I65" s="843"/>
      <c r="J65" s="565"/>
      <c r="K65" s="535" t="s">
        <v>77</v>
      </c>
      <c r="L65" s="565"/>
      <c r="M65" s="535" t="s">
        <v>77</v>
      </c>
      <c r="N65" s="857"/>
      <c r="O65" s="858"/>
      <c r="P65" s="543" t="s">
        <v>77</v>
      </c>
      <c r="Q65" s="857"/>
      <c r="R65" s="858"/>
      <c r="S65" s="535" t="s">
        <v>77</v>
      </c>
      <c r="T65" s="488"/>
      <c r="U65" s="543" t="s">
        <v>77</v>
      </c>
      <c r="V65" s="482"/>
      <c r="W65" s="855" t="str">
        <f>IF(ISERROR(VLOOKUP(Waste!$V65,REF_LOCODE_PORTNAME_COUNTRY,2,FALSE)),"-",VLOOKUP(Waste!$V65,REF_LOCODE_PORTNAME_COUNTRY,2,FALSE))</f>
        <v>-</v>
      </c>
      <c r="X65" s="856"/>
      <c r="Y65" s="851" t="str">
        <f>IF(ISNA(B65),"Nothing reported",IF(Validator!D48&lt;&gt;TRUE,"Amount or Unit missing",IF(AND(L65=0,N65=0,Q65=0,T65=0),"Nothing reported","Waste type reported")))</f>
        <v>Nothing reported</v>
      </c>
      <c r="Z65" s="852"/>
    </row>
    <row r="66" spans="2:29" s="30" customFormat="1" ht="1.5" hidden="1" customHeight="1" thickTop="1" x14ac:dyDescent="0.2">
      <c r="Y66" s="846"/>
      <c r="Z66" s="846"/>
    </row>
    <row r="67" spans="2:29" ht="19.5" hidden="1" customHeight="1" x14ac:dyDescent="0.2">
      <c r="B67" s="3" t="s">
        <v>33823</v>
      </c>
      <c r="C67" s="441" t="s">
        <v>37197</v>
      </c>
      <c r="Y67" s="840"/>
      <c r="Z67" s="840"/>
    </row>
    <row r="68" spans="2:29" ht="13.5" thickTop="1" x14ac:dyDescent="0.2">
      <c r="Y68" s="840"/>
      <c r="Z68" s="840"/>
      <c r="AC68" s="30"/>
    </row>
    <row r="69" spans="2:29" x14ac:dyDescent="0.2">
      <c r="Y69" s="840"/>
      <c r="Z69" s="840"/>
    </row>
    <row r="70" spans="2:29" x14ac:dyDescent="0.2">
      <c r="Y70" s="840"/>
      <c r="Z70" s="840"/>
    </row>
    <row r="71" spans="2:29" x14ac:dyDescent="0.2">
      <c r="Y71" s="840"/>
      <c r="Z71" s="840"/>
    </row>
    <row r="72" spans="2:29" x14ac:dyDescent="0.2">
      <c r="Y72" s="840"/>
      <c r="Z72" s="840"/>
    </row>
    <row r="73" spans="2:29" x14ac:dyDescent="0.2">
      <c r="Y73" s="840"/>
      <c r="Z73" s="840"/>
    </row>
    <row r="74" spans="2:29" x14ac:dyDescent="0.2">
      <c r="Y74" s="840"/>
      <c r="Z74" s="840"/>
    </row>
  </sheetData>
  <sheetProtection algorithmName="SHA-512" hashValue="hha6UmED7A96UA6YQ176tAiYAaCJgsg0OH2f7I60hGtZWCUgY/WVCV/n101uQd7CNdjVHxFvKcPj9v/Y2eH6rg==" saltValue="XqIaq2r+A/QaqH5jmSf3fg==" spinCount="100000" sheet="1" formatCells="0" formatColumns="0" formatRows="0" selectLockedCells="1"/>
  <dataConsolidate link="1"/>
  <mergeCells count="296">
    <mergeCell ref="W35:X35"/>
    <mergeCell ref="Q27:R27"/>
    <mergeCell ref="Q35:R35"/>
    <mergeCell ref="W39:X39"/>
    <mergeCell ref="W36:X36"/>
    <mergeCell ref="W42:X42"/>
    <mergeCell ref="Q31:R31"/>
    <mergeCell ref="Q33:R33"/>
    <mergeCell ref="Q29:R29"/>
    <mergeCell ref="W50:X50"/>
    <mergeCell ref="W45:X45"/>
    <mergeCell ref="W46:X46"/>
    <mergeCell ref="W54:X54"/>
    <mergeCell ref="W51:X51"/>
    <mergeCell ref="Q42:R42"/>
    <mergeCell ref="Q46:R46"/>
    <mergeCell ref="Q45:R45"/>
    <mergeCell ref="Q43:R43"/>
    <mergeCell ref="W60:X60"/>
    <mergeCell ref="Y65:Z65"/>
    <mergeCell ref="Y63:Z63"/>
    <mergeCell ref="Y74:Z74"/>
    <mergeCell ref="G62:I62"/>
    <mergeCell ref="G63:I63"/>
    <mergeCell ref="G64:I64"/>
    <mergeCell ref="Y70:Z70"/>
    <mergeCell ref="G65:I65"/>
    <mergeCell ref="W65:X65"/>
    <mergeCell ref="Q62:R62"/>
    <mergeCell ref="N65:O65"/>
    <mergeCell ref="Q65:R65"/>
    <mergeCell ref="Q63:R63"/>
    <mergeCell ref="C54:F54"/>
    <mergeCell ref="Y71:Z71"/>
    <mergeCell ref="Y72:Z72"/>
    <mergeCell ref="Y73:Z73"/>
    <mergeCell ref="G58:I58"/>
    <mergeCell ref="G59:I59"/>
    <mergeCell ref="G60:I60"/>
    <mergeCell ref="W57:X57"/>
    <mergeCell ref="W58:X58"/>
    <mergeCell ref="W59:X59"/>
    <mergeCell ref="N59:O59"/>
    <mergeCell ref="N60:O60"/>
    <mergeCell ref="Y64:Z64"/>
    <mergeCell ref="Y66:Z66"/>
    <mergeCell ref="Y67:Z67"/>
    <mergeCell ref="Y68:Z68"/>
    <mergeCell ref="Y69:Z69"/>
    <mergeCell ref="Q60:R60"/>
    <mergeCell ref="N64:O64"/>
    <mergeCell ref="Q64:R64"/>
    <mergeCell ref="W64:X64"/>
    <mergeCell ref="N63:O63"/>
    <mergeCell ref="W61:X61"/>
    <mergeCell ref="D65:F65"/>
    <mergeCell ref="N47:O47"/>
    <mergeCell ref="N46:O46"/>
    <mergeCell ref="N45:O45"/>
    <mergeCell ref="Q39:R39"/>
    <mergeCell ref="Q36:R36"/>
    <mergeCell ref="Q37:R37"/>
    <mergeCell ref="Q38:R38"/>
    <mergeCell ref="Q47:R47"/>
    <mergeCell ref="N31:O31"/>
    <mergeCell ref="Q34:R34"/>
    <mergeCell ref="N32:O32"/>
    <mergeCell ref="Q32:R32"/>
    <mergeCell ref="C41:F41"/>
    <mergeCell ref="C42:F42"/>
    <mergeCell ref="Q40:R40"/>
    <mergeCell ref="Q41:R41"/>
    <mergeCell ref="C36:F36"/>
    <mergeCell ref="C45:F45"/>
    <mergeCell ref="G41:I41"/>
    <mergeCell ref="G42:I42"/>
    <mergeCell ref="N39:O39"/>
    <mergeCell ref="N40:O40"/>
    <mergeCell ref="C37:F37"/>
    <mergeCell ref="G49:I49"/>
    <mergeCell ref="G43:I43"/>
    <mergeCell ref="C47:F47"/>
    <mergeCell ref="G47:I47"/>
    <mergeCell ref="N36:O36"/>
    <mergeCell ref="C27:F27"/>
    <mergeCell ref="C44:F44"/>
    <mergeCell ref="C43:F43"/>
    <mergeCell ref="C46:F46"/>
    <mergeCell ref="G39:I39"/>
    <mergeCell ref="G40:I40"/>
    <mergeCell ref="G45:I45"/>
    <mergeCell ref="G46:I46"/>
    <mergeCell ref="G44:I44"/>
    <mergeCell ref="N29:O29"/>
    <mergeCell ref="C39:F39"/>
    <mergeCell ref="C40:F40"/>
    <mergeCell ref="N35:O35"/>
    <mergeCell ref="N34:O34"/>
    <mergeCell ref="N37:O37"/>
    <mergeCell ref="N38:O38"/>
    <mergeCell ref="N33:O33"/>
    <mergeCell ref="C49:F49"/>
    <mergeCell ref="C38:F38"/>
    <mergeCell ref="J22:K22"/>
    <mergeCell ref="C29:F29"/>
    <mergeCell ref="C31:F31"/>
    <mergeCell ref="C35:F35"/>
    <mergeCell ref="G35:I35"/>
    <mergeCell ref="G36:I36"/>
    <mergeCell ref="G37:I37"/>
    <mergeCell ref="G38:I38"/>
    <mergeCell ref="G34:I34"/>
    <mergeCell ref="G29:I29"/>
    <mergeCell ref="G31:I31"/>
    <mergeCell ref="G33:I33"/>
    <mergeCell ref="C33:F33"/>
    <mergeCell ref="C34:F34"/>
    <mergeCell ref="G32:I32"/>
    <mergeCell ref="Y23:Z23"/>
    <mergeCell ref="B15:C15"/>
    <mergeCell ref="N24:O24"/>
    <mergeCell ref="C26:F26"/>
    <mergeCell ref="Q24:R24"/>
    <mergeCell ref="Q26:R26"/>
    <mergeCell ref="Q25:R25"/>
    <mergeCell ref="I15:K15"/>
    <mergeCell ref="I16:K16"/>
    <mergeCell ref="I17:K17"/>
    <mergeCell ref="C22:F22"/>
    <mergeCell ref="G24:I24"/>
    <mergeCell ref="G25:I25"/>
    <mergeCell ref="G26:I26"/>
    <mergeCell ref="N25:O25"/>
    <mergeCell ref="Q22:S22"/>
    <mergeCell ref="I18:K18"/>
    <mergeCell ref="G22:I22"/>
    <mergeCell ref="P15:V15"/>
    <mergeCell ref="P16:V16"/>
    <mergeCell ref="P17:V17"/>
    <mergeCell ref="N22:P22"/>
    <mergeCell ref="N26:O26"/>
    <mergeCell ref="L22:M22"/>
    <mergeCell ref="AA22:AD26"/>
    <mergeCell ref="F16:H16"/>
    <mergeCell ref="T22:U22"/>
    <mergeCell ref="F15:H15"/>
    <mergeCell ref="N27:O27"/>
    <mergeCell ref="B20:Z21"/>
    <mergeCell ref="G27:I27"/>
    <mergeCell ref="P18:V18"/>
    <mergeCell ref="L15:O15"/>
    <mergeCell ref="L16:O16"/>
    <mergeCell ref="L17:O17"/>
    <mergeCell ref="L18:O18"/>
    <mergeCell ref="C24:F24"/>
    <mergeCell ref="F18:H18"/>
    <mergeCell ref="C25:F25"/>
    <mergeCell ref="F17:H17"/>
    <mergeCell ref="Y22:Z22"/>
    <mergeCell ref="Y24:Z24"/>
    <mergeCell ref="Y25:Z25"/>
    <mergeCell ref="Y26:Z26"/>
    <mergeCell ref="Y27:Z27"/>
    <mergeCell ref="B16:C16"/>
    <mergeCell ref="B17:C17"/>
    <mergeCell ref="B18:C18"/>
    <mergeCell ref="N5:Z6"/>
    <mergeCell ref="N9:Q9"/>
    <mergeCell ref="B7:B10"/>
    <mergeCell ref="B13:D14"/>
    <mergeCell ref="N10:Q10"/>
    <mergeCell ref="R7:Z7"/>
    <mergeCell ref="R8:Z8"/>
    <mergeCell ref="R9:Z9"/>
    <mergeCell ref="R10:Z10"/>
    <mergeCell ref="N7:Q8"/>
    <mergeCell ref="F13:V14"/>
    <mergeCell ref="X13:AB14"/>
    <mergeCell ref="J8:L8"/>
    <mergeCell ref="J9:L9"/>
    <mergeCell ref="F5:L6"/>
    <mergeCell ref="B5:D6"/>
    <mergeCell ref="H7:H8"/>
    <mergeCell ref="J7:L7"/>
    <mergeCell ref="F7:G9"/>
    <mergeCell ref="X15:AB16"/>
    <mergeCell ref="C52:F52"/>
    <mergeCell ref="C53:F53"/>
    <mergeCell ref="C58:F58"/>
    <mergeCell ref="W49:X49"/>
    <mergeCell ref="C50:F50"/>
    <mergeCell ref="N50:O50"/>
    <mergeCell ref="C51:F51"/>
    <mergeCell ref="N41:O41"/>
    <mergeCell ref="N42:O42"/>
    <mergeCell ref="N43:O43"/>
    <mergeCell ref="N44:O44"/>
    <mergeCell ref="Q51:R51"/>
    <mergeCell ref="G50:I50"/>
    <mergeCell ref="N51:O51"/>
    <mergeCell ref="G52:I52"/>
    <mergeCell ref="G51:I51"/>
    <mergeCell ref="C57:F57"/>
    <mergeCell ref="Q44:R44"/>
    <mergeCell ref="Q49:R49"/>
    <mergeCell ref="Q50:R50"/>
    <mergeCell ref="N49:O49"/>
    <mergeCell ref="N54:O54"/>
    <mergeCell ref="W44:X44"/>
    <mergeCell ref="G53:I53"/>
    <mergeCell ref="G54:I54"/>
    <mergeCell ref="N55:O55"/>
    <mergeCell ref="N56:O56"/>
    <mergeCell ref="N57:O57"/>
    <mergeCell ref="N58:O58"/>
    <mergeCell ref="N52:O52"/>
    <mergeCell ref="N53:O53"/>
    <mergeCell ref="Q53:R53"/>
    <mergeCell ref="Q52:R52"/>
    <mergeCell ref="Q55:R55"/>
    <mergeCell ref="Q57:R57"/>
    <mergeCell ref="Q58:R58"/>
    <mergeCell ref="Q54:R54"/>
    <mergeCell ref="Q56:R56"/>
    <mergeCell ref="Y55:Z55"/>
    <mergeCell ref="Y56:Z56"/>
    <mergeCell ref="Y57:Z57"/>
    <mergeCell ref="Y58:Z58"/>
    <mergeCell ref="Y59:Z59"/>
    <mergeCell ref="Y60:Z60"/>
    <mergeCell ref="Y61:Z61"/>
    <mergeCell ref="Y62:Z62"/>
    <mergeCell ref="D64:F64"/>
    <mergeCell ref="G55:I55"/>
    <mergeCell ref="G56:I56"/>
    <mergeCell ref="G57:I57"/>
    <mergeCell ref="C55:F55"/>
    <mergeCell ref="C56:F56"/>
    <mergeCell ref="D62:F62"/>
    <mergeCell ref="D63:F63"/>
    <mergeCell ref="W62:X62"/>
    <mergeCell ref="W63:X63"/>
    <mergeCell ref="C59:F59"/>
    <mergeCell ref="C60:F60"/>
    <mergeCell ref="Q59:R59"/>
    <mergeCell ref="N62:O62"/>
    <mergeCell ref="W55:X55"/>
    <mergeCell ref="W56:X56"/>
    <mergeCell ref="Y54:Z54"/>
    <mergeCell ref="W40:X40"/>
    <mergeCell ref="Y34:Z34"/>
    <mergeCell ref="Y35:Z35"/>
    <mergeCell ref="Y36:Z36"/>
    <mergeCell ref="Y37:Z37"/>
    <mergeCell ref="Y38:Z38"/>
    <mergeCell ref="Y40:Z40"/>
    <mergeCell ref="Y41:Z41"/>
    <mergeCell ref="Y42:Z42"/>
    <mergeCell ref="W41:X41"/>
    <mergeCell ref="W37:X37"/>
    <mergeCell ref="Y49:Z49"/>
    <mergeCell ref="Y50:Z50"/>
    <mergeCell ref="Y51:Z51"/>
    <mergeCell ref="Y52:Z52"/>
    <mergeCell ref="Y53:Z53"/>
    <mergeCell ref="Y43:Z43"/>
    <mergeCell ref="Y48:Z48"/>
    <mergeCell ref="Y47:Z47"/>
    <mergeCell ref="W47:X47"/>
    <mergeCell ref="W52:X52"/>
    <mergeCell ref="W53:X53"/>
    <mergeCell ref="W38:X38"/>
    <mergeCell ref="AA38:AD44"/>
    <mergeCell ref="X17:AB17"/>
    <mergeCell ref="Y45:Z45"/>
    <mergeCell ref="Y46:Z46"/>
    <mergeCell ref="Y33:Z33"/>
    <mergeCell ref="Y39:Z39"/>
    <mergeCell ref="Y44:Z44"/>
    <mergeCell ref="W43:X43"/>
    <mergeCell ref="Y32:Z32"/>
    <mergeCell ref="Y29:Z29"/>
    <mergeCell ref="Y30:Z30"/>
    <mergeCell ref="Y31:Z31"/>
    <mergeCell ref="Y28:Z28"/>
    <mergeCell ref="W25:X25"/>
    <mergeCell ref="W26:X26"/>
    <mergeCell ref="W27:X27"/>
    <mergeCell ref="W29:X29"/>
    <mergeCell ref="W31:X31"/>
    <mergeCell ref="W32:X32"/>
    <mergeCell ref="W22:X22"/>
    <mergeCell ref="W24:X24"/>
    <mergeCell ref="W33:X33"/>
    <mergeCell ref="W34:X34"/>
    <mergeCell ref="AA27:AD37"/>
  </mergeCells>
  <conditionalFormatting sqref="R9">
    <cfRule type="containsErrors" dxfId="105" priority="73">
      <formula>ISERROR(R9)</formula>
    </cfRule>
  </conditionalFormatting>
  <conditionalFormatting sqref="R10">
    <cfRule type="containsErrors" dxfId="104" priority="72">
      <formula>ISERROR(R10)</formula>
    </cfRule>
  </conditionalFormatting>
  <conditionalFormatting sqref="I2">
    <cfRule type="expression" dxfId="103" priority="60">
      <formula>WAS_STATUS="Empty"</formula>
    </cfRule>
    <cfRule type="expression" dxfId="102" priority="64">
      <formula>WAS_STATUS="Invalid"</formula>
    </cfRule>
    <cfRule type="expression" dxfId="101" priority="65">
      <formula>WAS_STATUS="VALID"</formula>
    </cfRule>
  </conditionalFormatting>
  <conditionalFormatting sqref="V24:V27 V29 V31:V42">
    <cfRule type="expression" dxfId="100" priority="62">
      <formula>IF(WAS_OVE_STATUS="All", TRUE)</formula>
    </cfRule>
  </conditionalFormatting>
  <conditionalFormatting sqref="V43:V44">
    <cfRule type="expression" dxfId="99" priority="43">
      <formula>IF(WAS_OVE_STATUS="All", TRUE)</formula>
    </cfRule>
  </conditionalFormatting>
  <conditionalFormatting sqref="V49">
    <cfRule type="expression" dxfId="98" priority="38">
      <formula>IF(WAS_OVE_STATUS="All", TRUE)</formula>
    </cfRule>
  </conditionalFormatting>
  <conditionalFormatting sqref="V50">
    <cfRule type="expression" dxfId="97" priority="35">
      <formula>IF(WAS_OVE_STATUS="All", TRUE)</formula>
    </cfRule>
  </conditionalFormatting>
  <conditionalFormatting sqref="V51">
    <cfRule type="expression" dxfId="96" priority="34">
      <formula>IF(WAS_OVE_STATUS="All", TRUE)</formula>
    </cfRule>
  </conditionalFormatting>
  <conditionalFormatting sqref="V52">
    <cfRule type="expression" dxfId="95" priority="33">
      <formula>IF(WAS_OVE_STATUS="All", TRUE)</formula>
    </cfRule>
  </conditionalFormatting>
  <conditionalFormatting sqref="V53">
    <cfRule type="expression" dxfId="94" priority="32">
      <formula>IF(WAS_OVE_STATUS="All", TRUE)</formula>
    </cfRule>
  </conditionalFormatting>
  <conditionalFormatting sqref="V54">
    <cfRule type="expression" dxfId="93" priority="31">
      <formula>IF(WAS_OVE_STATUS="All", TRUE)</formula>
    </cfRule>
  </conditionalFormatting>
  <conditionalFormatting sqref="V55">
    <cfRule type="expression" dxfId="92" priority="30">
      <formula>IF(WAS_OVE_STATUS="All", TRUE)</formula>
    </cfRule>
  </conditionalFormatting>
  <conditionalFormatting sqref="V56">
    <cfRule type="expression" dxfId="91" priority="29">
      <formula>IF(WAS_OVE_STATUS="All", TRUE)</formula>
    </cfRule>
  </conditionalFormatting>
  <conditionalFormatting sqref="V57">
    <cfRule type="expression" dxfId="90" priority="28">
      <formula>IF(WAS_OVE_STATUS="All", TRUE)</formula>
    </cfRule>
  </conditionalFormatting>
  <conditionalFormatting sqref="V58">
    <cfRule type="expression" dxfId="89" priority="27">
      <formula>IF(WAS_OVE_STATUS="All", TRUE)</formula>
    </cfRule>
  </conditionalFormatting>
  <conditionalFormatting sqref="V59">
    <cfRule type="expression" dxfId="88" priority="26">
      <formula>IF(WAS_OVE_STATUS="All", TRUE)</formula>
    </cfRule>
  </conditionalFormatting>
  <conditionalFormatting sqref="V60">
    <cfRule type="expression" dxfId="87" priority="25">
      <formula>IF(WAS_OVE_STATUS="All", TRUE)</formula>
    </cfRule>
  </conditionalFormatting>
  <conditionalFormatting sqref="V62">
    <cfRule type="expression" dxfId="86" priority="22">
      <formula>IF(WAS_OVE_STATUS="All", TRUE)</formula>
    </cfRule>
  </conditionalFormatting>
  <conditionalFormatting sqref="V65">
    <cfRule type="expression" dxfId="85" priority="19">
      <formula>IF(WAS_OVE_STATUS="All", TRUE)</formula>
    </cfRule>
  </conditionalFormatting>
  <conditionalFormatting sqref="V63">
    <cfRule type="expression" dxfId="84" priority="21">
      <formula>IF(WAS_OVE_STATUS="All", TRUE)</formula>
    </cfRule>
  </conditionalFormatting>
  <conditionalFormatting sqref="V64">
    <cfRule type="expression" dxfId="83" priority="20">
      <formula>IF(WAS_OVE_STATUS="All", TRUE)</formula>
    </cfRule>
  </conditionalFormatting>
  <conditionalFormatting sqref="Y24:Y65">
    <cfRule type="expression" dxfId="82" priority="16">
      <formula>Y24="Waste type reported"</formula>
    </cfRule>
  </conditionalFormatting>
  <conditionalFormatting sqref="Y23">
    <cfRule type="expression" dxfId="81" priority="11">
      <formula>Y23="Values Reported"</formula>
    </cfRule>
  </conditionalFormatting>
  <conditionalFormatting sqref="Y24:Y65">
    <cfRule type="expression" dxfId="80" priority="8">
      <formula>Y24="Use both dropdowns to select item"</formula>
    </cfRule>
    <cfRule type="expression" dxfId="79" priority="9">
      <formula>Y24="LOCODE not valid"</formula>
    </cfRule>
    <cfRule type="expression" dxfId="78" priority="10">
      <formula>Y24="Amount or Unit missing"</formula>
    </cfRule>
  </conditionalFormatting>
  <conditionalFormatting sqref="V47">
    <cfRule type="expression" dxfId="77" priority="2">
      <formula>IF(WAS_OVE_STATUS="All", TRUE)</formula>
    </cfRule>
  </conditionalFormatting>
  <conditionalFormatting sqref="V45">
    <cfRule type="expression" dxfId="76" priority="3">
      <formula>IF(WAS_OVE_STATUS="All", TRUE)</formula>
    </cfRule>
  </conditionalFormatting>
  <conditionalFormatting sqref="V46">
    <cfRule type="expression" dxfId="75" priority="1">
      <formula>IF(WAS_OVE_STATUS="All", TRUE)</formula>
    </cfRule>
  </conditionalFormatting>
  <dataValidations xWindow="662" yWindow="1489" count="32">
    <dataValidation type="date" operator="greaterThanOrEqual" allowBlank="1" showInputMessage="1" showErrorMessage="1" errorTitle="Invalid Date" error="Invalid date.Should be in Excel date format" promptTitle="Last port delivered date" prompt="Date of last waste delivery_x000a__x000a_Invalid date. Try inserting the date in the same format as your computer system's date format._x000a_" sqref="D17">
      <formula1>1</formula1>
    </dataValidation>
    <dataValidation type="list" allowBlank="1" showInputMessage="1" showErrorMessage="1" error="Choose from dropdown menu." promptTitle="Waste delivery status" prompt="The amount of waste to be delivered_x000a__x000a_Choose from dropdown menu" sqref="D18">
      <formula1>Waste_delivery_status</formula1>
    </dataValidation>
    <dataValidation type="custom" operator="equal" allowBlank="1" showDropDown="1" showInputMessage="1" showErrorMessage="1" error="Invalid LOCODE: must be 5 characters of letters and numbers with no spaces." promptTitle="Last port delivered" prompt="Port where waste was last delivered_x000a__x000a_Use the LOCODE lookup to find the correct code_x000a__x000a_Must be valid LOCODE" sqref="D15">
      <formula1>IFERROR(AND(SUMPRODUCT(SEARCH(MID(D15,ROW(INDIRECT("1:"&amp;LEN(D15))),1),"abcdefghijklmnopqrstuvwxyz0123456789")),LEN(D15)=5),FALSE)</formula1>
    </dataValidation>
    <dataValidation type="textLength" allowBlank="1" showInputMessage="1" showErrorMessage="1" promptTitle="Ship name" prompt="Name of the vessel_x000a__x000a_Accepted characters are uppercase (A-Z) and lowercase letters (a-z), numerals (0-9) and the special characters dots (&quot;.&quot;), dashes (&quot;-&quot;) and single apostrophe (&quot;'&quot;)_x000a__x000a__x000a_Max 35 characters" sqref="D8">
      <formula1>0</formula1>
      <formula2>35</formula2>
    </dataValidation>
    <dataValidation type="list" allowBlank="1" showInputMessage="1" showErrorMessage="1" promptTitle="Flag state" prompt="Select country from drop down list." sqref="D12">
      <formula1>REF_COUNTRIES</formula1>
    </dataValidation>
    <dataValidation type="custom" allowBlank="1" showInputMessage="1" errorTitle="Error" error="IMO must be a 7 digit number" promptTitle="IMO number" prompt="IMO number of the vessel_x000a__x000a_Valid 7 digit number in correct IMO format" sqref="D7">
      <formula1>IF(ISBLANK(D7), TRUE(),IFERROR(IF(AND(LEN(TRIM(D7))=7,EXACT(MOD(RIGHT(LEFT(D7,1),1)*7+RIGHT(LEFT(D7,2),1)*6+RIGHT(LEFT(D7,3),1)*5+RIGHT(LEFT(D7,4),1)*4+RIGHT(LEFT(D7,5),1)*3+RIGHT(LEFT(D7,6),1)*2,10),RIGHT(LEFT(D7,7)))),TRUE(),FALSE()),FALSE()))</formula1>
    </dataValidation>
    <dataValidation type="whole" allowBlank="1" showInputMessage="1" showErrorMessage="1" promptTitle="MMSI number" prompt="MMSI number of the vessel_x000a__x000a_Must be a 9 digit number" sqref="D10">
      <formula1>100000000</formula1>
      <formula2>999999999</formula2>
    </dataValidation>
    <dataValidation type="textLength" allowBlank="1" showInputMessage="1" showErrorMessage="1" promptTitle="Call sign" prompt="Call sign of the vessel_x000a__x000a_Max 7 characters" sqref="D9">
      <formula1>0</formula1>
      <formula2>7</formula2>
    </dataValidation>
    <dataValidation type="custom" operator="equal" showDropDown="1" showInputMessage="1" showErrorMessage="1" error="Invalid LOCODE: must be 5 characters of letters and numbers with no spaces." prompt="Search for LOCODE using the selector above or insert the 5 character code here." sqref="I17:K17 P17:V17">
      <formula1>IFERROR(AND(SUMPRODUCT(SEARCH(MID(I17,ROW(INDIRECT("1:"&amp;LEN(I17))),1),"abcdefghijklmnopqrstuvwxyz0123456789")),LEN(I17)=5),FALSE)</formula1>
    </dataValidation>
    <dataValidation type="custom" operator="lessThanOrEqual" allowBlank="1" showInputMessage="1" showErrorMessage="1" errorTitle="Invalid Input" error="Must be a positive number, less than 9,999,999,999 and have max of 3 decimal places." promptTitle="Waste to be delivered" prompt="The amount of waste which will be delivered at the port of call_x000a__x000a_Must be a positive number, less than 9,999,999,999,999 and have max of 3 decimal places" sqref="L28 L30 L48 L61 J28 J30 J48">
      <formula1>OR(ISBLANK(J28),AND(ISNUMBER(J28),LEN(J28)-(IF(ISNUMBER(SEARCH(".",J28)),SEARCH(".",J28),LEN(J28)))&lt;=3,J28&lt;=9999999999999,J28&gt;=0))</formula1>
    </dataValidation>
    <dataValidation type="custom" operator="lessThanOrEqual" allowBlank="1" showInputMessage="1" showErrorMessage="1" errorTitle="Invalid Input" error="Number must be less than 9,999,999,999 and have max 3 decimal places." promptTitle="Waste capacity" prompt="The vessels capacity for storing waste of this type_x000a__x000a_Must be a positive number, less than 9,999,999,999,999 and have max of 3 decimal places" sqref="N61:O61 N48:O48 N30:O30 N28:O28">
      <formula1>OR(ISBLANK(N28),AND(ISNUMBER(N28),LEN(N28)-(IF(ISNUMBER(SEARCH(".",N28)),SEARCH(".",N28),LEN(N28)))&lt;=3,N28&lt;=9999999999999,N28&gt;=0))</formula1>
    </dataValidation>
    <dataValidation type="custom" operator="lessThanOrEqual" allowBlank="1" showInputMessage="1" showErrorMessage="1" errorTitle="Invalid Input" error="Must be a positive number, less than 9,999,999,999 and have max of 3 decimal places." promptTitle="Estimated waste creation" prompt="The estimated quantity of waste which will be created before arrival at the port of call_x000a__x000a_Must be a positive number, less than 9,999,999,999,999 and have max of 3 decimal places" sqref="T61 T48 T30 T28">
      <formula1>OR(ISBLANK(T28),AND(ISNUMBER(T28),LEN(T28)-(IF(ISNUMBER(SEARCH(".",T28)),SEARCH(".",T28),LEN(T28)))&lt;=3,T28&lt;=9999999999999,T28&gt;=0))</formula1>
    </dataValidation>
    <dataValidation type="list" allowBlank="1" showInputMessage="1" showErrorMessage="1" promptTitle="Flag state" prompt="Flag state of the vessel_x000a__x000a_Choose from dropdown menu" sqref="D11">
      <formula1>REF_COUNTRIES</formula1>
    </dataValidation>
    <dataValidation type="textLength" allowBlank="1" showInputMessage="1" showErrorMessage="1" error="Max 255 characters." promptTitle="Waste type description" prompt="Description of waste_x000a__x000a_Only required for some waste types. Required if cell is white_x000a__x000a_Max 255 characters" sqref="G24:G26 H61:I61 H48:I48 H30:I30 H28:I28 G27:I27 G43:I43 G29:I29 G44 G45:I47 G49:G51 G52:I60 G62:I65 G31:G42">
      <formula1>0</formula1>
      <formula2>255</formula2>
    </dataValidation>
    <dataValidation type="custom" operator="lessThanOrEqual" allowBlank="1" showInputMessage="1" showErrorMessage="1" errorTitle="Invalid Input" error="Must be a positive number, less than 9,999,999,999 and have max of 3 decimal places." promptTitle="Waste retained" prompt="The quantity of waste which will be retained aboard the vessel_x000a__x000a_Must be a positive number, less than 9,999,999,999,999 and have max of 3 decimal places" sqref="Q28:R28 Q30:R30 Q48:R48 Q61:R61">
      <formula1>OR(ISBLANK(Q28),AND(ISNUMBER(Q28),LEN(Q28)-(IF(ISNUMBER(SEARCH(".",Q28)),SEARCH(".",Q28),LEN(Q28)))&lt;=3,Q28&lt;=9999999999999,Q28&gt;=0))</formula1>
    </dataValidation>
    <dataValidation errorStyle="warning" allowBlank="1" errorTitle="Warning" error="Invalid waste type code" promptTitle="Waste type code" prompt="Select waste category and waste type to find the correct waste type code" sqref="G48 G28 G30 G61"/>
    <dataValidation type="list" allowBlank="1" showInputMessage="1" showErrorMessage="1" error="This field can only be populated after the ‘Waste Category’ has been selected_x000a__x000a_Choose from dropdown menu." prompt="The specific type of waste to be delivered_x000a__x000a_This field can only be populated after the ‘Waste Category’ has been selected" sqref="D62:F65">
      <formula1>INDIRECT(C62)</formula1>
    </dataValidation>
    <dataValidation type="list" allowBlank="1" showInputMessage="1" showErrorMessage="1" error="Choose from dropdown menu_x000a_" promptTitle="Waste category" prompt="The general category of the waste to be delivered _x000a__x000a_To update this field after a 'Waste type' has been selected delete the 'Waste type' field for this row_x000a__x000a_Choose from dropdown menu" sqref="C62:C65">
      <formula1>Waste_Categories</formula1>
    </dataValidation>
    <dataValidation type="custom" operator="lessThanOrEqual" allowBlank="1" showInputMessage="1" showErrorMessage="1" errorTitle="Invalid Input" error="Must be a positive number, less than 9,999,999 and have max of 3 decimal places." promptTitle="Waste to be delivered" prompt="The amount of waste which will be delivered at the port of call_x000a__x000a_Must be a positive number, less than 9,999,999 and have max of 3 decimal places" sqref="L62:L65 L29 L24:L27 L49:L60 L31:L47 J29 J24:J27 J49:J60 J31:J47">
      <formula1>OR(ISBLANK(J24),AND(ISNUMBER(J24),LEN(J24)-(IF(ISNUMBER(SEARCH(".",J24)),SEARCH(".",J24),LEN(J24)))&lt;=3,J24&lt;=9999999,J24&gt;=0))</formula1>
    </dataValidation>
    <dataValidation type="custom" operator="lessThanOrEqual" allowBlank="1" showInputMessage="1" showErrorMessage="1" errorTitle="Invalid Input" error="Number must be less than 9,999,999 and have max 3 decimal places." promptTitle="Waste capacity" prompt="The vessels capacity for storing waste of this type_x000a__x000a_Must be a positive number, less than 9,999,999 and have max of 3 decimal places" sqref="N24:O27 N29:O29 N62:O65 N49:O60 N31:O47">
      <formula1>OR(ISBLANK(N24),AND(ISNUMBER(N24),LEN(N24)-(IF(ISNUMBER(SEARCH(".",N24)),SEARCH(".",N24),LEN(N24)))&lt;=3,N24&lt;=9999999,N24&gt;=0))</formula1>
    </dataValidation>
    <dataValidation type="custom" operator="lessThanOrEqual" allowBlank="1" showInputMessage="1" showErrorMessage="1" errorTitle="Invalid Input" error="Must be a positive number, less than 9,999,999 and have max of 3 decimal places." promptTitle="Waste retained" prompt="The quantity of waste which will be retained aboard the vessel_x000a__x000a_Must be a positive number, less than 9,999,999 and have max of 3 decimal places" sqref="Q62:R65 Q29:R29 Q24:R27 Q49:R60 Q31:R47">
      <formula1>OR(ISBLANK(Q24),AND(ISNUMBER(Q24),LEN(Q24)-(IF(ISNUMBER(SEARCH(".",Q24)),SEARCH(".",Q24),LEN(Q24)))&lt;=3,Q24&lt;=9999999,Q24&gt;=0))</formula1>
    </dataValidation>
    <dataValidation type="custom" operator="lessThanOrEqual" allowBlank="1" showInputMessage="1" showErrorMessage="1" errorTitle="Invalid Input" error="Must be a positive number, less than 9,999,999 and have max of 3 decimal places." promptTitle="Estimated waste creation" prompt="The estimated quantity of waste which will be created before arrival at the port of call_x000a__x000a_Must be a positive number, less than 9,999,999 and have max of 3 decimal places" sqref="T24:T27 T29 T62:T65 T49:T60 T31:T47">
      <formula1>OR(ISBLANK(T24),AND(ISNUMBER(T24),LEN(T24)-(IF(ISNUMBER(SEARCH(".",T24)),SEARCH(".",T24),LEN(T24)))&lt;=3,T24&lt;=9999999,T24&gt;=0))</formula1>
    </dataValidation>
    <dataValidation type="date" allowBlank="1" showInputMessage="1" showErrorMessage="1" errorTitle="Invalid Date" error="Invalid date. Try inserting the date in the same format as your computer system's date format. Should be in Excel datetime format" promptTitle="ETD from last port" prompt="The expected time of departure from the last port_x000a__x000a_Must be less than ETA to port of call_x000a__x000a_Try inserting the date in the same format as your computer system's datetime format." sqref="I18:K18">
      <formula1>1</formula1>
      <formula2>72686</formula2>
    </dataValidation>
    <dataValidation type="date" allowBlank="1" showInputMessage="1" showErrorMessage="1" errorTitle="Invalid Date" error="Invalid date. Try inserting the date in the same format as your computer system's date format. Should be in Excel datetime format" promptTitle="ETA to next port" prompt="The ETA at the next port after the port of call_x000a__x000a_Must be after the ETA to port of call_x000a__x000a_Try inserting the date in the same format as your computer system's datetime format._x000a_ " sqref="P18:V18">
      <formula1>1</formula1>
      <formula2>72686</formula2>
    </dataValidation>
    <dataValidation type="custom" operator="equal" allowBlank="1" showDropDown="1" showInputMessage="1" showErrorMessage="1" error="Invalid LOCODE: must be 5 characters of letters and numbers with no spaces" promptTitle="Port LOCODE" prompt="Name of the port where this form was completed_x000a__x000a_At least one location element (LOCODE, Location name) must be provided_x000a__x000a_Must be valid LOCODE" sqref="J7:L7">
      <formula1>IFERROR(AND(SUMPRODUCT(SEARCH(MID(J7,ROW(INDIRECT("1:"&amp;LEN(J7))),1),"abcdefghijklmnopqrstuvwxyz0123456789")),LEN(J7)=5),FALSE)</formula1>
    </dataValidation>
    <dataValidation type="textLength" operator="lessThanOrEqual" allowBlank="1" showInputMessage="1" showErrorMessage="1" error="Max 50 characters_x000a_" promptTitle="Location name" prompt="Location at time of form completion_x000a__x000a_At least one location element (LOCODE, Latitude/Longitude, Location name) must be provided_x000a__x000a__x000a_Location name must have max 50 characters" sqref="J9:L9">
      <formula1>50</formula1>
    </dataValidation>
    <dataValidation allowBlank="1" showDropDown="1" showInputMessage="1" errorTitle="Error" error="Invalid LOCODE. Use the 'LOCODE lookup' on the top right to find the correct LOCODE." promptTitle="Port name" sqref="W24:W65"/>
    <dataValidation showInputMessage="1" showErrorMessage="1" error="Select from dropdown" promptTitle="Waste creation unit" prompt="Unit of measurement for estimated waste creation_x000a__x000a_Choose from dropdown menu" sqref="U24:U65"/>
    <dataValidation type="custom" operator="equal" allowBlank="1" showDropDown="1" showInputMessage="1" showErrorMessage="1" error="Invalid LOCODE: must be 5 characters of letters and numbers with no spaces." promptTitle="Remaining waste delivery port" prompt="Port where vessels remaining waste will be delivered_x000a__x000a_Use the LOCODE lookup to find the correct code_x000a__x000a_Must be valid LOCODE" sqref="V24:V65">
      <formula1>IFERROR(AND(SUMPRODUCT(SEARCH(MID(V24,ROW(INDIRECT("1:"&amp;LEN(V24))),1),"abcdefghijklmnopqrstuvwxyz0123456789")),LEN(V24)=5),FALSE)</formula1>
    </dataValidation>
    <dataValidation showInputMessage="1" showErrorMessage="1" error="Select from dropdown" promptTitle="Waste to be delivered unit" prompt="Unit of measurement for waste to be delivered_x000a__x000a_Choose from dropdown menu" sqref="M24:M65"/>
    <dataValidation showInputMessage="1" showErrorMessage="1" error="Select from dropdown" promptTitle="Waste capacity unit" prompt="Unit of measurement for waste capacity_x000a__x000a_Choose from dropdown menu" sqref="P24:P65"/>
    <dataValidation showInputMessage="1" showErrorMessage="1" error="Select from dropdown" promptTitle="Waste retained unit" prompt="Unit of measurement for waste retained_x000a__x000a_Choose from dropdown menu" sqref="S24:S65 K24:K65"/>
  </dataValidations>
  <pageMargins left="0.23622047244094488" right="0.23622047244094488" top="0.39370078740157483" bottom="0.39370078740157483" header="0.31496062992125984" footer="0.31496062992125984"/>
  <pageSetup paperSize="9" scale="72" fitToHeight="0" orientation="landscape" r:id="rId1"/>
  <drawing r:id="rId2"/>
  <legacyDrawing r:id="rId3"/>
  <controls>
    <mc:AlternateContent xmlns:mc="http://schemas.openxmlformats.org/markup-compatibility/2006">
      <mc:Choice Requires="x14">
        <control shapeId="10308" r:id="rId4" name="ComboBox3">
          <controlPr defaultSize="0" autoLine="0" linkedCell="TMP_VOY_NEXTPORT" listFillRange="REF_LOCODE_PORTNAME_COUNTRY" r:id="rId5">
            <anchor moveWithCells="1" sizeWithCells="1">
              <from>
                <xdr:col>15</xdr:col>
                <xdr:colOff>9525</xdr:colOff>
                <xdr:row>14</xdr:row>
                <xdr:rowOff>0</xdr:rowOff>
              </from>
              <to>
                <xdr:col>21</xdr:col>
                <xdr:colOff>752475</xdr:colOff>
                <xdr:row>15</xdr:row>
                <xdr:rowOff>19050</xdr:rowOff>
              </to>
            </anchor>
          </controlPr>
        </control>
      </mc:Choice>
      <mc:Fallback>
        <control shapeId="10308" r:id="rId4" name="ComboBox3"/>
      </mc:Fallback>
    </mc:AlternateContent>
    <mc:AlternateContent xmlns:mc="http://schemas.openxmlformats.org/markup-compatibility/2006">
      <mc:Choice Requires="x14">
        <control shapeId="10307" r:id="rId6" name="ComboBox2">
          <controlPr defaultSize="0" autoLine="0" autoPict="0" linkedCell="TMP_VOY_LASTPORT" listFillRange="REF_LOCODE_PORTNAME_COUNTRY" r:id="rId7">
            <anchor moveWithCells="1" sizeWithCells="1">
              <from>
                <xdr:col>8</xdr:col>
                <xdr:colOff>19050</xdr:colOff>
                <xdr:row>14</xdr:row>
                <xdr:rowOff>9525</xdr:rowOff>
              </from>
              <to>
                <xdr:col>11</xdr:col>
                <xdr:colOff>0</xdr:colOff>
                <xdr:row>15</xdr:row>
                <xdr:rowOff>28575</xdr:rowOff>
              </to>
            </anchor>
          </controlPr>
        </control>
      </mc:Choice>
      <mc:Fallback>
        <control shapeId="10307" r:id="rId6" name="ComboBox2"/>
      </mc:Fallback>
    </mc:AlternateContent>
    <mc:AlternateContent xmlns:mc="http://schemas.openxmlformats.org/markup-compatibility/2006">
      <mc:Choice Requires="x14">
        <control shapeId="10311" r:id="rId8" name="ComboBox1">
          <controlPr defaultSize="0" autoLine="0" autoPict="0" linkedCell="WAS_LOCODE_LOOKUP" listFillRange="REF_LOCODE_PORTNAME_COUNTRY" r:id="rId9">
            <anchor moveWithCells="1" sizeWithCells="1">
              <from>
                <xdr:col>17</xdr:col>
                <xdr:colOff>47625</xdr:colOff>
                <xdr:row>6</xdr:row>
                <xdr:rowOff>9525</xdr:rowOff>
              </from>
              <to>
                <xdr:col>26</xdr:col>
                <xdr:colOff>0</xdr:colOff>
                <xdr:row>7</xdr:row>
                <xdr:rowOff>142875</xdr:rowOff>
              </to>
            </anchor>
          </controlPr>
        </control>
      </mc:Choice>
      <mc:Fallback>
        <control shapeId="10311" r:id="rId8" name="ComboBox1"/>
      </mc:Fallback>
    </mc:AlternateContent>
  </controls>
  <extLst>
    <ext xmlns:x14="http://schemas.microsoft.com/office/spreadsheetml/2009/9/main" uri="{78C0D931-6437-407d-A8EE-F0AAD7539E65}">
      <x14:conditionalFormattings>
        <x14:conditionalFormatting xmlns:xm="http://schemas.microsoft.com/office/excel/2006/main">
          <x14:cfRule type="expression" priority="732" id="{75906114-1536-43FA-B3E9-971F1B5FDD0B}">
            <xm:f>Validator!$D57=FALSE</xm:f>
            <x14:dxf>
              <fill>
                <patternFill>
                  <bgColor rgb="FFFF0000"/>
                </patternFill>
              </fill>
            </x14:dxf>
          </x14:cfRule>
          <x14:cfRule type="expression" priority="733" id="{0E56F152-CE94-4389-BA6A-C2C2B2C62CC8}">
            <xm:f>Validator!$D7=FALSE</xm:f>
            <x14:dxf>
              <fill>
                <patternFill>
                  <bgColor rgb="FFFF0000"/>
                </patternFill>
              </fill>
            </x14:dxf>
          </x14:cfRule>
          <xm:sqref>B24:B65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F0"/>
  </sheetPr>
  <dimension ref="A1:AG26"/>
  <sheetViews>
    <sheetView workbookViewId="0">
      <selection activeCell="C6" sqref="C6"/>
    </sheetView>
  </sheetViews>
  <sheetFormatPr defaultRowHeight="12.75" x14ac:dyDescent="0.2"/>
  <cols>
    <col min="2" max="2" width="24.5703125" customWidth="1"/>
    <col min="3" max="3" width="28" customWidth="1"/>
    <col min="4" max="4" width="12.42578125" customWidth="1"/>
    <col min="5" max="5" width="7.5703125" customWidth="1"/>
  </cols>
  <sheetData>
    <row r="1" spans="1:33" s="34" customFormat="1" ht="4.5" customHeight="1" x14ac:dyDescent="0.2"/>
    <row r="2" spans="1:33" s="78" customFormat="1" ht="20.25" x14ac:dyDescent="0.2">
      <c r="A2" s="75"/>
      <c r="B2" s="75" t="s">
        <v>35149</v>
      </c>
      <c r="C2" s="75"/>
      <c r="D2" s="75"/>
      <c r="E2" s="75"/>
      <c r="G2" s="275" t="s">
        <v>33411</v>
      </c>
      <c r="H2" s="503" t="str">
        <f>IBK_STATUS</f>
        <v>Empty</v>
      </c>
      <c r="I2" s="277" t="str">
        <f>IFERROR(IBK_VALID_RES,"")</f>
        <v/>
      </c>
      <c r="M2" s="277"/>
      <c r="N2" s="277"/>
      <c r="O2" s="277"/>
      <c r="P2" s="277"/>
      <c r="Q2" s="277"/>
      <c r="R2" s="277"/>
      <c r="S2" s="277"/>
      <c r="T2" s="277"/>
      <c r="U2" s="277"/>
      <c r="V2" s="277"/>
      <c r="W2" s="277"/>
      <c r="X2" s="277"/>
      <c r="Y2" s="277"/>
      <c r="Z2" s="277"/>
      <c r="AA2" s="277"/>
      <c r="AB2" s="277"/>
      <c r="AC2" s="277"/>
      <c r="AD2" s="277"/>
      <c r="AE2" s="277"/>
      <c r="AF2" s="277"/>
      <c r="AG2" s="277"/>
    </row>
    <row r="3" spans="1:33" s="78" customFormat="1" ht="4.5" customHeight="1" x14ac:dyDescent="0.2">
      <c r="N3" s="273"/>
      <c r="O3" s="273"/>
      <c r="P3" s="273"/>
      <c r="Q3" s="273"/>
      <c r="R3" s="273"/>
      <c r="S3" s="273"/>
      <c r="T3" s="273"/>
      <c r="U3" s="273"/>
    </row>
    <row r="4" spans="1:33" s="508" customFormat="1" ht="12.75" customHeight="1" thickBot="1" x14ac:dyDescent="0.25">
      <c r="N4" s="441"/>
      <c r="O4" s="441"/>
      <c r="P4" s="441"/>
      <c r="Q4" s="441"/>
      <c r="R4" s="441"/>
      <c r="S4" s="441"/>
      <c r="T4" s="441"/>
      <c r="U4" s="441"/>
    </row>
    <row r="5" spans="1:33" s="567" customFormat="1" ht="21" customHeight="1" thickTop="1" x14ac:dyDescent="0.2">
      <c r="B5" s="859" t="s">
        <v>35171</v>
      </c>
      <c r="C5" s="860"/>
      <c r="E5" s="861" t="s">
        <v>35229</v>
      </c>
      <c r="F5" s="861"/>
      <c r="G5" s="861"/>
      <c r="H5" s="861"/>
      <c r="I5" s="861"/>
      <c r="J5" s="861"/>
      <c r="K5" s="861"/>
      <c r="N5" s="441"/>
      <c r="O5" s="441"/>
      <c r="P5" s="441"/>
      <c r="Q5" s="441"/>
      <c r="R5" s="441"/>
      <c r="S5" s="441"/>
      <c r="T5" s="441"/>
      <c r="U5" s="441"/>
    </row>
    <row r="6" spans="1:33" s="567" customFormat="1" ht="12.75" customHeight="1" thickBot="1" x14ac:dyDescent="0.25">
      <c r="B6" s="568" t="s">
        <v>35172</v>
      </c>
      <c r="C6" s="569"/>
      <c r="D6" s="9"/>
      <c r="E6" s="861"/>
      <c r="F6" s="861"/>
      <c r="G6" s="861"/>
      <c r="H6" s="861"/>
      <c r="I6" s="861"/>
      <c r="J6" s="861"/>
      <c r="K6" s="861"/>
      <c r="N6" s="441"/>
      <c r="O6" s="441"/>
      <c r="P6" s="441"/>
      <c r="Q6" s="441"/>
      <c r="R6" s="441"/>
      <c r="S6" s="441"/>
      <c r="T6" s="441"/>
      <c r="U6" s="441"/>
    </row>
    <row r="7" spans="1:33" s="567" customFormat="1" ht="6" customHeight="1" thickTop="1" thickBot="1" x14ac:dyDescent="0.25">
      <c r="N7" s="441"/>
      <c r="O7" s="441"/>
      <c r="P7" s="441"/>
      <c r="Q7" s="441"/>
      <c r="R7" s="441"/>
      <c r="S7" s="441"/>
      <c r="T7" s="441"/>
      <c r="U7" s="441"/>
    </row>
    <row r="8" spans="1:33" ht="18.75" thickTop="1" x14ac:dyDescent="0.2">
      <c r="B8" s="617" t="s">
        <v>35151</v>
      </c>
      <c r="C8" s="618"/>
      <c r="D8" s="618"/>
      <c r="E8" s="619"/>
      <c r="F8" s="35"/>
      <c r="G8" s="35"/>
      <c r="H8" s="35"/>
    </row>
    <row r="9" spans="1:33" x14ac:dyDescent="0.2">
      <c r="B9" s="522" t="s">
        <v>33790</v>
      </c>
      <c r="C9" s="523" t="s">
        <v>578</v>
      </c>
      <c r="D9" s="523" t="s">
        <v>35150</v>
      </c>
      <c r="E9" s="524" t="s">
        <v>33421</v>
      </c>
      <c r="F9" s="35"/>
      <c r="G9" s="35"/>
      <c r="H9" s="35"/>
    </row>
    <row r="10" spans="1:33" x14ac:dyDescent="0.2">
      <c r="B10" s="574"/>
      <c r="C10" s="575"/>
      <c r="D10" s="575"/>
      <c r="E10" s="576"/>
    </row>
    <row r="11" spans="1:33" x14ac:dyDescent="0.2">
      <c r="B11" s="577"/>
      <c r="C11" s="578"/>
      <c r="D11" s="578"/>
      <c r="E11" s="579"/>
    </row>
    <row r="12" spans="1:33" x14ac:dyDescent="0.2">
      <c r="B12" s="577"/>
      <c r="C12" s="578"/>
      <c r="D12" s="578"/>
      <c r="E12" s="579"/>
    </row>
    <row r="13" spans="1:33" x14ac:dyDescent="0.2">
      <c r="B13" s="577"/>
      <c r="C13" s="578"/>
      <c r="D13" s="578"/>
      <c r="E13" s="579"/>
    </row>
    <row r="14" spans="1:33" x14ac:dyDescent="0.2">
      <c r="B14" s="577"/>
      <c r="C14" s="578"/>
      <c r="D14" s="578"/>
      <c r="E14" s="579"/>
      <c r="G14" s="573"/>
    </row>
    <row r="15" spans="1:33" x14ac:dyDescent="0.2">
      <c r="B15" s="577"/>
      <c r="C15" s="578"/>
      <c r="D15" s="578"/>
      <c r="E15" s="579"/>
    </row>
    <row r="16" spans="1:33" x14ac:dyDescent="0.2">
      <c r="B16" s="577"/>
      <c r="C16" s="578"/>
      <c r="D16" s="578"/>
      <c r="E16" s="579"/>
    </row>
    <row r="17" spans="2:5" x14ac:dyDescent="0.2">
      <c r="B17" s="577"/>
      <c r="C17" s="578"/>
      <c r="D17" s="578"/>
      <c r="E17" s="579"/>
    </row>
    <row r="18" spans="2:5" x14ac:dyDescent="0.2">
      <c r="B18" s="577"/>
      <c r="C18" s="578"/>
      <c r="D18" s="578"/>
      <c r="E18" s="579"/>
    </row>
    <row r="19" spans="2:5" x14ac:dyDescent="0.2">
      <c r="B19" s="577"/>
      <c r="C19" s="578"/>
      <c r="D19" s="578"/>
      <c r="E19" s="579"/>
    </row>
    <row r="20" spans="2:5" x14ac:dyDescent="0.2">
      <c r="B20" s="577"/>
      <c r="C20" s="578"/>
      <c r="D20" s="578"/>
      <c r="E20" s="579"/>
    </row>
    <row r="21" spans="2:5" x14ac:dyDescent="0.2">
      <c r="B21" s="577"/>
      <c r="C21" s="578"/>
      <c r="D21" s="578"/>
      <c r="E21" s="579"/>
    </row>
    <row r="22" spans="2:5" x14ac:dyDescent="0.2">
      <c r="B22" s="577"/>
      <c r="C22" s="578"/>
      <c r="D22" s="578"/>
      <c r="E22" s="579"/>
    </row>
    <row r="23" spans="2:5" x14ac:dyDescent="0.2">
      <c r="B23" s="577"/>
      <c r="C23" s="578"/>
      <c r="D23" s="578"/>
      <c r="E23" s="579"/>
    </row>
    <row r="24" spans="2:5" ht="13.5" thickBot="1" x14ac:dyDescent="0.25">
      <c r="B24" s="580"/>
      <c r="C24" s="581"/>
      <c r="D24" s="581"/>
      <c r="E24" s="582"/>
    </row>
    <row r="25" spans="2:5" ht="1.5" customHeight="1" thickTop="1" x14ac:dyDescent="0.2"/>
    <row r="26" spans="2:5" ht="0.75" customHeight="1" x14ac:dyDescent="0.2">
      <c r="B26" t="s">
        <v>33823</v>
      </c>
      <c r="C26" s="35" t="s">
        <v>37199</v>
      </c>
    </row>
  </sheetData>
  <sheetProtection algorithmName="SHA-512" hashValue="IrOa5MVyzZKp4XoE2GUynHJlXlA9TjNNBjThfFFQe997f4+BG9yNi/b9WfVDw6cHUQXuBx8oN7OcjK6jeuzbTg==" saltValue="bpZ600VfZPiaRCDKPmMLDA==" spinCount="100000" sheet="1" formatCells="0" formatColumns="0" formatRows="0" selectLockedCells="1"/>
  <mergeCells count="3">
    <mergeCell ref="B8:E8"/>
    <mergeCell ref="B5:C5"/>
    <mergeCell ref="E5:K6"/>
  </mergeCells>
  <conditionalFormatting sqref="H2">
    <cfRule type="expression" dxfId="72" priority="2">
      <formula>IBK_STATUS="Empty"</formula>
    </cfRule>
    <cfRule type="expression" dxfId="71" priority="3">
      <formula>IBK_STATUS="VALID"</formula>
    </cfRule>
    <cfRule type="expression" dxfId="70" priority="4">
      <formula>IBK_STATUS="Invalid"</formula>
    </cfRule>
  </conditionalFormatting>
  <conditionalFormatting sqref="B9">
    <cfRule type="expression" dxfId="69" priority="1">
      <formula>IHZ_DET_HAZONBOARD="Yes"</formula>
    </cfRule>
  </conditionalFormatting>
  <dataValidations count="5">
    <dataValidation type="list" allowBlank="1" showInputMessage="1" showErrorMessage="1" error="Select from dropdown_x000a_" prompt="M3 or TNE, select from dropdown" sqref="E10:E24">
      <formula1>REF_BUNKERUNIT</formula1>
    </dataValidation>
    <dataValidation type="list" allowBlank="1" showInputMessage="1" showErrorMessage="1" error="Select from dropdown" promptTitle="Type of bunker fuel" prompt="Type of bunker fuel_x000a_Select from dropdown" sqref="B10:B24">
      <formula1>REF_BUNKERTYPE</formula1>
    </dataValidation>
    <dataValidation type="list" allowBlank="1" showInputMessage="1" showErrorMessage="1" sqref="C6">
      <formula1>REF_YES_NO</formula1>
    </dataValidation>
    <dataValidation type="textLength" operator="lessThanOrEqual" allowBlank="1" showInputMessage="1" showErrorMessage="1" promptTitle="Bunker oil Description" prompt="Max 25 characters " sqref="C10:C24">
      <formula1>25</formula1>
    </dataValidation>
    <dataValidation type="custom" allowBlank="1" showInputMessage="1" showErrorMessage="1" error="Must be a positive number, less than 9,999,999 and have max of 3 decimal places." prompt="Must be a positive number, less than 9,999,999 and have max of 3 decimal places." sqref="D10:D24">
      <formula1>OR(ISBLANK(D10),AND(ISNUMBER(D10),LEN(D10)-(IF(ISNUMBER(SEARCH(".",D10)),SEARCH(".",D10),LEN(D10)))&lt;=3,D10&lt;=9999999,D10&gt;=0))</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rgb="FF00B0F0"/>
    <pageSetUpPr fitToPage="1"/>
  </sheetPr>
  <dimension ref="A1:AM265"/>
  <sheetViews>
    <sheetView zoomScale="80" zoomScaleNormal="80" workbookViewId="0">
      <pane ySplit="3" topLeftCell="A4" activePane="bottomLeft" state="frozen"/>
      <selection activeCell="A2" sqref="A2"/>
      <selection pane="bottomLeft" activeCell="D6" sqref="D6"/>
    </sheetView>
  </sheetViews>
  <sheetFormatPr defaultColWidth="9.140625" defaultRowHeight="12.75" x14ac:dyDescent="0.2"/>
  <cols>
    <col min="1" max="1" width="2.42578125" style="36" customWidth="1"/>
    <col min="2" max="2" width="9.140625" style="88" customWidth="1"/>
    <col min="3" max="3" width="14.28515625" style="88" customWidth="1"/>
    <col min="4" max="4" width="11.140625" style="88" customWidth="1"/>
    <col min="5" max="5" width="9.28515625" style="88" customWidth="1"/>
    <col min="6" max="6" width="9.7109375" style="171" customWidth="1"/>
    <col min="7" max="7" width="11.7109375" style="163" customWidth="1"/>
    <col min="8" max="8" width="10.85546875" style="88" customWidth="1"/>
    <col min="9" max="9" width="11" style="88" customWidth="1"/>
    <col min="10" max="10" width="13.85546875" style="163" customWidth="1"/>
    <col min="11" max="11" width="16.42578125" style="88" customWidth="1"/>
    <col min="12" max="12" width="8" style="171" customWidth="1"/>
    <col min="13" max="14" width="9" style="88" customWidth="1"/>
    <col min="15" max="15" width="7.5703125" style="88" customWidth="1"/>
    <col min="16" max="16" width="5.5703125" style="88" customWidth="1"/>
    <col min="17" max="17" width="8.85546875" style="88" customWidth="1"/>
    <col min="18" max="18" width="6.5703125" style="164" customWidth="1"/>
    <col min="19" max="19" width="7.85546875" style="36" customWidth="1"/>
    <col min="20" max="20" width="16.42578125" style="36" customWidth="1"/>
    <col min="21" max="21" width="10.42578125" style="36" customWidth="1"/>
    <col min="22" max="22" width="11.28515625" style="36" customWidth="1"/>
    <col min="23" max="23" width="11.42578125" style="36" customWidth="1"/>
    <col min="24" max="24" width="9.140625" style="36" customWidth="1"/>
    <col min="25" max="25" width="11.28515625" style="164" customWidth="1"/>
    <col min="26" max="26" width="9.28515625" style="36" customWidth="1"/>
    <col min="27" max="27" width="8.85546875" style="36" customWidth="1"/>
    <col min="28" max="28" width="10.42578125" style="36" customWidth="1"/>
    <col min="29" max="30" width="10.5703125" style="36" customWidth="1"/>
    <col min="31" max="31" width="7.140625" style="7" customWidth="1"/>
    <col min="32" max="32" width="6.28515625" style="7" customWidth="1"/>
    <col min="33" max="33" width="3.42578125" style="7" customWidth="1"/>
    <col min="34" max="34" width="9.140625" style="36"/>
    <col min="35" max="35" width="8.85546875" style="36" customWidth="1"/>
    <col min="36" max="16384" width="9.140625" style="36"/>
  </cols>
  <sheetData>
    <row r="1" spans="1:39" s="34" customFormat="1" ht="4.5" customHeight="1" x14ac:dyDescent="0.2"/>
    <row r="2" spans="1:39" s="78" customFormat="1" ht="20.25" x14ac:dyDescent="0.2">
      <c r="A2" s="75"/>
      <c r="B2" s="75" t="s">
        <v>33068</v>
      </c>
      <c r="C2" s="75"/>
      <c r="D2" s="75"/>
      <c r="E2" s="75"/>
      <c r="F2" s="75"/>
      <c r="G2" s="75"/>
      <c r="J2" s="275" t="s">
        <v>33411</v>
      </c>
      <c r="K2" s="503" t="str">
        <f>IHZ_STATUS</f>
        <v>Empty</v>
      </c>
      <c r="L2" s="277" t="str">
        <f>IFERROR(IHZ_VALID_RES,"")</f>
        <v>‘Hazmat on board‘ is required</v>
      </c>
      <c r="M2" s="277"/>
      <c r="N2" s="277"/>
      <c r="O2" s="277"/>
      <c r="P2" s="277"/>
      <c r="Q2" s="277"/>
      <c r="R2" s="277"/>
      <c r="S2" s="277"/>
      <c r="T2" s="277"/>
      <c r="U2" s="277"/>
      <c r="V2" s="277"/>
      <c r="W2" s="277"/>
      <c r="X2" s="277"/>
      <c r="Y2" s="277"/>
      <c r="Z2" s="277"/>
      <c r="AA2" s="277"/>
      <c r="AB2" s="277"/>
      <c r="AC2" s="277"/>
      <c r="AD2" s="277"/>
      <c r="AE2" s="277"/>
      <c r="AF2" s="277"/>
      <c r="AG2" s="277"/>
    </row>
    <row r="3" spans="1:39" s="78" customFormat="1" ht="4.5" customHeight="1" x14ac:dyDescent="0.2">
      <c r="N3" s="273"/>
      <c r="O3" s="273"/>
      <c r="P3" s="273"/>
      <c r="Q3" s="273"/>
      <c r="R3" s="273"/>
      <c r="S3" s="273"/>
      <c r="T3" s="273"/>
      <c r="U3" s="273"/>
    </row>
    <row r="4" spans="1:39" s="262" customFormat="1" ht="12.75" customHeight="1" thickBot="1" x14ac:dyDescent="0.25">
      <c r="N4" s="171"/>
      <c r="O4" s="171"/>
      <c r="P4" s="171"/>
      <c r="Q4" s="171"/>
      <c r="R4" s="171"/>
      <c r="S4" s="171"/>
      <c r="T4" s="171"/>
      <c r="U4" s="171"/>
    </row>
    <row r="5" spans="1:39" ht="21" customHeight="1" thickTop="1" x14ac:dyDescent="0.2">
      <c r="B5" s="635" t="s">
        <v>33797</v>
      </c>
      <c r="C5" s="636"/>
      <c r="D5" s="637"/>
      <c r="E5" s="617" t="s">
        <v>33510</v>
      </c>
      <c r="F5" s="618"/>
      <c r="G5" s="618"/>
      <c r="H5" s="618"/>
      <c r="I5" s="618"/>
      <c r="J5" s="618"/>
      <c r="K5" s="618"/>
      <c r="L5" s="618"/>
      <c r="M5" s="618"/>
      <c r="N5" s="618"/>
      <c r="O5" s="618"/>
      <c r="P5" s="618"/>
      <c r="Q5" s="618"/>
      <c r="R5" s="618"/>
      <c r="S5" s="619"/>
      <c r="T5" s="394"/>
      <c r="U5" s="726" t="s">
        <v>32884</v>
      </c>
      <c r="V5" s="727"/>
      <c r="W5" s="727"/>
      <c r="X5" s="727"/>
      <c r="Y5" s="727"/>
      <c r="Z5" s="727"/>
      <c r="AA5" s="727"/>
      <c r="AB5" s="179"/>
      <c r="AC5" s="643" t="s">
        <v>35104</v>
      </c>
      <c r="AD5" s="644"/>
      <c r="AE5" s="644"/>
      <c r="AF5" s="644"/>
      <c r="AG5" s="644"/>
      <c r="AH5" s="644"/>
      <c r="AI5" s="644"/>
      <c r="AJ5" s="645"/>
    </row>
    <row r="6" spans="1:39" ht="12.75" customHeight="1" x14ac:dyDescent="0.2">
      <c r="B6" s="870" t="s">
        <v>33798</v>
      </c>
      <c r="C6" s="871"/>
      <c r="D6" s="339"/>
      <c r="E6" s="862" t="s">
        <v>33413</v>
      </c>
      <c r="F6" s="863"/>
      <c r="G6" s="863"/>
      <c r="H6" s="863"/>
      <c r="I6" s="863"/>
      <c r="J6" s="863"/>
      <c r="K6" s="863"/>
      <c r="L6" s="863" t="s">
        <v>33414</v>
      </c>
      <c r="M6" s="863"/>
      <c r="N6" s="863"/>
      <c r="O6" s="863"/>
      <c r="P6" s="863"/>
      <c r="Q6" s="863"/>
      <c r="R6" s="863"/>
      <c r="S6" s="874"/>
      <c r="U6" s="745" t="s">
        <v>32885</v>
      </c>
      <c r="V6" s="746"/>
      <c r="W6" s="207"/>
      <c r="X6" s="170"/>
      <c r="Y6" s="170"/>
      <c r="Z6" s="170"/>
      <c r="AA6" s="170"/>
      <c r="AB6" s="208"/>
      <c r="AC6" s="646" t="str">
        <f>IF(SUM_SRC_EMAIL&lt;&gt;"",SUM_SRC_EMAIL,"Please set voyage contact email on the summary tab")</f>
        <v>Please set voyage contact email on the summary tab</v>
      </c>
      <c r="AD6" s="647"/>
      <c r="AE6" s="647"/>
      <c r="AF6" s="647"/>
      <c r="AG6" s="647"/>
      <c r="AH6" s="647"/>
      <c r="AI6" s="647"/>
      <c r="AJ6" s="648"/>
    </row>
    <row r="7" spans="1:39" ht="12.75" customHeight="1" thickBot="1" x14ac:dyDescent="0.25">
      <c r="B7" s="872" t="s">
        <v>71</v>
      </c>
      <c r="C7" s="873"/>
      <c r="D7" s="391"/>
      <c r="E7" s="884" t="s">
        <v>63</v>
      </c>
      <c r="F7" s="885"/>
      <c r="G7" s="864"/>
      <c r="H7" s="865"/>
      <c r="I7" s="340" t="s">
        <v>60</v>
      </c>
      <c r="J7" s="868"/>
      <c r="K7" s="868"/>
      <c r="L7" s="879" t="s">
        <v>33418</v>
      </c>
      <c r="M7" s="880"/>
      <c r="N7" s="875"/>
      <c r="O7" s="875"/>
      <c r="P7" s="875"/>
      <c r="Q7" s="875"/>
      <c r="R7" s="875"/>
      <c r="S7" s="876"/>
      <c r="T7" s="222"/>
      <c r="U7" s="745"/>
      <c r="V7" s="746"/>
      <c r="W7" s="207"/>
      <c r="X7" s="170"/>
      <c r="Y7" s="170"/>
      <c r="Z7" s="170"/>
      <c r="AA7" s="170"/>
      <c r="AB7" s="208"/>
      <c r="AC7" s="649"/>
      <c r="AD7" s="650"/>
      <c r="AE7" s="650"/>
      <c r="AF7" s="650"/>
      <c r="AG7" s="650"/>
      <c r="AH7" s="650"/>
      <c r="AI7" s="650"/>
      <c r="AJ7" s="651"/>
    </row>
    <row r="8" spans="1:39" ht="12.75" customHeight="1" thickTop="1" thickBot="1" x14ac:dyDescent="0.25">
      <c r="E8" s="886" t="s">
        <v>64</v>
      </c>
      <c r="F8" s="887"/>
      <c r="G8" s="866"/>
      <c r="H8" s="867"/>
      <c r="I8" s="341" t="s">
        <v>61</v>
      </c>
      <c r="J8" s="869"/>
      <c r="K8" s="869"/>
      <c r="L8" s="896" t="s">
        <v>33419</v>
      </c>
      <c r="M8" s="897"/>
      <c r="N8" s="877"/>
      <c r="O8" s="877"/>
      <c r="P8" s="877"/>
      <c r="Q8" s="877"/>
      <c r="R8" s="877"/>
      <c r="S8" s="878"/>
      <c r="U8" s="732" t="s">
        <v>33062</v>
      </c>
      <c r="V8" s="733"/>
      <c r="W8" s="739" t="e">
        <f>VLOOKUP(LEFT(IHZ_LOCODE_LOOKUP,2),REF_COUNTRIES_CODES[], 2,FALSE)</f>
        <v>#N/A</v>
      </c>
      <c r="X8" s="740"/>
      <c r="Y8" s="740"/>
      <c r="Z8" s="740"/>
      <c r="AA8" s="740"/>
      <c r="AB8" s="209"/>
      <c r="AC8" s="653" t="s">
        <v>35105</v>
      </c>
      <c r="AD8" s="653"/>
      <c r="AE8" s="653"/>
      <c r="AF8" s="653"/>
      <c r="AG8" s="653"/>
      <c r="AH8" s="653"/>
      <c r="AI8" s="653"/>
      <c r="AJ8" s="653"/>
    </row>
    <row r="9" spans="1:39" ht="12.75" customHeight="1" thickTop="1" thickBot="1" x14ac:dyDescent="0.25">
      <c r="E9" s="886" t="s">
        <v>33063</v>
      </c>
      <c r="F9" s="887"/>
      <c r="G9" s="892"/>
      <c r="H9" s="893"/>
      <c r="I9" s="342" t="s">
        <v>11</v>
      </c>
      <c r="J9" s="894"/>
      <c r="K9" s="895"/>
      <c r="L9" s="234"/>
      <c r="M9" s="31"/>
      <c r="N9" s="31"/>
      <c r="O9" s="31"/>
      <c r="P9" s="31"/>
      <c r="Q9" s="31"/>
      <c r="R9" s="8"/>
      <c r="S9" s="8"/>
      <c r="U9" s="734" t="s">
        <v>32886</v>
      </c>
      <c r="V9" s="735"/>
      <c r="W9" s="742"/>
      <c r="X9" s="743"/>
      <c r="Y9" s="743"/>
      <c r="Z9" s="743"/>
      <c r="AA9" s="743"/>
      <c r="AB9" s="210"/>
      <c r="AC9" s="653"/>
      <c r="AD9" s="653"/>
      <c r="AE9" s="653"/>
      <c r="AH9" s="7"/>
      <c r="AI9" s="492"/>
      <c r="AJ9" s="492"/>
    </row>
    <row r="10" spans="1:39" ht="12.75" customHeight="1" thickTop="1" thickBot="1" x14ac:dyDescent="0.25">
      <c r="B10" s="890" t="s">
        <v>34870</v>
      </c>
      <c r="C10" s="890"/>
      <c r="D10" s="890"/>
      <c r="E10" s="888" t="s">
        <v>33065</v>
      </c>
      <c r="F10" s="889"/>
      <c r="G10" s="882" t="str">
        <f>IF(ISERROR(VLOOKUP(IHZ_CON_LOCODE,REF_LOCODE_PORTNAME_COUNTRY, 2,FALSE)),"-",VLOOKUP(IHZ_CON_LOCODE,REF_LOCODE_PORTNAME_COUNTRY, 2,FALSE))</f>
        <v>-</v>
      </c>
      <c r="H10" s="883"/>
      <c r="I10" s="9"/>
      <c r="J10" s="235"/>
      <c r="K10" s="235"/>
      <c r="L10" s="234"/>
      <c r="M10" s="31"/>
      <c r="N10" s="31"/>
      <c r="O10" s="31"/>
      <c r="P10" s="31"/>
      <c r="Q10" s="31"/>
      <c r="R10" s="8"/>
      <c r="S10" s="8"/>
      <c r="U10" s="9" t="s">
        <v>33073</v>
      </c>
      <c r="V10" s="171"/>
      <c r="W10" s="171"/>
      <c r="X10" s="172"/>
      <c r="Y10" s="172"/>
      <c r="Z10" s="172"/>
      <c r="AA10" s="172"/>
      <c r="AB10" s="8"/>
      <c r="AD10" s="217"/>
      <c r="AE10" s="217"/>
      <c r="AF10" s="217"/>
      <c r="AG10" s="217"/>
    </row>
    <row r="11" spans="1:39" ht="6.75" customHeight="1" thickTop="1" thickBot="1" x14ac:dyDescent="0.25">
      <c r="B11" s="891"/>
      <c r="C11" s="891"/>
      <c r="D11" s="891"/>
      <c r="E11" s="36"/>
      <c r="F11" s="172"/>
      <c r="G11" s="183"/>
      <c r="H11" s="183"/>
      <c r="I11" s="183"/>
      <c r="J11" s="35"/>
      <c r="K11" s="35"/>
      <c r="L11" s="35"/>
      <c r="M11" s="35"/>
      <c r="N11" s="35"/>
      <c r="O11" s="35"/>
      <c r="P11" s="168"/>
      <c r="Q11" s="168"/>
      <c r="R11" s="168"/>
      <c r="S11" s="168"/>
      <c r="T11" s="168"/>
      <c r="U11" s="164"/>
      <c r="V11" s="164"/>
      <c r="W11" s="164"/>
      <c r="X11" s="164"/>
      <c r="Z11" s="164"/>
      <c r="AA11" s="164"/>
      <c r="AB11" s="164"/>
    </row>
    <row r="12" spans="1:39" ht="21" customHeight="1" thickTop="1" x14ac:dyDescent="0.2">
      <c r="B12" s="188"/>
      <c r="C12" s="617" t="s">
        <v>33322</v>
      </c>
      <c r="D12" s="618"/>
      <c r="E12" s="618"/>
      <c r="F12" s="618"/>
      <c r="G12" s="618"/>
      <c r="H12" s="618"/>
      <c r="I12" s="617" t="s">
        <v>33328</v>
      </c>
      <c r="J12" s="618"/>
      <c r="K12" s="618"/>
      <c r="L12" s="618"/>
      <c r="M12" s="618"/>
      <c r="N12" s="618"/>
      <c r="O12" s="618"/>
      <c r="P12" s="618"/>
      <c r="Q12" s="618"/>
      <c r="R12" s="618"/>
      <c r="S12" s="618"/>
      <c r="T12" s="618"/>
      <c r="U12" s="618"/>
      <c r="V12" s="618"/>
      <c r="W12" s="618"/>
      <c r="X12" s="618"/>
      <c r="Y12" s="619"/>
      <c r="Z12" s="617" t="s">
        <v>33329</v>
      </c>
      <c r="AA12" s="618"/>
      <c r="AB12" s="618"/>
      <c r="AC12" s="618"/>
      <c r="AD12" s="618"/>
      <c r="AE12" s="618"/>
      <c r="AF12" s="619"/>
      <c r="AG12" s="179"/>
    </row>
    <row r="13" spans="1:39" ht="45" customHeight="1" x14ac:dyDescent="0.2">
      <c r="B13" s="194" t="s">
        <v>33415</v>
      </c>
      <c r="C13" s="195" t="s">
        <v>33774</v>
      </c>
      <c r="D13" s="255" t="s">
        <v>621</v>
      </c>
      <c r="E13" s="196" t="s">
        <v>33067</v>
      </c>
      <c r="F13" s="255" t="s">
        <v>33324</v>
      </c>
      <c r="G13" s="197" t="s">
        <v>33066</v>
      </c>
      <c r="H13" s="255" t="s">
        <v>33323</v>
      </c>
      <c r="I13" s="198" t="s">
        <v>33775</v>
      </c>
      <c r="J13" s="255" t="s">
        <v>33776</v>
      </c>
      <c r="K13" s="196" t="s">
        <v>33777</v>
      </c>
      <c r="L13" s="196" t="s">
        <v>110</v>
      </c>
      <c r="M13" s="196" t="s">
        <v>620</v>
      </c>
      <c r="N13" s="255" t="s">
        <v>33785</v>
      </c>
      <c r="O13" s="197" t="s">
        <v>33326</v>
      </c>
      <c r="P13" s="255" t="s">
        <v>33421</v>
      </c>
      <c r="Q13" s="255" t="s">
        <v>1</v>
      </c>
      <c r="R13" s="197" t="s">
        <v>66</v>
      </c>
      <c r="S13" s="197" t="s">
        <v>67</v>
      </c>
      <c r="T13" s="196" t="s">
        <v>0</v>
      </c>
      <c r="U13" s="197" t="s">
        <v>389</v>
      </c>
      <c r="V13" s="197" t="s">
        <v>68</v>
      </c>
      <c r="W13" s="197" t="s">
        <v>69</v>
      </c>
      <c r="X13" s="197" t="s">
        <v>70</v>
      </c>
      <c r="Y13" s="199" t="s">
        <v>32873</v>
      </c>
      <c r="Z13" s="198" t="s">
        <v>33781</v>
      </c>
      <c r="AA13" s="197" t="s">
        <v>33327</v>
      </c>
      <c r="AB13" s="197" t="s">
        <v>33779</v>
      </c>
      <c r="AC13" s="197" t="s">
        <v>637</v>
      </c>
      <c r="AD13" s="200" t="s">
        <v>33780</v>
      </c>
      <c r="AE13" s="197" t="s">
        <v>33325</v>
      </c>
      <c r="AF13" s="199" t="s">
        <v>33421</v>
      </c>
      <c r="AG13" s="8"/>
      <c r="AH13" s="881" t="s">
        <v>33778</v>
      </c>
      <c r="AI13" s="881"/>
      <c r="AJ13" s="881"/>
      <c r="AK13" s="881"/>
      <c r="AL13" s="881"/>
      <c r="AM13" s="881"/>
    </row>
    <row r="14" spans="1:39" s="306" customFormat="1" ht="12.75" customHeight="1" x14ac:dyDescent="0.2">
      <c r="B14" s="338" t="str" cm="1">
        <f t="array" ref="B14">IF(C14="","Skip",IF(AND(Validator!G8=TRUE,Validator!G258=TRUE,Validator!G508=TRUE,Validator!G758=TRUE,Validator!G1008=TRUE,Validator!G1258=TRUE,OR(ISBLANK($R14),ISNUMBER(VALUE(SUBSTITUTE(SUBSTITUTE(SUBSTITUTE(SUBSTITUTE($R14," ",""),"c",""),"C",""),"-","")))),OR(SUMPRODUCT(--($U14=Package_type_code))&gt;0,$U14="",$U14="-")),"Valid","Invalid"))</f>
        <v>Skip</v>
      </c>
      <c r="C14" s="70"/>
      <c r="D14" s="395"/>
      <c r="E14" s="396"/>
      <c r="F14" s="178" t="str">
        <f t="shared" ref="F14:F77" si="0">IF(ISERROR(VLOOKUP($E14,REF_LOCODE_PORTNAME_COUNTRY, 2,FALSE)),"-",VLOOKUP($E14,REF_LOCODE_PORTNAME_COUNTRY, 2,FALSE))</f>
        <v>-</v>
      </c>
      <c r="G14" s="398"/>
      <c r="H14" s="178" t="str">
        <f t="shared" ref="H14:H77" si="1">IF(ISERROR(VLOOKUP($G14,REF_LOCODE_PORTNAME_COUNTRY, 2,FALSE)),"-",VLOOKUP($G14,REF_LOCODE_PORTNAME_COUNTRY, 2,FALSE))</f>
        <v>-</v>
      </c>
      <c r="I14" s="333"/>
      <c r="J14" s="400"/>
      <c r="K14" s="401"/>
      <c r="L14" s="402"/>
      <c r="M14" s="322"/>
      <c r="N14" s="583"/>
      <c r="O14" s="403" t="s">
        <v>278</v>
      </c>
      <c r="P14" s="404" t="s">
        <v>77</v>
      </c>
      <c r="Q14" s="329"/>
      <c r="R14" s="320"/>
      <c r="S14" s="320"/>
      <c r="T14" s="329"/>
      <c r="U14" s="336" t="str">
        <f>IF(ISERROR(VLOOKUP($T14, 'Reference data'!$J$2:$K$139, 2, FALSE)),"-",VLOOKUP($T14, 'Reference data'!$J$2:$K$139, 2, FALSE))</f>
        <v>-</v>
      </c>
      <c r="V14" s="320"/>
      <c r="W14" s="320"/>
      <c r="X14" s="324"/>
      <c r="Y14" s="325"/>
      <c r="Z14" s="70"/>
      <c r="AA14" s="352"/>
      <c r="AB14" s="86"/>
      <c r="AC14" s="72"/>
      <c r="AD14" s="331"/>
      <c r="AE14" s="239" t="s">
        <v>278</v>
      </c>
      <c r="AF14" s="243" t="s">
        <v>77</v>
      </c>
      <c r="AG14" s="332"/>
      <c r="AH14" s="881"/>
      <c r="AI14" s="881"/>
      <c r="AJ14" s="881"/>
      <c r="AK14" s="881"/>
      <c r="AL14" s="881"/>
      <c r="AM14" s="881"/>
    </row>
    <row r="15" spans="1:39" s="306" customFormat="1" ht="12.75" customHeight="1" x14ac:dyDescent="0.2">
      <c r="B15" s="338" t="str" cm="1">
        <f t="array" ref="B15">IF(C15="","Skip",IF(AND(Validator!G9=TRUE,Validator!G259=TRUE,Validator!G509=TRUE,Validator!G759=TRUE,Validator!G1009=TRUE,Validator!G1259=TRUE,OR(ISBLANK($R15),ISNUMBER(VALUE(SUBSTITUTE(SUBSTITUTE(SUBSTITUTE(SUBSTITUTE($R15," ",""),"c",""),"C",""),"-","")))),OR(SUMPRODUCT(--($U15=Package_type_code))&gt;0,$U15="",$U15="-")),"Valid","Invalid"))</f>
        <v>Skip</v>
      </c>
      <c r="C15" s="70"/>
      <c r="D15" s="395"/>
      <c r="E15" s="396"/>
      <c r="F15" s="178" t="str">
        <f t="shared" si="0"/>
        <v>-</v>
      </c>
      <c r="G15" s="398"/>
      <c r="H15" s="178" t="str">
        <f t="shared" si="1"/>
        <v>-</v>
      </c>
      <c r="I15" s="333"/>
      <c r="J15" s="400"/>
      <c r="K15" s="401"/>
      <c r="L15" s="402"/>
      <c r="M15" s="322"/>
      <c r="N15" s="584"/>
      <c r="O15" s="403" t="s">
        <v>278</v>
      </c>
      <c r="P15" s="404" t="s">
        <v>77</v>
      </c>
      <c r="Q15" s="329"/>
      <c r="R15" s="320"/>
      <c r="S15" s="320"/>
      <c r="T15" s="329"/>
      <c r="U15" s="336" t="str">
        <f>IF(ISERROR(VLOOKUP($T15, 'Reference data'!$J$2:$K$139, 2, FALSE)),"-",VLOOKUP($T15, 'Reference data'!$J$2:$K$139, 2, FALSE))</f>
        <v>-</v>
      </c>
      <c r="V15" s="320"/>
      <c r="W15" s="320"/>
      <c r="X15" s="324"/>
      <c r="Y15" s="325"/>
      <c r="Z15" s="70"/>
      <c r="AA15" s="352"/>
      <c r="AB15" s="86"/>
      <c r="AC15" s="72"/>
      <c r="AD15" s="331"/>
      <c r="AE15" s="239" t="s">
        <v>278</v>
      </c>
      <c r="AF15" s="243" t="s">
        <v>77</v>
      </c>
      <c r="AG15" s="334"/>
      <c r="AH15" s="881"/>
      <c r="AI15" s="881"/>
      <c r="AJ15" s="881"/>
      <c r="AK15" s="881"/>
      <c r="AL15" s="881"/>
      <c r="AM15" s="881"/>
    </row>
    <row r="16" spans="1:39" s="306" customFormat="1" ht="12.75" customHeight="1" x14ac:dyDescent="0.2">
      <c r="B16" s="338" t="str" cm="1">
        <f t="array" ref="B16">IF(C16="","Skip",IF(AND(Validator!G10=TRUE,Validator!G260=TRUE,Validator!G510=TRUE,Validator!G760=TRUE,Validator!G1010=TRUE,Validator!G1260=TRUE,OR(ISBLANK($R16),ISNUMBER(VALUE(SUBSTITUTE(SUBSTITUTE(SUBSTITUTE(SUBSTITUTE($R16," ",""),"c",""),"C",""),"-","")))),OR(SUMPRODUCT(--($U16=Package_type_code))&gt;0,$U16="",$U16="-")),"Valid","Invalid"))</f>
        <v>Skip</v>
      </c>
      <c r="C16" s="70"/>
      <c r="D16" s="395"/>
      <c r="E16" s="396"/>
      <c r="F16" s="178" t="str">
        <f>IF(ISERROR(VLOOKUP($E16,REF_LOCODE_PORTNAME_COUNTRY, 2,FALSE)),"-",VLOOKUP($E16,REF_LOCODE_PORTNAME_COUNTRY, 2,FALSE))</f>
        <v>-</v>
      </c>
      <c r="G16" s="398"/>
      <c r="H16" s="178" t="str">
        <f t="shared" si="1"/>
        <v>-</v>
      </c>
      <c r="I16" s="333"/>
      <c r="J16" s="400"/>
      <c r="K16" s="401"/>
      <c r="L16" s="402"/>
      <c r="M16" s="322"/>
      <c r="N16" s="584"/>
      <c r="O16" s="403" t="s">
        <v>278</v>
      </c>
      <c r="P16" s="404" t="s">
        <v>77</v>
      </c>
      <c r="Q16" s="329"/>
      <c r="R16" s="320"/>
      <c r="S16" s="320"/>
      <c r="T16" s="329"/>
      <c r="U16" s="336" t="str">
        <f>IF(ISERROR(VLOOKUP($T16, 'Reference data'!$J$2:$K$139, 2, FALSE)),"-",VLOOKUP($T16, 'Reference data'!$J$2:$K$139, 2, FALSE))</f>
        <v>-</v>
      </c>
      <c r="V16" s="320"/>
      <c r="W16" s="320"/>
      <c r="X16" s="324"/>
      <c r="Y16" s="325"/>
      <c r="Z16" s="70"/>
      <c r="AA16" s="352"/>
      <c r="AB16" s="86"/>
      <c r="AC16" s="72"/>
      <c r="AD16" s="331"/>
      <c r="AE16" s="239" t="s">
        <v>278</v>
      </c>
      <c r="AF16" s="243" t="s">
        <v>77</v>
      </c>
      <c r="AG16" s="334"/>
      <c r="AH16" s="881"/>
      <c r="AI16" s="881"/>
      <c r="AJ16" s="881"/>
      <c r="AK16" s="881"/>
      <c r="AL16" s="881"/>
      <c r="AM16" s="881"/>
    </row>
    <row r="17" spans="2:39" s="306" customFormat="1" ht="12.75" customHeight="1" x14ac:dyDescent="0.2">
      <c r="B17" s="338" t="str" cm="1">
        <f t="array" ref="B17">IF(C17="","Skip",IF(AND(Validator!G11=TRUE,Validator!G261=TRUE,Validator!G511=TRUE,Validator!G761=TRUE,Validator!G1011=TRUE,Validator!G1261=TRUE,OR(ISBLANK($R17),ISNUMBER(VALUE(SUBSTITUTE(SUBSTITUTE(SUBSTITUTE(SUBSTITUTE($R17," ",""),"c",""),"C",""),"-","")))),OR(SUMPRODUCT(--($U17=Package_type_code))&gt;0,$U17="",$U17="-")),"Valid","Invalid"))</f>
        <v>Skip</v>
      </c>
      <c r="C17" s="70"/>
      <c r="D17" s="395"/>
      <c r="E17" s="396"/>
      <c r="F17" s="178" t="str">
        <f t="shared" si="0"/>
        <v>-</v>
      </c>
      <c r="G17" s="398"/>
      <c r="H17" s="178" t="str">
        <f t="shared" si="1"/>
        <v>-</v>
      </c>
      <c r="I17" s="333"/>
      <c r="J17" s="400"/>
      <c r="K17" s="401"/>
      <c r="L17" s="402"/>
      <c r="M17" s="322"/>
      <c r="N17" s="584"/>
      <c r="O17" s="403" t="s">
        <v>278</v>
      </c>
      <c r="P17" s="404" t="s">
        <v>77</v>
      </c>
      <c r="Q17" s="329"/>
      <c r="R17" s="320"/>
      <c r="S17" s="320"/>
      <c r="T17" s="329"/>
      <c r="U17" s="336" t="str">
        <f>IF(ISERROR(VLOOKUP($T17, 'Reference data'!$J$2:$K$139, 2, FALSE)),"-",VLOOKUP($T17, 'Reference data'!$J$2:$K$139, 2, FALSE))</f>
        <v>-</v>
      </c>
      <c r="V17" s="320"/>
      <c r="W17" s="320"/>
      <c r="X17" s="324"/>
      <c r="Y17" s="325"/>
      <c r="Z17" s="70"/>
      <c r="AA17" s="352"/>
      <c r="AB17" s="86"/>
      <c r="AC17" s="72"/>
      <c r="AD17" s="331"/>
      <c r="AE17" s="239" t="s">
        <v>278</v>
      </c>
      <c r="AF17" s="243" t="s">
        <v>77</v>
      </c>
      <c r="AG17" s="334"/>
      <c r="AH17" s="881"/>
      <c r="AI17" s="881"/>
      <c r="AJ17" s="881"/>
      <c r="AK17" s="881"/>
      <c r="AL17" s="881"/>
      <c r="AM17" s="881"/>
    </row>
    <row r="18" spans="2:39" s="306" customFormat="1" ht="12.75" customHeight="1" x14ac:dyDescent="0.2">
      <c r="B18" s="338" t="str" cm="1">
        <f t="array" ref="B18">IF(C18="","Skip",IF(AND(Validator!G12=TRUE,Validator!G262=TRUE,Validator!G512=TRUE,Validator!G762=TRUE,Validator!G1012=TRUE,Validator!G1262=TRUE,OR(ISBLANK($R18),ISNUMBER(VALUE(SUBSTITUTE(SUBSTITUTE(SUBSTITUTE(SUBSTITUTE($R18," ",""),"c",""),"C",""),"-","")))),OR(SUMPRODUCT(--($U18=Package_type_code))&gt;0,$U18="",$U18="-")),"Valid","Invalid"))</f>
        <v>Skip</v>
      </c>
      <c r="C18" s="70"/>
      <c r="D18" s="395"/>
      <c r="E18" s="396"/>
      <c r="F18" s="178" t="str">
        <f>IF(ISERROR(VLOOKUP($E18,REF_LOCODE_PORTNAME_COUNTRY, 2,FALSE)),"-",VLOOKUP($E18,REF_LOCODE_PORTNAME_COUNTRY, 2,FALSE))</f>
        <v>-</v>
      </c>
      <c r="G18" s="398"/>
      <c r="H18" s="178" t="str">
        <f t="shared" si="1"/>
        <v>-</v>
      </c>
      <c r="I18" s="333"/>
      <c r="J18" s="400"/>
      <c r="K18" s="401"/>
      <c r="L18" s="402"/>
      <c r="M18" s="322"/>
      <c r="N18" s="584"/>
      <c r="O18" s="403" t="s">
        <v>278</v>
      </c>
      <c r="P18" s="404" t="s">
        <v>77</v>
      </c>
      <c r="Q18" s="329"/>
      <c r="R18" s="320"/>
      <c r="S18" s="320"/>
      <c r="T18" s="329"/>
      <c r="U18" s="336" t="str">
        <f>IF(ISERROR(VLOOKUP($T18, 'Reference data'!$J$2:$K$139, 2, FALSE)),"-",VLOOKUP($T18, 'Reference data'!$J$2:$K$139, 2, FALSE))</f>
        <v>-</v>
      </c>
      <c r="V18" s="320"/>
      <c r="W18" s="320"/>
      <c r="X18" s="324"/>
      <c r="Y18" s="325"/>
      <c r="Z18" s="70"/>
      <c r="AA18" s="352"/>
      <c r="AB18" s="86"/>
      <c r="AC18" s="72"/>
      <c r="AD18" s="331"/>
      <c r="AE18" s="239" t="s">
        <v>278</v>
      </c>
      <c r="AF18" s="243" t="s">
        <v>77</v>
      </c>
      <c r="AG18" s="334"/>
    </row>
    <row r="19" spans="2:39" s="306" customFormat="1" ht="12.75" customHeight="1" x14ac:dyDescent="0.2">
      <c r="B19" s="338" t="str" cm="1">
        <f t="array" ref="B19">IF(C19="","Skip",IF(AND(Validator!G13=TRUE,Validator!G263=TRUE,Validator!G513=TRUE,Validator!G763=TRUE,Validator!G1013=TRUE,Validator!G1263=TRUE,OR(ISBLANK($R19),ISNUMBER(VALUE(SUBSTITUTE(SUBSTITUTE(SUBSTITUTE(SUBSTITUTE($R19," ",""),"c",""),"C",""),"-","")))),OR(SUMPRODUCT(--($U19=Package_type_code))&gt;0,$U19="",$U19="-")),"Valid","Invalid"))</f>
        <v>Skip</v>
      </c>
      <c r="C19" s="70"/>
      <c r="D19" s="395"/>
      <c r="E19" s="396"/>
      <c r="F19" s="178" t="str">
        <f t="shared" si="0"/>
        <v>-</v>
      </c>
      <c r="G19" s="398"/>
      <c r="H19" s="178" t="str">
        <f t="shared" si="1"/>
        <v>-</v>
      </c>
      <c r="I19" s="333"/>
      <c r="J19" s="400"/>
      <c r="K19" s="401"/>
      <c r="L19" s="402"/>
      <c r="M19" s="322"/>
      <c r="N19" s="584"/>
      <c r="O19" s="403" t="s">
        <v>278</v>
      </c>
      <c r="P19" s="404" t="s">
        <v>77</v>
      </c>
      <c r="Q19" s="329"/>
      <c r="R19" s="320"/>
      <c r="S19" s="320"/>
      <c r="T19" s="329"/>
      <c r="U19" s="336" t="str">
        <f>IF(ISERROR(VLOOKUP($T19, 'Reference data'!$J$2:$K$139, 2, FALSE)),"-",VLOOKUP($T19, 'Reference data'!$J$2:$K$139, 2, FALSE))</f>
        <v>-</v>
      </c>
      <c r="V19" s="320"/>
      <c r="W19" s="320"/>
      <c r="X19" s="324"/>
      <c r="Y19" s="325"/>
      <c r="Z19" s="70"/>
      <c r="AA19" s="352"/>
      <c r="AB19" s="86"/>
      <c r="AC19" s="72"/>
      <c r="AD19" s="331"/>
      <c r="AE19" s="239" t="s">
        <v>278</v>
      </c>
      <c r="AF19" s="243" t="s">
        <v>77</v>
      </c>
      <c r="AG19" s="334"/>
    </row>
    <row r="20" spans="2:39" s="306" customFormat="1" ht="12.75" customHeight="1" x14ac:dyDescent="0.2">
      <c r="B20" s="338" t="str" cm="1">
        <f t="array" ref="B20">IF(C20="","Skip",IF(AND(Validator!G14=TRUE,Validator!G264=TRUE,Validator!G514=TRUE,Validator!G764=TRUE,Validator!G1014=TRUE,Validator!G1264=TRUE,OR(ISBLANK($R20),ISNUMBER(VALUE(SUBSTITUTE(SUBSTITUTE(SUBSTITUTE(SUBSTITUTE($R20," ",""),"c",""),"C",""),"-","")))),OR(SUMPRODUCT(--($U20=Package_type_code))&gt;0,$U20="",$U20="-")),"Valid","Invalid"))</f>
        <v>Skip</v>
      </c>
      <c r="C20" s="70"/>
      <c r="D20" s="395"/>
      <c r="E20" s="396"/>
      <c r="F20" s="178" t="str">
        <f t="shared" si="0"/>
        <v>-</v>
      </c>
      <c r="G20" s="398"/>
      <c r="H20" s="178" t="str">
        <f t="shared" si="1"/>
        <v>-</v>
      </c>
      <c r="I20" s="333"/>
      <c r="J20" s="400"/>
      <c r="K20" s="400"/>
      <c r="L20" s="402"/>
      <c r="M20" s="322"/>
      <c r="N20" s="584"/>
      <c r="O20" s="403" t="s">
        <v>278</v>
      </c>
      <c r="P20" s="404" t="s">
        <v>77</v>
      </c>
      <c r="Q20" s="329"/>
      <c r="R20" s="320"/>
      <c r="S20" s="320"/>
      <c r="T20" s="329"/>
      <c r="U20" s="336" t="str">
        <f>IF(ISERROR(VLOOKUP($T20, 'Reference data'!$J$2:$K$139, 2, FALSE)),"-",VLOOKUP($T20, 'Reference data'!$J$2:$K$139, 2, FALSE))</f>
        <v>-</v>
      </c>
      <c r="V20" s="320"/>
      <c r="W20" s="320"/>
      <c r="X20" s="324"/>
      <c r="Y20" s="325"/>
      <c r="Z20" s="70"/>
      <c r="AA20" s="352"/>
      <c r="AB20" s="86"/>
      <c r="AC20" s="72"/>
      <c r="AD20" s="331"/>
      <c r="AE20" s="239" t="s">
        <v>278</v>
      </c>
      <c r="AF20" s="243" t="s">
        <v>77</v>
      </c>
      <c r="AG20" s="334"/>
    </row>
    <row r="21" spans="2:39" s="306" customFormat="1" ht="12.75" customHeight="1" x14ac:dyDescent="0.2">
      <c r="B21" s="338" t="str" cm="1">
        <f t="array" ref="B21">IF(C21="","Skip",IF(AND(Validator!G15=TRUE,Validator!G265=TRUE,Validator!G515=TRUE,Validator!G765=TRUE,Validator!G1015=TRUE,Validator!G1265=TRUE,OR(ISBLANK($R21),ISNUMBER(VALUE(SUBSTITUTE(SUBSTITUTE(SUBSTITUTE(SUBSTITUTE($R21," ",""),"c",""),"C",""),"-","")))),OR(SUMPRODUCT(--($U21=Package_type_code))&gt;0,$U21="",$U21="-")),"Valid","Invalid"))</f>
        <v>Skip</v>
      </c>
      <c r="C21" s="70"/>
      <c r="D21" s="395"/>
      <c r="E21" s="396"/>
      <c r="F21" s="178" t="str">
        <f t="shared" si="0"/>
        <v>-</v>
      </c>
      <c r="G21" s="398"/>
      <c r="H21" s="178" t="str">
        <f t="shared" si="1"/>
        <v>-</v>
      </c>
      <c r="I21" s="333"/>
      <c r="J21" s="400"/>
      <c r="K21" s="401"/>
      <c r="L21" s="402"/>
      <c r="M21" s="322"/>
      <c r="N21" s="584"/>
      <c r="O21" s="403" t="s">
        <v>278</v>
      </c>
      <c r="P21" s="404" t="s">
        <v>77</v>
      </c>
      <c r="Q21" s="329"/>
      <c r="R21" s="320"/>
      <c r="S21" s="320"/>
      <c r="T21" s="329"/>
      <c r="U21" s="336" t="str">
        <f>IF(ISERROR(VLOOKUP($T21, 'Reference data'!$J$2:$K$139, 2, FALSE)),"-",VLOOKUP($T21, 'Reference data'!$J$2:$K$139, 2, FALSE))</f>
        <v>-</v>
      </c>
      <c r="V21" s="320"/>
      <c r="W21" s="320"/>
      <c r="X21" s="324"/>
      <c r="Y21" s="325"/>
      <c r="Z21" s="70"/>
      <c r="AA21" s="352"/>
      <c r="AB21" s="86"/>
      <c r="AC21" s="72"/>
      <c r="AD21" s="331"/>
      <c r="AE21" s="239" t="s">
        <v>278</v>
      </c>
      <c r="AF21" s="243" t="s">
        <v>77</v>
      </c>
      <c r="AG21" s="334"/>
    </row>
    <row r="22" spans="2:39" s="306" customFormat="1" ht="12.75" customHeight="1" x14ac:dyDescent="0.2">
      <c r="B22" s="338" t="str" cm="1">
        <f t="array" ref="B22">IF(C22="","Skip",IF(AND(Validator!G16=TRUE,Validator!G266=TRUE,Validator!G516=TRUE,Validator!G766=TRUE,Validator!G1016=TRUE,Validator!G1266=TRUE,OR(ISBLANK($R22),ISNUMBER(VALUE(SUBSTITUTE(SUBSTITUTE(SUBSTITUTE(SUBSTITUTE($R22," ",""),"c",""),"C",""),"-","")))),OR(SUMPRODUCT(--($U22=Package_type_code))&gt;0,$U22="",$U22="-")),"Valid","Invalid"))</f>
        <v>Skip</v>
      </c>
      <c r="C22" s="70"/>
      <c r="D22" s="395"/>
      <c r="E22" s="396"/>
      <c r="F22" s="178" t="str">
        <f t="shared" si="0"/>
        <v>-</v>
      </c>
      <c r="G22" s="398"/>
      <c r="H22" s="178" t="str">
        <f t="shared" si="1"/>
        <v>-</v>
      </c>
      <c r="I22" s="333"/>
      <c r="J22" s="400"/>
      <c r="K22" s="401"/>
      <c r="L22" s="402"/>
      <c r="M22" s="322"/>
      <c r="N22" s="584"/>
      <c r="O22" s="403" t="s">
        <v>278</v>
      </c>
      <c r="P22" s="404" t="s">
        <v>77</v>
      </c>
      <c r="Q22" s="329"/>
      <c r="R22" s="320"/>
      <c r="S22" s="320"/>
      <c r="T22" s="329"/>
      <c r="U22" s="336" t="str">
        <f>IF(ISERROR(VLOOKUP($T22, 'Reference data'!$J$2:$K$139, 2, FALSE)),"-",VLOOKUP($T22, 'Reference data'!$J$2:$K$139, 2, FALSE))</f>
        <v>-</v>
      </c>
      <c r="V22" s="320"/>
      <c r="W22" s="320"/>
      <c r="X22" s="324"/>
      <c r="Y22" s="325"/>
      <c r="Z22" s="70"/>
      <c r="AA22" s="352"/>
      <c r="AB22" s="86"/>
      <c r="AC22" s="72"/>
      <c r="AD22" s="331"/>
      <c r="AE22" s="239" t="s">
        <v>278</v>
      </c>
      <c r="AF22" s="243" t="s">
        <v>77</v>
      </c>
      <c r="AG22" s="334"/>
    </row>
    <row r="23" spans="2:39" s="306" customFormat="1" ht="12.75" customHeight="1" x14ac:dyDescent="0.2">
      <c r="B23" s="338" t="str" cm="1">
        <f t="array" ref="B23">IF(C23="","Skip",IF(AND(Validator!G17=TRUE,Validator!G267=TRUE,Validator!G517=TRUE,Validator!G767=TRUE,Validator!G1017=TRUE,Validator!G1267=TRUE,OR(ISBLANK($R23),ISNUMBER(VALUE(SUBSTITUTE(SUBSTITUTE(SUBSTITUTE(SUBSTITUTE($R23," ",""),"c",""),"C",""),"-","")))),OR(SUMPRODUCT(--($U23=Package_type_code))&gt;0,$U23="",$U23="-")),"Valid","Invalid"))</f>
        <v>Skip</v>
      </c>
      <c r="C23" s="70"/>
      <c r="D23" s="395"/>
      <c r="E23" s="396"/>
      <c r="F23" s="178" t="str">
        <f t="shared" si="0"/>
        <v>-</v>
      </c>
      <c r="G23" s="398"/>
      <c r="H23" s="178" t="str">
        <f t="shared" si="1"/>
        <v>-</v>
      </c>
      <c r="I23" s="333"/>
      <c r="J23" s="400"/>
      <c r="K23" s="401"/>
      <c r="L23" s="402"/>
      <c r="M23" s="322"/>
      <c r="N23" s="584"/>
      <c r="O23" s="403" t="s">
        <v>278</v>
      </c>
      <c r="P23" s="404" t="s">
        <v>77</v>
      </c>
      <c r="Q23" s="329"/>
      <c r="R23" s="320"/>
      <c r="S23" s="320"/>
      <c r="T23" s="329"/>
      <c r="U23" s="336" t="str">
        <f>IF(ISERROR(VLOOKUP($T23, 'Reference data'!$J$2:$K$139, 2, FALSE)),"-",VLOOKUP($T23, 'Reference data'!$J$2:$K$139, 2, FALSE))</f>
        <v>-</v>
      </c>
      <c r="V23" s="320"/>
      <c r="W23" s="320"/>
      <c r="X23" s="324"/>
      <c r="Y23" s="325"/>
      <c r="Z23" s="70"/>
      <c r="AA23" s="352"/>
      <c r="AB23" s="86"/>
      <c r="AC23" s="72"/>
      <c r="AD23" s="331"/>
      <c r="AE23" s="239" t="s">
        <v>278</v>
      </c>
      <c r="AF23" s="243" t="s">
        <v>77</v>
      </c>
      <c r="AG23" s="334"/>
    </row>
    <row r="24" spans="2:39" s="306" customFormat="1" ht="12.75" customHeight="1" x14ac:dyDescent="0.2">
      <c r="B24" s="338" t="str" cm="1">
        <f t="array" ref="B24">IF(C24="","Skip",IF(AND(Validator!G18=TRUE,Validator!G268=TRUE,Validator!G518=TRUE,Validator!G768=TRUE,Validator!G1018=TRUE,Validator!G1268=TRUE,OR(ISBLANK($R24),ISNUMBER(VALUE(SUBSTITUTE(SUBSTITUTE(SUBSTITUTE(SUBSTITUTE($R24," ",""),"c",""),"C",""),"-","")))),OR(SUMPRODUCT(--($U24=Package_type_code))&gt;0,$U24="",$U24="-")),"Valid","Invalid"))</f>
        <v>Skip</v>
      </c>
      <c r="C24" s="70"/>
      <c r="D24" s="395"/>
      <c r="E24" s="396"/>
      <c r="F24" s="178" t="str">
        <f t="shared" si="0"/>
        <v>-</v>
      </c>
      <c r="G24" s="398"/>
      <c r="H24" s="178" t="str">
        <f t="shared" si="1"/>
        <v>-</v>
      </c>
      <c r="I24" s="333"/>
      <c r="J24" s="400"/>
      <c r="K24" s="401"/>
      <c r="L24" s="402"/>
      <c r="M24" s="322"/>
      <c r="N24" s="584"/>
      <c r="O24" s="403" t="s">
        <v>278</v>
      </c>
      <c r="P24" s="404" t="s">
        <v>77</v>
      </c>
      <c r="Q24" s="329"/>
      <c r="R24" s="320"/>
      <c r="S24" s="320"/>
      <c r="T24" s="329"/>
      <c r="U24" s="336" t="str">
        <f>IF(ISERROR(VLOOKUP($T24, 'Reference data'!$J$2:$K$139, 2, FALSE)),"-",VLOOKUP($T24, 'Reference data'!$J$2:$K$139, 2, FALSE))</f>
        <v>-</v>
      </c>
      <c r="V24" s="320"/>
      <c r="W24" s="320"/>
      <c r="X24" s="324"/>
      <c r="Y24" s="325"/>
      <c r="Z24" s="70"/>
      <c r="AA24" s="352"/>
      <c r="AB24" s="86"/>
      <c r="AC24" s="72"/>
      <c r="AD24" s="331"/>
      <c r="AE24" s="239" t="s">
        <v>278</v>
      </c>
      <c r="AF24" s="243" t="s">
        <v>77</v>
      </c>
      <c r="AG24" s="334"/>
    </row>
    <row r="25" spans="2:39" s="306" customFormat="1" ht="12.75" customHeight="1" x14ac:dyDescent="0.2">
      <c r="B25" s="338" t="str" cm="1">
        <f t="array" ref="B25">IF(C25="","Skip",IF(AND(Validator!G19=TRUE,Validator!G269=TRUE,Validator!G519=TRUE,Validator!G769=TRUE,Validator!G1019=TRUE,Validator!G1269=TRUE,OR(ISBLANK($R25),ISNUMBER(VALUE(SUBSTITUTE(SUBSTITUTE(SUBSTITUTE(SUBSTITUTE($R25," ",""),"c",""),"C",""),"-","")))),OR(SUMPRODUCT(--($U25=Package_type_code))&gt;0,$U25="",$U25="-")),"Valid","Invalid"))</f>
        <v>Skip</v>
      </c>
      <c r="C25" s="70"/>
      <c r="D25" s="395"/>
      <c r="E25" s="396"/>
      <c r="F25" s="178" t="str">
        <f t="shared" si="0"/>
        <v>-</v>
      </c>
      <c r="G25" s="398"/>
      <c r="H25" s="178" t="str">
        <f t="shared" si="1"/>
        <v>-</v>
      </c>
      <c r="I25" s="333"/>
      <c r="J25" s="400"/>
      <c r="K25" s="401"/>
      <c r="L25" s="402"/>
      <c r="M25" s="322"/>
      <c r="N25" s="584"/>
      <c r="O25" s="403" t="s">
        <v>278</v>
      </c>
      <c r="P25" s="404" t="s">
        <v>77</v>
      </c>
      <c r="Q25" s="329"/>
      <c r="R25" s="320"/>
      <c r="S25" s="320"/>
      <c r="T25" s="329"/>
      <c r="U25" s="336" t="str">
        <f>IF(ISERROR(VLOOKUP($T25, 'Reference data'!$J$2:$K$139, 2, FALSE)),"-",VLOOKUP($T25, 'Reference data'!$J$2:$K$139, 2, FALSE))</f>
        <v>-</v>
      </c>
      <c r="V25" s="320"/>
      <c r="W25" s="320"/>
      <c r="X25" s="324"/>
      <c r="Y25" s="325"/>
      <c r="Z25" s="70"/>
      <c r="AA25" s="352"/>
      <c r="AB25" s="86"/>
      <c r="AC25" s="72"/>
      <c r="AD25" s="331"/>
      <c r="AE25" s="239" t="s">
        <v>278</v>
      </c>
      <c r="AF25" s="243" t="s">
        <v>77</v>
      </c>
      <c r="AG25" s="334"/>
    </row>
    <row r="26" spans="2:39" s="306" customFormat="1" ht="12.75" customHeight="1" x14ac:dyDescent="0.2">
      <c r="B26" s="338" t="str" cm="1">
        <f t="array" ref="B26">IF(C26="","Skip",IF(AND(Validator!G20=TRUE,Validator!G270=TRUE,Validator!G520=TRUE,Validator!G770=TRUE,Validator!G1020=TRUE,Validator!G1270=TRUE,OR(ISBLANK($R26),ISNUMBER(VALUE(SUBSTITUTE(SUBSTITUTE(SUBSTITUTE(SUBSTITUTE($R26," ",""),"c",""),"C",""),"-","")))),OR(SUMPRODUCT(--($U26=Package_type_code))&gt;0,$U26="",$U26="-")),"Valid","Invalid"))</f>
        <v>Skip</v>
      </c>
      <c r="C26" s="70"/>
      <c r="D26" s="395"/>
      <c r="E26" s="396"/>
      <c r="F26" s="178" t="str">
        <f t="shared" si="0"/>
        <v>-</v>
      </c>
      <c r="G26" s="398"/>
      <c r="H26" s="178" t="str">
        <f t="shared" si="1"/>
        <v>-</v>
      </c>
      <c r="I26" s="333"/>
      <c r="J26" s="400"/>
      <c r="K26" s="401"/>
      <c r="L26" s="402"/>
      <c r="M26" s="322"/>
      <c r="N26" s="584"/>
      <c r="O26" s="403" t="s">
        <v>278</v>
      </c>
      <c r="P26" s="404" t="s">
        <v>77</v>
      </c>
      <c r="Q26" s="329"/>
      <c r="R26" s="320"/>
      <c r="S26" s="320"/>
      <c r="T26" s="329"/>
      <c r="U26" s="336" t="str">
        <f>IF(ISERROR(VLOOKUP($T26, 'Reference data'!$J$2:$K$139, 2, FALSE)),"-",VLOOKUP($T26, 'Reference data'!$J$2:$K$139, 2, FALSE))</f>
        <v>-</v>
      </c>
      <c r="V26" s="320"/>
      <c r="W26" s="320"/>
      <c r="X26" s="324"/>
      <c r="Y26" s="325"/>
      <c r="Z26" s="70"/>
      <c r="AA26" s="352"/>
      <c r="AB26" s="86"/>
      <c r="AC26" s="72"/>
      <c r="AD26" s="331"/>
      <c r="AE26" s="239" t="s">
        <v>278</v>
      </c>
      <c r="AF26" s="243" t="s">
        <v>77</v>
      </c>
      <c r="AG26" s="334"/>
    </row>
    <row r="27" spans="2:39" s="306" customFormat="1" ht="12.75" customHeight="1" x14ac:dyDescent="0.2">
      <c r="B27" s="338" t="str" cm="1">
        <f t="array" ref="B27">IF(C27="","Skip",IF(AND(Validator!G21=TRUE,Validator!G271=TRUE,Validator!G521=TRUE,Validator!G771=TRUE,Validator!G1021=TRUE,Validator!G1271=TRUE,OR(ISBLANK($R27),ISNUMBER(VALUE(SUBSTITUTE(SUBSTITUTE(SUBSTITUTE(SUBSTITUTE($R27," ",""),"c",""),"C",""),"-","")))),OR(SUMPRODUCT(--($U27=Package_type_code))&gt;0,$U27="",$U27="-")),"Valid","Invalid"))</f>
        <v>Skip</v>
      </c>
      <c r="C27" s="70"/>
      <c r="D27" s="395"/>
      <c r="E27" s="396"/>
      <c r="F27" s="178" t="str">
        <f t="shared" si="0"/>
        <v>-</v>
      </c>
      <c r="G27" s="398"/>
      <c r="H27" s="178" t="str">
        <f t="shared" si="1"/>
        <v>-</v>
      </c>
      <c r="I27" s="333"/>
      <c r="J27" s="400"/>
      <c r="K27" s="401"/>
      <c r="L27" s="402"/>
      <c r="M27" s="322"/>
      <c r="N27" s="584"/>
      <c r="O27" s="403" t="s">
        <v>278</v>
      </c>
      <c r="P27" s="404" t="s">
        <v>77</v>
      </c>
      <c r="Q27" s="329"/>
      <c r="R27" s="320"/>
      <c r="S27" s="320"/>
      <c r="T27" s="329"/>
      <c r="U27" s="336" t="str">
        <f>IF(ISERROR(VLOOKUP($T27, 'Reference data'!$J$2:$K$139, 2, FALSE)),"-",VLOOKUP($T27, 'Reference data'!$J$2:$K$139, 2, FALSE))</f>
        <v>-</v>
      </c>
      <c r="V27" s="320"/>
      <c r="W27" s="320"/>
      <c r="X27" s="324"/>
      <c r="Y27" s="325"/>
      <c r="Z27" s="70"/>
      <c r="AA27" s="352"/>
      <c r="AB27" s="86"/>
      <c r="AC27" s="72"/>
      <c r="AD27" s="331"/>
      <c r="AE27" s="239" t="s">
        <v>278</v>
      </c>
      <c r="AF27" s="243" t="s">
        <v>77</v>
      </c>
      <c r="AG27" s="334"/>
    </row>
    <row r="28" spans="2:39" s="306" customFormat="1" ht="12.75" customHeight="1" x14ac:dyDescent="0.2">
      <c r="B28" s="338" t="str" cm="1">
        <f t="array" ref="B28">IF(C28="","Skip",IF(AND(Validator!G22=TRUE,Validator!G272=TRUE,Validator!G522=TRUE,Validator!G772=TRUE,Validator!G1022=TRUE,Validator!G1272=TRUE,OR(ISBLANK($R28),ISNUMBER(VALUE(SUBSTITUTE(SUBSTITUTE(SUBSTITUTE(SUBSTITUTE($R28," ",""),"c",""),"C",""),"-","")))),OR(SUMPRODUCT(--($U28=Package_type_code))&gt;0,$U28="",$U28="-")),"Valid","Invalid"))</f>
        <v>Skip</v>
      </c>
      <c r="C28" s="70"/>
      <c r="D28" s="395"/>
      <c r="E28" s="396"/>
      <c r="F28" s="178" t="str">
        <f t="shared" si="0"/>
        <v>-</v>
      </c>
      <c r="G28" s="398"/>
      <c r="H28" s="178" t="str">
        <f t="shared" si="1"/>
        <v>-</v>
      </c>
      <c r="I28" s="333"/>
      <c r="J28" s="400"/>
      <c r="K28" s="401"/>
      <c r="L28" s="402"/>
      <c r="M28" s="322"/>
      <c r="N28" s="584"/>
      <c r="O28" s="403" t="s">
        <v>278</v>
      </c>
      <c r="P28" s="404" t="s">
        <v>77</v>
      </c>
      <c r="Q28" s="329"/>
      <c r="R28" s="320"/>
      <c r="S28" s="320"/>
      <c r="T28" s="329"/>
      <c r="U28" s="336" t="str">
        <f>IF(ISERROR(VLOOKUP($T28, 'Reference data'!$J$2:$K$139, 2, FALSE)),"-",VLOOKUP($T28, 'Reference data'!$J$2:$K$139, 2, FALSE))</f>
        <v>-</v>
      </c>
      <c r="V28" s="320"/>
      <c r="W28" s="320"/>
      <c r="X28" s="324"/>
      <c r="Y28" s="325"/>
      <c r="Z28" s="70"/>
      <c r="AA28" s="352"/>
      <c r="AB28" s="86"/>
      <c r="AC28" s="72"/>
      <c r="AD28" s="331"/>
      <c r="AE28" s="239" t="s">
        <v>278</v>
      </c>
      <c r="AF28" s="243" t="s">
        <v>77</v>
      </c>
      <c r="AG28" s="334"/>
    </row>
    <row r="29" spans="2:39" s="306" customFormat="1" ht="12.75" customHeight="1" x14ac:dyDescent="0.2">
      <c r="B29" s="338" t="str" cm="1">
        <f t="array" ref="B29">IF(C29="","Skip",IF(AND(Validator!G23=TRUE,Validator!G273=TRUE,Validator!G523=TRUE,Validator!G773=TRUE,Validator!G1023=TRUE,Validator!G1273=TRUE,OR(ISBLANK($R29),ISNUMBER(VALUE(SUBSTITUTE(SUBSTITUTE(SUBSTITUTE(SUBSTITUTE($R29," ",""),"c",""),"C",""),"-","")))),OR(SUMPRODUCT(--($U29=Package_type_code))&gt;0,$U29="",$U29="-")),"Valid","Invalid"))</f>
        <v>Skip</v>
      </c>
      <c r="C29" s="70"/>
      <c r="D29" s="395"/>
      <c r="E29" s="396"/>
      <c r="F29" s="178" t="str">
        <f t="shared" si="0"/>
        <v>-</v>
      </c>
      <c r="G29" s="398"/>
      <c r="H29" s="178" t="str">
        <f t="shared" si="1"/>
        <v>-</v>
      </c>
      <c r="I29" s="333"/>
      <c r="J29" s="400"/>
      <c r="K29" s="401"/>
      <c r="L29" s="402"/>
      <c r="M29" s="322"/>
      <c r="N29" s="584"/>
      <c r="O29" s="403" t="s">
        <v>278</v>
      </c>
      <c r="P29" s="404" t="s">
        <v>77</v>
      </c>
      <c r="Q29" s="329"/>
      <c r="R29" s="320"/>
      <c r="S29" s="320"/>
      <c r="T29" s="329"/>
      <c r="U29" s="336" t="str">
        <f>IF(ISERROR(VLOOKUP($T29, 'Reference data'!$J$2:$K$139, 2, FALSE)),"-",VLOOKUP($T29, 'Reference data'!$J$2:$K$139, 2, FALSE))</f>
        <v>-</v>
      </c>
      <c r="V29" s="320"/>
      <c r="W29" s="320"/>
      <c r="X29" s="324"/>
      <c r="Y29" s="325"/>
      <c r="Z29" s="70"/>
      <c r="AA29" s="352"/>
      <c r="AB29" s="86"/>
      <c r="AC29" s="72"/>
      <c r="AD29" s="331"/>
      <c r="AE29" s="239" t="s">
        <v>278</v>
      </c>
      <c r="AF29" s="243" t="s">
        <v>77</v>
      </c>
      <c r="AG29" s="334"/>
    </row>
    <row r="30" spans="2:39" s="306" customFormat="1" ht="12.75" customHeight="1" x14ac:dyDescent="0.2">
      <c r="B30" s="338" t="str" cm="1">
        <f t="array" ref="B30">IF(C30="","Skip",IF(AND(Validator!G24=TRUE,Validator!G274=TRUE,Validator!G524=TRUE,Validator!G774=TRUE,Validator!G1024=TRUE,Validator!G1274=TRUE,OR(ISBLANK($R30),ISNUMBER(VALUE(SUBSTITUTE(SUBSTITUTE(SUBSTITUTE(SUBSTITUTE($R30," ",""),"c",""),"C",""),"-","")))),OR(SUMPRODUCT(--($U30=Package_type_code))&gt;0,$U30="",$U30="-")),"Valid","Invalid"))</f>
        <v>Skip</v>
      </c>
      <c r="C30" s="70"/>
      <c r="D30" s="395"/>
      <c r="E30" s="396"/>
      <c r="F30" s="178" t="str">
        <f t="shared" si="0"/>
        <v>-</v>
      </c>
      <c r="G30" s="398"/>
      <c r="H30" s="178" t="str">
        <f t="shared" si="1"/>
        <v>-</v>
      </c>
      <c r="I30" s="333"/>
      <c r="J30" s="400"/>
      <c r="K30" s="401"/>
      <c r="L30" s="402"/>
      <c r="M30" s="322"/>
      <c r="N30" s="584"/>
      <c r="O30" s="403" t="s">
        <v>278</v>
      </c>
      <c r="P30" s="404" t="s">
        <v>77</v>
      </c>
      <c r="Q30" s="329"/>
      <c r="R30" s="320"/>
      <c r="S30" s="320"/>
      <c r="T30" s="329"/>
      <c r="U30" s="336" t="str">
        <f>IF(ISERROR(VLOOKUP($T30, 'Reference data'!$J$2:$K$139, 2, FALSE)),"-",VLOOKUP($T30, 'Reference data'!$J$2:$K$139, 2, FALSE))</f>
        <v>-</v>
      </c>
      <c r="V30" s="320"/>
      <c r="W30" s="320"/>
      <c r="X30" s="324"/>
      <c r="Y30" s="325"/>
      <c r="Z30" s="70"/>
      <c r="AA30" s="352"/>
      <c r="AB30" s="86"/>
      <c r="AC30" s="72"/>
      <c r="AD30" s="331"/>
      <c r="AE30" s="239" t="s">
        <v>278</v>
      </c>
      <c r="AF30" s="243" t="s">
        <v>77</v>
      </c>
      <c r="AG30" s="334"/>
    </row>
    <row r="31" spans="2:39" s="306" customFormat="1" ht="12.75" customHeight="1" x14ac:dyDescent="0.2">
      <c r="B31" s="338" t="str" cm="1">
        <f t="array" ref="B31">IF(C31="","Skip",IF(AND(Validator!G25=TRUE,Validator!G275=TRUE,Validator!G525=TRUE,Validator!G775=TRUE,Validator!G1025=TRUE,Validator!G1275=TRUE,OR(ISBLANK($R31),ISNUMBER(VALUE(SUBSTITUTE(SUBSTITUTE(SUBSTITUTE(SUBSTITUTE($R31," ",""),"c",""),"C",""),"-","")))),OR(SUMPRODUCT(--($U31=Package_type_code))&gt;0,$U31="",$U31="-")),"Valid","Invalid"))</f>
        <v>Skip</v>
      </c>
      <c r="C31" s="70"/>
      <c r="D31" s="395"/>
      <c r="E31" s="396"/>
      <c r="F31" s="178" t="str">
        <f t="shared" si="0"/>
        <v>-</v>
      </c>
      <c r="G31" s="398"/>
      <c r="H31" s="178" t="str">
        <f t="shared" si="1"/>
        <v>-</v>
      </c>
      <c r="I31" s="333"/>
      <c r="J31" s="400"/>
      <c r="K31" s="401"/>
      <c r="L31" s="402"/>
      <c r="M31" s="322"/>
      <c r="N31" s="584"/>
      <c r="O31" s="403" t="s">
        <v>278</v>
      </c>
      <c r="P31" s="404" t="s">
        <v>77</v>
      </c>
      <c r="Q31" s="329"/>
      <c r="R31" s="320"/>
      <c r="S31" s="320"/>
      <c r="T31" s="329"/>
      <c r="U31" s="336" t="str">
        <f>IF(ISERROR(VLOOKUP($T31, 'Reference data'!$J$2:$K$139, 2, FALSE)),"-",VLOOKUP($T31, 'Reference data'!$J$2:$K$139, 2, FALSE))</f>
        <v>-</v>
      </c>
      <c r="V31" s="320"/>
      <c r="W31" s="320"/>
      <c r="X31" s="324"/>
      <c r="Y31" s="325"/>
      <c r="Z31" s="70"/>
      <c r="AA31" s="352"/>
      <c r="AB31" s="86"/>
      <c r="AC31" s="72"/>
      <c r="AD31" s="331"/>
      <c r="AE31" s="239" t="s">
        <v>278</v>
      </c>
      <c r="AF31" s="243" t="s">
        <v>77</v>
      </c>
      <c r="AG31" s="334"/>
    </row>
    <row r="32" spans="2:39" s="306" customFormat="1" ht="12.75" customHeight="1" x14ac:dyDescent="0.2">
      <c r="B32" s="338" t="str" cm="1">
        <f t="array" ref="B32">IF(C32="","Skip",IF(AND(Validator!G26=TRUE,Validator!G276=TRUE,Validator!G526=TRUE,Validator!G776=TRUE,Validator!G1026=TRUE,Validator!G1276=TRUE,OR(ISBLANK($R32),ISNUMBER(VALUE(SUBSTITUTE(SUBSTITUTE(SUBSTITUTE(SUBSTITUTE($R32," ",""),"c",""),"C",""),"-","")))),OR(SUMPRODUCT(--($U32=Package_type_code))&gt;0,$U32="",$U32="-")),"Valid","Invalid"))</f>
        <v>Skip</v>
      </c>
      <c r="C32" s="70"/>
      <c r="D32" s="395"/>
      <c r="E32" s="396"/>
      <c r="F32" s="178" t="str">
        <f t="shared" si="0"/>
        <v>-</v>
      </c>
      <c r="G32" s="398"/>
      <c r="H32" s="178" t="str">
        <f t="shared" si="1"/>
        <v>-</v>
      </c>
      <c r="I32" s="333"/>
      <c r="J32" s="400"/>
      <c r="K32" s="401"/>
      <c r="L32" s="402"/>
      <c r="M32" s="322"/>
      <c r="N32" s="584"/>
      <c r="O32" s="403" t="s">
        <v>278</v>
      </c>
      <c r="P32" s="404" t="s">
        <v>77</v>
      </c>
      <c r="Q32" s="329"/>
      <c r="R32" s="320"/>
      <c r="S32" s="320"/>
      <c r="T32" s="329"/>
      <c r="U32" s="336" t="str">
        <f>IF(ISERROR(VLOOKUP($T32, 'Reference data'!$J$2:$K$139, 2, FALSE)),"-",VLOOKUP($T32, 'Reference data'!$J$2:$K$139, 2, FALSE))</f>
        <v>-</v>
      </c>
      <c r="V32" s="320"/>
      <c r="W32" s="320"/>
      <c r="X32" s="324"/>
      <c r="Y32" s="325"/>
      <c r="Z32" s="70"/>
      <c r="AA32" s="352"/>
      <c r="AB32" s="86"/>
      <c r="AC32" s="72"/>
      <c r="AD32" s="331"/>
      <c r="AE32" s="239" t="s">
        <v>278</v>
      </c>
      <c r="AF32" s="243" t="s">
        <v>77</v>
      </c>
      <c r="AG32" s="334"/>
    </row>
    <row r="33" spans="2:33" s="306" customFormat="1" ht="12.75" customHeight="1" x14ac:dyDescent="0.2">
      <c r="B33" s="338" t="str" cm="1">
        <f t="array" ref="B33">IF(C33="","Skip",IF(AND(Validator!G27=TRUE,Validator!G277=TRUE,Validator!G527=TRUE,Validator!G777=TRUE,Validator!G1027=TRUE,Validator!G1277=TRUE,OR(ISBLANK($R33),ISNUMBER(VALUE(SUBSTITUTE(SUBSTITUTE(SUBSTITUTE(SUBSTITUTE($R33," ",""),"c",""),"C",""),"-","")))),OR(SUMPRODUCT(--($U33=Package_type_code))&gt;0,$U33="",$U33="-")),"Valid","Invalid"))</f>
        <v>Skip</v>
      </c>
      <c r="C33" s="70"/>
      <c r="D33" s="395"/>
      <c r="E33" s="396"/>
      <c r="F33" s="178" t="str">
        <f t="shared" si="0"/>
        <v>-</v>
      </c>
      <c r="G33" s="398"/>
      <c r="H33" s="178" t="str">
        <f t="shared" si="1"/>
        <v>-</v>
      </c>
      <c r="I33" s="333"/>
      <c r="J33" s="400"/>
      <c r="K33" s="401"/>
      <c r="L33" s="402"/>
      <c r="M33" s="322"/>
      <c r="N33" s="584"/>
      <c r="O33" s="403" t="s">
        <v>278</v>
      </c>
      <c r="P33" s="404" t="s">
        <v>77</v>
      </c>
      <c r="Q33" s="329"/>
      <c r="R33" s="320"/>
      <c r="S33" s="320"/>
      <c r="T33" s="329"/>
      <c r="U33" s="336" t="str">
        <f>IF(ISERROR(VLOOKUP($T33, 'Reference data'!$J$2:$K$139, 2, FALSE)),"-",VLOOKUP($T33, 'Reference data'!$J$2:$K$139, 2, FALSE))</f>
        <v>-</v>
      </c>
      <c r="V33" s="320"/>
      <c r="W33" s="320"/>
      <c r="X33" s="324"/>
      <c r="Y33" s="325"/>
      <c r="Z33" s="70"/>
      <c r="AA33" s="352"/>
      <c r="AB33" s="86"/>
      <c r="AC33" s="72"/>
      <c r="AD33" s="331"/>
      <c r="AE33" s="239" t="s">
        <v>278</v>
      </c>
      <c r="AF33" s="243" t="s">
        <v>77</v>
      </c>
      <c r="AG33" s="334"/>
    </row>
    <row r="34" spans="2:33" s="306" customFormat="1" ht="12.75" customHeight="1" x14ac:dyDescent="0.2">
      <c r="B34" s="338" t="str" cm="1">
        <f t="array" ref="B34">IF(C34="","Skip",IF(AND(Validator!G28=TRUE,Validator!G278=TRUE,Validator!G528=TRUE,Validator!G778=TRUE,Validator!G1028=TRUE,Validator!G1278=TRUE,OR(ISBLANK($R34),ISNUMBER(VALUE(SUBSTITUTE(SUBSTITUTE(SUBSTITUTE(SUBSTITUTE($R34," ",""),"c",""),"C",""),"-","")))),OR(SUMPRODUCT(--($U34=Package_type_code))&gt;0,$U34="",$U34="-")),"Valid","Invalid"))</f>
        <v>Skip</v>
      </c>
      <c r="C34" s="70"/>
      <c r="D34" s="395"/>
      <c r="E34" s="396"/>
      <c r="F34" s="178" t="str">
        <f t="shared" si="0"/>
        <v>-</v>
      </c>
      <c r="G34" s="398"/>
      <c r="H34" s="178" t="str">
        <f t="shared" si="1"/>
        <v>-</v>
      </c>
      <c r="I34" s="333"/>
      <c r="J34" s="400"/>
      <c r="K34" s="401"/>
      <c r="L34" s="402"/>
      <c r="M34" s="322"/>
      <c r="N34" s="584"/>
      <c r="O34" s="403" t="s">
        <v>278</v>
      </c>
      <c r="P34" s="404" t="s">
        <v>77</v>
      </c>
      <c r="Q34" s="329"/>
      <c r="R34" s="320"/>
      <c r="S34" s="320"/>
      <c r="T34" s="329"/>
      <c r="U34" s="336" t="str">
        <f>IF(ISERROR(VLOOKUP($T34, 'Reference data'!$J$2:$K$139, 2, FALSE)),"-",VLOOKUP($T34, 'Reference data'!$J$2:$K$139, 2, FALSE))</f>
        <v>-</v>
      </c>
      <c r="V34" s="320"/>
      <c r="W34" s="320"/>
      <c r="X34" s="324"/>
      <c r="Y34" s="325"/>
      <c r="Z34" s="70"/>
      <c r="AA34" s="352"/>
      <c r="AB34" s="86"/>
      <c r="AC34" s="72"/>
      <c r="AD34" s="331"/>
      <c r="AE34" s="239" t="s">
        <v>278</v>
      </c>
      <c r="AF34" s="243" t="s">
        <v>77</v>
      </c>
      <c r="AG34" s="334"/>
    </row>
    <row r="35" spans="2:33" s="306" customFormat="1" ht="12.75" customHeight="1" x14ac:dyDescent="0.2">
      <c r="B35" s="338" t="str" cm="1">
        <f t="array" ref="B35">IF(C35="","Skip",IF(AND(Validator!G29=TRUE,Validator!G279=TRUE,Validator!G529=TRUE,Validator!G779=TRUE,Validator!G1029=TRUE,Validator!G1279=TRUE,OR(ISBLANK($R35),ISNUMBER(VALUE(SUBSTITUTE(SUBSTITUTE(SUBSTITUTE(SUBSTITUTE($R35," ",""),"c",""),"C",""),"-","")))),OR(SUMPRODUCT(--($U35=Package_type_code))&gt;0,$U35="",$U35="-")),"Valid","Invalid"))</f>
        <v>Skip</v>
      </c>
      <c r="C35" s="70"/>
      <c r="D35" s="395"/>
      <c r="E35" s="396"/>
      <c r="F35" s="178" t="str">
        <f t="shared" si="0"/>
        <v>-</v>
      </c>
      <c r="G35" s="398"/>
      <c r="H35" s="178" t="str">
        <f t="shared" si="1"/>
        <v>-</v>
      </c>
      <c r="I35" s="333"/>
      <c r="J35" s="400"/>
      <c r="K35" s="401"/>
      <c r="L35" s="402"/>
      <c r="M35" s="322"/>
      <c r="N35" s="584"/>
      <c r="O35" s="403" t="s">
        <v>278</v>
      </c>
      <c r="P35" s="404" t="s">
        <v>77</v>
      </c>
      <c r="Q35" s="329"/>
      <c r="R35" s="320"/>
      <c r="S35" s="320"/>
      <c r="T35" s="329"/>
      <c r="U35" s="336" t="str">
        <f>IF(ISERROR(VLOOKUP($T35, 'Reference data'!$J$2:$K$139, 2, FALSE)),"-",VLOOKUP($T35, 'Reference data'!$J$2:$K$139, 2, FALSE))</f>
        <v>-</v>
      </c>
      <c r="V35" s="320"/>
      <c r="W35" s="320"/>
      <c r="X35" s="324"/>
      <c r="Y35" s="325"/>
      <c r="Z35" s="70"/>
      <c r="AA35" s="352"/>
      <c r="AB35" s="86"/>
      <c r="AC35" s="72"/>
      <c r="AD35" s="331"/>
      <c r="AE35" s="239" t="s">
        <v>278</v>
      </c>
      <c r="AF35" s="243" t="s">
        <v>77</v>
      </c>
      <c r="AG35" s="334"/>
    </row>
    <row r="36" spans="2:33" s="306" customFormat="1" ht="12.75" customHeight="1" x14ac:dyDescent="0.2">
      <c r="B36" s="338" t="str" cm="1">
        <f t="array" ref="B36">IF(C36="","Skip",IF(AND(Validator!G30=TRUE,Validator!G280=TRUE,Validator!G530=TRUE,Validator!G780=TRUE,Validator!G1030=TRUE,Validator!G1280=TRUE,OR(ISBLANK($R36),ISNUMBER(VALUE(SUBSTITUTE(SUBSTITUTE(SUBSTITUTE(SUBSTITUTE($R36," ",""),"c",""),"C",""),"-","")))),OR(SUMPRODUCT(--($U36=Package_type_code))&gt;0,$U36="",$U36="-")),"Valid","Invalid"))</f>
        <v>Skip</v>
      </c>
      <c r="C36" s="70"/>
      <c r="D36" s="395"/>
      <c r="E36" s="396"/>
      <c r="F36" s="178" t="str">
        <f t="shared" si="0"/>
        <v>-</v>
      </c>
      <c r="G36" s="398"/>
      <c r="H36" s="178" t="str">
        <f t="shared" si="1"/>
        <v>-</v>
      </c>
      <c r="I36" s="333"/>
      <c r="J36" s="400"/>
      <c r="K36" s="401"/>
      <c r="L36" s="402"/>
      <c r="M36" s="322"/>
      <c r="N36" s="584"/>
      <c r="O36" s="403" t="s">
        <v>278</v>
      </c>
      <c r="P36" s="404" t="s">
        <v>77</v>
      </c>
      <c r="Q36" s="329"/>
      <c r="R36" s="320"/>
      <c r="S36" s="320"/>
      <c r="T36" s="329"/>
      <c r="U36" s="336" t="str">
        <f>IF(ISERROR(VLOOKUP($T36, 'Reference data'!$J$2:$K$139, 2, FALSE)),"-",VLOOKUP($T36, 'Reference data'!$J$2:$K$139, 2, FALSE))</f>
        <v>-</v>
      </c>
      <c r="V36" s="320"/>
      <c r="W36" s="320"/>
      <c r="X36" s="324"/>
      <c r="Y36" s="325"/>
      <c r="Z36" s="70"/>
      <c r="AA36" s="352"/>
      <c r="AB36" s="86"/>
      <c r="AC36" s="72"/>
      <c r="AD36" s="331"/>
      <c r="AE36" s="239" t="s">
        <v>278</v>
      </c>
      <c r="AF36" s="243" t="s">
        <v>77</v>
      </c>
      <c r="AG36" s="334"/>
    </row>
    <row r="37" spans="2:33" s="306" customFormat="1" ht="12.75" customHeight="1" x14ac:dyDescent="0.2">
      <c r="B37" s="338" t="str" cm="1">
        <f t="array" ref="B37">IF(C37="","Skip",IF(AND(Validator!G31=TRUE,Validator!G281=TRUE,Validator!G531=TRUE,Validator!G781=TRUE,Validator!G1031=TRUE,Validator!G1281=TRUE,OR(ISBLANK($R37),ISNUMBER(VALUE(SUBSTITUTE(SUBSTITUTE(SUBSTITUTE(SUBSTITUTE($R37," ",""),"c",""),"C",""),"-","")))),OR(SUMPRODUCT(--($U37=Package_type_code))&gt;0,$U37="",$U37="-")),"Valid","Invalid"))</f>
        <v>Skip</v>
      </c>
      <c r="C37" s="70"/>
      <c r="D37" s="395"/>
      <c r="E37" s="396"/>
      <c r="F37" s="178" t="str">
        <f t="shared" si="0"/>
        <v>-</v>
      </c>
      <c r="G37" s="398"/>
      <c r="H37" s="178" t="str">
        <f t="shared" si="1"/>
        <v>-</v>
      </c>
      <c r="I37" s="333"/>
      <c r="J37" s="400"/>
      <c r="K37" s="401"/>
      <c r="L37" s="402"/>
      <c r="M37" s="322"/>
      <c r="N37" s="584"/>
      <c r="O37" s="403" t="s">
        <v>278</v>
      </c>
      <c r="P37" s="404" t="s">
        <v>77</v>
      </c>
      <c r="Q37" s="329"/>
      <c r="R37" s="320"/>
      <c r="S37" s="320"/>
      <c r="T37" s="329"/>
      <c r="U37" s="336" t="str">
        <f>IF(ISERROR(VLOOKUP($T37, 'Reference data'!$J$2:$K$139, 2, FALSE)),"-",VLOOKUP($T37, 'Reference data'!$J$2:$K$139, 2, FALSE))</f>
        <v>-</v>
      </c>
      <c r="V37" s="320"/>
      <c r="W37" s="320"/>
      <c r="X37" s="324"/>
      <c r="Y37" s="325"/>
      <c r="Z37" s="70"/>
      <c r="AA37" s="352"/>
      <c r="AB37" s="86"/>
      <c r="AC37" s="72"/>
      <c r="AD37" s="331"/>
      <c r="AE37" s="239" t="s">
        <v>278</v>
      </c>
      <c r="AF37" s="243" t="s">
        <v>77</v>
      </c>
      <c r="AG37" s="334"/>
    </row>
    <row r="38" spans="2:33" s="306" customFormat="1" ht="12.75" customHeight="1" x14ac:dyDescent="0.2">
      <c r="B38" s="338" t="str" cm="1">
        <f t="array" ref="B38">IF(C38="","Skip",IF(AND(Validator!G32=TRUE,Validator!G282=TRUE,Validator!G532=TRUE,Validator!G782=TRUE,Validator!G1032=TRUE,Validator!G1282=TRUE,OR(ISBLANK($R38),ISNUMBER(VALUE(SUBSTITUTE(SUBSTITUTE(SUBSTITUTE(SUBSTITUTE($R38," ",""),"c",""),"C",""),"-","")))),OR(SUMPRODUCT(--($U38=Package_type_code))&gt;0,$U38="",$U38="-")),"Valid","Invalid"))</f>
        <v>Skip</v>
      </c>
      <c r="C38" s="70"/>
      <c r="D38" s="395"/>
      <c r="E38" s="396"/>
      <c r="F38" s="178" t="str">
        <f t="shared" si="0"/>
        <v>-</v>
      </c>
      <c r="G38" s="398"/>
      <c r="H38" s="178" t="str">
        <f t="shared" si="1"/>
        <v>-</v>
      </c>
      <c r="I38" s="333"/>
      <c r="J38" s="400"/>
      <c r="K38" s="401"/>
      <c r="L38" s="402"/>
      <c r="M38" s="322"/>
      <c r="N38" s="584"/>
      <c r="O38" s="403" t="s">
        <v>278</v>
      </c>
      <c r="P38" s="404" t="s">
        <v>77</v>
      </c>
      <c r="Q38" s="329"/>
      <c r="R38" s="320"/>
      <c r="S38" s="320"/>
      <c r="T38" s="329"/>
      <c r="U38" s="336" t="str">
        <f>IF(ISERROR(VLOOKUP($T38, 'Reference data'!$J$2:$K$139, 2, FALSE)),"-",VLOOKUP($T38, 'Reference data'!$J$2:$K$139, 2, FALSE))</f>
        <v>-</v>
      </c>
      <c r="V38" s="320"/>
      <c r="W38" s="320"/>
      <c r="X38" s="324"/>
      <c r="Y38" s="325"/>
      <c r="Z38" s="70"/>
      <c r="AA38" s="352"/>
      <c r="AB38" s="86"/>
      <c r="AC38" s="72"/>
      <c r="AD38" s="331"/>
      <c r="AE38" s="239" t="s">
        <v>278</v>
      </c>
      <c r="AF38" s="243" t="s">
        <v>77</v>
      </c>
      <c r="AG38" s="334"/>
    </row>
    <row r="39" spans="2:33" s="306" customFormat="1" ht="12.75" customHeight="1" x14ac:dyDescent="0.2">
      <c r="B39" s="338" t="str" cm="1">
        <f t="array" ref="B39">IF(C39="","Skip",IF(AND(Validator!G33=TRUE,Validator!G283=TRUE,Validator!G533=TRUE,Validator!G783=TRUE,Validator!G1033=TRUE,Validator!G1283=TRUE,OR(ISBLANK($R39),ISNUMBER(VALUE(SUBSTITUTE(SUBSTITUTE(SUBSTITUTE(SUBSTITUTE($R39," ",""),"c",""),"C",""),"-","")))),OR(SUMPRODUCT(--($U39=Package_type_code))&gt;0,$U39="",$U39="-")),"Valid","Invalid"))</f>
        <v>Skip</v>
      </c>
      <c r="C39" s="70"/>
      <c r="D39" s="395"/>
      <c r="E39" s="396"/>
      <c r="F39" s="178" t="str">
        <f t="shared" si="0"/>
        <v>-</v>
      </c>
      <c r="G39" s="398"/>
      <c r="H39" s="178" t="str">
        <f t="shared" si="1"/>
        <v>-</v>
      </c>
      <c r="I39" s="333"/>
      <c r="J39" s="400"/>
      <c r="K39" s="401"/>
      <c r="L39" s="402"/>
      <c r="M39" s="322"/>
      <c r="N39" s="584"/>
      <c r="O39" s="403" t="s">
        <v>278</v>
      </c>
      <c r="P39" s="404" t="s">
        <v>77</v>
      </c>
      <c r="Q39" s="329"/>
      <c r="R39" s="320"/>
      <c r="S39" s="320"/>
      <c r="T39" s="329"/>
      <c r="U39" s="336" t="str">
        <f>IF(ISERROR(VLOOKUP($T39, 'Reference data'!$J$2:$K$139, 2, FALSE)),"-",VLOOKUP($T39, 'Reference data'!$J$2:$K$139, 2, FALSE))</f>
        <v>-</v>
      </c>
      <c r="V39" s="320"/>
      <c r="W39" s="320"/>
      <c r="X39" s="324"/>
      <c r="Y39" s="325"/>
      <c r="Z39" s="70"/>
      <c r="AA39" s="352"/>
      <c r="AB39" s="86"/>
      <c r="AC39" s="72"/>
      <c r="AD39" s="331"/>
      <c r="AE39" s="239" t="s">
        <v>278</v>
      </c>
      <c r="AF39" s="243" t="s">
        <v>77</v>
      </c>
      <c r="AG39" s="334"/>
    </row>
    <row r="40" spans="2:33" s="306" customFormat="1" ht="12.75" customHeight="1" x14ac:dyDescent="0.2">
      <c r="B40" s="338" t="str" cm="1">
        <f t="array" ref="B40">IF(C40="","Skip",IF(AND(Validator!G34=TRUE,Validator!G284=TRUE,Validator!G534=TRUE,Validator!G784=TRUE,Validator!G1034=TRUE,Validator!G1284=TRUE,OR(ISBLANK($R40),ISNUMBER(VALUE(SUBSTITUTE(SUBSTITUTE(SUBSTITUTE(SUBSTITUTE($R40," ",""),"c",""),"C",""),"-","")))),OR(SUMPRODUCT(--($U40=Package_type_code))&gt;0,$U40="",$U40="-")),"Valid","Invalid"))</f>
        <v>Skip</v>
      </c>
      <c r="C40" s="70"/>
      <c r="D40" s="395"/>
      <c r="E40" s="396"/>
      <c r="F40" s="178" t="str">
        <f t="shared" si="0"/>
        <v>-</v>
      </c>
      <c r="G40" s="398"/>
      <c r="H40" s="178" t="str">
        <f t="shared" si="1"/>
        <v>-</v>
      </c>
      <c r="I40" s="333"/>
      <c r="J40" s="400"/>
      <c r="K40" s="401"/>
      <c r="L40" s="402"/>
      <c r="M40" s="322"/>
      <c r="N40" s="584"/>
      <c r="O40" s="403" t="s">
        <v>278</v>
      </c>
      <c r="P40" s="404" t="s">
        <v>77</v>
      </c>
      <c r="Q40" s="329"/>
      <c r="R40" s="320"/>
      <c r="S40" s="320"/>
      <c r="T40" s="329"/>
      <c r="U40" s="336" t="str">
        <f>IF(ISERROR(VLOOKUP($T40, 'Reference data'!$J$2:$K$139, 2, FALSE)),"-",VLOOKUP($T40, 'Reference data'!$J$2:$K$139, 2, FALSE))</f>
        <v>-</v>
      </c>
      <c r="V40" s="320"/>
      <c r="W40" s="320"/>
      <c r="X40" s="324"/>
      <c r="Y40" s="325"/>
      <c r="Z40" s="70"/>
      <c r="AA40" s="352"/>
      <c r="AB40" s="86"/>
      <c r="AC40" s="72"/>
      <c r="AD40" s="331"/>
      <c r="AE40" s="239" t="s">
        <v>278</v>
      </c>
      <c r="AF40" s="243" t="s">
        <v>77</v>
      </c>
      <c r="AG40" s="334"/>
    </row>
    <row r="41" spans="2:33" s="306" customFormat="1" ht="12.75" customHeight="1" x14ac:dyDescent="0.2">
      <c r="B41" s="338" t="str" cm="1">
        <f t="array" ref="B41">IF(C41="","Skip",IF(AND(Validator!G35=TRUE,Validator!G285=TRUE,Validator!G535=TRUE,Validator!G785=TRUE,Validator!G1035=TRUE,Validator!G1285=TRUE,OR(ISBLANK($R41),ISNUMBER(VALUE(SUBSTITUTE(SUBSTITUTE(SUBSTITUTE(SUBSTITUTE($R41," ",""),"c",""),"C",""),"-","")))),OR(SUMPRODUCT(--($U41=Package_type_code))&gt;0,$U41="",$U41="-")),"Valid","Invalid"))</f>
        <v>Skip</v>
      </c>
      <c r="C41" s="70"/>
      <c r="D41" s="395"/>
      <c r="E41" s="396"/>
      <c r="F41" s="178" t="str">
        <f t="shared" si="0"/>
        <v>-</v>
      </c>
      <c r="G41" s="398"/>
      <c r="H41" s="178" t="str">
        <f t="shared" si="1"/>
        <v>-</v>
      </c>
      <c r="I41" s="333"/>
      <c r="J41" s="400"/>
      <c r="K41" s="401"/>
      <c r="L41" s="402"/>
      <c r="M41" s="322"/>
      <c r="N41" s="584"/>
      <c r="O41" s="403" t="s">
        <v>278</v>
      </c>
      <c r="P41" s="404" t="s">
        <v>77</v>
      </c>
      <c r="Q41" s="329"/>
      <c r="R41" s="320"/>
      <c r="S41" s="320"/>
      <c r="T41" s="329"/>
      <c r="U41" s="336" t="str">
        <f>IF(ISERROR(VLOOKUP($T41, 'Reference data'!$J$2:$K$139, 2, FALSE)),"-",VLOOKUP($T41, 'Reference data'!$J$2:$K$139, 2, FALSE))</f>
        <v>-</v>
      </c>
      <c r="V41" s="320"/>
      <c r="W41" s="320"/>
      <c r="X41" s="324"/>
      <c r="Y41" s="325"/>
      <c r="Z41" s="70"/>
      <c r="AA41" s="352"/>
      <c r="AB41" s="86"/>
      <c r="AC41" s="72"/>
      <c r="AD41" s="331"/>
      <c r="AE41" s="239" t="s">
        <v>278</v>
      </c>
      <c r="AF41" s="243" t="s">
        <v>77</v>
      </c>
      <c r="AG41" s="334"/>
    </row>
    <row r="42" spans="2:33" s="306" customFormat="1" ht="12.75" customHeight="1" x14ac:dyDescent="0.2">
      <c r="B42" s="338" t="str" cm="1">
        <f t="array" ref="B42">IF(C42="","Skip",IF(AND(Validator!G36=TRUE,Validator!G286=TRUE,Validator!G536=TRUE,Validator!G786=TRUE,Validator!G1036=TRUE,Validator!G1286=TRUE,OR(ISBLANK($R42),ISNUMBER(VALUE(SUBSTITUTE(SUBSTITUTE(SUBSTITUTE(SUBSTITUTE($R42," ",""),"c",""),"C",""),"-","")))),OR(SUMPRODUCT(--($U42=Package_type_code))&gt;0,$U42="",$U42="-")),"Valid","Invalid"))</f>
        <v>Skip</v>
      </c>
      <c r="C42" s="70"/>
      <c r="D42" s="395"/>
      <c r="E42" s="396"/>
      <c r="F42" s="178" t="str">
        <f t="shared" si="0"/>
        <v>-</v>
      </c>
      <c r="G42" s="398"/>
      <c r="H42" s="178" t="str">
        <f t="shared" si="1"/>
        <v>-</v>
      </c>
      <c r="I42" s="333"/>
      <c r="J42" s="400"/>
      <c r="K42" s="401"/>
      <c r="L42" s="402"/>
      <c r="M42" s="322"/>
      <c r="N42" s="584"/>
      <c r="O42" s="403" t="s">
        <v>278</v>
      </c>
      <c r="P42" s="404" t="s">
        <v>77</v>
      </c>
      <c r="Q42" s="329"/>
      <c r="R42" s="320"/>
      <c r="S42" s="320"/>
      <c r="T42" s="329"/>
      <c r="U42" s="336" t="str">
        <f>IF(ISERROR(VLOOKUP($T42, 'Reference data'!$J$2:$K$139, 2, FALSE)),"-",VLOOKUP($T42, 'Reference data'!$J$2:$K$139, 2, FALSE))</f>
        <v>-</v>
      </c>
      <c r="V42" s="320"/>
      <c r="W42" s="320"/>
      <c r="X42" s="324"/>
      <c r="Y42" s="325"/>
      <c r="Z42" s="70"/>
      <c r="AA42" s="352"/>
      <c r="AB42" s="86"/>
      <c r="AC42" s="72"/>
      <c r="AD42" s="331"/>
      <c r="AE42" s="239" t="s">
        <v>278</v>
      </c>
      <c r="AF42" s="243" t="s">
        <v>77</v>
      </c>
      <c r="AG42" s="334"/>
    </row>
    <row r="43" spans="2:33" s="306" customFormat="1" ht="12.75" customHeight="1" x14ac:dyDescent="0.2">
      <c r="B43" s="338" t="str" cm="1">
        <f t="array" ref="B43">IF(C43="","Skip",IF(AND(Validator!G37=TRUE,Validator!G287=TRUE,Validator!G537=TRUE,Validator!G787=TRUE,Validator!G1037=TRUE,Validator!G1287=TRUE,OR(ISBLANK($R43),ISNUMBER(VALUE(SUBSTITUTE(SUBSTITUTE(SUBSTITUTE(SUBSTITUTE($R43," ",""),"c",""),"C",""),"-","")))),OR(SUMPRODUCT(--($U43=Package_type_code))&gt;0,$U43="",$U43="-")),"Valid","Invalid"))</f>
        <v>Skip</v>
      </c>
      <c r="C43" s="70"/>
      <c r="D43" s="395"/>
      <c r="E43" s="396"/>
      <c r="F43" s="178" t="str">
        <f t="shared" si="0"/>
        <v>-</v>
      </c>
      <c r="G43" s="398"/>
      <c r="H43" s="178" t="str">
        <f t="shared" si="1"/>
        <v>-</v>
      </c>
      <c r="I43" s="333"/>
      <c r="J43" s="400"/>
      <c r="K43" s="401"/>
      <c r="L43" s="402"/>
      <c r="M43" s="322"/>
      <c r="N43" s="584"/>
      <c r="O43" s="403" t="s">
        <v>278</v>
      </c>
      <c r="P43" s="404" t="s">
        <v>77</v>
      </c>
      <c r="Q43" s="329"/>
      <c r="R43" s="320"/>
      <c r="S43" s="320"/>
      <c r="T43" s="329"/>
      <c r="U43" s="336" t="str">
        <f>IF(ISERROR(VLOOKUP($T43, 'Reference data'!$J$2:$K$139, 2, FALSE)),"-",VLOOKUP($T43, 'Reference data'!$J$2:$K$139, 2, FALSE))</f>
        <v>-</v>
      </c>
      <c r="V43" s="320"/>
      <c r="W43" s="320"/>
      <c r="X43" s="324"/>
      <c r="Y43" s="325"/>
      <c r="Z43" s="70"/>
      <c r="AA43" s="352"/>
      <c r="AB43" s="86"/>
      <c r="AC43" s="72"/>
      <c r="AD43" s="331"/>
      <c r="AE43" s="239" t="s">
        <v>278</v>
      </c>
      <c r="AF43" s="243" t="s">
        <v>77</v>
      </c>
      <c r="AG43" s="334"/>
    </row>
    <row r="44" spans="2:33" s="306" customFormat="1" ht="12.75" customHeight="1" x14ac:dyDescent="0.2">
      <c r="B44" s="338" t="str" cm="1">
        <f t="array" ref="B44">IF(C44="","Skip",IF(AND(Validator!G38=TRUE,Validator!G288=TRUE,Validator!G538=TRUE,Validator!G788=TRUE,Validator!G1038=TRUE,Validator!G1288=TRUE,OR(ISBLANK($R44),ISNUMBER(VALUE(SUBSTITUTE(SUBSTITUTE(SUBSTITUTE(SUBSTITUTE($R44," ",""),"c",""),"C",""),"-","")))),OR(SUMPRODUCT(--($U44=Package_type_code))&gt;0,$U44="",$U44="-")),"Valid","Invalid"))</f>
        <v>Skip</v>
      </c>
      <c r="C44" s="70"/>
      <c r="D44" s="395"/>
      <c r="E44" s="396"/>
      <c r="F44" s="178" t="str">
        <f t="shared" si="0"/>
        <v>-</v>
      </c>
      <c r="G44" s="398"/>
      <c r="H44" s="178" t="str">
        <f t="shared" si="1"/>
        <v>-</v>
      </c>
      <c r="I44" s="333"/>
      <c r="J44" s="400"/>
      <c r="K44" s="401"/>
      <c r="L44" s="402"/>
      <c r="M44" s="322"/>
      <c r="N44" s="584"/>
      <c r="O44" s="403" t="s">
        <v>278</v>
      </c>
      <c r="P44" s="404" t="s">
        <v>77</v>
      </c>
      <c r="Q44" s="329"/>
      <c r="R44" s="320"/>
      <c r="S44" s="320"/>
      <c r="T44" s="329"/>
      <c r="U44" s="336" t="str">
        <f>IF(ISERROR(VLOOKUP($T44, 'Reference data'!$J$2:$K$139, 2, FALSE)),"-",VLOOKUP($T44, 'Reference data'!$J$2:$K$139, 2, FALSE))</f>
        <v>-</v>
      </c>
      <c r="V44" s="320"/>
      <c r="W44" s="320"/>
      <c r="X44" s="324"/>
      <c r="Y44" s="325"/>
      <c r="Z44" s="70"/>
      <c r="AA44" s="352"/>
      <c r="AB44" s="86"/>
      <c r="AC44" s="72"/>
      <c r="AD44" s="331"/>
      <c r="AE44" s="239" t="s">
        <v>278</v>
      </c>
      <c r="AF44" s="243" t="s">
        <v>77</v>
      </c>
      <c r="AG44" s="334"/>
    </row>
    <row r="45" spans="2:33" s="306" customFormat="1" ht="12.75" customHeight="1" x14ac:dyDescent="0.2">
      <c r="B45" s="338" t="str" cm="1">
        <f t="array" ref="B45">IF(C45="","Skip",IF(AND(Validator!G39=TRUE,Validator!G289=TRUE,Validator!G539=TRUE,Validator!G789=TRUE,Validator!G1039=TRUE,Validator!G1289=TRUE,OR(ISBLANK($R45),ISNUMBER(VALUE(SUBSTITUTE(SUBSTITUTE(SUBSTITUTE(SUBSTITUTE($R45," ",""),"c",""),"C",""),"-","")))),OR(SUMPRODUCT(--($U45=Package_type_code))&gt;0,$U45="",$U45="-")),"Valid","Invalid"))</f>
        <v>Skip</v>
      </c>
      <c r="C45" s="70"/>
      <c r="D45" s="395"/>
      <c r="E45" s="396"/>
      <c r="F45" s="178" t="str">
        <f t="shared" si="0"/>
        <v>-</v>
      </c>
      <c r="G45" s="398"/>
      <c r="H45" s="178" t="str">
        <f t="shared" si="1"/>
        <v>-</v>
      </c>
      <c r="I45" s="333"/>
      <c r="J45" s="400"/>
      <c r="K45" s="401"/>
      <c r="L45" s="402"/>
      <c r="M45" s="322"/>
      <c r="N45" s="584"/>
      <c r="O45" s="403" t="s">
        <v>278</v>
      </c>
      <c r="P45" s="404" t="s">
        <v>77</v>
      </c>
      <c r="Q45" s="329"/>
      <c r="R45" s="320"/>
      <c r="S45" s="320"/>
      <c r="T45" s="329"/>
      <c r="U45" s="336" t="str">
        <f>IF(ISERROR(VLOOKUP($T45, 'Reference data'!$J$2:$K$139, 2, FALSE)),"-",VLOOKUP($T45, 'Reference data'!$J$2:$K$139, 2, FALSE))</f>
        <v>-</v>
      </c>
      <c r="V45" s="320"/>
      <c r="W45" s="320"/>
      <c r="X45" s="324"/>
      <c r="Y45" s="325"/>
      <c r="Z45" s="70"/>
      <c r="AA45" s="352"/>
      <c r="AB45" s="86"/>
      <c r="AC45" s="72"/>
      <c r="AD45" s="331"/>
      <c r="AE45" s="239" t="s">
        <v>278</v>
      </c>
      <c r="AF45" s="243" t="s">
        <v>77</v>
      </c>
      <c r="AG45" s="334"/>
    </row>
    <row r="46" spans="2:33" s="306" customFormat="1" ht="12.75" customHeight="1" x14ac:dyDescent="0.2">
      <c r="B46" s="338" t="str" cm="1">
        <f t="array" ref="B46">IF(C46="","Skip",IF(AND(Validator!G40=TRUE,Validator!G290=TRUE,Validator!G540=TRUE,Validator!G790=TRUE,Validator!G1040=TRUE,Validator!G1290=TRUE,OR(ISBLANK($R46),ISNUMBER(VALUE(SUBSTITUTE(SUBSTITUTE(SUBSTITUTE(SUBSTITUTE($R46," ",""),"c",""),"C",""),"-","")))),OR(SUMPRODUCT(--($U46=Package_type_code))&gt;0,$U46="",$U46="-")),"Valid","Invalid"))</f>
        <v>Skip</v>
      </c>
      <c r="C46" s="70"/>
      <c r="D46" s="395"/>
      <c r="E46" s="396"/>
      <c r="F46" s="178" t="str">
        <f t="shared" si="0"/>
        <v>-</v>
      </c>
      <c r="G46" s="398"/>
      <c r="H46" s="178" t="str">
        <f t="shared" si="1"/>
        <v>-</v>
      </c>
      <c r="I46" s="333"/>
      <c r="J46" s="400"/>
      <c r="K46" s="401"/>
      <c r="L46" s="402"/>
      <c r="M46" s="322"/>
      <c r="N46" s="584"/>
      <c r="O46" s="403" t="s">
        <v>278</v>
      </c>
      <c r="P46" s="404" t="s">
        <v>77</v>
      </c>
      <c r="Q46" s="329"/>
      <c r="R46" s="320"/>
      <c r="S46" s="320"/>
      <c r="T46" s="329"/>
      <c r="U46" s="336" t="str">
        <f>IF(ISERROR(VLOOKUP($T46, 'Reference data'!$J$2:$K$139, 2, FALSE)),"-",VLOOKUP($T46, 'Reference data'!$J$2:$K$139, 2, FALSE))</f>
        <v>-</v>
      </c>
      <c r="V46" s="320"/>
      <c r="W46" s="320"/>
      <c r="X46" s="324"/>
      <c r="Y46" s="325"/>
      <c r="Z46" s="70"/>
      <c r="AA46" s="352"/>
      <c r="AB46" s="86"/>
      <c r="AC46" s="72"/>
      <c r="AD46" s="331"/>
      <c r="AE46" s="239" t="s">
        <v>278</v>
      </c>
      <c r="AF46" s="243" t="s">
        <v>77</v>
      </c>
      <c r="AG46" s="334"/>
    </row>
    <row r="47" spans="2:33" s="306" customFormat="1" ht="12.75" customHeight="1" x14ac:dyDescent="0.2">
      <c r="B47" s="338" t="str" cm="1">
        <f t="array" ref="B47">IF(C47="","Skip",IF(AND(Validator!G41=TRUE,Validator!G291=TRUE,Validator!G541=TRUE,Validator!G791=TRUE,Validator!G1041=TRUE,Validator!G1291=TRUE,OR(ISBLANK($R47),ISNUMBER(VALUE(SUBSTITUTE(SUBSTITUTE(SUBSTITUTE(SUBSTITUTE($R47," ",""),"c",""),"C",""),"-","")))),OR(SUMPRODUCT(--($U47=Package_type_code))&gt;0,$U47="",$U47="-")),"Valid","Invalid"))</f>
        <v>Skip</v>
      </c>
      <c r="C47" s="70"/>
      <c r="D47" s="395"/>
      <c r="E47" s="396"/>
      <c r="F47" s="178" t="str">
        <f t="shared" si="0"/>
        <v>-</v>
      </c>
      <c r="G47" s="398"/>
      <c r="H47" s="178" t="str">
        <f t="shared" si="1"/>
        <v>-</v>
      </c>
      <c r="I47" s="333"/>
      <c r="J47" s="400"/>
      <c r="K47" s="401"/>
      <c r="L47" s="402"/>
      <c r="M47" s="322"/>
      <c r="N47" s="584"/>
      <c r="O47" s="403" t="s">
        <v>278</v>
      </c>
      <c r="P47" s="404" t="s">
        <v>77</v>
      </c>
      <c r="Q47" s="329"/>
      <c r="R47" s="320"/>
      <c r="S47" s="320"/>
      <c r="T47" s="329"/>
      <c r="U47" s="336" t="str">
        <f>IF(ISERROR(VLOOKUP($T47, 'Reference data'!$J$2:$K$139, 2, FALSE)),"-",VLOOKUP($T47, 'Reference data'!$J$2:$K$139, 2, FALSE))</f>
        <v>-</v>
      </c>
      <c r="V47" s="320"/>
      <c r="W47" s="320"/>
      <c r="X47" s="324"/>
      <c r="Y47" s="325"/>
      <c r="Z47" s="70"/>
      <c r="AA47" s="352"/>
      <c r="AB47" s="86"/>
      <c r="AC47" s="72"/>
      <c r="AD47" s="331"/>
      <c r="AE47" s="239" t="s">
        <v>278</v>
      </c>
      <c r="AF47" s="243" t="s">
        <v>77</v>
      </c>
      <c r="AG47" s="334"/>
    </row>
    <row r="48" spans="2:33" s="306" customFormat="1" ht="12.75" customHeight="1" x14ac:dyDescent="0.2">
      <c r="B48" s="338" t="str" cm="1">
        <f t="array" ref="B48">IF(C48="","Skip",IF(AND(Validator!G42=TRUE,Validator!G292=TRUE,Validator!G542=TRUE,Validator!G792=TRUE,Validator!G1042=TRUE,Validator!G1292=TRUE,OR(ISBLANK($R48),ISNUMBER(VALUE(SUBSTITUTE(SUBSTITUTE(SUBSTITUTE(SUBSTITUTE($R48," ",""),"c",""),"C",""),"-","")))),OR(SUMPRODUCT(--($U48=Package_type_code))&gt;0,$U48="",$U48="-")),"Valid","Invalid"))</f>
        <v>Skip</v>
      </c>
      <c r="C48" s="70"/>
      <c r="D48" s="395"/>
      <c r="E48" s="396"/>
      <c r="F48" s="178" t="str">
        <f t="shared" si="0"/>
        <v>-</v>
      </c>
      <c r="G48" s="398"/>
      <c r="H48" s="178" t="str">
        <f t="shared" si="1"/>
        <v>-</v>
      </c>
      <c r="I48" s="333"/>
      <c r="J48" s="400"/>
      <c r="K48" s="401"/>
      <c r="L48" s="402"/>
      <c r="M48" s="322"/>
      <c r="N48" s="584"/>
      <c r="O48" s="403" t="s">
        <v>278</v>
      </c>
      <c r="P48" s="404" t="s">
        <v>77</v>
      </c>
      <c r="Q48" s="329"/>
      <c r="R48" s="320"/>
      <c r="S48" s="320"/>
      <c r="T48" s="329"/>
      <c r="U48" s="336" t="str">
        <f>IF(ISERROR(VLOOKUP($T48, 'Reference data'!$J$2:$K$139, 2, FALSE)),"-",VLOOKUP($T48, 'Reference data'!$J$2:$K$139, 2, FALSE))</f>
        <v>-</v>
      </c>
      <c r="V48" s="320"/>
      <c r="W48" s="320"/>
      <c r="X48" s="324"/>
      <c r="Y48" s="325"/>
      <c r="Z48" s="70"/>
      <c r="AA48" s="352"/>
      <c r="AB48" s="86"/>
      <c r="AC48" s="72"/>
      <c r="AD48" s="331"/>
      <c r="AE48" s="239" t="s">
        <v>278</v>
      </c>
      <c r="AF48" s="243" t="s">
        <v>77</v>
      </c>
      <c r="AG48" s="334"/>
    </row>
    <row r="49" spans="2:33" s="306" customFormat="1" ht="12.75" customHeight="1" x14ac:dyDescent="0.2">
      <c r="B49" s="338" t="str" cm="1">
        <f t="array" ref="B49">IF(C49="","Skip",IF(AND(Validator!G43=TRUE,Validator!G293=TRUE,Validator!G543=TRUE,Validator!G793=TRUE,Validator!G1043=TRUE,Validator!G1293=TRUE,OR(ISBLANK($R49),ISNUMBER(VALUE(SUBSTITUTE(SUBSTITUTE(SUBSTITUTE(SUBSTITUTE($R49," ",""),"c",""),"C",""),"-","")))),OR(SUMPRODUCT(--($U49=Package_type_code))&gt;0,$U49="",$U49="-")),"Valid","Invalid"))</f>
        <v>Skip</v>
      </c>
      <c r="C49" s="70"/>
      <c r="D49" s="395"/>
      <c r="E49" s="396"/>
      <c r="F49" s="178" t="str">
        <f t="shared" si="0"/>
        <v>-</v>
      </c>
      <c r="G49" s="398"/>
      <c r="H49" s="178" t="str">
        <f t="shared" si="1"/>
        <v>-</v>
      </c>
      <c r="I49" s="333"/>
      <c r="J49" s="400"/>
      <c r="K49" s="401"/>
      <c r="L49" s="402"/>
      <c r="M49" s="322"/>
      <c r="N49" s="584"/>
      <c r="O49" s="403" t="s">
        <v>278</v>
      </c>
      <c r="P49" s="404" t="s">
        <v>77</v>
      </c>
      <c r="Q49" s="329"/>
      <c r="R49" s="320"/>
      <c r="S49" s="320"/>
      <c r="T49" s="329"/>
      <c r="U49" s="336" t="str">
        <f>IF(ISERROR(VLOOKUP($T49, 'Reference data'!$J$2:$K$139, 2, FALSE)),"-",VLOOKUP($T49, 'Reference data'!$J$2:$K$139, 2, FALSE))</f>
        <v>-</v>
      </c>
      <c r="V49" s="320"/>
      <c r="W49" s="320"/>
      <c r="X49" s="324"/>
      <c r="Y49" s="325"/>
      <c r="Z49" s="70"/>
      <c r="AA49" s="352"/>
      <c r="AB49" s="86"/>
      <c r="AC49" s="72"/>
      <c r="AD49" s="331"/>
      <c r="AE49" s="239" t="s">
        <v>278</v>
      </c>
      <c r="AF49" s="243" t="s">
        <v>77</v>
      </c>
      <c r="AG49" s="334"/>
    </row>
    <row r="50" spans="2:33" s="306" customFormat="1" ht="12.75" customHeight="1" x14ac:dyDescent="0.2">
      <c r="B50" s="338" t="str" cm="1">
        <f t="array" ref="B50">IF(C50="","Skip",IF(AND(Validator!G44=TRUE,Validator!G294=TRUE,Validator!G544=TRUE,Validator!G794=TRUE,Validator!G1044=TRUE,Validator!G1294=TRUE,OR(ISBLANK($R50),ISNUMBER(VALUE(SUBSTITUTE(SUBSTITUTE(SUBSTITUTE(SUBSTITUTE($R50," ",""),"c",""),"C",""),"-","")))),OR(SUMPRODUCT(--($U50=Package_type_code))&gt;0,$U50="",$U50="-")),"Valid","Invalid"))</f>
        <v>Skip</v>
      </c>
      <c r="C50" s="70"/>
      <c r="D50" s="395"/>
      <c r="E50" s="396"/>
      <c r="F50" s="178" t="str">
        <f t="shared" si="0"/>
        <v>-</v>
      </c>
      <c r="G50" s="398"/>
      <c r="H50" s="178" t="str">
        <f t="shared" si="1"/>
        <v>-</v>
      </c>
      <c r="I50" s="333"/>
      <c r="J50" s="400"/>
      <c r="K50" s="401"/>
      <c r="L50" s="402"/>
      <c r="M50" s="322"/>
      <c r="N50" s="584"/>
      <c r="O50" s="403" t="s">
        <v>278</v>
      </c>
      <c r="P50" s="404" t="s">
        <v>77</v>
      </c>
      <c r="Q50" s="329"/>
      <c r="R50" s="320"/>
      <c r="S50" s="320"/>
      <c r="T50" s="329"/>
      <c r="U50" s="336" t="str">
        <f>IF(ISERROR(VLOOKUP($T50, 'Reference data'!$J$2:$K$139, 2, FALSE)),"-",VLOOKUP($T50, 'Reference data'!$J$2:$K$139, 2, FALSE))</f>
        <v>-</v>
      </c>
      <c r="V50" s="320"/>
      <c r="W50" s="320"/>
      <c r="X50" s="324"/>
      <c r="Y50" s="325"/>
      <c r="Z50" s="70"/>
      <c r="AA50" s="352"/>
      <c r="AB50" s="86"/>
      <c r="AC50" s="72"/>
      <c r="AD50" s="331"/>
      <c r="AE50" s="239" t="s">
        <v>278</v>
      </c>
      <c r="AF50" s="243" t="s">
        <v>77</v>
      </c>
      <c r="AG50" s="334"/>
    </row>
    <row r="51" spans="2:33" s="306" customFormat="1" ht="12.75" customHeight="1" x14ac:dyDescent="0.2">
      <c r="B51" s="338" t="str" cm="1">
        <f t="array" ref="B51">IF(C51="","Skip",IF(AND(Validator!G45=TRUE,Validator!G295=TRUE,Validator!G545=TRUE,Validator!G795=TRUE,Validator!G1045=TRUE,Validator!G1295=TRUE,OR(ISBLANK($R51),ISNUMBER(VALUE(SUBSTITUTE(SUBSTITUTE(SUBSTITUTE(SUBSTITUTE($R51," ",""),"c",""),"C",""),"-","")))),OR(SUMPRODUCT(--($U51=Package_type_code))&gt;0,$U51="",$U51="-")),"Valid","Invalid"))</f>
        <v>Skip</v>
      </c>
      <c r="C51" s="70"/>
      <c r="D51" s="395"/>
      <c r="E51" s="396"/>
      <c r="F51" s="178" t="str">
        <f t="shared" si="0"/>
        <v>-</v>
      </c>
      <c r="G51" s="398"/>
      <c r="H51" s="178" t="str">
        <f t="shared" si="1"/>
        <v>-</v>
      </c>
      <c r="I51" s="333"/>
      <c r="J51" s="400"/>
      <c r="K51" s="401"/>
      <c r="L51" s="402"/>
      <c r="M51" s="322"/>
      <c r="N51" s="584"/>
      <c r="O51" s="403" t="s">
        <v>278</v>
      </c>
      <c r="P51" s="404" t="s">
        <v>77</v>
      </c>
      <c r="Q51" s="329"/>
      <c r="R51" s="320"/>
      <c r="S51" s="320"/>
      <c r="T51" s="329"/>
      <c r="U51" s="336" t="str">
        <f>IF(ISERROR(VLOOKUP($T51, 'Reference data'!$J$2:$K$139, 2, FALSE)),"-",VLOOKUP($T51, 'Reference data'!$J$2:$K$139, 2, FALSE))</f>
        <v>-</v>
      </c>
      <c r="V51" s="320"/>
      <c r="W51" s="320"/>
      <c r="X51" s="324"/>
      <c r="Y51" s="325"/>
      <c r="Z51" s="70"/>
      <c r="AA51" s="352"/>
      <c r="AB51" s="86"/>
      <c r="AC51" s="72"/>
      <c r="AD51" s="331"/>
      <c r="AE51" s="239" t="s">
        <v>278</v>
      </c>
      <c r="AF51" s="243" t="s">
        <v>77</v>
      </c>
      <c r="AG51" s="334"/>
    </row>
    <row r="52" spans="2:33" s="306" customFormat="1" ht="12.75" customHeight="1" x14ac:dyDescent="0.2">
      <c r="B52" s="338" t="str" cm="1">
        <f t="array" ref="B52">IF(C52="","Skip",IF(AND(Validator!G46=TRUE,Validator!G296=TRUE,Validator!G546=TRUE,Validator!G796=TRUE,Validator!G1046=TRUE,Validator!G1296=TRUE,OR(ISBLANK($R52),ISNUMBER(VALUE(SUBSTITUTE(SUBSTITUTE(SUBSTITUTE(SUBSTITUTE($R52," ",""),"c",""),"C",""),"-","")))),OR(SUMPRODUCT(--($U52=Package_type_code))&gt;0,$U52="",$U52="-")),"Valid","Invalid"))</f>
        <v>Skip</v>
      </c>
      <c r="C52" s="70"/>
      <c r="D52" s="395"/>
      <c r="E52" s="396"/>
      <c r="F52" s="178" t="str">
        <f t="shared" si="0"/>
        <v>-</v>
      </c>
      <c r="G52" s="398"/>
      <c r="H52" s="178" t="str">
        <f t="shared" si="1"/>
        <v>-</v>
      </c>
      <c r="I52" s="333"/>
      <c r="J52" s="400"/>
      <c r="K52" s="401"/>
      <c r="L52" s="402"/>
      <c r="M52" s="322"/>
      <c r="N52" s="584"/>
      <c r="O52" s="403" t="s">
        <v>278</v>
      </c>
      <c r="P52" s="404" t="s">
        <v>77</v>
      </c>
      <c r="Q52" s="329"/>
      <c r="R52" s="320"/>
      <c r="S52" s="320"/>
      <c r="T52" s="329"/>
      <c r="U52" s="336" t="str">
        <f>IF(ISERROR(VLOOKUP($T52, 'Reference data'!$J$2:$K$139, 2, FALSE)),"-",VLOOKUP($T52, 'Reference data'!$J$2:$K$139, 2, FALSE))</f>
        <v>-</v>
      </c>
      <c r="V52" s="320"/>
      <c r="W52" s="320"/>
      <c r="X52" s="324"/>
      <c r="Y52" s="325"/>
      <c r="Z52" s="70"/>
      <c r="AA52" s="352"/>
      <c r="AB52" s="86"/>
      <c r="AC52" s="72"/>
      <c r="AD52" s="331"/>
      <c r="AE52" s="239" t="s">
        <v>278</v>
      </c>
      <c r="AF52" s="243" t="s">
        <v>77</v>
      </c>
      <c r="AG52" s="334"/>
    </row>
    <row r="53" spans="2:33" s="306" customFormat="1" ht="12.75" customHeight="1" x14ac:dyDescent="0.2">
      <c r="B53" s="338" t="str" cm="1">
        <f t="array" ref="B53">IF(C53="","Skip",IF(AND(Validator!G47=TRUE,Validator!G297=TRUE,Validator!G547=TRUE,Validator!G797=TRUE,Validator!G1047=TRUE,Validator!G1297=TRUE,OR(ISBLANK($R53),ISNUMBER(VALUE(SUBSTITUTE(SUBSTITUTE(SUBSTITUTE(SUBSTITUTE($R53," ",""),"c",""),"C",""),"-","")))),OR(SUMPRODUCT(--($U53=Package_type_code))&gt;0,$U53="",$U53="-")),"Valid","Invalid"))</f>
        <v>Skip</v>
      </c>
      <c r="C53" s="70"/>
      <c r="D53" s="395"/>
      <c r="E53" s="396"/>
      <c r="F53" s="178" t="str">
        <f t="shared" si="0"/>
        <v>-</v>
      </c>
      <c r="G53" s="398"/>
      <c r="H53" s="178" t="str">
        <f t="shared" si="1"/>
        <v>-</v>
      </c>
      <c r="I53" s="333"/>
      <c r="J53" s="400"/>
      <c r="K53" s="401"/>
      <c r="L53" s="402"/>
      <c r="M53" s="322"/>
      <c r="N53" s="584"/>
      <c r="O53" s="403" t="s">
        <v>278</v>
      </c>
      <c r="P53" s="404" t="s">
        <v>77</v>
      </c>
      <c r="Q53" s="329"/>
      <c r="R53" s="320"/>
      <c r="S53" s="320"/>
      <c r="T53" s="329"/>
      <c r="U53" s="336" t="str">
        <f>IF(ISERROR(VLOOKUP($T53, 'Reference data'!$J$2:$K$139, 2, FALSE)),"-",VLOOKUP($T53, 'Reference data'!$J$2:$K$139, 2, FALSE))</f>
        <v>-</v>
      </c>
      <c r="V53" s="320"/>
      <c r="W53" s="320"/>
      <c r="X53" s="324"/>
      <c r="Y53" s="325"/>
      <c r="Z53" s="70"/>
      <c r="AA53" s="352"/>
      <c r="AB53" s="86"/>
      <c r="AC53" s="72"/>
      <c r="AD53" s="331"/>
      <c r="AE53" s="239" t="s">
        <v>278</v>
      </c>
      <c r="AF53" s="243" t="s">
        <v>77</v>
      </c>
      <c r="AG53" s="334"/>
    </row>
    <row r="54" spans="2:33" s="306" customFormat="1" ht="12.75" customHeight="1" x14ac:dyDescent="0.2">
      <c r="B54" s="338" t="str" cm="1">
        <f t="array" ref="B54">IF(C54="","Skip",IF(AND(Validator!G48=TRUE,Validator!G298=TRUE,Validator!G548=TRUE,Validator!G798=TRUE,Validator!G1048=TRUE,Validator!G1298=TRUE,OR(ISBLANK($R54),ISNUMBER(VALUE(SUBSTITUTE(SUBSTITUTE(SUBSTITUTE(SUBSTITUTE($R54," ",""),"c",""),"C",""),"-","")))),OR(SUMPRODUCT(--($U54=Package_type_code))&gt;0,$U54="",$U54="-")),"Valid","Invalid"))</f>
        <v>Skip</v>
      </c>
      <c r="C54" s="70"/>
      <c r="D54" s="395"/>
      <c r="E54" s="396"/>
      <c r="F54" s="178" t="str">
        <f t="shared" si="0"/>
        <v>-</v>
      </c>
      <c r="G54" s="398"/>
      <c r="H54" s="178" t="str">
        <f t="shared" si="1"/>
        <v>-</v>
      </c>
      <c r="I54" s="333"/>
      <c r="J54" s="400"/>
      <c r="K54" s="401"/>
      <c r="L54" s="402"/>
      <c r="M54" s="322"/>
      <c r="N54" s="584"/>
      <c r="O54" s="403" t="s">
        <v>278</v>
      </c>
      <c r="P54" s="404" t="s">
        <v>77</v>
      </c>
      <c r="Q54" s="329"/>
      <c r="R54" s="320"/>
      <c r="S54" s="320"/>
      <c r="T54" s="329"/>
      <c r="U54" s="336" t="str">
        <f>IF(ISERROR(VLOOKUP($T54, 'Reference data'!$J$2:$K$139, 2, FALSE)),"-",VLOOKUP($T54, 'Reference data'!$J$2:$K$139, 2, FALSE))</f>
        <v>-</v>
      </c>
      <c r="V54" s="320"/>
      <c r="W54" s="320"/>
      <c r="X54" s="324"/>
      <c r="Y54" s="325"/>
      <c r="Z54" s="70"/>
      <c r="AA54" s="352"/>
      <c r="AB54" s="86"/>
      <c r="AC54" s="72"/>
      <c r="AD54" s="331"/>
      <c r="AE54" s="239" t="s">
        <v>278</v>
      </c>
      <c r="AF54" s="243" t="s">
        <v>77</v>
      </c>
      <c r="AG54" s="334"/>
    </row>
    <row r="55" spans="2:33" s="306" customFormat="1" ht="12.75" customHeight="1" x14ac:dyDescent="0.2">
      <c r="B55" s="338" t="str" cm="1">
        <f t="array" ref="B55">IF(C55="","Skip",IF(AND(Validator!G49=TRUE,Validator!G299=TRUE,Validator!G549=TRUE,Validator!G799=TRUE,Validator!G1049=TRUE,Validator!G1299=TRUE,OR(ISBLANK($R55),ISNUMBER(VALUE(SUBSTITUTE(SUBSTITUTE(SUBSTITUTE(SUBSTITUTE($R55," ",""),"c",""),"C",""),"-","")))),OR(SUMPRODUCT(--($U55=Package_type_code))&gt;0,$U55="",$U55="-")),"Valid","Invalid"))</f>
        <v>Skip</v>
      </c>
      <c r="C55" s="70"/>
      <c r="D55" s="395"/>
      <c r="E55" s="396"/>
      <c r="F55" s="178" t="str">
        <f t="shared" si="0"/>
        <v>-</v>
      </c>
      <c r="G55" s="398"/>
      <c r="H55" s="178" t="str">
        <f t="shared" si="1"/>
        <v>-</v>
      </c>
      <c r="I55" s="333"/>
      <c r="J55" s="400"/>
      <c r="K55" s="401"/>
      <c r="L55" s="402"/>
      <c r="M55" s="322"/>
      <c r="N55" s="584"/>
      <c r="O55" s="403" t="s">
        <v>278</v>
      </c>
      <c r="P55" s="404" t="s">
        <v>77</v>
      </c>
      <c r="Q55" s="329"/>
      <c r="R55" s="320"/>
      <c r="S55" s="320"/>
      <c r="T55" s="329"/>
      <c r="U55" s="336" t="str">
        <f>IF(ISERROR(VLOOKUP($T55, 'Reference data'!$J$2:$K$139, 2, FALSE)),"-",VLOOKUP($T55, 'Reference data'!$J$2:$K$139, 2, FALSE))</f>
        <v>-</v>
      </c>
      <c r="V55" s="320"/>
      <c r="W55" s="320"/>
      <c r="X55" s="324"/>
      <c r="Y55" s="325"/>
      <c r="Z55" s="70"/>
      <c r="AA55" s="352"/>
      <c r="AB55" s="86"/>
      <c r="AC55" s="72"/>
      <c r="AD55" s="331"/>
      <c r="AE55" s="239" t="s">
        <v>278</v>
      </c>
      <c r="AF55" s="243" t="s">
        <v>77</v>
      </c>
      <c r="AG55" s="334"/>
    </row>
    <row r="56" spans="2:33" s="306" customFormat="1" ht="12.75" customHeight="1" x14ac:dyDescent="0.2">
      <c r="B56" s="338" t="str" cm="1">
        <f t="array" ref="B56">IF(C56="","Skip",IF(AND(Validator!G50=TRUE,Validator!G300=TRUE,Validator!G550=TRUE,Validator!G800=TRUE,Validator!G1050=TRUE,Validator!G1300=TRUE,OR(ISBLANK($R56),ISNUMBER(VALUE(SUBSTITUTE(SUBSTITUTE(SUBSTITUTE(SUBSTITUTE($R56," ",""),"c",""),"C",""),"-","")))),OR(SUMPRODUCT(--($U56=Package_type_code))&gt;0,$U56="",$U56="-")),"Valid","Invalid"))</f>
        <v>Skip</v>
      </c>
      <c r="C56" s="70"/>
      <c r="D56" s="395"/>
      <c r="E56" s="396"/>
      <c r="F56" s="178" t="str">
        <f t="shared" si="0"/>
        <v>-</v>
      </c>
      <c r="G56" s="398"/>
      <c r="H56" s="178" t="str">
        <f t="shared" si="1"/>
        <v>-</v>
      </c>
      <c r="I56" s="333"/>
      <c r="J56" s="400"/>
      <c r="K56" s="401"/>
      <c r="L56" s="402"/>
      <c r="M56" s="322"/>
      <c r="N56" s="584"/>
      <c r="O56" s="403" t="s">
        <v>278</v>
      </c>
      <c r="P56" s="404" t="s">
        <v>77</v>
      </c>
      <c r="Q56" s="329"/>
      <c r="R56" s="320"/>
      <c r="S56" s="320"/>
      <c r="T56" s="329"/>
      <c r="U56" s="336" t="str">
        <f>IF(ISERROR(VLOOKUP($T56, 'Reference data'!$J$2:$K$139, 2, FALSE)),"-",VLOOKUP($T56, 'Reference data'!$J$2:$K$139, 2, FALSE))</f>
        <v>-</v>
      </c>
      <c r="V56" s="320"/>
      <c r="W56" s="320"/>
      <c r="X56" s="324"/>
      <c r="Y56" s="325"/>
      <c r="Z56" s="70"/>
      <c r="AA56" s="352"/>
      <c r="AB56" s="86"/>
      <c r="AC56" s="72"/>
      <c r="AD56" s="331"/>
      <c r="AE56" s="239" t="s">
        <v>278</v>
      </c>
      <c r="AF56" s="243" t="s">
        <v>77</v>
      </c>
      <c r="AG56" s="334"/>
    </row>
    <row r="57" spans="2:33" s="306" customFormat="1" ht="12.75" customHeight="1" x14ac:dyDescent="0.2">
      <c r="B57" s="338" t="str" cm="1">
        <f t="array" ref="B57">IF(C57="","Skip",IF(AND(Validator!G51=TRUE,Validator!G301=TRUE,Validator!G551=TRUE,Validator!G801=TRUE,Validator!G1051=TRUE,Validator!G1301=TRUE,OR(ISBLANK($R57),ISNUMBER(VALUE(SUBSTITUTE(SUBSTITUTE(SUBSTITUTE(SUBSTITUTE($R57," ",""),"c",""),"C",""),"-","")))),OR(SUMPRODUCT(--($U57=Package_type_code))&gt;0,$U57="",$U57="-")),"Valid","Invalid"))</f>
        <v>Skip</v>
      </c>
      <c r="C57" s="70"/>
      <c r="D57" s="395"/>
      <c r="E57" s="396"/>
      <c r="F57" s="178" t="str">
        <f t="shared" si="0"/>
        <v>-</v>
      </c>
      <c r="G57" s="398"/>
      <c r="H57" s="178" t="str">
        <f t="shared" si="1"/>
        <v>-</v>
      </c>
      <c r="I57" s="333"/>
      <c r="J57" s="400"/>
      <c r="K57" s="401"/>
      <c r="L57" s="402"/>
      <c r="M57" s="322"/>
      <c r="N57" s="584"/>
      <c r="O57" s="403" t="s">
        <v>278</v>
      </c>
      <c r="P57" s="404" t="s">
        <v>77</v>
      </c>
      <c r="Q57" s="329"/>
      <c r="R57" s="320"/>
      <c r="S57" s="320"/>
      <c r="T57" s="329"/>
      <c r="U57" s="336" t="str">
        <f>IF(ISERROR(VLOOKUP($T57, 'Reference data'!$J$2:$K$139, 2, FALSE)),"-",VLOOKUP($T57, 'Reference data'!$J$2:$K$139, 2, FALSE))</f>
        <v>-</v>
      </c>
      <c r="V57" s="320"/>
      <c r="W57" s="320"/>
      <c r="X57" s="324"/>
      <c r="Y57" s="325"/>
      <c r="Z57" s="70"/>
      <c r="AA57" s="352"/>
      <c r="AB57" s="86"/>
      <c r="AC57" s="72"/>
      <c r="AD57" s="331"/>
      <c r="AE57" s="239" t="s">
        <v>278</v>
      </c>
      <c r="AF57" s="243" t="s">
        <v>77</v>
      </c>
      <c r="AG57" s="334"/>
    </row>
    <row r="58" spans="2:33" s="306" customFormat="1" ht="12.75" customHeight="1" x14ac:dyDescent="0.2">
      <c r="B58" s="338" t="str" cm="1">
        <f t="array" ref="B58">IF(C58="","Skip",IF(AND(Validator!G52=TRUE,Validator!G302=TRUE,Validator!G552=TRUE,Validator!G802=TRUE,Validator!G1052=TRUE,Validator!G1302=TRUE,OR(ISBLANK($R58),ISNUMBER(VALUE(SUBSTITUTE(SUBSTITUTE(SUBSTITUTE(SUBSTITUTE($R58," ",""),"c",""),"C",""),"-","")))),OR(SUMPRODUCT(--($U58=Package_type_code))&gt;0,$U58="",$U58="-")),"Valid","Invalid"))</f>
        <v>Skip</v>
      </c>
      <c r="C58" s="70"/>
      <c r="D58" s="395"/>
      <c r="E58" s="396"/>
      <c r="F58" s="178" t="str">
        <f t="shared" si="0"/>
        <v>-</v>
      </c>
      <c r="G58" s="398"/>
      <c r="H58" s="178" t="str">
        <f t="shared" si="1"/>
        <v>-</v>
      </c>
      <c r="I58" s="333"/>
      <c r="J58" s="400"/>
      <c r="K58" s="401"/>
      <c r="L58" s="402"/>
      <c r="M58" s="322"/>
      <c r="N58" s="584"/>
      <c r="O58" s="403" t="s">
        <v>278</v>
      </c>
      <c r="P58" s="404" t="s">
        <v>77</v>
      </c>
      <c r="Q58" s="329"/>
      <c r="R58" s="320"/>
      <c r="S58" s="320"/>
      <c r="T58" s="329"/>
      <c r="U58" s="336" t="str">
        <f>IF(ISERROR(VLOOKUP($T58, 'Reference data'!$J$2:$K$139, 2, FALSE)),"-",VLOOKUP($T58, 'Reference data'!$J$2:$K$139, 2, FALSE))</f>
        <v>-</v>
      </c>
      <c r="V58" s="320"/>
      <c r="W58" s="320"/>
      <c r="X58" s="324"/>
      <c r="Y58" s="325"/>
      <c r="Z58" s="70"/>
      <c r="AA58" s="352"/>
      <c r="AB58" s="86"/>
      <c r="AC58" s="72"/>
      <c r="AD58" s="331"/>
      <c r="AE58" s="239" t="s">
        <v>278</v>
      </c>
      <c r="AF58" s="243" t="s">
        <v>77</v>
      </c>
      <c r="AG58" s="334"/>
    </row>
    <row r="59" spans="2:33" s="306" customFormat="1" ht="12.75" customHeight="1" x14ac:dyDescent="0.2">
      <c r="B59" s="338" t="str" cm="1">
        <f t="array" ref="B59">IF(C59="","Skip",IF(AND(Validator!G53=TRUE,Validator!G303=TRUE,Validator!G553=TRUE,Validator!G803=TRUE,Validator!G1053=TRUE,Validator!G1303=TRUE,OR(ISBLANK($R59),ISNUMBER(VALUE(SUBSTITUTE(SUBSTITUTE(SUBSTITUTE(SUBSTITUTE($R59," ",""),"c",""),"C",""),"-","")))),OR(SUMPRODUCT(--($U59=Package_type_code))&gt;0,$U59="",$U59="-")),"Valid","Invalid"))</f>
        <v>Skip</v>
      </c>
      <c r="C59" s="70"/>
      <c r="D59" s="395"/>
      <c r="E59" s="396"/>
      <c r="F59" s="178" t="str">
        <f t="shared" si="0"/>
        <v>-</v>
      </c>
      <c r="G59" s="398"/>
      <c r="H59" s="178" t="str">
        <f t="shared" si="1"/>
        <v>-</v>
      </c>
      <c r="I59" s="333"/>
      <c r="J59" s="400"/>
      <c r="K59" s="401"/>
      <c r="L59" s="402"/>
      <c r="M59" s="322"/>
      <c r="N59" s="584"/>
      <c r="O59" s="403" t="s">
        <v>278</v>
      </c>
      <c r="P59" s="404" t="s">
        <v>77</v>
      </c>
      <c r="Q59" s="329"/>
      <c r="R59" s="320"/>
      <c r="S59" s="320"/>
      <c r="T59" s="329"/>
      <c r="U59" s="336" t="str">
        <f>IF(ISERROR(VLOOKUP($T59, 'Reference data'!$J$2:$K$139, 2, FALSE)),"-",VLOOKUP($T59, 'Reference data'!$J$2:$K$139, 2, FALSE))</f>
        <v>-</v>
      </c>
      <c r="V59" s="320"/>
      <c r="W59" s="320"/>
      <c r="X59" s="324"/>
      <c r="Y59" s="325"/>
      <c r="Z59" s="70"/>
      <c r="AA59" s="352"/>
      <c r="AB59" s="86"/>
      <c r="AC59" s="72"/>
      <c r="AD59" s="331"/>
      <c r="AE59" s="239" t="s">
        <v>278</v>
      </c>
      <c r="AF59" s="243" t="s">
        <v>77</v>
      </c>
      <c r="AG59" s="334"/>
    </row>
    <row r="60" spans="2:33" s="306" customFormat="1" ht="12.75" customHeight="1" x14ac:dyDescent="0.2">
      <c r="B60" s="338" t="str" cm="1">
        <f t="array" ref="B60">IF(C60="","Skip",IF(AND(Validator!G54=TRUE,Validator!G304=TRUE,Validator!G554=TRUE,Validator!G804=TRUE,Validator!G1054=TRUE,Validator!G1304=TRUE,OR(ISBLANK($R60),ISNUMBER(VALUE(SUBSTITUTE(SUBSTITUTE(SUBSTITUTE(SUBSTITUTE($R60," ",""),"c",""),"C",""),"-","")))),OR(SUMPRODUCT(--($U60=Package_type_code))&gt;0,$U60="",$U60="-")),"Valid","Invalid"))</f>
        <v>Skip</v>
      </c>
      <c r="C60" s="70"/>
      <c r="D60" s="395"/>
      <c r="E60" s="396"/>
      <c r="F60" s="178" t="str">
        <f t="shared" si="0"/>
        <v>-</v>
      </c>
      <c r="G60" s="398"/>
      <c r="H60" s="178" t="str">
        <f t="shared" si="1"/>
        <v>-</v>
      </c>
      <c r="I60" s="333"/>
      <c r="J60" s="400"/>
      <c r="K60" s="401"/>
      <c r="L60" s="402"/>
      <c r="M60" s="322"/>
      <c r="N60" s="584"/>
      <c r="O60" s="403" t="s">
        <v>278</v>
      </c>
      <c r="P60" s="404" t="s">
        <v>77</v>
      </c>
      <c r="Q60" s="329"/>
      <c r="R60" s="320"/>
      <c r="S60" s="320"/>
      <c r="T60" s="329"/>
      <c r="U60" s="336" t="str">
        <f>IF(ISERROR(VLOOKUP($T60, 'Reference data'!$J$2:$K$139, 2, FALSE)),"-",VLOOKUP($T60, 'Reference data'!$J$2:$K$139, 2, FALSE))</f>
        <v>-</v>
      </c>
      <c r="V60" s="320"/>
      <c r="W60" s="320"/>
      <c r="X60" s="324"/>
      <c r="Y60" s="325"/>
      <c r="Z60" s="70"/>
      <c r="AA60" s="352"/>
      <c r="AB60" s="86"/>
      <c r="AC60" s="72"/>
      <c r="AD60" s="331"/>
      <c r="AE60" s="239" t="s">
        <v>278</v>
      </c>
      <c r="AF60" s="243" t="s">
        <v>77</v>
      </c>
      <c r="AG60" s="334"/>
    </row>
    <row r="61" spans="2:33" s="306" customFormat="1" ht="12.75" customHeight="1" x14ac:dyDescent="0.2">
      <c r="B61" s="338" t="str" cm="1">
        <f t="array" ref="B61">IF(C61="","Skip",IF(AND(Validator!G55=TRUE,Validator!G305=TRUE,Validator!G555=TRUE,Validator!G805=TRUE,Validator!G1055=TRUE,Validator!G1305=TRUE,OR(ISBLANK($R61),ISNUMBER(VALUE(SUBSTITUTE(SUBSTITUTE(SUBSTITUTE(SUBSTITUTE($R61," ",""),"c",""),"C",""),"-","")))),OR(SUMPRODUCT(--($U61=Package_type_code))&gt;0,$U61="",$U61="-")),"Valid","Invalid"))</f>
        <v>Skip</v>
      </c>
      <c r="C61" s="70"/>
      <c r="D61" s="395"/>
      <c r="E61" s="396"/>
      <c r="F61" s="178" t="str">
        <f t="shared" si="0"/>
        <v>-</v>
      </c>
      <c r="G61" s="398"/>
      <c r="H61" s="178" t="str">
        <f t="shared" si="1"/>
        <v>-</v>
      </c>
      <c r="I61" s="333"/>
      <c r="J61" s="400"/>
      <c r="K61" s="401"/>
      <c r="L61" s="402"/>
      <c r="M61" s="322"/>
      <c r="N61" s="584"/>
      <c r="O61" s="403" t="s">
        <v>278</v>
      </c>
      <c r="P61" s="404" t="s">
        <v>77</v>
      </c>
      <c r="Q61" s="329"/>
      <c r="R61" s="320"/>
      <c r="S61" s="320"/>
      <c r="T61" s="329"/>
      <c r="U61" s="336" t="str">
        <f>IF(ISERROR(VLOOKUP($T61, 'Reference data'!$J$2:$K$139, 2, FALSE)),"-",VLOOKUP($T61, 'Reference data'!$J$2:$K$139, 2, FALSE))</f>
        <v>-</v>
      </c>
      <c r="V61" s="320"/>
      <c r="W61" s="320"/>
      <c r="X61" s="324"/>
      <c r="Y61" s="325"/>
      <c r="Z61" s="70"/>
      <c r="AA61" s="352"/>
      <c r="AB61" s="86"/>
      <c r="AC61" s="72"/>
      <c r="AD61" s="331"/>
      <c r="AE61" s="239" t="s">
        <v>278</v>
      </c>
      <c r="AF61" s="243" t="s">
        <v>77</v>
      </c>
      <c r="AG61" s="334"/>
    </row>
    <row r="62" spans="2:33" s="306" customFormat="1" ht="12.75" customHeight="1" x14ac:dyDescent="0.2">
      <c r="B62" s="338" t="str" cm="1">
        <f t="array" ref="B62">IF(C62="","Skip",IF(AND(Validator!G56=TRUE,Validator!G306=TRUE,Validator!G556=TRUE,Validator!G806=TRUE,Validator!G1056=TRUE,Validator!G1306=TRUE,OR(ISBLANK($R62),ISNUMBER(VALUE(SUBSTITUTE(SUBSTITUTE(SUBSTITUTE(SUBSTITUTE($R62," ",""),"c",""),"C",""),"-","")))),OR(SUMPRODUCT(--($U62=Package_type_code))&gt;0,$U62="",$U62="-")),"Valid","Invalid"))</f>
        <v>Skip</v>
      </c>
      <c r="C62" s="70"/>
      <c r="D62" s="395"/>
      <c r="E62" s="396"/>
      <c r="F62" s="178" t="str">
        <f t="shared" si="0"/>
        <v>-</v>
      </c>
      <c r="G62" s="398"/>
      <c r="H62" s="178" t="str">
        <f t="shared" si="1"/>
        <v>-</v>
      </c>
      <c r="I62" s="333"/>
      <c r="J62" s="400"/>
      <c r="K62" s="401"/>
      <c r="L62" s="402"/>
      <c r="M62" s="322"/>
      <c r="N62" s="584"/>
      <c r="O62" s="403" t="s">
        <v>278</v>
      </c>
      <c r="P62" s="404" t="s">
        <v>77</v>
      </c>
      <c r="Q62" s="329"/>
      <c r="R62" s="320"/>
      <c r="S62" s="320"/>
      <c r="T62" s="329"/>
      <c r="U62" s="336" t="str">
        <f>IF(ISERROR(VLOOKUP($T62, 'Reference data'!$J$2:$K$139, 2, FALSE)),"-",VLOOKUP($T62, 'Reference data'!$J$2:$K$139, 2, FALSE))</f>
        <v>-</v>
      </c>
      <c r="V62" s="320"/>
      <c r="W62" s="320"/>
      <c r="X62" s="324"/>
      <c r="Y62" s="325"/>
      <c r="Z62" s="70"/>
      <c r="AA62" s="352"/>
      <c r="AB62" s="86"/>
      <c r="AC62" s="72"/>
      <c r="AD62" s="331"/>
      <c r="AE62" s="239" t="s">
        <v>278</v>
      </c>
      <c r="AF62" s="243" t="s">
        <v>77</v>
      </c>
      <c r="AG62" s="334"/>
    </row>
    <row r="63" spans="2:33" s="306" customFormat="1" ht="12.75" customHeight="1" x14ac:dyDescent="0.2">
      <c r="B63" s="338" t="str" cm="1">
        <f t="array" ref="B63">IF(C63="","Skip",IF(AND(Validator!G57=TRUE,Validator!G307=TRUE,Validator!G557=TRUE,Validator!G807=TRUE,Validator!G1057=TRUE,Validator!G1307=TRUE,OR(ISBLANK($R63),ISNUMBER(VALUE(SUBSTITUTE(SUBSTITUTE(SUBSTITUTE(SUBSTITUTE($R63," ",""),"c",""),"C",""),"-","")))),OR(SUMPRODUCT(--($U63=Package_type_code))&gt;0,$U63="",$U63="-")),"Valid","Invalid"))</f>
        <v>Skip</v>
      </c>
      <c r="C63" s="70"/>
      <c r="D63" s="395"/>
      <c r="E63" s="396"/>
      <c r="F63" s="178" t="str">
        <f t="shared" si="0"/>
        <v>-</v>
      </c>
      <c r="G63" s="398"/>
      <c r="H63" s="178" t="str">
        <f t="shared" si="1"/>
        <v>-</v>
      </c>
      <c r="I63" s="333"/>
      <c r="J63" s="400"/>
      <c r="K63" s="401"/>
      <c r="L63" s="402"/>
      <c r="M63" s="322"/>
      <c r="N63" s="584"/>
      <c r="O63" s="403" t="s">
        <v>278</v>
      </c>
      <c r="P63" s="404" t="s">
        <v>77</v>
      </c>
      <c r="Q63" s="329"/>
      <c r="R63" s="320"/>
      <c r="S63" s="320"/>
      <c r="T63" s="329"/>
      <c r="U63" s="336" t="str">
        <f>IF(ISERROR(VLOOKUP($T63, 'Reference data'!$J$2:$K$139, 2, FALSE)),"-",VLOOKUP($T63, 'Reference data'!$J$2:$K$139, 2, FALSE))</f>
        <v>-</v>
      </c>
      <c r="V63" s="320"/>
      <c r="W63" s="320"/>
      <c r="X63" s="324"/>
      <c r="Y63" s="325"/>
      <c r="Z63" s="70"/>
      <c r="AA63" s="352"/>
      <c r="AB63" s="86"/>
      <c r="AC63" s="72"/>
      <c r="AD63" s="331"/>
      <c r="AE63" s="239" t="s">
        <v>278</v>
      </c>
      <c r="AF63" s="243" t="s">
        <v>77</v>
      </c>
      <c r="AG63" s="334"/>
    </row>
    <row r="64" spans="2:33" s="306" customFormat="1" ht="12.75" customHeight="1" x14ac:dyDescent="0.2">
      <c r="B64" s="338" t="str" cm="1">
        <f t="array" ref="B64">IF(C64="","Skip",IF(AND(Validator!G58=TRUE,Validator!G308=TRUE,Validator!G558=TRUE,Validator!G808=TRUE,Validator!G1058=TRUE,Validator!G1308=TRUE,OR(ISBLANK($R64),ISNUMBER(VALUE(SUBSTITUTE(SUBSTITUTE(SUBSTITUTE(SUBSTITUTE($R64," ",""),"c",""),"C",""),"-","")))),OR(SUMPRODUCT(--($U64=Package_type_code))&gt;0,$U64="",$U64="-")),"Valid","Invalid"))</f>
        <v>Skip</v>
      </c>
      <c r="C64" s="70"/>
      <c r="D64" s="395"/>
      <c r="E64" s="396"/>
      <c r="F64" s="178" t="str">
        <f t="shared" si="0"/>
        <v>-</v>
      </c>
      <c r="G64" s="398"/>
      <c r="H64" s="178" t="str">
        <f t="shared" si="1"/>
        <v>-</v>
      </c>
      <c r="I64" s="333"/>
      <c r="J64" s="400"/>
      <c r="K64" s="401"/>
      <c r="L64" s="402"/>
      <c r="M64" s="322"/>
      <c r="N64" s="584"/>
      <c r="O64" s="403" t="s">
        <v>278</v>
      </c>
      <c r="P64" s="404" t="s">
        <v>77</v>
      </c>
      <c r="Q64" s="329"/>
      <c r="R64" s="320"/>
      <c r="S64" s="320"/>
      <c r="T64" s="329"/>
      <c r="U64" s="336" t="str">
        <f>IF(ISERROR(VLOOKUP($T64, 'Reference data'!$J$2:$K$139, 2, FALSE)),"-",VLOOKUP($T64, 'Reference data'!$J$2:$K$139, 2, FALSE))</f>
        <v>-</v>
      </c>
      <c r="V64" s="320"/>
      <c r="W64" s="320"/>
      <c r="X64" s="324"/>
      <c r="Y64" s="325"/>
      <c r="Z64" s="70"/>
      <c r="AA64" s="352"/>
      <c r="AB64" s="86"/>
      <c r="AC64" s="72"/>
      <c r="AD64" s="331"/>
      <c r="AE64" s="239" t="s">
        <v>278</v>
      </c>
      <c r="AF64" s="243" t="s">
        <v>77</v>
      </c>
      <c r="AG64" s="334"/>
    </row>
    <row r="65" spans="2:33" s="306" customFormat="1" ht="12.75" customHeight="1" x14ac:dyDescent="0.2">
      <c r="B65" s="338" t="str" cm="1">
        <f t="array" ref="B65">IF(C65="","Skip",IF(AND(Validator!G59=TRUE,Validator!G309=TRUE,Validator!G559=TRUE,Validator!G809=TRUE,Validator!G1059=TRUE,Validator!G1309=TRUE,OR(ISBLANK($R65),ISNUMBER(VALUE(SUBSTITUTE(SUBSTITUTE(SUBSTITUTE(SUBSTITUTE($R65," ",""),"c",""),"C",""),"-","")))),OR(SUMPRODUCT(--($U65=Package_type_code))&gt;0,$U65="",$U65="-")),"Valid","Invalid"))</f>
        <v>Skip</v>
      </c>
      <c r="C65" s="70"/>
      <c r="D65" s="395"/>
      <c r="E65" s="396"/>
      <c r="F65" s="178" t="str">
        <f t="shared" si="0"/>
        <v>-</v>
      </c>
      <c r="G65" s="398"/>
      <c r="H65" s="178" t="str">
        <f t="shared" si="1"/>
        <v>-</v>
      </c>
      <c r="I65" s="333"/>
      <c r="J65" s="400"/>
      <c r="K65" s="401"/>
      <c r="L65" s="402"/>
      <c r="M65" s="322"/>
      <c r="N65" s="584"/>
      <c r="O65" s="403" t="s">
        <v>278</v>
      </c>
      <c r="P65" s="404" t="s">
        <v>77</v>
      </c>
      <c r="Q65" s="329"/>
      <c r="R65" s="320"/>
      <c r="S65" s="320"/>
      <c r="T65" s="329"/>
      <c r="U65" s="336" t="str">
        <f>IF(ISERROR(VLOOKUP($T65, 'Reference data'!$J$2:$K$139, 2, FALSE)),"-",VLOOKUP($T65, 'Reference data'!$J$2:$K$139, 2, FALSE))</f>
        <v>-</v>
      </c>
      <c r="V65" s="320"/>
      <c r="W65" s="320"/>
      <c r="X65" s="324"/>
      <c r="Y65" s="325"/>
      <c r="Z65" s="70"/>
      <c r="AA65" s="352"/>
      <c r="AB65" s="86"/>
      <c r="AC65" s="72"/>
      <c r="AD65" s="331"/>
      <c r="AE65" s="239" t="s">
        <v>278</v>
      </c>
      <c r="AF65" s="243" t="s">
        <v>77</v>
      </c>
      <c r="AG65" s="334"/>
    </row>
    <row r="66" spans="2:33" s="306" customFormat="1" ht="12.75" customHeight="1" x14ac:dyDescent="0.2">
      <c r="B66" s="338" t="str" cm="1">
        <f t="array" ref="B66">IF(C66="","Skip",IF(AND(Validator!G60=TRUE,Validator!G310=TRUE,Validator!G560=TRUE,Validator!G810=TRUE,Validator!G1060=TRUE,Validator!G1310=TRUE,OR(ISBLANK($R66),ISNUMBER(VALUE(SUBSTITUTE(SUBSTITUTE(SUBSTITUTE(SUBSTITUTE($R66," ",""),"c",""),"C",""),"-","")))),OR(SUMPRODUCT(--($U66=Package_type_code))&gt;0,$U66="",$U66="-")),"Valid","Invalid"))</f>
        <v>Skip</v>
      </c>
      <c r="C66" s="70"/>
      <c r="D66" s="395"/>
      <c r="E66" s="396"/>
      <c r="F66" s="178" t="str">
        <f t="shared" si="0"/>
        <v>-</v>
      </c>
      <c r="G66" s="398"/>
      <c r="H66" s="178" t="str">
        <f t="shared" si="1"/>
        <v>-</v>
      </c>
      <c r="I66" s="333"/>
      <c r="J66" s="400"/>
      <c r="K66" s="401"/>
      <c r="L66" s="402"/>
      <c r="M66" s="322"/>
      <c r="N66" s="584"/>
      <c r="O66" s="403" t="s">
        <v>278</v>
      </c>
      <c r="P66" s="404" t="s">
        <v>77</v>
      </c>
      <c r="Q66" s="329"/>
      <c r="R66" s="320"/>
      <c r="S66" s="320"/>
      <c r="T66" s="329"/>
      <c r="U66" s="336" t="str">
        <f>IF(ISERROR(VLOOKUP($T66, 'Reference data'!$J$2:$K$139, 2, FALSE)),"-",VLOOKUP($T66, 'Reference data'!$J$2:$K$139, 2, FALSE))</f>
        <v>-</v>
      </c>
      <c r="V66" s="320"/>
      <c r="W66" s="320"/>
      <c r="X66" s="324"/>
      <c r="Y66" s="325"/>
      <c r="Z66" s="70"/>
      <c r="AA66" s="352"/>
      <c r="AB66" s="86"/>
      <c r="AC66" s="72"/>
      <c r="AD66" s="331"/>
      <c r="AE66" s="239" t="s">
        <v>278</v>
      </c>
      <c r="AF66" s="243" t="s">
        <v>77</v>
      </c>
      <c r="AG66" s="334"/>
    </row>
    <row r="67" spans="2:33" s="306" customFormat="1" ht="12.75" customHeight="1" x14ac:dyDescent="0.2">
      <c r="B67" s="338" t="str" cm="1">
        <f t="array" ref="B67">IF(C67="","Skip",IF(AND(Validator!G61=TRUE,Validator!G311=TRUE,Validator!G561=TRUE,Validator!G811=TRUE,Validator!G1061=TRUE,Validator!G1311=TRUE,OR(ISBLANK($R67),ISNUMBER(VALUE(SUBSTITUTE(SUBSTITUTE(SUBSTITUTE(SUBSTITUTE($R67," ",""),"c",""),"C",""),"-","")))),OR(SUMPRODUCT(--($U67=Package_type_code))&gt;0,$U67="",$U67="-")),"Valid","Invalid"))</f>
        <v>Skip</v>
      </c>
      <c r="C67" s="70"/>
      <c r="D67" s="395"/>
      <c r="E67" s="396"/>
      <c r="F67" s="178" t="str">
        <f t="shared" si="0"/>
        <v>-</v>
      </c>
      <c r="G67" s="398"/>
      <c r="H67" s="178" t="str">
        <f t="shared" si="1"/>
        <v>-</v>
      </c>
      <c r="I67" s="333"/>
      <c r="J67" s="400"/>
      <c r="K67" s="401"/>
      <c r="L67" s="402"/>
      <c r="M67" s="322"/>
      <c r="N67" s="584"/>
      <c r="O67" s="403" t="s">
        <v>278</v>
      </c>
      <c r="P67" s="404" t="s">
        <v>77</v>
      </c>
      <c r="Q67" s="329"/>
      <c r="R67" s="320"/>
      <c r="S67" s="320"/>
      <c r="T67" s="329"/>
      <c r="U67" s="336" t="str">
        <f>IF(ISERROR(VLOOKUP($T67, 'Reference data'!$J$2:$K$139, 2, FALSE)),"-",VLOOKUP($T67, 'Reference data'!$J$2:$K$139, 2, FALSE))</f>
        <v>-</v>
      </c>
      <c r="V67" s="320"/>
      <c r="W67" s="320"/>
      <c r="X67" s="324"/>
      <c r="Y67" s="325"/>
      <c r="Z67" s="70"/>
      <c r="AA67" s="352"/>
      <c r="AB67" s="86"/>
      <c r="AC67" s="72"/>
      <c r="AD67" s="331"/>
      <c r="AE67" s="239" t="s">
        <v>278</v>
      </c>
      <c r="AF67" s="243" t="s">
        <v>77</v>
      </c>
      <c r="AG67" s="334"/>
    </row>
    <row r="68" spans="2:33" s="306" customFormat="1" ht="12.75" customHeight="1" x14ac:dyDescent="0.2">
      <c r="B68" s="338" t="str" cm="1">
        <f t="array" ref="B68">IF(C68="","Skip",IF(AND(Validator!G62=TRUE,Validator!G312=TRUE,Validator!G562=TRUE,Validator!G812=TRUE,Validator!G1062=TRUE,Validator!G1312=TRUE,OR(ISBLANK($R68),ISNUMBER(VALUE(SUBSTITUTE(SUBSTITUTE(SUBSTITUTE(SUBSTITUTE($R68," ",""),"c",""),"C",""),"-","")))),OR(SUMPRODUCT(--($U68=Package_type_code))&gt;0,$U68="",$U68="-")),"Valid","Invalid"))</f>
        <v>Skip</v>
      </c>
      <c r="C68" s="70"/>
      <c r="D68" s="395"/>
      <c r="E68" s="396"/>
      <c r="F68" s="178" t="str">
        <f t="shared" si="0"/>
        <v>-</v>
      </c>
      <c r="G68" s="398"/>
      <c r="H68" s="178" t="str">
        <f t="shared" si="1"/>
        <v>-</v>
      </c>
      <c r="I68" s="333"/>
      <c r="J68" s="400"/>
      <c r="K68" s="401"/>
      <c r="L68" s="402"/>
      <c r="M68" s="322"/>
      <c r="N68" s="584"/>
      <c r="O68" s="403" t="s">
        <v>278</v>
      </c>
      <c r="P68" s="404" t="s">
        <v>77</v>
      </c>
      <c r="Q68" s="329"/>
      <c r="R68" s="320"/>
      <c r="S68" s="320"/>
      <c r="T68" s="329"/>
      <c r="U68" s="336" t="str">
        <f>IF(ISERROR(VLOOKUP($T68, 'Reference data'!$J$2:$K$139, 2, FALSE)),"-",VLOOKUP($T68, 'Reference data'!$J$2:$K$139, 2, FALSE))</f>
        <v>-</v>
      </c>
      <c r="V68" s="320"/>
      <c r="W68" s="320"/>
      <c r="X68" s="324"/>
      <c r="Y68" s="325"/>
      <c r="Z68" s="70"/>
      <c r="AA68" s="352"/>
      <c r="AB68" s="86"/>
      <c r="AC68" s="72"/>
      <c r="AD68" s="331"/>
      <c r="AE68" s="239" t="s">
        <v>278</v>
      </c>
      <c r="AF68" s="243" t="s">
        <v>77</v>
      </c>
      <c r="AG68" s="334"/>
    </row>
    <row r="69" spans="2:33" s="306" customFormat="1" ht="12.75" customHeight="1" x14ac:dyDescent="0.2">
      <c r="B69" s="338" t="str" cm="1">
        <f t="array" ref="B69">IF(C69="","Skip",IF(AND(Validator!G63=TRUE,Validator!G313=TRUE,Validator!G563=TRUE,Validator!G813=TRUE,Validator!G1063=TRUE,Validator!G1313=TRUE,OR(ISBLANK($R69),ISNUMBER(VALUE(SUBSTITUTE(SUBSTITUTE(SUBSTITUTE(SUBSTITUTE($R69," ",""),"c",""),"C",""),"-","")))),OR(SUMPRODUCT(--($U69=Package_type_code))&gt;0,$U69="",$U69="-")),"Valid","Invalid"))</f>
        <v>Skip</v>
      </c>
      <c r="C69" s="70"/>
      <c r="D69" s="395"/>
      <c r="E69" s="396"/>
      <c r="F69" s="178" t="str">
        <f t="shared" si="0"/>
        <v>-</v>
      </c>
      <c r="G69" s="398"/>
      <c r="H69" s="178" t="str">
        <f t="shared" si="1"/>
        <v>-</v>
      </c>
      <c r="I69" s="333"/>
      <c r="J69" s="400"/>
      <c r="K69" s="401"/>
      <c r="L69" s="402"/>
      <c r="M69" s="322"/>
      <c r="N69" s="584"/>
      <c r="O69" s="403" t="s">
        <v>278</v>
      </c>
      <c r="P69" s="404" t="s">
        <v>77</v>
      </c>
      <c r="Q69" s="329"/>
      <c r="R69" s="320"/>
      <c r="S69" s="320"/>
      <c r="T69" s="329"/>
      <c r="U69" s="336" t="str">
        <f>IF(ISERROR(VLOOKUP($T69, 'Reference data'!$J$2:$K$139, 2, FALSE)),"-",VLOOKUP($T69, 'Reference data'!$J$2:$K$139, 2, FALSE))</f>
        <v>-</v>
      </c>
      <c r="V69" s="320"/>
      <c r="W69" s="320"/>
      <c r="X69" s="324"/>
      <c r="Y69" s="325"/>
      <c r="Z69" s="70"/>
      <c r="AA69" s="352"/>
      <c r="AB69" s="86"/>
      <c r="AC69" s="72"/>
      <c r="AD69" s="331"/>
      <c r="AE69" s="239" t="s">
        <v>278</v>
      </c>
      <c r="AF69" s="243" t="s">
        <v>77</v>
      </c>
      <c r="AG69" s="334"/>
    </row>
    <row r="70" spans="2:33" s="306" customFormat="1" ht="12.75" customHeight="1" x14ac:dyDescent="0.2">
      <c r="B70" s="338" t="str" cm="1">
        <f t="array" ref="B70">IF(C70="","Skip",IF(AND(Validator!G64=TRUE,Validator!G314=TRUE,Validator!G564=TRUE,Validator!G814=TRUE,Validator!G1064=TRUE,Validator!G1314=TRUE,OR(ISBLANK($R70),ISNUMBER(VALUE(SUBSTITUTE(SUBSTITUTE(SUBSTITUTE(SUBSTITUTE($R70," ",""),"c",""),"C",""),"-","")))),OR(SUMPRODUCT(--($U70=Package_type_code))&gt;0,$U70="",$U70="-")),"Valid","Invalid"))</f>
        <v>Skip</v>
      </c>
      <c r="C70" s="70"/>
      <c r="D70" s="395"/>
      <c r="E70" s="396"/>
      <c r="F70" s="178" t="str">
        <f t="shared" si="0"/>
        <v>-</v>
      </c>
      <c r="G70" s="398"/>
      <c r="H70" s="178" t="str">
        <f t="shared" si="1"/>
        <v>-</v>
      </c>
      <c r="I70" s="333"/>
      <c r="J70" s="400"/>
      <c r="K70" s="401"/>
      <c r="L70" s="402"/>
      <c r="M70" s="322"/>
      <c r="N70" s="584"/>
      <c r="O70" s="403" t="s">
        <v>278</v>
      </c>
      <c r="P70" s="404" t="s">
        <v>77</v>
      </c>
      <c r="Q70" s="329"/>
      <c r="R70" s="320"/>
      <c r="S70" s="320"/>
      <c r="T70" s="329"/>
      <c r="U70" s="336" t="str">
        <f>IF(ISERROR(VLOOKUP($T70, 'Reference data'!$J$2:$K$139, 2, FALSE)),"-",VLOOKUP($T70, 'Reference data'!$J$2:$K$139, 2, FALSE))</f>
        <v>-</v>
      </c>
      <c r="V70" s="320"/>
      <c r="W70" s="320"/>
      <c r="X70" s="324"/>
      <c r="Y70" s="325"/>
      <c r="Z70" s="70"/>
      <c r="AA70" s="352"/>
      <c r="AB70" s="86"/>
      <c r="AC70" s="72"/>
      <c r="AD70" s="331"/>
      <c r="AE70" s="239" t="s">
        <v>278</v>
      </c>
      <c r="AF70" s="243" t="s">
        <v>77</v>
      </c>
      <c r="AG70" s="334"/>
    </row>
    <row r="71" spans="2:33" s="306" customFormat="1" ht="12.75" customHeight="1" x14ac:dyDescent="0.2">
      <c r="B71" s="338" t="str" cm="1">
        <f t="array" ref="B71">IF(C71="","Skip",IF(AND(Validator!G65=TRUE,Validator!G315=TRUE,Validator!G565=TRUE,Validator!G815=TRUE,Validator!G1065=TRUE,Validator!G1315=TRUE,OR(ISBLANK($R71),ISNUMBER(VALUE(SUBSTITUTE(SUBSTITUTE(SUBSTITUTE(SUBSTITUTE($R71," ",""),"c",""),"C",""),"-","")))),OR(SUMPRODUCT(--($U71=Package_type_code))&gt;0,$U71="",$U71="-")),"Valid","Invalid"))</f>
        <v>Skip</v>
      </c>
      <c r="C71" s="70"/>
      <c r="D71" s="395"/>
      <c r="E71" s="396"/>
      <c r="F71" s="178" t="str">
        <f t="shared" si="0"/>
        <v>-</v>
      </c>
      <c r="G71" s="398"/>
      <c r="H71" s="178" t="str">
        <f t="shared" si="1"/>
        <v>-</v>
      </c>
      <c r="I71" s="333"/>
      <c r="J71" s="400"/>
      <c r="K71" s="401"/>
      <c r="L71" s="402"/>
      <c r="M71" s="322"/>
      <c r="N71" s="584"/>
      <c r="O71" s="403" t="s">
        <v>278</v>
      </c>
      <c r="P71" s="404" t="s">
        <v>77</v>
      </c>
      <c r="Q71" s="329"/>
      <c r="R71" s="320"/>
      <c r="S71" s="320"/>
      <c r="T71" s="329"/>
      <c r="U71" s="336" t="str">
        <f>IF(ISERROR(VLOOKUP($T71, 'Reference data'!$J$2:$K$139, 2, FALSE)),"-",VLOOKUP($T71, 'Reference data'!$J$2:$K$139, 2, FALSE))</f>
        <v>-</v>
      </c>
      <c r="V71" s="320"/>
      <c r="W71" s="320"/>
      <c r="X71" s="324"/>
      <c r="Y71" s="325"/>
      <c r="Z71" s="70"/>
      <c r="AA71" s="352"/>
      <c r="AB71" s="86"/>
      <c r="AC71" s="72"/>
      <c r="AD71" s="331"/>
      <c r="AE71" s="239" t="s">
        <v>278</v>
      </c>
      <c r="AF71" s="243" t="s">
        <v>77</v>
      </c>
      <c r="AG71" s="334"/>
    </row>
    <row r="72" spans="2:33" s="306" customFormat="1" ht="12.75" customHeight="1" x14ac:dyDescent="0.2">
      <c r="B72" s="338" t="str" cm="1">
        <f t="array" ref="B72">IF(C72="","Skip",IF(AND(Validator!G66=TRUE,Validator!G316=TRUE,Validator!G566=TRUE,Validator!G816=TRUE,Validator!G1066=TRUE,Validator!G1316=TRUE,OR(ISBLANK($R72),ISNUMBER(VALUE(SUBSTITUTE(SUBSTITUTE(SUBSTITUTE(SUBSTITUTE($R72," ",""),"c",""),"C",""),"-","")))),OR(SUMPRODUCT(--($U72=Package_type_code))&gt;0,$U72="",$U72="-")),"Valid","Invalid"))</f>
        <v>Skip</v>
      </c>
      <c r="C72" s="70"/>
      <c r="D72" s="395"/>
      <c r="E72" s="396"/>
      <c r="F72" s="178" t="str">
        <f t="shared" si="0"/>
        <v>-</v>
      </c>
      <c r="G72" s="398"/>
      <c r="H72" s="178" t="str">
        <f t="shared" si="1"/>
        <v>-</v>
      </c>
      <c r="I72" s="333"/>
      <c r="J72" s="400"/>
      <c r="K72" s="401"/>
      <c r="L72" s="402"/>
      <c r="M72" s="322"/>
      <c r="N72" s="584"/>
      <c r="O72" s="403" t="s">
        <v>278</v>
      </c>
      <c r="P72" s="404" t="s">
        <v>77</v>
      </c>
      <c r="Q72" s="329"/>
      <c r="R72" s="320"/>
      <c r="S72" s="320"/>
      <c r="T72" s="329"/>
      <c r="U72" s="336" t="str">
        <f>IF(ISERROR(VLOOKUP($T72, 'Reference data'!$J$2:$K$139, 2, FALSE)),"-",VLOOKUP($T72, 'Reference data'!$J$2:$K$139, 2, FALSE))</f>
        <v>-</v>
      </c>
      <c r="V72" s="320"/>
      <c r="W72" s="320"/>
      <c r="X72" s="324"/>
      <c r="Y72" s="325"/>
      <c r="Z72" s="70"/>
      <c r="AA72" s="352"/>
      <c r="AB72" s="86"/>
      <c r="AC72" s="72"/>
      <c r="AD72" s="331"/>
      <c r="AE72" s="239" t="s">
        <v>278</v>
      </c>
      <c r="AF72" s="243" t="s">
        <v>77</v>
      </c>
      <c r="AG72" s="334"/>
    </row>
    <row r="73" spans="2:33" s="306" customFormat="1" ht="12.75" customHeight="1" x14ac:dyDescent="0.2">
      <c r="B73" s="338" t="str" cm="1">
        <f t="array" ref="B73">IF(C73="","Skip",IF(AND(Validator!G67=TRUE,Validator!G317=TRUE,Validator!G567=TRUE,Validator!G817=TRUE,Validator!G1067=TRUE,Validator!G1317=TRUE,OR(ISBLANK($R73),ISNUMBER(VALUE(SUBSTITUTE(SUBSTITUTE(SUBSTITUTE(SUBSTITUTE($R73," ",""),"c",""),"C",""),"-","")))),OR(SUMPRODUCT(--($U73=Package_type_code))&gt;0,$U73="",$U73="-")),"Valid","Invalid"))</f>
        <v>Skip</v>
      </c>
      <c r="C73" s="70"/>
      <c r="D73" s="395"/>
      <c r="E73" s="396"/>
      <c r="F73" s="178" t="str">
        <f t="shared" si="0"/>
        <v>-</v>
      </c>
      <c r="G73" s="398"/>
      <c r="H73" s="178" t="str">
        <f t="shared" si="1"/>
        <v>-</v>
      </c>
      <c r="I73" s="333"/>
      <c r="J73" s="400"/>
      <c r="K73" s="401"/>
      <c r="L73" s="402"/>
      <c r="M73" s="322"/>
      <c r="N73" s="584"/>
      <c r="O73" s="403" t="s">
        <v>278</v>
      </c>
      <c r="P73" s="404" t="s">
        <v>77</v>
      </c>
      <c r="Q73" s="329"/>
      <c r="R73" s="320"/>
      <c r="S73" s="320"/>
      <c r="T73" s="329"/>
      <c r="U73" s="336" t="str">
        <f>IF(ISERROR(VLOOKUP($T73, 'Reference data'!$J$2:$K$139, 2, FALSE)),"-",VLOOKUP($T73, 'Reference data'!$J$2:$K$139, 2, FALSE))</f>
        <v>-</v>
      </c>
      <c r="V73" s="320"/>
      <c r="W73" s="320"/>
      <c r="X73" s="324"/>
      <c r="Y73" s="325"/>
      <c r="Z73" s="70"/>
      <c r="AA73" s="352"/>
      <c r="AB73" s="86"/>
      <c r="AC73" s="72"/>
      <c r="AD73" s="331"/>
      <c r="AE73" s="239" t="s">
        <v>278</v>
      </c>
      <c r="AF73" s="243" t="s">
        <v>77</v>
      </c>
      <c r="AG73" s="334"/>
    </row>
    <row r="74" spans="2:33" s="306" customFormat="1" ht="12.75" customHeight="1" x14ac:dyDescent="0.2">
      <c r="B74" s="338" t="str" cm="1">
        <f t="array" ref="B74">IF(C74="","Skip",IF(AND(Validator!G68=TRUE,Validator!G318=TRUE,Validator!G568=TRUE,Validator!G818=TRUE,Validator!G1068=TRUE,Validator!G1318=TRUE,OR(ISBLANK($R74),ISNUMBER(VALUE(SUBSTITUTE(SUBSTITUTE(SUBSTITUTE(SUBSTITUTE($R74," ",""),"c",""),"C",""),"-","")))),OR(SUMPRODUCT(--($U74=Package_type_code))&gt;0,$U74="",$U74="-")),"Valid","Invalid"))</f>
        <v>Skip</v>
      </c>
      <c r="C74" s="70"/>
      <c r="D74" s="395"/>
      <c r="E74" s="396"/>
      <c r="F74" s="178" t="str">
        <f t="shared" si="0"/>
        <v>-</v>
      </c>
      <c r="G74" s="398"/>
      <c r="H74" s="178" t="str">
        <f t="shared" si="1"/>
        <v>-</v>
      </c>
      <c r="I74" s="333"/>
      <c r="J74" s="400"/>
      <c r="K74" s="401"/>
      <c r="L74" s="402"/>
      <c r="M74" s="322"/>
      <c r="N74" s="584"/>
      <c r="O74" s="403" t="s">
        <v>278</v>
      </c>
      <c r="P74" s="404" t="s">
        <v>77</v>
      </c>
      <c r="Q74" s="329"/>
      <c r="R74" s="320"/>
      <c r="S74" s="320"/>
      <c r="T74" s="329"/>
      <c r="U74" s="336" t="str">
        <f>IF(ISERROR(VLOOKUP($T74, 'Reference data'!$J$2:$K$139, 2, FALSE)),"-",VLOOKUP($T74, 'Reference data'!$J$2:$K$139, 2, FALSE))</f>
        <v>-</v>
      </c>
      <c r="V74" s="320"/>
      <c r="W74" s="320"/>
      <c r="X74" s="324"/>
      <c r="Y74" s="325"/>
      <c r="Z74" s="70"/>
      <c r="AA74" s="352"/>
      <c r="AB74" s="86"/>
      <c r="AC74" s="72"/>
      <c r="AD74" s="331"/>
      <c r="AE74" s="239" t="s">
        <v>278</v>
      </c>
      <c r="AF74" s="243" t="s">
        <v>77</v>
      </c>
      <c r="AG74" s="334"/>
    </row>
    <row r="75" spans="2:33" s="306" customFormat="1" ht="12.75" customHeight="1" x14ac:dyDescent="0.2">
      <c r="B75" s="338" t="str" cm="1">
        <f t="array" ref="B75">IF(C75="","Skip",IF(AND(Validator!G69=TRUE,Validator!G319=TRUE,Validator!G569=TRUE,Validator!G819=TRUE,Validator!G1069=TRUE,Validator!G1319=TRUE,OR(ISBLANK($R75),ISNUMBER(VALUE(SUBSTITUTE(SUBSTITUTE(SUBSTITUTE(SUBSTITUTE($R75," ",""),"c",""),"C",""),"-","")))),OR(SUMPRODUCT(--($U75=Package_type_code))&gt;0,$U75="",$U75="-")),"Valid","Invalid"))</f>
        <v>Skip</v>
      </c>
      <c r="C75" s="70"/>
      <c r="D75" s="395"/>
      <c r="E75" s="396"/>
      <c r="F75" s="178" t="str">
        <f t="shared" si="0"/>
        <v>-</v>
      </c>
      <c r="G75" s="398"/>
      <c r="H75" s="178" t="str">
        <f t="shared" si="1"/>
        <v>-</v>
      </c>
      <c r="I75" s="333"/>
      <c r="J75" s="400"/>
      <c r="K75" s="401"/>
      <c r="L75" s="402"/>
      <c r="M75" s="322"/>
      <c r="N75" s="584"/>
      <c r="O75" s="403" t="s">
        <v>278</v>
      </c>
      <c r="P75" s="404" t="s">
        <v>77</v>
      </c>
      <c r="Q75" s="329"/>
      <c r="R75" s="320"/>
      <c r="S75" s="320"/>
      <c r="T75" s="329"/>
      <c r="U75" s="336" t="str">
        <f>IF(ISERROR(VLOOKUP($T75, 'Reference data'!$J$2:$K$139, 2, FALSE)),"-",VLOOKUP($T75, 'Reference data'!$J$2:$K$139, 2, FALSE))</f>
        <v>-</v>
      </c>
      <c r="V75" s="320"/>
      <c r="W75" s="320"/>
      <c r="X75" s="324"/>
      <c r="Y75" s="325"/>
      <c r="Z75" s="70"/>
      <c r="AA75" s="352"/>
      <c r="AB75" s="86"/>
      <c r="AC75" s="72"/>
      <c r="AD75" s="331"/>
      <c r="AE75" s="239" t="s">
        <v>278</v>
      </c>
      <c r="AF75" s="243" t="s">
        <v>77</v>
      </c>
      <c r="AG75" s="334"/>
    </row>
    <row r="76" spans="2:33" s="306" customFormat="1" ht="12.75" customHeight="1" x14ac:dyDescent="0.2">
      <c r="B76" s="338" t="str" cm="1">
        <f t="array" ref="B76">IF(C76="","Skip",IF(AND(Validator!G70=TRUE,Validator!G320=TRUE,Validator!G570=TRUE,Validator!G820=TRUE,Validator!G1070=TRUE,Validator!G1320=TRUE,OR(ISBLANK($R76),ISNUMBER(VALUE(SUBSTITUTE(SUBSTITUTE(SUBSTITUTE(SUBSTITUTE($R76," ",""),"c",""),"C",""),"-","")))),OR(SUMPRODUCT(--($U76=Package_type_code))&gt;0,$U76="",$U76="-")),"Valid","Invalid"))</f>
        <v>Skip</v>
      </c>
      <c r="C76" s="70"/>
      <c r="D76" s="395"/>
      <c r="E76" s="396"/>
      <c r="F76" s="178" t="str">
        <f t="shared" si="0"/>
        <v>-</v>
      </c>
      <c r="G76" s="398"/>
      <c r="H76" s="178" t="str">
        <f t="shared" si="1"/>
        <v>-</v>
      </c>
      <c r="I76" s="333"/>
      <c r="J76" s="400"/>
      <c r="K76" s="401"/>
      <c r="L76" s="402"/>
      <c r="M76" s="322"/>
      <c r="N76" s="584"/>
      <c r="O76" s="403" t="s">
        <v>278</v>
      </c>
      <c r="P76" s="404" t="s">
        <v>77</v>
      </c>
      <c r="Q76" s="329"/>
      <c r="R76" s="320"/>
      <c r="S76" s="320"/>
      <c r="T76" s="329"/>
      <c r="U76" s="336" t="str">
        <f>IF(ISERROR(VLOOKUP($T76, 'Reference data'!$J$2:$K$139, 2, FALSE)),"-",VLOOKUP($T76, 'Reference data'!$J$2:$K$139, 2, FALSE))</f>
        <v>-</v>
      </c>
      <c r="V76" s="320"/>
      <c r="W76" s="320"/>
      <c r="X76" s="324"/>
      <c r="Y76" s="325"/>
      <c r="Z76" s="70"/>
      <c r="AA76" s="352"/>
      <c r="AB76" s="86"/>
      <c r="AC76" s="72"/>
      <c r="AD76" s="331"/>
      <c r="AE76" s="239" t="s">
        <v>278</v>
      </c>
      <c r="AF76" s="243" t="s">
        <v>77</v>
      </c>
      <c r="AG76" s="334"/>
    </row>
    <row r="77" spans="2:33" s="306" customFormat="1" ht="12.75" customHeight="1" x14ac:dyDescent="0.2">
      <c r="B77" s="338" t="str" cm="1">
        <f t="array" ref="B77">IF(C77="","Skip",IF(AND(Validator!G71=TRUE,Validator!G321=TRUE,Validator!G571=TRUE,Validator!G821=TRUE,Validator!G1071=TRUE,Validator!G1321=TRUE,OR(ISBLANK($R77),ISNUMBER(VALUE(SUBSTITUTE(SUBSTITUTE(SUBSTITUTE(SUBSTITUTE($R77," ",""),"c",""),"C",""),"-","")))),OR(SUMPRODUCT(--($U77=Package_type_code))&gt;0,$U77="",$U77="-")),"Valid","Invalid"))</f>
        <v>Skip</v>
      </c>
      <c r="C77" s="70"/>
      <c r="D77" s="395"/>
      <c r="E77" s="396"/>
      <c r="F77" s="178" t="str">
        <f t="shared" si="0"/>
        <v>-</v>
      </c>
      <c r="G77" s="398"/>
      <c r="H77" s="178" t="str">
        <f t="shared" si="1"/>
        <v>-</v>
      </c>
      <c r="I77" s="333"/>
      <c r="J77" s="400"/>
      <c r="K77" s="401"/>
      <c r="L77" s="402"/>
      <c r="M77" s="322"/>
      <c r="N77" s="584"/>
      <c r="O77" s="403" t="s">
        <v>278</v>
      </c>
      <c r="P77" s="404" t="s">
        <v>77</v>
      </c>
      <c r="Q77" s="329"/>
      <c r="R77" s="320"/>
      <c r="S77" s="320"/>
      <c r="T77" s="329"/>
      <c r="U77" s="336" t="str">
        <f>IF(ISERROR(VLOOKUP($T77, 'Reference data'!$J$2:$K$139, 2, FALSE)),"-",VLOOKUP($T77, 'Reference data'!$J$2:$K$139, 2, FALSE))</f>
        <v>-</v>
      </c>
      <c r="V77" s="320"/>
      <c r="W77" s="320"/>
      <c r="X77" s="324"/>
      <c r="Y77" s="325"/>
      <c r="Z77" s="70"/>
      <c r="AA77" s="352"/>
      <c r="AB77" s="86"/>
      <c r="AC77" s="72"/>
      <c r="AD77" s="331"/>
      <c r="AE77" s="239" t="s">
        <v>278</v>
      </c>
      <c r="AF77" s="243" t="s">
        <v>77</v>
      </c>
      <c r="AG77" s="334"/>
    </row>
    <row r="78" spans="2:33" s="306" customFormat="1" ht="12.75" customHeight="1" x14ac:dyDescent="0.2">
      <c r="B78" s="338" t="str" cm="1">
        <f t="array" ref="B78">IF(C78="","Skip",IF(AND(Validator!G72=TRUE,Validator!G322=TRUE,Validator!G572=TRUE,Validator!G822=TRUE,Validator!G1072=TRUE,Validator!G1322=TRUE,OR(ISBLANK($R78),ISNUMBER(VALUE(SUBSTITUTE(SUBSTITUTE(SUBSTITUTE(SUBSTITUTE($R78," ",""),"c",""),"C",""),"-","")))),OR(SUMPRODUCT(--($U78=Package_type_code))&gt;0,$U78="",$U78="-")),"Valid","Invalid"))</f>
        <v>Skip</v>
      </c>
      <c r="C78" s="70"/>
      <c r="D78" s="395"/>
      <c r="E78" s="396"/>
      <c r="F78" s="178" t="str">
        <f t="shared" ref="F78:F141" si="2">IF(ISERROR(VLOOKUP($E78,REF_LOCODE_PORTNAME_COUNTRY, 2,FALSE)),"-",VLOOKUP($E78,REF_LOCODE_PORTNAME_COUNTRY, 2,FALSE))</f>
        <v>-</v>
      </c>
      <c r="G78" s="398"/>
      <c r="H78" s="178" t="str">
        <f t="shared" ref="H78:H141" si="3">IF(ISERROR(VLOOKUP($G78,REF_LOCODE_PORTNAME_COUNTRY, 2,FALSE)),"-",VLOOKUP($G78,REF_LOCODE_PORTNAME_COUNTRY, 2,FALSE))</f>
        <v>-</v>
      </c>
      <c r="I78" s="333"/>
      <c r="J78" s="400"/>
      <c r="K78" s="401"/>
      <c r="L78" s="402"/>
      <c r="M78" s="322"/>
      <c r="N78" s="584"/>
      <c r="O78" s="403" t="s">
        <v>278</v>
      </c>
      <c r="P78" s="404" t="s">
        <v>77</v>
      </c>
      <c r="Q78" s="329"/>
      <c r="R78" s="320"/>
      <c r="S78" s="320"/>
      <c r="T78" s="329"/>
      <c r="U78" s="336" t="str">
        <f>IF(ISERROR(VLOOKUP($T78, 'Reference data'!$J$2:$K$139, 2, FALSE)),"-",VLOOKUP($T78, 'Reference data'!$J$2:$K$139, 2, FALSE))</f>
        <v>-</v>
      </c>
      <c r="V78" s="320"/>
      <c r="W78" s="320"/>
      <c r="X78" s="324"/>
      <c r="Y78" s="325"/>
      <c r="Z78" s="70"/>
      <c r="AA78" s="352"/>
      <c r="AB78" s="86"/>
      <c r="AC78" s="72"/>
      <c r="AD78" s="331"/>
      <c r="AE78" s="239" t="s">
        <v>278</v>
      </c>
      <c r="AF78" s="243" t="s">
        <v>77</v>
      </c>
      <c r="AG78" s="334"/>
    </row>
    <row r="79" spans="2:33" s="306" customFormat="1" ht="12.75" customHeight="1" x14ac:dyDescent="0.2">
      <c r="B79" s="338" t="str" cm="1">
        <f t="array" ref="B79">IF(C79="","Skip",IF(AND(Validator!G73=TRUE,Validator!G323=TRUE,Validator!G573=TRUE,Validator!G823=TRUE,Validator!G1073=TRUE,Validator!G1323=TRUE,OR(ISBLANK($R79),ISNUMBER(VALUE(SUBSTITUTE(SUBSTITUTE(SUBSTITUTE(SUBSTITUTE($R79," ",""),"c",""),"C",""),"-","")))),OR(SUMPRODUCT(--($U79=Package_type_code))&gt;0,$U79="",$U79="-")),"Valid","Invalid"))</f>
        <v>Skip</v>
      </c>
      <c r="C79" s="70"/>
      <c r="D79" s="395"/>
      <c r="E79" s="396"/>
      <c r="F79" s="178" t="str">
        <f t="shared" si="2"/>
        <v>-</v>
      </c>
      <c r="G79" s="398"/>
      <c r="H79" s="178" t="str">
        <f t="shared" si="3"/>
        <v>-</v>
      </c>
      <c r="I79" s="333"/>
      <c r="J79" s="400"/>
      <c r="K79" s="401"/>
      <c r="L79" s="402"/>
      <c r="M79" s="322"/>
      <c r="N79" s="584"/>
      <c r="O79" s="403" t="s">
        <v>278</v>
      </c>
      <c r="P79" s="404" t="s">
        <v>77</v>
      </c>
      <c r="Q79" s="329"/>
      <c r="R79" s="320"/>
      <c r="S79" s="320"/>
      <c r="T79" s="329"/>
      <c r="U79" s="336" t="str">
        <f>IF(ISERROR(VLOOKUP($T79, 'Reference data'!$J$2:$K$139, 2, FALSE)),"-",VLOOKUP($T79, 'Reference data'!$J$2:$K$139, 2, FALSE))</f>
        <v>-</v>
      </c>
      <c r="V79" s="320"/>
      <c r="W79" s="320"/>
      <c r="X79" s="324"/>
      <c r="Y79" s="325"/>
      <c r="Z79" s="70"/>
      <c r="AA79" s="352"/>
      <c r="AB79" s="86"/>
      <c r="AC79" s="72"/>
      <c r="AD79" s="331"/>
      <c r="AE79" s="239" t="s">
        <v>278</v>
      </c>
      <c r="AF79" s="243" t="s">
        <v>77</v>
      </c>
      <c r="AG79" s="334"/>
    </row>
    <row r="80" spans="2:33" s="306" customFormat="1" ht="12.75" customHeight="1" x14ac:dyDescent="0.2">
      <c r="B80" s="338" t="str" cm="1">
        <f t="array" ref="B80">IF(C80="","Skip",IF(AND(Validator!G74=TRUE,Validator!G324=TRUE,Validator!G574=TRUE,Validator!G824=TRUE,Validator!G1074=TRUE,Validator!G1324=TRUE,OR(ISBLANK($R80),ISNUMBER(VALUE(SUBSTITUTE(SUBSTITUTE(SUBSTITUTE(SUBSTITUTE($R80," ",""),"c",""),"C",""),"-","")))),OR(SUMPRODUCT(--($U80=Package_type_code))&gt;0,$U80="",$U80="-")),"Valid","Invalid"))</f>
        <v>Skip</v>
      </c>
      <c r="C80" s="70"/>
      <c r="D80" s="395"/>
      <c r="E80" s="396"/>
      <c r="F80" s="178" t="str">
        <f t="shared" si="2"/>
        <v>-</v>
      </c>
      <c r="G80" s="398"/>
      <c r="H80" s="178" t="str">
        <f t="shared" si="3"/>
        <v>-</v>
      </c>
      <c r="I80" s="333"/>
      <c r="J80" s="400"/>
      <c r="K80" s="401"/>
      <c r="L80" s="402"/>
      <c r="M80" s="322"/>
      <c r="N80" s="584"/>
      <c r="O80" s="403" t="s">
        <v>278</v>
      </c>
      <c r="P80" s="404" t="s">
        <v>77</v>
      </c>
      <c r="Q80" s="329"/>
      <c r="R80" s="320"/>
      <c r="S80" s="320"/>
      <c r="T80" s="329"/>
      <c r="U80" s="336" t="str">
        <f>IF(ISERROR(VLOOKUP($T80, 'Reference data'!$J$2:$K$139, 2, FALSE)),"-",VLOOKUP($T80, 'Reference data'!$J$2:$K$139, 2, FALSE))</f>
        <v>-</v>
      </c>
      <c r="V80" s="320"/>
      <c r="W80" s="320"/>
      <c r="X80" s="324"/>
      <c r="Y80" s="325"/>
      <c r="Z80" s="70"/>
      <c r="AA80" s="352"/>
      <c r="AB80" s="86"/>
      <c r="AC80" s="72"/>
      <c r="AD80" s="331"/>
      <c r="AE80" s="239" t="s">
        <v>278</v>
      </c>
      <c r="AF80" s="243" t="s">
        <v>77</v>
      </c>
      <c r="AG80" s="334"/>
    </row>
    <row r="81" spans="2:33" s="306" customFormat="1" ht="12.75" customHeight="1" x14ac:dyDescent="0.2">
      <c r="B81" s="338" t="str" cm="1">
        <f t="array" ref="B81">IF(C81="","Skip",IF(AND(Validator!G75=TRUE,Validator!G325=TRUE,Validator!G575=TRUE,Validator!G825=TRUE,Validator!G1075=TRUE,Validator!G1325=TRUE,OR(ISBLANK($R81),ISNUMBER(VALUE(SUBSTITUTE(SUBSTITUTE(SUBSTITUTE(SUBSTITUTE($R81," ",""),"c",""),"C",""),"-","")))),OR(SUMPRODUCT(--($U81=Package_type_code))&gt;0,$U81="",$U81="-")),"Valid","Invalid"))</f>
        <v>Skip</v>
      </c>
      <c r="C81" s="70"/>
      <c r="D81" s="395"/>
      <c r="E81" s="396"/>
      <c r="F81" s="178" t="str">
        <f t="shared" si="2"/>
        <v>-</v>
      </c>
      <c r="G81" s="398"/>
      <c r="H81" s="178" t="str">
        <f t="shared" si="3"/>
        <v>-</v>
      </c>
      <c r="I81" s="333"/>
      <c r="J81" s="400"/>
      <c r="K81" s="401"/>
      <c r="L81" s="402"/>
      <c r="M81" s="322"/>
      <c r="N81" s="584"/>
      <c r="O81" s="403" t="s">
        <v>278</v>
      </c>
      <c r="P81" s="404" t="s">
        <v>77</v>
      </c>
      <c r="Q81" s="329"/>
      <c r="R81" s="320"/>
      <c r="S81" s="320"/>
      <c r="T81" s="329"/>
      <c r="U81" s="336" t="str">
        <f>IF(ISERROR(VLOOKUP($T81, 'Reference data'!$J$2:$K$139, 2, FALSE)),"-",VLOOKUP($T81, 'Reference data'!$J$2:$K$139, 2, FALSE))</f>
        <v>-</v>
      </c>
      <c r="V81" s="320"/>
      <c r="W81" s="320"/>
      <c r="X81" s="324"/>
      <c r="Y81" s="325"/>
      <c r="Z81" s="70"/>
      <c r="AA81" s="352"/>
      <c r="AB81" s="86"/>
      <c r="AC81" s="72"/>
      <c r="AD81" s="331"/>
      <c r="AE81" s="239" t="s">
        <v>278</v>
      </c>
      <c r="AF81" s="243" t="s">
        <v>77</v>
      </c>
      <c r="AG81" s="334"/>
    </row>
    <row r="82" spans="2:33" s="306" customFormat="1" ht="12.75" customHeight="1" x14ac:dyDescent="0.2">
      <c r="B82" s="338" t="str" cm="1">
        <f t="array" ref="B82">IF(C82="","Skip",IF(AND(Validator!G76=TRUE,Validator!G326=TRUE,Validator!G576=TRUE,Validator!G826=TRUE,Validator!G1076=TRUE,Validator!G1326=TRUE,OR(ISBLANK($R82),ISNUMBER(VALUE(SUBSTITUTE(SUBSTITUTE(SUBSTITUTE(SUBSTITUTE($R82," ",""),"c",""),"C",""),"-","")))),OR(SUMPRODUCT(--($U82=Package_type_code))&gt;0,$U82="",$U82="-")),"Valid","Invalid"))</f>
        <v>Skip</v>
      </c>
      <c r="C82" s="70"/>
      <c r="D82" s="395"/>
      <c r="E82" s="396"/>
      <c r="F82" s="178" t="str">
        <f t="shared" si="2"/>
        <v>-</v>
      </c>
      <c r="G82" s="398"/>
      <c r="H82" s="178" t="str">
        <f t="shared" si="3"/>
        <v>-</v>
      </c>
      <c r="I82" s="333"/>
      <c r="J82" s="400"/>
      <c r="K82" s="401"/>
      <c r="L82" s="402"/>
      <c r="M82" s="322"/>
      <c r="N82" s="584"/>
      <c r="O82" s="403" t="s">
        <v>278</v>
      </c>
      <c r="P82" s="404" t="s">
        <v>77</v>
      </c>
      <c r="Q82" s="329"/>
      <c r="R82" s="320"/>
      <c r="S82" s="320"/>
      <c r="T82" s="329"/>
      <c r="U82" s="336" t="str">
        <f>IF(ISERROR(VLOOKUP($T82, 'Reference data'!$J$2:$K$139, 2, FALSE)),"-",VLOOKUP($T82, 'Reference data'!$J$2:$K$139, 2, FALSE))</f>
        <v>-</v>
      </c>
      <c r="V82" s="320"/>
      <c r="W82" s="320"/>
      <c r="X82" s="324"/>
      <c r="Y82" s="325"/>
      <c r="Z82" s="70"/>
      <c r="AA82" s="352"/>
      <c r="AB82" s="86"/>
      <c r="AC82" s="72"/>
      <c r="AD82" s="331"/>
      <c r="AE82" s="239" t="s">
        <v>278</v>
      </c>
      <c r="AF82" s="243" t="s">
        <v>77</v>
      </c>
      <c r="AG82" s="334"/>
    </row>
    <row r="83" spans="2:33" s="306" customFormat="1" ht="12.75" customHeight="1" x14ac:dyDescent="0.2">
      <c r="B83" s="338" t="str" cm="1">
        <f t="array" ref="B83">IF(C83="","Skip",IF(AND(Validator!G77=TRUE,Validator!G327=TRUE,Validator!G577=TRUE,Validator!G827=TRUE,Validator!G1077=TRUE,Validator!G1327=TRUE,OR(ISBLANK($R83),ISNUMBER(VALUE(SUBSTITUTE(SUBSTITUTE(SUBSTITUTE(SUBSTITUTE($R83," ",""),"c",""),"C",""),"-","")))),OR(SUMPRODUCT(--($U83=Package_type_code))&gt;0,$U83="",$U83="-")),"Valid","Invalid"))</f>
        <v>Skip</v>
      </c>
      <c r="C83" s="70"/>
      <c r="D83" s="395"/>
      <c r="E83" s="396"/>
      <c r="F83" s="178" t="str">
        <f t="shared" si="2"/>
        <v>-</v>
      </c>
      <c r="G83" s="398"/>
      <c r="H83" s="178" t="str">
        <f t="shared" si="3"/>
        <v>-</v>
      </c>
      <c r="I83" s="333"/>
      <c r="J83" s="400"/>
      <c r="K83" s="401"/>
      <c r="L83" s="402"/>
      <c r="M83" s="322"/>
      <c r="N83" s="584"/>
      <c r="O83" s="403" t="s">
        <v>278</v>
      </c>
      <c r="P83" s="404" t="s">
        <v>77</v>
      </c>
      <c r="Q83" s="329"/>
      <c r="R83" s="320"/>
      <c r="S83" s="320"/>
      <c r="T83" s="329"/>
      <c r="U83" s="336" t="str">
        <f>IF(ISERROR(VLOOKUP($T83, 'Reference data'!$J$2:$K$139, 2, FALSE)),"-",VLOOKUP($T83, 'Reference data'!$J$2:$K$139, 2, FALSE))</f>
        <v>-</v>
      </c>
      <c r="V83" s="320"/>
      <c r="W83" s="320"/>
      <c r="X83" s="324"/>
      <c r="Y83" s="325"/>
      <c r="Z83" s="70"/>
      <c r="AA83" s="352"/>
      <c r="AB83" s="86"/>
      <c r="AC83" s="72"/>
      <c r="AD83" s="331"/>
      <c r="AE83" s="239" t="s">
        <v>278</v>
      </c>
      <c r="AF83" s="243" t="s">
        <v>77</v>
      </c>
      <c r="AG83" s="334"/>
    </row>
    <row r="84" spans="2:33" s="306" customFormat="1" ht="12.75" customHeight="1" x14ac:dyDescent="0.2">
      <c r="B84" s="338" t="str" cm="1">
        <f t="array" ref="B84">IF(C84="","Skip",IF(AND(Validator!G78=TRUE,Validator!G328=TRUE,Validator!G578=TRUE,Validator!G828=TRUE,Validator!G1078=TRUE,Validator!G1328=TRUE,OR(ISBLANK($R84),ISNUMBER(VALUE(SUBSTITUTE(SUBSTITUTE(SUBSTITUTE(SUBSTITUTE($R84," ",""),"c",""),"C",""),"-","")))),OR(SUMPRODUCT(--($U84=Package_type_code))&gt;0,$U84="",$U84="-")),"Valid","Invalid"))</f>
        <v>Skip</v>
      </c>
      <c r="C84" s="70"/>
      <c r="D84" s="395"/>
      <c r="E84" s="396"/>
      <c r="F84" s="178" t="str">
        <f t="shared" si="2"/>
        <v>-</v>
      </c>
      <c r="G84" s="398"/>
      <c r="H84" s="178" t="str">
        <f t="shared" si="3"/>
        <v>-</v>
      </c>
      <c r="I84" s="333"/>
      <c r="J84" s="400"/>
      <c r="K84" s="401"/>
      <c r="L84" s="402"/>
      <c r="M84" s="322"/>
      <c r="N84" s="584"/>
      <c r="O84" s="403" t="s">
        <v>278</v>
      </c>
      <c r="P84" s="404" t="s">
        <v>77</v>
      </c>
      <c r="Q84" s="329"/>
      <c r="R84" s="320"/>
      <c r="S84" s="320"/>
      <c r="T84" s="329"/>
      <c r="U84" s="336" t="str">
        <f>IF(ISERROR(VLOOKUP($T84, 'Reference data'!$J$2:$K$139, 2, FALSE)),"-",VLOOKUP($T84, 'Reference data'!$J$2:$K$139, 2, FALSE))</f>
        <v>-</v>
      </c>
      <c r="V84" s="320"/>
      <c r="W84" s="320"/>
      <c r="X84" s="324"/>
      <c r="Y84" s="325"/>
      <c r="Z84" s="70"/>
      <c r="AA84" s="352"/>
      <c r="AB84" s="86"/>
      <c r="AC84" s="72"/>
      <c r="AD84" s="331"/>
      <c r="AE84" s="239" t="s">
        <v>278</v>
      </c>
      <c r="AF84" s="243" t="s">
        <v>77</v>
      </c>
      <c r="AG84" s="334"/>
    </row>
    <row r="85" spans="2:33" s="306" customFormat="1" ht="12.75" customHeight="1" x14ac:dyDescent="0.2">
      <c r="B85" s="338" t="str" cm="1">
        <f t="array" ref="B85">IF(C85="","Skip",IF(AND(Validator!G79=TRUE,Validator!G329=TRUE,Validator!G579=TRUE,Validator!G829=TRUE,Validator!G1079=TRUE,Validator!G1329=TRUE,OR(ISBLANK($R85),ISNUMBER(VALUE(SUBSTITUTE(SUBSTITUTE(SUBSTITUTE(SUBSTITUTE($R85," ",""),"c",""),"C",""),"-","")))),OR(SUMPRODUCT(--($U85=Package_type_code))&gt;0,$U85="",$U85="-")),"Valid","Invalid"))</f>
        <v>Skip</v>
      </c>
      <c r="C85" s="70"/>
      <c r="D85" s="395"/>
      <c r="E85" s="396"/>
      <c r="F85" s="178" t="str">
        <f t="shared" si="2"/>
        <v>-</v>
      </c>
      <c r="G85" s="398"/>
      <c r="H85" s="178" t="str">
        <f t="shared" si="3"/>
        <v>-</v>
      </c>
      <c r="I85" s="333"/>
      <c r="J85" s="400"/>
      <c r="K85" s="401"/>
      <c r="L85" s="402"/>
      <c r="M85" s="322"/>
      <c r="N85" s="584"/>
      <c r="O85" s="403" t="s">
        <v>278</v>
      </c>
      <c r="P85" s="404" t="s">
        <v>77</v>
      </c>
      <c r="Q85" s="329"/>
      <c r="R85" s="320"/>
      <c r="S85" s="320"/>
      <c r="T85" s="329"/>
      <c r="U85" s="336" t="str">
        <f>IF(ISERROR(VLOOKUP($T85, 'Reference data'!$J$2:$K$139, 2, FALSE)),"-",VLOOKUP($T85, 'Reference data'!$J$2:$K$139, 2, FALSE))</f>
        <v>-</v>
      </c>
      <c r="V85" s="320"/>
      <c r="W85" s="320"/>
      <c r="X85" s="324"/>
      <c r="Y85" s="325"/>
      <c r="Z85" s="70"/>
      <c r="AA85" s="352"/>
      <c r="AB85" s="86"/>
      <c r="AC85" s="72"/>
      <c r="AD85" s="331"/>
      <c r="AE85" s="239" t="s">
        <v>278</v>
      </c>
      <c r="AF85" s="243" t="s">
        <v>77</v>
      </c>
      <c r="AG85" s="334"/>
    </row>
    <row r="86" spans="2:33" s="306" customFormat="1" ht="12.75" customHeight="1" x14ac:dyDescent="0.2">
      <c r="B86" s="338" t="str" cm="1">
        <f t="array" ref="B86">IF(C86="","Skip",IF(AND(Validator!G80=TRUE,Validator!G330=TRUE,Validator!G580=TRUE,Validator!G830=TRUE,Validator!G1080=TRUE,Validator!G1330=TRUE,OR(ISBLANK($R86),ISNUMBER(VALUE(SUBSTITUTE(SUBSTITUTE(SUBSTITUTE(SUBSTITUTE($R86," ",""),"c",""),"C",""),"-","")))),OR(SUMPRODUCT(--($U86=Package_type_code))&gt;0,$U86="",$U86="-")),"Valid","Invalid"))</f>
        <v>Skip</v>
      </c>
      <c r="C86" s="70"/>
      <c r="D86" s="395"/>
      <c r="E86" s="396"/>
      <c r="F86" s="178" t="str">
        <f t="shared" si="2"/>
        <v>-</v>
      </c>
      <c r="G86" s="398"/>
      <c r="H86" s="178" t="str">
        <f t="shared" si="3"/>
        <v>-</v>
      </c>
      <c r="I86" s="333"/>
      <c r="J86" s="400"/>
      <c r="K86" s="401"/>
      <c r="L86" s="402"/>
      <c r="M86" s="322"/>
      <c r="N86" s="584"/>
      <c r="O86" s="403" t="s">
        <v>278</v>
      </c>
      <c r="P86" s="404" t="s">
        <v>77</v>
      </c>
      <c r="Q86" s="329"/>
      <c r="R86" s="320"/>
      <c r="S86" s="320"/>
      <c r="T86" s="329"/>
      <c r="U86" s="336" t="str">
        <f>IF(ISERROR(VLOOKUP($T86, 'Reference data'!$J$2:$K$139, 2, FALSE)),"-",VLOOKUP($T86, 'Reference data'!$J$2:$K$139, 2, FALSE))</f>
        <v>-</v>
      </c>
      <c r="V86" s="320"/>
      <c r="W86" s="320"/>
      <c r="X86" s="324"/>
      <c r="Y86" s="325"/>
      <c r="Z86" s="70"/>
      <c r="AA86" s="352"/>
      <c r="AB86" s="86"/>
      <c r="AC86" s="72"/>
      <c r="AD86" s="331"/>
      <c r="AE86" s="239" t="s">
        <v>278</v>
      </c>
      <c r="AF86" s="243" t="s">
        <v>77</v>
      </c>
      <c r="AG86" s="334"/>
    </row>
    <row r="87" spans="2:33" s="306" customFormat="1" ht="12.75" customHeight="1" x14ac:dyDescent="0.2">
      <c r="B87" s="338" t="str" cm="1">
        <f t="array" ref="B87">IF(C87="","Skip",IF(AND(Validator!G81=TRUE,Validator!G331=TRUE,Validator!G581=TRUE,Validator!G831=TRUE,Validator!G1081=TRUE,Validator!G1331=TRUE,OR(ISBLANK($R87),ISNUMBER(VALUE(SUBSTITUTE(SUBSTITUTE(SUBSTITUTE(SUBSTITUTE($R87," ",""),"c",""),"C",""),"-","")))),OR(SUMPRODUCT(--($U87=Package_type_code))&gt;0,$U87="",$U87="-")),"Valid","Invalid"))</f>
        <v>Skip</v>
      </c>
      <c r="C87" s="70"/>
      <c r="D87" s="395"/>
      <c r="E87" s="396"/>
      <c r="F87" s="178" t="str">
        <f t="shared" si="2"/>
        <v>-</v>
      </c>
      <c r="G87" s="398"/>
      <c r="H87" s="178" t="str">
        <f t="shared" si="3"/>
        <v>-</v>
      </c>
      <c r="I87" s="333"/>
      <c r="J87" s="400"/>
      <c r="K87" s="401"/>
      <c r="L87" s="402"/>
      <c r="M87" s="322"/>
      <c r="N87" s="584"/>
      <c r="O87" s="403" t="s">
        <v>278</v>
      </c>
      <c r="P87" s="404" t="s">
        <v>77</v>
      </c>
      <c r="Q87" s="329"/>
      <c r="R87" s="320"/>
      <c r="S87" s="320"/>
      <c r="T87" s="329"/>
      <c r="U87" s="336" t="str">
        <f>IF(ISERROR(VLOOKUP($T87, 'Reference data'!$J$2:$K$139, 2, FALSE)),"-",VLOOKUP($T87, 'Reference data'!$J$2:$K$139, 2, FALSE))</f>
        <v>-</v>
      </c>
      <c r="V87" s="320"/>
      <c r="W87" s="320"/>
      <c r="X87" s="324"/>
      <c r="Y87" s="325"/>
      <c r="Z87" s="70"/>
      <c r="AA87" s="352"/>
      <c r="AB87" s="86"/>
      <c r="AC87" s="72"/>
      <c r="AD87" s="331"/>
      <c r="AE87" s="239" t="s">
        <v>278</v>
      </c>
      <c r="AF87" s="243" t="s">
        <v>77</v>
      </c>
      <c r="AG87" s="334"/>
    </row>
    <row r="88" spans="2:33" s="306" customFormat="1" ht="12.75" customHeight="1" x14ac:dyDescent="0.2">
      <c r="B88" s="338" t="str" cm="1">
        <f t="array" ref="B88">IF(C88="","Skip",IF(AND(Validator!G82=TRUE,Validator!G332=TRUE,Validator!G582=TRUE,Validator!G832=TRUE,Validator!G1082=TRUE,Validator!G1332=TRUE,OR(ISBLANK($R88),ISNUMBER(VALUE(SUBSTITUTE(SUBSTITUTE(SUBSTITUTE(SUBSTITUTE($R88," ",""),"c",""),"C",""),"-","")))),OR(SUMPRODUCT(--($U88=Package_type_code))&gt;0,$U88="",$U88="-")),"Valid","Invalid"))</f>
        <v>Skip</v>
      </c>
      <c r="C88" s="70"/>
      <c r="D88" s="395"/>
      <c r="E88" s="396"/>
      <c r="F88" s="178" t="str">
        <f t="shared" si="2"/>
        <v>-</v>
      </c>
      <c r="G88" s="398"/>
      <c r="H88" s="178" t="str">
        <f t="shared" si="3"/>
        <v>-</v>
      </c>
      <c r="I88" s="333"/>
      <c r="J88" s="400"/>
      <c r="K88" s="401"/>
      <c r="L88" s="402"/>
      <c r="M88" s="322"/>
      <c r="N88" s="584"/>
      <c r="O88" s="403" t="s">
        <v>278</v>
      </c>
      <c r="P88" s="404" t="s">
        <v>77</v>
      </c>
      <c r="Q88" s="329"/>
      <c r="R88" s="320"/>
      <c r="S88" s="320"/>
      <c r="T88" s="329"/>
      <c r="U88" s="336" t="str">
        <f>IF(ISERROR(VLOOKUP($T88, 'Reference data'!$J$2:$K$139, 2, FALSE)),"-",VLOOKUP($T88, 'Reference data'!$J$2:$K$139, 2, FALSE))</f>
        <v>-</v>
      </c>
      <c r="V88" s="320"/>
      <c r="W88" s="320"/>
      <c r="X88" s="324"/>
      <c r="Y88" s="325"/>
      <c r="Z88" s="70"/>
      <c r="AA88" s="352"/>
      <c r="AB88" s="86"/>
      <c r="AC88" s="72"/>
      <c r="AD88" s="331"/>
      <c r="AE88" s="239" t="s">
        <v>278</v>
      </c>
      <c r="AF88" s="243" t="s">
        <v>77</v>
      </c>
      <c r="AG88" s="334"/>
    </row>
    <row r="89" spans="2:33" s="306" customFormat="1" ht="12.75" customHeight="1" x14ac:dyDescent="0.2">
      <c r="B89" s="338" t="str" cm="1">
        <f t="array" ref="B89">IF(C89="","Skip",IF(AND(Validator!G83=TRUE,Validator!G333=TRUE,Validator!G583=TRUE,Validator!G833=TRUE,Validator!G1083=TRUE,Validator!G1333=TRUE,OR(ISBLANK($R89),ISNUMBER(VALUE(SUBSTITUTE(SUBSTITUTE(SUBSTITUTE(SUBSTITUTE($R89," ",""),"c",""),"C",""),"-","")))),OR(SUMPRODUCT(--($U89=Package_type_code))&gt;0,$U89="",$U89="-")),"Valid","Invalid"))</f>
        <v>Skip</v>
      </c>
      <c r="C89" s="70"/>
      <c r="D89" s="395"/>
      <c r="E89" s="396"/>
      <c r="F89" s="178" t="str">
        <f t="shared" si="2"/>
        <v>-</v>
      </c>
      <c r="G89" s="398"/>
      <c r="H89" s="178" t="str">
        <f t="shared" si="3"/>
        <v>-</v>
      </c>
      <c r="I89" s="333"/>
      <c r="J89" s="400"/>
      <c r="K89" s="401"/>
      <c r="L89" s="402"/>
      <c r="M89" s="322"/>
      <c r="N89" s="584"/>
      <c r="O89" s="403" t="s">
        <v>278</v>
      </c>
      <c r="P89" s="404" t="s">
        <v>77</v>
      </c>
      <c r="Q89" s="329"/>
      <c r="R89" s="320"/>
      <c r="S89" s="320"/>
      <c r="T89" s="329"/>
      <c r="U89" s="336" t="str">
        <f>IF(ISERROR(VLOOKUP($T89, 'Reference data'!$J$2:$K$139, 2, FALSE)),"-",VLOOKUP($T89, 'Reference data'!$J$2:$K$139, 2, FALSE))</f>
        <v>-</v>
      </c>
      <c r="V89" s="320"/>
      <c r="W89" s="320"/>
      <c r="X89" s="324"/>
      <c r="Y89" s="325"/>
      <c r="Z89" s="70"/>
      <c r="AA89" s="352"/>
      <c r="AB89" s="86"/>
      <c r="AC89" s="72"/>
      <c r="AD89" s="331"/>
      <c r="AE89" s="239" t="s">
        <v>278</v>
      </c>
      <c r="AF89" s="243" t="s">
        <v>77</v>
      </c>
      <c r="AG89" s="334"/>
    </row>
    <row r="90" spans="2:33" s="306" customFormat="1" ht="12.75" customHeight="1" x14ac:dyDescent="0.2">
      <c r="B90" s="338" t="str" cm="1">
        <f t="array" ref="B90">IF(C90="","Skip",IF(AND(Validator!G84=TRUE,Validator!G334=TRUE,Validator!G584=TRUE,Validator!G834=TRUE,Validator!G1084=TRUE,Validator!G1334=TRUE,OR(ISBLANK($R90),ISNUMBER(VALUE(SUBSTITUTE(SUBSTITUTE(SUBSTITUTE(SUBSTITUTE($R90," ",""),"c",""),"C",""),"-","")))),OR(SUMPRODUCT(--($U90=Package_type_code))&gt;0,$U90="",$U90="-")),"Valid","Invalid"))</f>
        <v>Skip</v>
      </c>
      <c r="C90" s="70"/>
      <c r="D90" s="395"/>
      <c r="E90" s="396"/>
      <c r="F90" s="178" t="str">
        <f t="shared" si="2"/>
        <v>-</v>
      </c>
      <c r="G90" s="398"/>
      <c r="H90" s="178" t="str">
        <f t="shared" si="3"/>
        <v>-</v>
      </c>
      <c r="I90" s="333"/>
      <c r="J90" s="400"/>
      <c r="K90" s="401"/>
      <c r="L90" s="402"/>
      <c r="M90" s="322"/>
      <c r="N90" s="584"/>
      <c r="O90" s="403" t="s">
        <v>278</v>
      </c>
      <c r="P90" s="404" t="s">
        <v>77</v>
      </c>
      <c r="Q90" s="329"/>
      <c r="R90" s="320"/>
      <c r="S90" s="320"/>
      <c r="T90" s="329"/>
      <c r="U90" s="336" t="str">
        <f>IF(ISERROR(VLOOKUP($T90, 'Reference data'!$J$2:$K$139, 2, FALSE)),"-",VLOOKUP($T90, 'Reference data'!$J$2:$K$139, 2, FALSE))</f>
        <v>-</v>
      </c>
      <c r="V90" s="320"/>
      <c r="W90" s="320"/>
      <c r="X90" s="324"/>
      <c r="Y90" s="325"/>
      <c r="Z90" s="70"/>
      <c r="AA90" s="352"/>
      <c r="AB90" s="86"/>
      <c r="AC90" s="72"/>
      <c r="AD90" s="331"/>
      <c r="AE90" s="239" t="s">
        <v>278</v>
      </c>
      <c r="AF90" s="243" t="s">
        <v>77</v>
      </c>
      <c r="AG90" s="334"/>
    </row>
    <row r="91" spans="2:33" s="306" customFormat="1" ht="12.75" customHeight="1" x14ac:dyDescent="0.2">
      <c r="B91" s="338" t="str" cm="1">
        <f t="array" ref="B91">IF(C91="","Skip",IF(AND(Validator!G85=TRUE,Validator!G335=TRUE,Validator!G585=TRUE,Validator!G835=TRUE,Validator!G1085=TRUE,Validator!G1335=TRUE,OR(ISBLANK($R91),ISNUMBER(VALUE(SUBSTITUTE(SUBSTITUTE(SUBSTITUTE(SUBSTITUTE($R91," ",""),"c",""),"C",""),"-","")))),OR(SUMPRODUCT(--($U91=Package_type_code))&gt;0,$U91="",$U91="-")),"Valid","Invalid"))</f>
        <v>Skip</v>
      </c>
      <c r="C91" s="70"/>
      <c r="D91" s="395"/>
      <c r="E91" s="396"/>
      <c r="F91" s="178" t="str">
        <f t="shared" si="2"/>
        <v>-</v>
      </c>
      <c r="G91" s="398"/>
      <c r="H91" s="178" t="str">
        <f t="shared" si="3"/>
        <v>-</v>
      </c>
      <c r="I91" s="333"/>
      <c r="J91" s="400"/>
      <c r="K91" s="401"/>
      <c r="L91" s="402"/>
      <c r="M91" s="322"/>
      <c r="N91" s="584"/>
      <c r="O91" s="403" t="s">
        <v>278</v>
      </c>
      <c r="P91" s="404" t="s">
        <v>77</v>
      </c>
      <c r="Q91" s="329"/>
      <c r="R91" s="320"/>
      <c r="S91" s="320"/>
      <c r="T91" s="329"/>
      <c r="U91" s="336" t="str">
        <f>IF(ISERROR(VLOOKUP($T91, 'Reference data'!$J$2:$K$139, 2, FALSE)),"-",VLOOKUP($T91, 'Reference data'!$J$2:$K$139, 2, FALSE))</f>
        <v>-</v>
      </c>
      <c r="V91" s="320"/>
      <c r="W91" s="320"/>
      <c r="X91" s="324"/>
      <c r="Y91" s="325"/>
      <c r="Z91" s="70"/>
      <c r="AA91" s="352"/>
      <c r="AB91" s="86"/>
      <c r="AC91" s="72"/>
      <c r="AD91" s="331"/>
      <c r="AE91" s="239" t="s">
        <v>278</v>
      </c>
      <c r="AF91" s="243" t="s">
        <v>77</v>
      </c>
      <c r="AG91" s="334"/>
    </row>
    <row r="92" spans="2:33" s="306" customFormat="1" ht="12.75" customHeight="1" x14ac:dyDescent="0.2">
      <c r="B92" s="338" t="str" cm="1">
        <f t="array" ref="B92">IF(C92="","Skip",IF(AND(Validator!G86=TRUE,Validator!G336=TRUE,Validator!G586=TRUE,Validator!G836=TRUE,Validator!G1086=TRUE,Validator!G1336=TRUE,OR(ISBLANK($R92),ISNUMBER(VALUE(SUBSTITUTE(SUBSTITUTE(SUBSTITUTE(SUBSTITUTE($R92," ",""),"c",""),"C",""),"-","")))),OR(SUMPRODUCT(--($U92=Package_type_code))&gt;0,$U92="",$U92="-")),"Valid","Invalid"))</f>
        <v>Skip</v>
      </c>
      <c r="C92" s="70"/>
      <c r="D92" s="395"/>
      <c r="E92" s="396"/>
      <c r="F92" s="178" t="str">
        <f t="shared" si="2"/>
        <v>-</v>
      </c>
      <c r="G92" s="398"/>
      <c r="H92" s="178" t="str">
        <f t="shared" si="3"/>
        <v>-</v>
      </c>
      <c r="I92" s="333"/>
      <c r="J92" s="400"/>
      <c r="K92" s="401"/>
      <c r="L92" s="402"/>
      <c r="M92" s="322"/>
      <c r="N92" s="584"/>
      <c r="O92" s="403" t="s">
        <v>278</v>
      </c>
      <c r="P92" s="404" t="s">
        <v>77</v>
      </c>
      <c r="Q92" s="329"/>
      <c r="R92" s="320"/>
      <c r="S92" s="320"/>
      <c r="T92" s="329"/>
      <c r="U92" s="336" t="str">
        <f>IF(ISERROR(VLOOKUP($T92, 'Reference data'!$J$2:$K$139, 2, FALSE)),"-",VLOOKUP($T92, 'Reference data'!$J$2:$K$139, 2, FALSE))</f>
        <v>-</v>
      </c>
      <c r="V92" s="320"/>
      <c r="W92" s="320"/>
      <c r="X92" s="324"/>
      <c r="Y92" s="325"/>
      <c r="Z92" s="70"/>
      <c r="AA92" s="352"/>
      <c r="AB92" s="86"/>
      <c r="AC92" s="72"/>
      <c r="AD92" s="331"/>
      <c r="AE92" s="239" t="s">
        <v>278</v>
      </c>
      <c r="AF92" s="243" t="s">
        <v>77</v>
      </c>
      <c r="AG92" s="334"/>
    </row>
    <row r="93" spans="2:33" s="306" customFormat="1" ht="12.75" customHeight="1" x14ac:dyDescent="0.2">
      <c r="B93" s="338" t="str" cm="1">
        <f t="array" ref="B93">IF(C93="","Skip",IF(AND(Validator!G87=TRUE,Validator!G337=TRUE,Validator!G587=TRUE,Validator!G837=TRUE,Validator!G1087=TRUE,Validator!G1337=TRUE,OR(ISBLANK($R93),ISNUMBER(VALUE(SUBSTITUTE(SUBSTITUTE(SUBSTITUTE(SUBSTITUTE($R93," ",""),"c",""),"C",""),"-","")))),OR(SUMPRODUCT(--($U93=Package_type_code))&gt;0,$U93="",$U93="-")),"Valid","Invalid"))</f>
        <v>Skip</v>
      </c>
      <c r="C93" s="70"/>
      <c r="D93" s="395"/>
      <c r="E93" s="396"/>
      <c r="F93" s="178" t="str">
        <f t="shared" si="2"/>
        <v>-</v>
      </c>
      <c r="G93" s="398"/>
      <c r="H93" s="178" t="str">
        <f t="shared" si="3"/>
        <v>-</v>
      </c>
      <c r="I93" s="333"/>
      <c r="J93" s="400"/>
      <c r="K93" s="401"/>
      <c r="L93" s="402"/>
      <c r="M93" s="322"/>
      <c r="N93" s="584"/>
      <c r="O93" s="403" t="s">
        <v>278</v>
      </c>
      <c r="P93" s="404" t="s">
        <v>77</v>
      </c>
      <c r="Q93" s="329"/>
      <c r="R93" s="320"/>
      <c r="S93" s="320"/>
      <c r="T93" s="329"/>
      <c r="U93" s="336" t="str">
        <f>IF(ISERROR(VLOOKUP($T93, 'Reference data'!$J$2:$K$139, 2, FALSE)),"-",VLOOKUP($T93, 'Reference data'!$J$2:$K$139, 2, FALSE))</f>
        <v>-</v>
      </c>
      <c r="V93" s="320"/>
      <c r="W93" s="320"/>
      <c r="X93" s="324"/>
      <c r="Y93" s="325"/>
      <c r="Z93" s="70"/>
      <c r="AA93" s="352"/>
      <c r="AB93" s="86"/>
      <c r="AC93" s="72"/>
      <c r="AD93" s="331"/>
      <c r="AE93" s="239" t="s">
        <v>278</v>
      </c>
      <c r="AF93" s="243" t="s">
        <v>77</v>
      </c>
      <c r="AG93" s="334"/>
    </row>
    <row r="94" spans="2:33" s="306" customFormat="1" ht="12.75" customHeight="1" x14ac:dyDescent="0.2">
      <c r="B94" s="338" t="str" cm="1">
        <f t="array" ref="B94">IF(C94="","Skip",IF(AND(Validator!G88=TRUE,Validator!G338=TRUE,Validator!G588=TRUE,Validator!G838=TRUE,Validator!G1088=TRUE,Validator!G1338=TRUE,OR(ISBLANK($R94),ISNUMBER(VALUE(SUBSTITUTE(SUBSTITUTE(SUBSTITUTE(SUBSTITUTE($R94," ",""),"c",""),"C",""),"-","")))),OR(SUMPRODUCT(--($U94=Package_type_code))&gt;0,$U94="",$U94="-")),"Valid","Invalid"))</f>
        <v>Skip</v>
      </c>
      <c r="C94" s="70"/>
      <c r="D94" s="395"/>
      <c r="E94" s="396"/>
      <c r="F94" s="178" t="str">
        <f t="shared" si="2"/>
        <v>-</v>
      </c>
      <c r="G94" s="398"/>
      <c r="H94" s="178" t="str">
        <f t="shared" si="3"/>
        <v>-</v>
      </c>
      <c r="I94" s="333"/>
      <c r="J94" s="400"/>
      <c r="K94" s="401"/>
      <c r="L94" s="402"/>
      <c r="M94" s="322"/>
      <c r="N94" s="584"/>
      <c r="O94" s="403" t="s">
        <v>278</v>
      </c>
      <c r="P94" s="404" t="s">
        <v>77</v>
      </c>
      <c r="Q94" s="329"/>
      <c r="R94" s="320"/>
      <c r="S94" s="320"/>
      <c r="T94" s="329"/>
      <c r="U94" s="336" t="str">
        <f>IF(ISERROR(VLOOKUP($T94, 'Reference data'!$J$2:$K$139, 2, FALSE)),"-",VLOOKUP($T94, 'Reference data'!$J$2:$K$139, 2, FALSE))</f>
        <v>-</v>
      </c>
      <c r="V94" s="320"/>
      <c r="W94" s="320"/>
      <c r="X94" s="324"/>
      <c r="Y94" s="325"/>
      <c r="Z94" s="70"/>
      <c r="AA94" s="352"/>
      <c r="AB94" s="86"/>
      <c r="AC94" s="72"/>
      <c r="AD94" s="331"/>
      <c r="AE94" s="239" t="s">
        <v>278</v>
      </c>
      <c r="AF94" s="243" t="s">
        <v>77</v>
      </c>
      <c r="AG94" s="334"/>
    </row>
    <row r="95" spans="2:33" s="306" customFormat="1" ht="12.75" customHeight="1" x14ac:dyDescent="0.2">
      <c r="B95" s="338" t="str" cm="1">
        <f t="array" ref="B95">IF(C95="","Skip",IF(AND(Validator!G89=TRUE,Validator!G339=TRUE,Validator!G589=TRUE,Validator!G839=TRUE,Validator!G1089=TRUE,Validator!G1339=TRUE,OR(ISBLANK($R95),ISNUMBER(VALUE(SUBSTITUTE(SUBSTITUTE(SUBSTITUTE(SUBSTITUTE($R95," ",""),"c",""),"C",""),"-","")))),OR(SUMPRODUCT(--($U95=Package_type_code))&gt;0,$U95="",$U95="-")),"Valid","Invalid"))</f>
        <v>Skip</v>
      </c>
      <c r="C95" s="70"/>
      <c r="D95" s="395"/>
      <c r="E95" s="396"/>
      <c r="F95" s="178" t="str">
        <f t="shared" si="2"/>
        <v>-</v>
      </c>
      <c r="G95" s="398"/>
      <c r="H95" s="178" t="str">
        <f t="shared" si="3"/>
        <v>-</v>
      </c>
      <c r="I95" s="333"/>
      <c r="J95" s="400"/>
      <c r="K95" s="401"/>
      <c r="L95" s="402"/>
      <c r="M95" s="322"/>
      <c r="N95" s="584"/>
      <c r="O95" s="403" t="s">
        <v>278</v>
      </c>
      <c r="P95" s="404" t="s">
        <v>77</v>
      </c>
      <c r="Q95" s="329"/>
      <c r="R95" s="320"/>
      <c r="S95" s="320"/>
      <c r="T95" s="329"/>
      <c r="U95" s="336" t="str">
        <f>IF(ISERROR(VLOOKUP($T95, 'Reference data'!$J$2:$K$139, 2, FALSE)),"-",VLOOKUP($T95, 'Reference data'!$J$2:$K$139, 2, FALSE))</f>
        <v>-</v>
      </c>
      <c r="V95" s="320"/>
      <c r="W95" s="320"/>
      <c r="X95" s="324"/>
      <c r="Y95" s="325"/>
      <c r="Z95" s="70"/>
      <c r="AA95" s="352"/>
      <c r="AB95" s="86"/>
      <c r="AC95" s="72"/>
      <c r="AD95" s="331"/>
      <c r="AE95" s="239" t="s">
        <v>278</v>
      </c>
      <c r="AF95" s="243" t="s">
        <v>77</v>
      </c>
      <c r="AG95" s="334"/>
    </row>
    <row r="96" spans="2:33" s="306" customFormat="1" ht="12.75" customHeight="1" x14ac:dyDescent="0.2">
      <c r="B96" s="338" t="str" cm="1">
        <f t="array" ref="B96">IF(C96="","Skip",IF(AND(Validator!G90=TRUE,Validator!G340=TRUE,Validator!G590=TRUE,Validator!G840=TRUE,Validator!G1090=TRUE,Validator!G1340=TRUE,OR(ISBLANK($R96),ISNUMBER(VALUE(SUBSTITUTE(SUBSTITUTE(SUBSTITUTE(SUBSTITUTE($R96," ",""),"c",""),"C",""),"-","")))),OR(SUMPRODUCT(--($U96=Package_type_code))&gt;0,$U96="",$U96="-")),"Valid","Invalid"))</f>
        <v>Skip</v>
      </c>
      <c r="C96" s="70"/>
      <c r="D96" s="395"/>
      <c r="E96" s="396"/>
      <c r="F96" s="178" t="str">
        <f t="shared" si="2"/>
        <v>-</v>
      </c>
      <c r="G96" s="398"/>
      <c r="H96" s="178" t="str">
        <f t="shared" si="3"/>
        <v>-</v>
      </c>
      <c r="I96" s="333"/>
      <c r="J96" s="400"/>
      <c r="K96" s="401"/>
      <c r="L96" s="402"/>
      <c r="M96" s="322"/>
      <c r="N96" s="584"/>
      <c r="O96" s="403" t="s">
        <v>278</v>
      </c>
      <c r="P96" s="404" t="s">
        <v>77</v>
      </c>
      <c r="Q96" s="329"/>
      <c r="R96" s="320"/>
      <c r="S96" s="320"/>
      <c r="T96" s="329"/>
      <c r="U96" s="336" t="str">
        <f>IF(ISERROR(VLOOKUP($T96, 'Reference data'!$J$2:$K$139, 2, FALSE)),"-",VLOOKUP($T96, 'Reference data'!$J$2:$K$139, 2, FALSE))</f>
        <v>-</v>
      </c>
      <c r="V96" s="320"/>
      <c r="W96" s="320"/>
      <c r="X96" s="324"/>
      <c r="Y96" s="325"/>
      <c r="Z96" s="70"/>
      <c r="AA96" s="352"/>
      <c r="AB96" s="86"/>
      <c r="AC96" s="72"/>
      <c r="AD96" s="331"/>
      <c r="AE96" s="239" t="s">
        <v>278</v>
      </c>
      <c r="AF96" s="243" t="s">
        <v>77</v>
      </c>
      <c r="AG96" s="334"/>
    </row>
    <row r="97" spans="2:33" s="306" customFormat="1" ht="12.75" customHeight="1" x14ac:dyDescent="0.2">
      <c r="B97" s="338" t="str" cm="1">
        <f t="array" ref="B97">IF(C97="","Skip",IF(AND(Validator!G91=TRUE,Validator!G341=TRUE,Validator!G591=TRUE,Validator!G841=TRUE,Validator!G1091=TRUE,Validator!G1341=TRUE,OR(ISBLANK($R97),ISNUMBER(VALUE(SUBSTITUTE(SUBSTITUTE(SUBSTITUTE(SUBSTITUTE($R97," ",""),"c",""),"C",""),"-","")))),OR(SUMPRODUCT(--($U97=Package_type_code))&gt;0,$U97="",$U97="-")),"Valid","Invalid"))</f>
        <v>Skip</v>
      </c>
      <c r="C97" s="70"/>
      <c r="D97" s="395"/>
      <c r="E97" s="396"/>
      <c r="F97" s="178" t="str">
        <f t="shared" si="2"/>
        <v>-</v>
      </c>
      <c r="G97" s="398"/>
      <c r="H97" s="178" t="str">
        <f t="shared" si="3"/>
        <v>-</v>
      </c>
      <c r="I97" s="333"/>
      <c r="J97" s="400"/>
      <c r="K97" s="401"/>
      <c r="L97" s="402"/>
      <c r="M97" s="322"/>
      <c r="N97" s="584"/>
      <c r="O97" s="403" t="s">
        <v>278</v>
      </c>
      <c r="P97" s="404" t="s">
        <v>77</v>
      </c>
      <c r="Q97" s="329"/>
      <c r="R97" s="320"/>
      <c r="S97" s="320"/>
      <c r="T97" s="329"/>
      <c r="U97" s="336" t="str">
        <f>IF(ISERROR(VLOOKUP($T97, 'Reference data'!$J$2:$K$139, 2, FALSE)),"-",VLOOKUP($T97, 'Reference data'!$J$2:$K$139, 2, FALSE))</f>
        <v>-</v>
      </c>
      <c r="V97" s="320"/>
      <c r="W97" s="320"/>
      <c r="X97" s="324"/>
      <c r="Y97" s="325"/>
      <c r="Z97" s="70"/>
      <c r="AA97" s="352"/>
      <c r="AB97" s="86"/>
      <c r="AC97" s="72"/>
      <c r="AD97" s="331"/>
      <c r="AE97" s="239" t="s">
        <v>278</v>
      </c>
      <c r="AF97" s="243" t="s">
        <v>77</v>
      </c>
      <c r="AG97" s="334"/>
    </row>
    <row r="98" spans="2:33" s="306" customFormat="1" ht="12.75" customHeight="1" x14ac:dyDescent="0.2">
      <c r="B98" s="338" t="str" cm="1">
        <f t="array" ref="B98">IF(C98="","Skip",IF(AND(Validator!G92=TRUE,Validator!G342=TRUE,Validator!G592=TRUE,Validator!G842=TRUE,Validator!G1092=TRUE,Validator!G1342=TRUE,OR(ISBLANK($R98),ISNUMBER(VALUE(SUBSTITUTE(SUBSTITUTE(SUBSTITUTE(SUBSTITUTE($R98," ",""),"c",""),"C",""),"-","")))),OR(SUMPRODUCT(--($U98=Package_type_code))&gt;0,$U98="",$U98="-")),"Valid","Invalid"))</f>
        <v>Skip</v>
      </c>
      <c r="C98" s="70"/>
      <c r="D98" s="395"/>
      <c r="E98" s="396"/>
      <c r="F98" s="178" t="str">
        <f t="shared" si="2"/>
        <v>-</v>
      </c>
      <c r="G98" s="398"/>
      <c r="H98" s="178" t="str">
        <f t="shared" si="3"/>
        <v>-</v>
      </c>
      <c r="I98" s="333"/>
      <c r="J98" s="400"/>
      <c r="K98" s="401"/>
      <c r="L98" s="402"/>
      <c r="M98" s="322"/>
      <c r="N98" s="584"/>
      <c r="O98" s="403" t="s">
        <v>278</v>
      </c>
      <c r="P98" s="404" t="s">
        <v>77</v>
      </c>
      <c r="Q98" s="329"/>
      <c r="R98" s="320"/>
      <c r="S98" s="320"/>
      <c r="T98" s="329"/>
      <c r="U98" s="336" t="str">
        <f>IF(ISERROR(VLOOKUP($T98, 'Reference data'!$J$2:$K$139, 2, FALSE)),"-",VLOOKUP($T98, 'Reference data'!$J$2:$K$139, 2, FALSE))</f>
        <v>-</v>
      </c>
      <c r="V98" s="320"/>
      <c r="W98" s="320"/>
      <c r="X98" s="324"/>
      <c r="Y98" s="325"/>
      <c r="Z98" s="70"/>
      <c r="AA98" s="352"/>
      <c r="AB98" s="86"/>
      <c r="AC98" s="72"/>
      <c r="AD98" s="331"/>
      <c r="AE98" s="239" t="s">
        <v>278</v>
      </c>
      <c r="AF98" s="243" t="s">
        <v>77</v>
      </c>
      <c r="AG98" s="334"/>
    </row>
    <row r="99" spans="2:33" s="306" customFormat="1" ht="12.75" customHeight="1" x14ac:dyDescent="0.2">
      <c r="B99" s="338" t="str" cm="1">
        <f t="array" ref="B99">IF(C99="","Skip",IF(AND(Validator!G93=TRUE,Validator!G343=TRUE,Validator!G593=TRUE,Validator!G843=TRUE,Validator!G1093=TRUE,Validator!G1343=TRUE,OR(ISBLANK($R99),ISNUMBER(VALUE(SUBSTITUTE(SUBSTITUTE(SUBSTITUTE(SUBSTITUTE($R99," ",""),"c",""),"C",""),"-","")))),OR(SUMPRODUCT(--($U99=Package_type_code))&gt;0,$U99="",$U99="-")),"Valid","Invalid"))</f>
        <v>Skip</v>
      </c>
      <c r="C99" s="70"/>
      <c r="D99" s="395"/>
      <c r="E99" s="396"/>
      <c r="F99" s="178" t="str">
        <f t="shared" si="2"/>
        <v>-</v>
      </c>
      <c r="G99" s="398"/>
      <c r="H99" s="178" t="str">
        <f t="shared" si="3"/>
        <v>-</v>
      </c>
      <c r="I99" s="333"/>
      <c r="J99" s="400"/>
      <c r="K99" s="401"/>
      <c r="L99" s="402"/>
      <c r="M99" s="322"/>
      <c r="N99" s="584"/>
      <c r="O99" s="403" t="s">
        <v>278</v>
      </c>
      <c r="P99" s="404" t="s">
        <v>77</v>
      </c>
      <c r="Q99" s="329"/>
      <c r="R99" s="320"/>
      <c r="S99" s="320"/>
      <c r="T99" s="329"/>
      <c r="U99" s="336" t="str">
        <f>IF(ISERROR(VLOOKUP($T99, 'Reference data'!$J$2:$K$139, 2, FALSE)),"-",VLOOKUP($T99, 'Reference data'!$J$2:$K$139, 2, FALSE))</f>
        <v>-</v>
      </c>
      <c r="V99" s="320"/>
      <c r="W99" s="320"/>
      <c r="X99" s="324"/>
      <c r="Y99" s="325"/>
      <c r="Z99" s="70"/>
      <c r="AA99" s="352"/>
      <c r="AB99" s="86"/>
      <c r="AC99" s="72"/>
      <c r="AD99" s="331"/>
      <c r="AE99" s="239" t="s">
        <v>278</v>
      </c>
      <c r="AF99" s="243" t="s">
        <v>77</v>
      </c>
      <c r="AG99" s="334"/>
    </row>
    <row r="100" spans="2:33" s="306" customFormat="1" ht="12.75" customHeight="1" x14ac:dyDescent="0.2">
      <c r="B100" s="338" t="str" cm="1">
        <f t="array" ref="B100">IF(C100="","Skip",IF(AND(Validator!G94=TRUE,Validator!G344=TRUE,Validator!G594=TRUE,Validator!G844=TRUE,Validator!G1094=TRUE,Validator!G1344=TRUE,OR(ISBLANK($R100),ISNUMBER(VALUE(SUBSTITUTE(SUBSTITUTE(SUBSTITUTE(SUBSTITUTE($R100," ",""),"c",""),"C",""),"-","")))),OR(SUMPRODUCT(--($U100=Package_type_code))&gt;0,$U100="",$U100="-")),"Valid","Invalid"))</f>
        <v>Skip</v>
      </c>
      <c r="C100" s="70"/>
      <c r="D100" s="395"/>
      <c r="E100" s="396"/>
      <c r="F100" s="178" t="str">
        <f t="shared" si="2"/>
        <v>-</v>
      </c>
      <c r="G100" s="398"/>
      <c r="H100" s="178" t="str">
        <f t="shared" si="3"/>
        <v>-</v>
      </c>
      <c r="I100" s="333"/>
      <c r="J100" s="400"/>
      <c r="K100" s="401"/>
      <c r="L100" s="402"/>
      <c r="M100" s="322"/>
      <c r="N100" s="584"/>
      <c r="O100" s="403" t="s">
        <v>278</v>
      </c>
      <c r="P100" s="404" t="s">
        <v>77</v>
      </c>
      <c r="Q100" s="329"/>
      <c r="R100" s="320"/>
      <c r="S100" s="320"/>
      <c r="T100" s="329"/>
      <c r="U100" s="336" t="str">
        <f>IF(ISERROR(VLOOKUP($T100, 'Reference data'!$J$2:$K$139, 2, FALSE)),"-",VLOOKUP($T100, 'Reference data'!$J$2:$K$139, 2, FALSE))</f>
        <v>-</v>
      </c>
      <c r="V100" s="320"/>
      <c r="W100" s="320"/>
      <c r="X100" s="324"/>
      <c r="Y100" s="325"/>
      <c r="Z100" s="70"/>
      <c r="AA100" s="352"/>
      <c r="AB100" s="86"/>
      <c r="AC100" s="72"/>
      <c r="AD100" s="331"/>
      <c r="AE100" s="239" t="s">
        <v>278</v>
      </c>
      <c r="AF100" s="243" t="s">
        <v>77</v>
      </c>
      <c r="AG100" s="334"/>
    </row>
    <row r="101" spans="2:33" s="306" customFormat="1" ht="12.75" customHeight="1" x14ac:dyDescent="0.2">
      <c r="B101" s="338" t="str" cm="1">
        <f t="array" ref="B101">IF(C101="","Skip",IF(AND(Validator!G95=TRUE,Validator!G345=TRUE,Validator!G595=TRUE,Validator!G845=TRUE,Validator!G1095=TRUE,Validator!G1345=TRUE,OR(ISBLANK($R101),ISNUMBER(VALUE(SUBSTITUTE(SUBSTITUTE(SUBSTITUTE(SUBSTITUTE($R101," ",""),"c",""),"C",""),"-","")))),OR(SUMPRODUCT(--($U101=Package_type_code))&gt;0,$U101="",$U101="-")),"Valid","Invalid"))</f>
        <v>Skip</v>
      </c>
      <c r="C101" s="70"/>
      <c r="D101" s="395"/>
      <c r="E101" s="396"/>
      <c r="F101" s="178" t="str">
        <f t="shared" si="2"/>
        <v>-</v>
      </c>
      <c r="G101" s="398"/>
      <c r="H101" s="178" t="str">
        <f t="shared" si="3"/>
        <v>-</v>
      </c>
      <c r="I101" s="333"/>
      <c r="J101" s="400"/>
      <c r="K101" s="401"/>
      <c r="L101" s="402"/>
      <c r="M101" s="322"/>
      <c r="N101" s="584"/>
      <c r="O101" s="403" t="s">
        <v>278</v>
      </c>
      <c r="P101" s="404" t="s">
        <v>77</v>
      </c>
      <c r="Q101" s="329"/>
      <c r="R101" s="320"/>
      <c r="S101" s="320"/>
      <c r="T101" s="329"/>
      <c r="U101" s="336" t="str">
        <f>IF(ISERROR(VLOOKUP($T101, 'Reference data'!$J$2:$K$139, 2, FALSE)),"-",VLOOKUP($T101, 'Reference data'!$J$2:$K$139, 2, FALSE))</f>
        <v>-</v>
      </c>
      <c r="V101" s="320"/>
      <c r="W101" s="320"/>
      <c r="X101" s="324"/>
      <c r="Y101" s="325"/>
      <c r="Z101" s="70"/>
      <c r="AA101" s="352"/>
      <c r="AB101" s="86"/>
      <c r="AC101" s="72"/>
      <c r="AD101" s="331"/>
      <c r="AE101" s="239" t="s">
        <v>278</v>
      </c>
      <c r="AF101" s="243" t="s">
        <v>77</v>
      </c>
      <c r="AG101" s="334"/>
    </row>
    <row r="102" spans="2:33" s="306" customFormat="1" ht="12.75" customHeight="1" x14ac:dyDescent="0.2">
      <c r="B102" s="338" t="str" cm="1">
        <f t="array" ref="B102">IF(C102="","Skip",IF(AND(Validator!G96=TRUE,Validator!G346=TRUE,Validator!G596=TRUE,Validator!G846=TRUE,Validator!G1096=TRUE,Validator!G1346=TRUE,OR(ISBLANK($R102),ISNUMBER(VALUE(SUBSTITUTE(SUBSTITUTE(SUBSTITUTE(SUBSTITUTE($R102," ",""),"c",""),"C",""),"-","")))),OR(SUMPRODUCT(--($U102=Package_type_code))&gt;0,$U102="",$U102="-")),"Valid","Invalid"))</f>
        <v>Skip</v>
      </c>
      <c r="C102" s="70"/>
      <c r="D102" s="395"/>
      <c r="E102" s="396"/>
      <c r="F102" s="178" t="str">
        <f t="shared" si="2"/>
        <v>-</v>
      </c>
      <c r="G102" s="398"/>
      <c r="H102" s="178" t="str">
        <f t="shared" si="3"/>
        <v>-</v>
      </c>
      <c r="I102" s="333"/>
      <c r="J102" s="400"/>
      <c r="K102" s="401"/>
      <c r="L102" s="402"/>
      <c r="M102" s="322"/>
      <c r="N102" s="584"/>
      <c r="O102" s="403" t="s">
        <v>278</v>
      </c>
      <c r="P102" s="404" t="s">
        <v>77</v>
      </c>
      <c r="Q102" s="329"/>
      <c r="R102" s="320"/>
      <c r="S102" s="320"/>
      <c r="T102" s="329"/>
      <c r="U102" s="336" t="str">
        <f>IF(ISERROR(VLOOKUP($T102, 'Reference data'!$J$2:$K$139, 2, FALSE)),"-",VLOOKUP($T102, 'Reference data'!$J$2:$K$139, 2, FALSE))</f>
        <v>-</v>
      </c>
      <c r="V102" s="320"/>
      <c r="W102" s="320"/>
      <c r="X102" s="324"/>
      <c r="Y102" s="325"/>
      <c r="Z102" s="70"/>
      <c r="AA102" s="352"/>
      <c r="AB102" s="86"/>
      <c r="AC102" s="72"/>
      <c r="AD102" s="331"/>
      <c r="AE102" s="239" t="s">
        <v>278</v>
      </c>
      <c r="AF102" s="243" t="s">
        <v>77</v>
      </c>
      <c r="AG102" s="334"/>
    </row>
    <row r="103" spans="2:33" s="306" customFormat="1" ht="12.75" customHeight="1" x14ac:dyDescent="0.2">
      <c r="B103" s="338" t="str" cm="1">
        <f t="array" ref="B103">IF(C103="","Skip",IF(AND(Validator!G97=TRUE,Validator!G347=TRUE,Validator!G597=TRUE,Validator!G847=TRUE,Validator!G1097=TRUE,Validator!G1347=TRUE,OR(ISBLANK($R103),ISNUMBER(VALUE(SUBSTITUTE(SUBSTITUTE(SUBSTITUTE(SUBSTITUTE($R103," ",""),"c",""),"C",""),"-","")))),OR(SUMPRODUCT(--($U103=Package_type_code))&gt;0,$U103="",$U103="-")),"Valid","Invalid"))</f>
        <v>Skip</v>
      </c>
      <c r="C103" s="70"/>
      <c r="D103" s="395"/>
      <c r="E103" s="396"/>
      <c r="F103" s="178" t="str">
        <f t="shared" si="2"/>
        <v>-</v>
      </c>
      <c r="G103" s="398"/>
      <c r="H103" s="178" t="str">
        <f t="shared" si="3"/>
        <v>-</v>
      </c>
      <c r="I103" s="333"/>
      <c r="J103" s="400"/>
      <c r="K103" s="401"/>
      <c r="L103" s="402"/>
      <c r="M103" s="322"/>
      <c r="N103" s="584"/>
      <c r="O103" s="403" t="s">
        <v>278</v>
      </c>
      <c r="P103" s="404" t="s">
        <v>77</v>
      </c>
      <c r="Q103" s="329"/>
      <c r="R103" s="320"/>
      <c r="S103" s="320"/>
      <c r="T103" s="329"/>
      <c r="U103" s="336" t="str">
        <f>IF(ISERROR(VLOOKUP($T103, 'Reference data'!$J$2:$K$139, 2, FALSE)),"-",VLOOKUP($T103, 'Reference data'!$J$2:$K$139, 2, FALSE))</f>
        <v>-</v>
      </c>
      <c r="V103" s="320"/>
      <c r="W103" s="320"/>
      <c r="X103" s="324"/>
      <c r="Y103" s="325"/>
      <c r="Z103" s="70"/>
      <c r="AA103" s="352"/>
      <c r="AB103" s="86"/>
      <c r="AC103" s="72"/>
      <c r="AD103" s="331"/>
      <c r="AE103" s="239" t="s">
        <v>278</v>
      </c>
      <c r="AF103" s="243" t="s">
        <v>77</v>
      </c>
      <c r="AG103" s="334"/>
    </row>
    <row r="104" spans="2:33" s="306" customFormat="1" ht="12.75" customHeight="1" x14ac:dyDescent="0.2">
      <c r="B104" s="338" t="str" cm="1">
        <f t="array" ref="B104">IF(C104="","Skip",IF(AND(Validator!G98=TRUE,Validator!G348=TRUE,Validator!G598=TRUE,Validator!G848=TRUE,Validator!G1098=TRUE,Validator!G1348=TRUE,OR(ISBLANK($R104),ISNUMBER(VALUE(SUBSTITUTE(SUBSTITUTE(SUBSTITUTE(SUBSTITUTE($R104," ",""),"c",""),"C",""),"-","")))),OR(SUMPRODUCT(--($U104=Package_type_code))&gt;0,$U104="",$U104="-")),"Valid","Invalid"))</f>
        <v>Skip</v>
      </c>
      <c r="C104" s="70"/>
      <c r="D104" s="395"/>
      <c r="E104" s="396"/>
      <c r="F104" s="178" t="str">
        <f t="shared" si="2"/>
        <v>-</v>
      </c>
      <c r="G104" s="398"/>
      <c r="H104" s="178" t="str">
        <f t="shared" si="3"/>
        <v>-</v>
      </c>
      <c r="I104" s="333"/>
      <c r="J104" s="400"/>
      <c r="K104" s="401"/>
      <c r="L104" s="402"/>
      <c r="M104" s="322"/>
      <c r="N104" s="584"/>
      <c r="O104" s="403" t="s">
        <v>278</v>
      </c>
      <c r="P104" s="404" t="s">
        <v>77</v>
      </c>
      <c r="Q104" s="329"/>
      <c r="R104" s="320"/>
      <c r="S104" s="320"/>
      <c r="T104" s="329"/>
      <c r="U104" s="336" t="str">
        <f>IF(ISERROR(VLOOKUP($T104, 'Reference data'!$J$2:$K$139, 2, FALSE)),"-",VLOOKUP($T104, 'Reference data'!$J$2:$K$139, 2, FALSE))</f>
        <v>-</v>
      </c>
      <c r="V104" s="320"/>
      <c r="W104" s="320"/>
      <c r="X104" s="324"/>
      <c r="Y104" s="325"/>
      <c r="Z104" s="70"/>
      <c r="AA104" s="352"/>
      <c r="AB104" s="86"/>
      <c r="AC104" s="72"/>
      <c r="AD104" s="331"/>
      <c r="AE104" s="239" t="s">
        <v>278</v>
      </c>
      <c r="AF104" s="243" t="s">
        <v>77</v>
      </c>
      <c r="AG104" s="334"/>
    </row>
    <row r="105" spans="2:33" s="306" customFormat="1" ht="12.75" customHeight="1" x14ac:dyDescent="0.2">
      <c r="B105" s="338" t="str" cm="1">
        <f t="array" ref="B105">IF(C105="","Skip",IF(AND(Validator!G99=TRUE,Validator!G349=TRUE,Validator!G599=TRUE,Validator!G849=TRUE,Validator!G1099=TRUE,Validator!G1349=TRUE,OR(ISBLANK($R105),ISNUMBER(VALUE(SUBSTITUTE(SUBSTITUTE(SUBSTITUTE(SUBSTITUTE($R105," ",""),"c",""),"C",""),"-","")))),OR(SUMPRODUCT(--($U105=Package_type_code))&gt;0,$U105="",$U105="-")),"Valid","Invalid"))</f>
        <v>Skip</v>
      </c>
      <c r="C105" s="70"/>
      <c r="D105" s="395"/>
      <c r="E105" s="396"/>
      <c r="F105" s="178" t="str">
        <f t="shared" si="2"/>
        <v>-</v>
      </c>
      <c r="G105" s="398"/>
      <c r="H105" s="178" t="str">
        <f t="shared" si="3"/>
        <v>-</v>
      </c>
      <c r="I105" s="333"/>
      <c r="J105" s="400"/>
      <c r="K105" s="401"/>
      <c r="L105" s="402"/>
      <c r="M105" s="322"/>
      <c r="N105" s="584"/>
      <c r="O105" s="403" t="s">
        <v>278</v>
      </c>
      <c r="P105" s="404" t="s">
        <v>77</v>
      </c>
      <c r="Q105" s="329"/>
      <c r="R105" s="320"/>
      <c r="S105" s="320"/>
      <c r="T105" s="329"/>
      <c r="U105" s="336" t="str">
        <f>IF(ISERROR(VLOOKUP($T105, 'Reference data'!$J$2:$K$139, 2, FALSE)),"-",VLOOKUP($T105, 'Reference data'!$J$2:$K$139, 2, FALSE))</f>
        <v>-</v>
      </c>
      <c r="V105" s="320"/>
      <c r="W105" s="320"/>
      <c r="X105" s="324"/>
      <c r="Y105" s="325"/>
      <c r="Z105" s="70"/>
      <c r="AA105" s="352"/>
      <c r="AB105" s="86"/>
      <c r="AC105" s="72"/>
      <c r="AD105" s="331"/>
      <c r="AE105" s="239" t="s">
        <v>278</v>
      </c>
      <c r="AF105" s="243" t="s">
        <v>77</v>
      </c>
      <c r="AG105" s="334"/>
    </row>
    <row r="106" spans="2:33" s="306" customFormat="1" ht="12.75" customHeight="1" x14ac:dyDescent="0.2">
      <c r="B106" s="338" t="str" cm="1">
        <f t="array" ref="B106">IF(C106="","Skip",IF(AND(Validator!G100=TRUE,Validator!G350=TRUE,Validator!G600=TRUE,Validator!G850=TRUE,Validator!G1100=TRUE,Validator!G1350=TRUE,OR(ISBLANK($R106),ISNUMBER(VALUE(SUBSTITUTE(SUBSTITUTE(SUBSTITUTE(SUBSTITUTE($R106," ",""),"c",""),"C",""),"-","")))),OR(SUMPRODUCT(--($U106=Package_type_code))&gt;0,$U106="",$U106="-")),"Valid","Invalid"))</f>
        <v>Skip</v>
      </c>
      <c r="C106" s="70"/>
      <c r="D106" s="395"/>
      <c r="E106" s="396"/>
      <c r="F106" s="178" t="str">
        <f t="shared" si="2"/>
        <v>-</v>
      </c>
      <c r="G106" s="398"/>
      <c r="H106" s="178" t="str">
        <f t="shared" si="3"/>
        <v>-</v>
      </c>
      <c r="I106" s="333"/>
      <c r="J106" s="400"/>
      <c r="K106" s="401"/>
      <c r="L106" s="402"/>
      <c r="M106" s="322"/>
      <c r="N106" s="584"/>
      <c r="O106" s="403" t="s">
        <v>278</v>
      </c>
      <c r="P106" s="404" t="s">
        <v>77</v>
      </c>
      <c r="Q106" s="329"/>
      <c r="R106" s="320"/>
      <c r="S106" s="320"/>
      <c r="T106" s="329"/>
      <c r="U106" s="336" t="str">
        <f>IF(ISERROR(VLOOKUP($T106, 'Reference data'!$J$2:$K$139, 2, FALSE)),"-",VLOOKUP($T106, 'Reference data'!$J$2:$K$139, 2, FALSE))</f>
        <v>-</v>
      </c>
      <c r="V106" s="320"/>
      <c r="W106" s="320"/>
      <c r="X106" s="324"/>
      <c r="Y106" s="325"/>
      <c r="Z106" s="70"/>
      <c r="AA106" s="352"/>
      <c r="AB106" s="86"/>
      <c r="AC106" s="72"/>
      <c r="AD106" s="331"/>
      <c r="AE106" s="239" t="s">
        <v>278</v>
      </c>
      <c r="AF106" s="243" t="s">
        <v>77</v>
      </c>
      <c r="AG106" s="334"/>
    </row>
    <row r="107" spans="2:33" s="306" customFormat="1" ht="12.75" customHeight="1" x14ac:dyDescent="0.2">
      <c r="B107" s="338" t="str" cm="1">
        <f t="array" ref="B107">IF(C107="","Skip",IF(AND(Validator!G101=TRUE,Validator!G351=TRUE,Validator!G601=TRUE,Validator!G851=TRUE,Validator!G1101=TRUE,Validator!G1351=TRUE,OR(ISBLANK($R107),ISNUMBER(VALUE(SUBSTITUTE(SUBSTITUTE(SUBSTITUTE(SUBSTITUTE($R107," ",""),"c",""),"C",""),"-","")))),OR(SUMPRODUCT(--($U107=Package_type_code))&gt;0,$U107="",$U107="-")),"Valid","Invalid"))</f>
        <v>Skip</v>
      </c>
      <c r="C107" s="70"/>
      <c r="D107" s="395"/>
      <c r="E107" s="396"/>
      <c r="F107" s="178" t="str">
        <f t="shared" si="2"/>
        <v>-</v>
      </c>
      <c r="G107" s="398"/>
      <c r="H107" s="178" t="str">
        <f t="shared" si="3"/>
        <v>-</v>
      </c>
      <c r="I107" s="333"/>
      <c r="J107" s="400"/>
      <c r="K107" s="401"/>
      <c r="L107" s="402"/>
      <c r="M107" s="322"/>
      <c r="N107" s="584"/>
      <c r="O107" s="403" t="s">
        <v>278</v>
      </c>
      <c r="P107" s="404" t="s">
        <v>77</v>
      </c>
      <c r="Q107" s="329"/>
      <c r="R107" s="320"/>
      <c r="S107" s="320"/>
      <c r="T107" s="329"/>
      <c r="U107" s="336" t="str">
        <f>IF(ISERROR(VLOOKUP($T107, 'Reference data'!$J$2:$K$139, 2, FALSE)),"-",VLOOKUP($T107, 'Reference data'!$J$2:$K$139, 2, FALSE))</f>
        <v>-</v>
      </c>
      <c r="V107" s="320"/>
      <c r="W107" s="320"/>
      <c r="X107" s="324"/>
      <c r="Y107" s="325"/>
      <c r="Z107" s="70"/>
      <c r="AA107" s="352"/>
      <c r="AB107" s="86"/>
      <c r="AC107" s="72"/>
      <c r="AD107" s="331"/>
      <c r="AE107" s="239" t="s">
        <v>278</v>
      </c>
      <c r="AF107" s="243" t="s">
        <v>77</v>
      </c>
      <c r="AG107" s="334"/>
    </row>
    <row r="108" spans="2:33" s="306" customFormat="1" ht="12.75" customHeight="1" x14ac:dyDescent="0.2">
      <c r="B108" s="338" t="str" cm="1">
        <f t="array" ref="B108">IF(C108="","Skip",IF(AND(Validator!G102=TRUE,Validator!G352=TRUE,Validator!G602=TRUE,Validator!G852=TRUE,Validator!G1102=TRUE,Validator!G1352=TRUE,OR(ISBLANK($R108),ISNUMBER(VALUE(SUBSTITUTE(SUBSTITUTE(SUBSTITUTE(SUBSTITUTE($R108," ",""),"c",""),"C",""),"-","")))),OR(SUMPRODUCT(--($U108=Package_type_code))&gt;0,$U108="",$U108="-")),"Valid","Invalid"))</f>
        <v>Skip</v>
      </c>
      <c r="C108" s="70"/>
      <c r="D108" s="395"/>
      <c r="E108" s="396"/>
      <c r="F108" s="178" t="str">
        <f t="shared" si="2"/>
        <v>-</v>
      </c>
      <c r="G108" s="398"/>
      <c r="H108" s="178" t="str">
        <f t="shared" si="3"/>
        <v>-</v>
      </c>
      <c r="I108" s="333"/>
      <c r="J108" s="400"/>
      <c r="K108" s="401"/>
      <c r="L108" s="402"/>
      <c r="M108" s="322"/>
      <c r="N108" s="584"/>
      <c r="O108" s="403" t="s">
        <v>278</v>
      </c>
      <c r="P108" s="404" t="s">
        <v>77</v>
      </c>
      <c r="Q108" s="329"/>
      <c r="R108" s="320"/>
      <c r="S108" s="320"/>
      <c r="T108" s="329"/>
      <c r="U108" s="336" t="str">
        <f>IF(ISERROR(VLOOKUP($T108, 'Reference data'!$J$2:$K$139, 2, FALSE)),"-",VLOOKUP($T108, 'Reference data'!$J$2:$K$139, 2, FALSE))</f>
        <v>-</v>
      </c>
      <c r="V108" s="320"/>
      <c r="W108" s="320"/>
      <c r="X108" s="324"/>
      <c r="Y108" s="325"/>
      <c r="Z108" s="70"/>
      <c r="AA108" s="352"/>
      <c r="AB108" s="86"/>
      <c r="AC108" s="72"/>
      <c r="AD108" s="331"/>
      <c r="AE108" s="239" t="s">
        <v>278</v>
      </c>
      <c r="AF108" s="243" t="s">
        <v>77</v>
      </c>
      <c r="AG108" s="334"/>
    </row>
    <row r="109" spans="2:33" s="306" customFormat="1" ht="12.75" customHeight="1" x14ac:dyDescent="0.2">
      <c r="B109" s="338" t="str" cm="1">
        <f t="array" ref="B109">IF(C109="","Skip",IF(AND(Validator!G103=TRUE,Validator!G353=TRUE,Validator!G603=TRUE,Validator!G853=TRUE,Validator!G1103=TRUE,Validator!G1353=TRUE,OR(ISBLANK($R109),ISNUMBER(VALUE(SUBSTITUTE(SUBSTITUTE(SUBSTITUTE(SUBSTITUTE($R109," ",""),"c",""),"C",""),"-","")))),OR(SUMPRODUCT(--($U109=Package_type_code))&gt;0,$U109="",$U109="-")),"Valid","Invalid"))</f>
        <v>Skip</v>
      </c>
      <c r="C109" s="70"/>
      <c r="D109" s="395"/>
      <c r="E109" s="396"/>
      <c r="F109" s="178" t="str">
        <f t="shared" si="2"/>
        <v>-</v>
      </c>
      <c r="G109" s="398"/>
      <c r="H109" s="178" t="str">
        <f t="shared" si="3"/>
        <v>-</v>
      </c>
      <c r="I109" s="333"/>
      <c r="J109" s="400"/>
      <c r="K109" s="401"/>
      <c r="L109" s="402"/>
      <c r="M109" s="322"/>
      <c r="N109" s="584"/>
      <c r="O109" s="403" t="s">
        <v>278</v>
      </c>
      <c r="P109" s="404" t="s">
        <v>77</v>
      </c>
      <c r="Q109" s="329"/>
      <c r="R109" s="320"/>
      <c r="S109" s="320"/>
      <c r="T109" s="329"/>
      <c r="U109" s="336" t="str">
        <f>IF(ISERROR(VLOOKUP($T109, 'Reference data'!$J$2:$K$139, 2, FALSE)),"-",VLOOKUP($T109, 'Reference data'!$J$2:$K$139, 2, FALSE))</f>
        <v>-</v>
      </c>
      <c r="V109" s="320"/>
      <c r="W109" s="320"/>
      <c r="X109" s="324"/>
      <c r="Y109" s="325"/>
      <c r="Z109" s="70"/>
      <c r="AA109" s="352"/>
      <c r="AB109" s="86"/>
      <c r="AC109" s="72"/>
      <c r="AD109" s="331"/>
      <c r="AE109" s="239" t="s">
        <v>278</v>
      </c>
      <c r="AF109" s="243" t="s">
        <v>77</v>
      </c>
      <c r="AG109" s="334"/>
    </row>
    <row r="110" spans="2:33" s="306" customFormat="1" ht="12.75" customHeight="1" x14ac:dyDescent="0.2">
      <c r="B110" s="338" t="str" cm="1">
        <f t="array" ref="B110">IF(C110="","Skip",IF(AND(Validator!G104=TRUE,Validator!G354=TRUE,Validator!G604=TRUE,Validator!G854=TRUE,Validator!G1104=TRUE,Validator!G1354=TRUE,OR(ISBLANK($R110),ISNUMBER(VALUE(SUBSTITUTE(SUBSTITUTE(SUBSTITUTE(SUBSTITUTE($R110," ",""),"c",""),"C",""),"-","")))),OR(SUMPRODUCT(--($U110=Package_type_code))&gt;0,$U110="",$U110="-")),"Valid","Invalid"))</f>
        <v>Skip</v>
      </c>
      <c r="C110" s="70"/>
      <c r="D110" s="395"/>
      <c r="E110" s="396"/>
      <c r="F110" s="178" t="str">
        <f t="shared" si="2"/>
        <v>-</v>
      </c>
      <c r="G110" s="398"/>
      <c r="H110" s="178" t="str">
        <f t="shared" si="3"/>
        <v>-</v>
      </c>
      <c r="I110" s="333"/>
      <c r="J110" s="400"/>
      <c r="K110" s="401"/>
      <c r="L110" s="402"/>
      <c r="M110" s="322"/>
      <c r="N110" s="584"/>
      <c r="O110" s="403" t="s">
        <v>278</v>
      </c>
      <c r="P110" s="404" t="s">
        <v>77</v>
      </c>
      <c r="Q110" s="329"/>
      <c r="R110" s="320"/>
      <c r="S110" s="320"/>
      <c r="T110" s="329"/>
      <c r="U110" s="336" t="str">
        <f>IF(ISERROR(VLOOKUP($T110, 'Reference data'!$J$2:$K$139, 2, FALSE)),"-",VLOOKUP($T110, 'Reference data'!$J$2:$K$139, 2, FALSE))</f>
        <v>-</v>
      </c>
      <c r="V110" s="320"/>
      <c r="W110" s="320"/>
      <c r="X110" s="324"/>
      <c r="Y110" s="325"/>
      <c r="Z110" s="70"/>
      <c r="AA110" s="352"/>
      <c r="AB110" s="86"/>
      <c r="AC110" s="72"/>
      <c r="AD110" s="331"/>
      <c r="AE110" s="239" t="s">
        <v>278</v>
      </c>
      <c r="AF110" s="243" t="s">
        <v>77</v>
      </c>
      <c r="AG110" s="334"/>
    </row>
    <row r="111" spans="2:33" s="306" customFormat="1" ht="12.75" customHeight="1" x14ac:dyDescent="0.2">
      <c r="B111" s="338" t="str" cm="1">
        <f t="array" ref="B111">IF(C111="","Skip",IF(AND(Validator!G105=TRUE,Validator!G355=TRUE,Validator!G605=TRUE,Validator!G855=TRUE,Validator!G1105=TRUE,Validator!G1355=TRUE,OR(ISBLANK($R111),ISNUMBER(VALUE(SUBSTITUTE(SUBSTITUTE(SUBSTITUTE(SUBSTITUTE($R111," ",""),"c",""),"C",""),"-","")))),OR(SUMPRODUCT(--($U111=Package_type_code))&gt;0,$U111="",$U111="-")),"Valid","Invalid"))</f>
        <v>Skip</v>
      </c>
      <c r="C111" s="70"/>
      <c r="D111" s="395"/>
      <c r="E111" s="396"/>
      <c r="F111" s="178" t="str">
        <f t="shared" si="2"/>
        <v>-</v>
      </c>
      <c r="G111" s="398"/>
      <c r="H111" s="178" t="str">
        <f t="shared" si="3"/>
        <v>-</v>
      </c>
      <c r="I111" s="333"/>
      <c r="J111" s="400"/>
      <c r="K111" s="401"/>
      <c r="L111" s="402"/>
      <c r="M111" s="322"/>
      <c r="N111" s="584"/>
      <c r="O111" s="403" t="s">
        <v>278</v>
      </c>
      <c r="P111" s="404" t="s">
        <v>77</v>
      </c>
      <c r="Q111" s="329"/>
      <c r="R111" s="320"/>
      <c r="S111" s="320"/>
      <c r="T111" s="329"/>
      <c r="U111" s="336" t="str">
        <f>IF(ISERROR(VLOOKUP($T111, 'Reference data'!$J$2:$K$139, 2, FALSE)),"-",VLOOKUP($T111, 'Reference data'!$J$2:$K$139, 2, FALSE))</f>
        <v>-</v>
      </c>
      <c r="V111" s="320"/>
      <c r="W111" s="320"/>
      <c r="X111" s="324"/>
      <c r="Y111" s="325"/>
      <c r="Z111" s="70"/>
      <c r="AA111" s="352"/>
      <c r="AB111" s="86"/>
      <c r="AC111" s="72"/>
      <c r="AD111" s="331"/>
      <c r="AE111" s="239" t="s">
        <v>278</v>
      </c>
      <c r="AF111" s="243" t="s">
        <v>77</v>
      </c>
      <c r="AG111" s="334"/>
    </row>
    <row r="112" spans="2:33" s="306" customFormat="1" ht="12.75" customHeight="1" x14ac:dyDescent="0.2">
      <c r="B112" s="338" t="str" cm="1">
        <f t="array" ref="B112">IF(C112="","Skip",IF(AND(Validator!G106=TRUE,Validator!G356=TRUE,Validator!G606=TRUE,Validator!G856=TRUE,Validator!G1106=TRUE,Validator!G1356=TRUE,OR(ISBLANK($R112),ISNUMBER(VALUE(SUBSTITUTE(SUBSTITUTE(SUBSTITUTE(SUBSTITUTE($R112," ",""),"c",""),"C",""),"-","")))),OR(SUMPRODUCT(--($U112=Package_type_code))&gt;0,$U112="",$U112="-")),"Valid","Invalid"))</f>
        <v>Skip</v>
      </c>
      <c r="C112" s="70"/>
      <c r="D112" s="395"/>
      <c r="E112" s="396"/>
      <c r="F112" s="178" t="str">
        <f t="shared" si="2"/>
        <v>-</v>
      </c>
      <c r="G112" s="398"/>
      <c r="H112" s="178" t="str">
        <f t="shared" si="3"/>
        <v>-</v>
      </c>
      <c r="I112" s="333"/>
      <c r="J112" s="400"/>
      <c r="K112" s="401"/>
      <c r="L112" s="402"/>
      <c r="M112" s="322"/>
      <c r="N112" s="584"/>
      <c r="O112" s="403" t="s">
        <v>278</v>
      </c>
      <c r="P112" s="404" t="s">
        <v>77</v>
      </c>
      <c r="Q112" s="329"/>
      <c r="R112" s="320"/>
      <c r="S112" s="320"/>
      <c r="T112" s="329"/>
      <c r="U112" s="336" t="str">
        <f>IF(ISERROR(VLOOKUP($T112, 'Reference data'!$J$2:$K$139, 2, FALSE)),"-",VLOOKUP($T112, 'Reference data'!$J$2:$K$139, 2, FALSE))</f>
        <v>-</v>
      </c>
      <c r="V112" s="320"/>
      <c r="W112" s="320"/>
      <c r="X112" s="324"/>
      <c r="Y112" s="325"/>
      <c r="Z112" s="70"/>
      <c r="AA112" s="352"/>
      <c r="AB112" s="86"/>
      <c r="AC112" s="72"/>
      <c r="AD112" s="331"/>
      <c r="AE112" s="239" t="s">
        <v>278</v>
      </c>
      <c r="AF112" s="243" t="s">
        <v>77</v>
      </c>
      <c r="AG112" s="334"/>
    </row>
    <row r="113" spans="2:33" s="306" customFormat="1" ht="12.75" customHeight="1" x14ac:dyDescent="0.2">
      <c r="B113" s="338" t="str" cm="1">
        <f t="array" ref="B113">IF(C113="","Skip",IF(AND(Validator!G107=TRUE,Validator!G357=TRUE,Validator!G607=TRUE,Validator!G857=TRUE,Validator!G1107=TRUE,Validator!G1357=TRUE,OR(ISBLANK($R113),ISNUMBER(VALUE(SUBSTITUTE(SUBSTITUTE(SUBSTITUTE(SUBSTITUTE($R113," ",""),"c",""),"C",""),"-","")))),OR(SUMPRODUCT(--($U113=Package_type_code))&gt;0,$U113="",$U113="-")),"Valid","Invalid"))</f>
        <v>Skip</v>
      </c>
      <c r="C113" s="70"/>
      <c r="D113" s="395"/>
      <c r="E113" s="396"/>
      <c r="F113" s="178" t="str">
        <f t="shared" si="2"/>
        <v>-</v>
      </c>
      <c r="G113" s="398"/>
      <c r="H113" s="178" t="str">
        <f t="shared" si="3"/>
        <v>-</v>
      </c>
      <c r="I113" s="333"/>
      <c r="J113" s="400"/>
      <c r="K113" s="401"/>
      <c r="L113" s="402"/>
      <c r="M113" s="322"/>
      <c r="N113" s="584"/>
      <c r="O113" s="403" t="s">
        <v>278</v>
      </c>
      <c r="P113" s="404" t="s">
        <v>77</v>
      </c>
      <c r="Q113" s="329"/>
      <c r="R113" s="320"/>
      <c r="S113" s="320"/>
      <c r="T113" s="329"/>
      <c r="U113" s="336" t="str">
        <f>IF(ISERROR(VLOOKUP($T113, 'Reference data'!$J$2:$K$139, 2, FALSE)),"-",VLOOKUP($T113, 'Reference data'!$J$2:$K$139, 2, FALSE))</f>
        <v>-</v>
      </c>
      <c r="V113" s="320"/>
      <c r="W113" s="320"/>
      <c r="X113" s="324"/>
      <c r="Y113" s="325"/>
      <c r="Z113" s="70"/>
      <c r="AA113" s="352"/>
      <c r="AB113" s="86"/>
      <c r="AC113" s="72"/>
      <c r="AD113" s="331"/>
      <c r="AE113" s="239" t="s">
        <v>278</v>
      </c>
      <c r="AF113" s="243" t="s">
        <v>77</v>
      </c>
      <c r="AG113" s="334"/>
    </row>
    <row r="114" spans="2:33" s="306" customFormat="1" ht="12.75" customHeight="1" x14ac:dyDescent="0.2">
      <c r="B114" s="338" t="str" cm="1">
        <f t="array" ref="B114">IF(C114="","Skip",IF(AND(Validator!G108=TRUE,Validator!G358=TRUE,Validator!G608=TRUE,Validator!G858=TRUE,Validator!G1108=TRUE,Validator!G1358=TRUE,OR(ISBLANK($R114),ISNUMBER(VALUE(SUBSTITUTE(SUBSTITUTE(SUBSTITUTE(SUBSTITUTE($R114," ",""),"c",""),"C",""),"-","")))),OR(SUMPRODUCT(--($U114=Package_type_code))&gt;0,$U114="",$U114="-")),"Valid","Invalid"))</f>
        <v>Skip</v>
      </c>
      <c r="C114" s="70"/>
      <c r="D114" s="395"/>
      <c r="E114" s="396"/>
      <c r="F114" s="178" t="str">
        <f t="shared" si="2"/>
        <v>-</v>
      </c>
      <c r="G114" s="398"/>
      <c r="H114" s="178" t="str">
        <f t="shared" si="3"/>
        <v>-</v>
      </c>
      <c r="I114" s="333"/>
      <c r="J114" s="400"/>
      <c r="K114" s="401"/>
      <c r="L114" s="402"/>
      <c r="M114" s="322"/>
      <c r="N114" s="584"/>
      <c r="O114" s="403" t="s">
        <v>278</v>
      </c>
      <c r="P114" s="404" t="s">
        <v>77</v>
      </c>
      <c r="Q114" s="329"/>
      <c r="R114" s="320"/>
      <c r="S114" s="320"/>
      <c r="T114" s="329"/>
      <c r="U114" s="336" t="str">
        <f>IF(ISERROR(VLOOKUP($T114, 'Reference data'!$J$2:$K$139, 2, FALSE)),"-",VLOOKUP($T114, 'Reference data'!$J$2:$K$139, 2, FALSE))</f>
        <v>-</v>
      </c>
      <c r="V114" s="320"/>
      <c r="W114" s="320"/>
      <c r="X114" s="324"/>
      <c r="Y114" s="325"/>
      <c r="Z114" s="70"/>
      <c r="AA114" s="352"/>
      <c r="AB114" s="86"/>
      <c r="AC114" s="72"/>
      <c r="AD114" s="331"/>
      <c r="AE114" s="239" t="s">
        <v>278</v>
      </c>
      <c r="AF114" s="243" t="s">
        <v>77</v>
      </c>
      <c r="AG114" s="334"/>
    </row>
    <row r="115" spans="2:33" s="306" customFormat="1" ht="12.75" customHeight="1" x14ac:dyDescent="0.2">
      <c r="B115" s="338" t="str" cm="1">
        <f t="array" ref="B115">IF(C115="","Skip",IF(AND(Validator!G109=TRUE,Validator!G359=TRUE,Validator!G609=TRUE,Validator!G859=TRUE,Validator!G1109=TRUE,Validator!G1359=TRUE,OR(ISBLANK($R115),ISNUMBER(VALUE(SUBSTITUTE(SUBSTITUTE(SUBSTITUTE(SUBSTITUTE($R115," ",""),"c",""),"C",""),"-","")))),OR(SUMPRODUCT(--($U115=Package_type_code))&gt;0,$U115="",$U115="-")),"Valid","Invalid"))</f>
        <v>Skip</v>
      </c>
      <c r="C115" s="70"/>
      <c r="D115" s="395"/>
      <c r="E115" s="396"/>
      <c r="F115" s="178" t="str">
        <f t="shared" si="2"/>
        <v>-</v>
      </c>
      <c r="G115" s="398"/>
      <c r="H115" s="178" t="str">
        <f t="shared" si="3"/>
        <v>-</v>
      </c>
      <c r="I115" s="333"/>
      <c r="J115" s="400"/>
      <c r="K115" s="401"/>
      <c r="L115" s="402"/>
      <c r="M115" s="322"/>
      <c r="N115" s="584"/>
      <c r="O115" s="403" t="s">
        <v>278</v>
      </c>
      <c r="P115" s="404" t="s">
        <v>77</v>
      </c>
      <c r="Q115" s="329"/>
      <c r="R115" s="320"/>
      <c r="S115" s="320"/>
      <c r="T115" s="329"/>
      <c r="U115" s="336" t="str">
        <f>IF(ISERROR(VLOOKUP($T115, 'Reference data'!$J$2:$K$139, 2, FALSE)),"-",VLOOKUP($T115, 'Reference data'!$J$2:$K$139, 2, FALSE))</f>
        <v>-</v>
      </c>
      <c r="V115" s="320"/>
      <c r="W115" s="320"/>
      <c r="X115" s="324"/>
      <c r="Y115" s="325"/>
      <c r="Z115" s="70"/>
      <c r="AA115" s="352"/>
      <c r="AB115" s="86"/>
      <c r="AC115" s="72"/>
      <c r="AD115" s="331"/>
      <c r="AE115" s="239" t="s">
        <v>278</v>
      </c>
      <c r="AF115" s="243" t="s">
        <v>77</v>
      </c>
      <c r="AG115" s="334"/>
    </row>
    <row r="116" spans="2:33" s="306" customFormat="1" ht="12.75" customHeight="1" x14ac:dyDescent="0.2">
      <c r="B116" s="338" t="str" cm="1">
        <f t="array" ref="B116">IF(C116="","Skip",IF(AND(Validator!G110=TRUE,Validator!G360=TRUE,Validator!G610=TRUE,Validator!G860=TRUE,Validator!G1110=TRUE,Validator!G1360=TRUE,OR(ISBLANK($R116),ISNUMBER(VALUE(SUBSTITUTE(SUBSTITUTE(SUBSTITUTE(SUBSTITUTE($R116," ",""),"c",""),"C",""),"-","")))),OR(SUMPRODUCT(--($U116=Package_type_code))&gt;0,$U116="",$U116="-")),"Valid","Invalid"))</f>
        <v>Skip</v>
      </c>
      <c r="C116" s="70"/>
      <c r="D116" s="395"/>
      <c r="E116" s="396"/>
      <c r="F116" s="178" t="str">
        <f t="shared" si="2"/>
        <v>-</v>
      </c>
      <c r="G116" s="398"/>
      <c r="H116" s="178" t="str">
        <f t="shared" si="3"/>
        <v>-</v>
      </c>
      <c r="I116" s="333"/>
      <c r="J116" s="400"/>
      <c r="K116" s="401"/>
      <c r="L116" s="402"/>
      <c r="M116" s="322"/>
      <c r="N116" s="584"/>
      <c r="O116" s="403" t="s">
        <v>278</v>
      </c>
      <c r="P116" s="404" t="s">
        <v>77</v>
      </c>
      <c r="Q116" s="329"/>
      <c r="R116" s="320"/>
      <c r="S116" s="320"/>
      <c r="T116" s="329"/>
      <c r="U116" s="336" t="str">
        <f>IF(ISERROR(VLOOKUP($T116, 'Reference data'!$J$2:$K$139, 2, FALSE)),"-",VLOOKUP($T116, 'Reference data'!$J$2:$K$139, 2, FALSE))</f>
        <v>-</v>
      </c>
      <c r="V116" s="320"/>
      <c r="W116" s="320"/>
      <c r="X116" s="324"/>
      <c r="Y116" s="325"/>
      <c r="Z116" s="70"/>
      <c r="AA116" s="352"/>
      <c r="AB116" s="86"/>
      <c r="AC116" s="72"/>
      <c r="AD116" s="331"/>
      <c r="AE116" s="239" t="s">
        <v>278</v>
      </c>
      <c r="AF116" s="243" t="s">
        <v>77</v>
      </c>
      <c r="AG116" s="334"/>
    </row>
    <row r="117" spans="2:33" s="306" customFormat="1" ht="12.75" customHeight="1" x14ac:dyDescent="0.2">
      <c r="B117" s="338" t="str" cm="1">
        <f t="array" ref="B117">IF(C117="","Skip",IF(AND(Validator!G111=TRUE,Validator!G361=TRUE,Validator!G611=TRUE,Validator!G861=TRUE,Validator!G1111=TRUE,Validator!G1361=TRUE,OR(ISBLANK($R117),ISNUMBER(VALUE(SUBSTITUTE(SUBSTITUTE(SUBSTITUTE(SUBSTITUTE($R117," ",""),"c",""),"C",""),"-","")))),OR(SUMPRODUCT(--($U117=Package_type_code))&gt;0,$U117="",$U117="-")),"Valid","Invalid"))</f>
        <v>Skip</v>
      </c>
      <c r="C117" s="70"/>
      <c r="D117" s="395"/>
      <c r="E117" s="396"/>
      <c r="F117" s="178" t="str">
        <f t="shared" si="2"/>
        <v>-</v>
      </c>
      <c r="G117" s="398"/>
      <c r="H117" s="178" t="str">
        <f t="shared" si="3"/>
        <v>-</v>
      </c>
      <c r="I117" s="333"/>
      <c r="J117" s="400"/>
      <c r="K117" s="401"/>
      <c r="L117" s="402"/>
      <c r="M117" s="322"/>
      <c r="N117" s="584"/>
      <c r="O117" s="403" t="s">
        <v>278</v>
      </c>
      <c r="P117" s="404" t="s">
        <v>77</v>
      </c>
      <c r="Q117" s="329"/>
      <c r="R117" s="320"/>
      <c r="S117" s="320"/>
      <c r="T117" s="329"/>
      <c r="U117" s="336" t="str">
        <f>IF(ISERROR(VLOOKUP($T117, 'Reference data'!$J$2:$K$139, 2, FALSE)),"-",VLOOKUP($T117, 'Reference data'!$J$2:$K$139, 2, FALSE))</f>
        <v>-</v>
      </c>
      <c r="V117" s="320"/>
      <c r="W117" s="320"/>
      <c r="X117" s="324"/>
      <c r="Y117" s="325"/>
      <c r="Z117" s="70"/>
      <c r="AA117" s="352"/>
      <c r="AB117" s="86"/>
      <c r="AC117" s="72"/>
      <c r="AD117" s="331"/>
      <c r="AE117" s="239" t="s">
        <v>278</v>
      </c>
      <c r="AF117" s="243" t="s">
        <v>77</v>
      </c>
      <c r="AG117" s="334"/>
    </row>
    <row r="118" spans="2:33" s="306" customFormat="1" ht="12.75" customHeight="1" x14ac:dyDescent="0.2">
      <c r="B118" s="338" t="str" cm="1">
        <f t="array" ref="B118">IF(C118="","Skip",IF(AND(Validator!G112=TRUE,Validator!G362=TRUE,Validator!G612=TRUE,Validator!G862=TRUE,Validator!G1112=TRUE,Validator!G1362=TRUE,OR(ISBLANK($R118),ISNUMBER(VALUE(SUBSTITUTE(SUBSTITUTE(SUBSTITUTE(SUBSTITUTE($R118," ",""),"c",""),"C",""),"-","")))),OR(SUMPRODUCT(--($U118=Package_type_code))&gt;0,$U118="",$U118="-")),"Valid","Invalid"))</f>
        <v>Skip</v>
      </c>
      <c r="C118" s="70"/>
      <c r="D118" s="395"/>
      <c r="E118" s="396"/>
      <c r="F118" s="178" t="str">
        <f t="shared" si="2"/>
        <v>-</v>
      </c>
      <c r="G118" s="398"/>
      <c r="H118" s="178" t="str">
        <f t="shared" si="3"/>
        <v>-</v>
      </c>
      <c r="I118" s="333"/>
      <c r="J118" s="400"/>
      <c r="K118" s="401"/>
      <c r="L118" s="402"/>
      <c r="M118" s="322"/>
      <c r="N118" s="584"/>
      <c r="O118" s="403" t="s">
        <v>278</v>
      </c>
      <c r="P118" s="404" t="s">
        <v>77</v>
      </c>
      <c r="Q118" s="329"/>
      <c r="R118" s="320"/>
      <c r="S118" s="320"/>
      <c r="T118" s="329"/>
      <c r="U118" s="336" t="str">
        <f>IF(ISERROR(VLOOKUP($T118, 'Reference data'!$J$2:$K$139, 2, FALSE)),"-",VLOOKUP($T118, 'Reference data'!$J$2:$K$139, 2, FALSE))</f>
        <v>-</v>
      </c>
      <c r="V118" s="320"/>
      <c r="W118" s="320"/>
      <c r="X118" s="324"/>
      <c r="Y118" s="325"/>
      <c r="Z118" s="70"/>
      <c r="AA118" s="352"/>
      <c r="AB118" s="86"/>
      <c r="AC118" s="72"/>
      <c r="AD118" s="331"/>
      <c r="AE118" s="239" t="s">
        <v>278</v>
      </c>
      <c r="AF118" s="243" t="s">
        <v>77</v>
      </c>
      <c r="AG118" s="334"/>
    </row>
    <row r="119" spans="2:33" s="306" customFormat="1" ht="12.75" customHeight="1" x14ac:dyDescent="0.2">
      <c r="B119" s="338" t="str" cm="1">
        <f t="array" ref="B119">IF(C119="","Skip",IF(AND(Validator!G113=TRUE,Validator!G363=TRUE,Validator!G613=TRUE,Validator!G863=TRUE,Validator!G1113=TRUE,Validator!G1363=TRUE,OR(ISBLANK($R119),ISNUMBER(VALUE(SUBSTITUTE(SUBSTITUTE(SUBSTITUTE(SUBSTITUTE($R119," ",""),"c",""),"C",""),"-","")))),OR(SUMPRODUCT(--($U119=Package_type_code))&gt;0,$U119="",$U119="-")),"Valid","Invalid"))</f>
        <v>Skip</v>
      </c>
      <c r="C119" s="70"/>
      <c r="D119" s="395"/>
      <c r="E119" s="396"/>
      <c r="F119" s="178" t="str">
        <f t="shared" si="2"/>
        <v>-</v>
      </c>
      <c r="G119" s="398"/>
      <c r="H119" s="178" t="str">
        <f t="shared" si="3"/>
        <v>-</v>
      </c>
      <c r="I119" s="333"/>
      <c r="J119" s="400"/>
      <c r="K119" s="401"/>
      <c r="L119" s="402"/>
      <c r="M119" s="322"/>
      <c r="N119" s="584"/>
      <c r="O119" s="403" t="s">
        <v>278</v>
      </c>
      <c r="P119" s="404" t="s">
        <v>77</v>
      </c>
      <c r="Q119" s="329"/>
      <c r="R119" s="320"/>
      <c r="S119" s="320"/>
      <c r="T119" s="329"/>
      <c r="U119" s="336" t="str">
        <f>IF(ISERROR(VLOOKUP($T119, 'Reference data'!$J$2:$K$139, 2, FALSE)),"-",VLOOKUP($T119, 'Reference data'!$J$2:$K$139, 2, FALSE))</f>
        <v>-</v>
      </c>
      <c r="V119" s="320"/>
      <c r="W119" s="320"/>
      <c r="X119" s="324"/>
      <c r="Y119" s="325"/>
      <c r="Z119" s="70"/>
      <c r="AA119" s="352"/>
      <c r="AB119" s="86"/>
      <c r="AC119" s="72"/>
      <c r="AD119" s="331"/>
      <c r="AE119" s="239" t="s">
        <v>278</v>
      </c>
      <c r="AF119" s="243" t="s">
        <v>77</v>
      </c>
      <c r="AG119" s="334"/>
    </row>
    <row r="120" spans="2:33" s="306" customFormat="1" ht="12.75" customHeight="1" x14ac:dyDescent="0.2">
      <c r="B120" s="338" t="str" cm="1">
        <f t="array" ref="B120">IF(C120="","Skip",IF(AND(Validator!G114=TRUE,Validator!G364=TRUE,Validator!G614=TRUE,Validator!G864=TRUE,Validator!G1114=TRUE,Validator!G1364=TRUE,OR(ISBLANK($R120),ISNUMBER(VALUE(SUBSTITUTE(SUBSTITUTE(SUBSTITUTE(SUBSTITUTE($R120," ",""),"c",""),"C",""),"-","")))),OR(SUMPRODUCT(--($U120=Package_type_code))&gt;0,$U120="",$U120="-")),"Valid","Invalid"))</f>
        <v>Skip</v>
      </c>
      <c r="C120" s="70"/>
      <c r="D120" s="395"/>
      <c r="E120" s="396"/>
      <c r="F120" s="178" t="str">
        <f t="shared" si="2"/>
        <v>-</v>
      </c>
      <c r="G120" s="398"/>
      <c r="H120" s="178" t="str">
        <f t="shared" si="3"/>
        <v>-</v>
      </c>
      <c r="I120" s="333"/>
      <c r="J120" s="400"/>
      <c r="K120" s="401"/>
      <c r="L120" s="402"/>
      <c r="M120" s="322"/>
      <c r="N120" s="584"/>
      <c r="O120" s="403" t="s">
        <v>278</v>
      </c>
      <c r="P120" s="404" t="s">
        <v>77</v>
      </c>
      <c r="Q120" s="329"/>
      <c r="R120" s="320"/>
      <c r="S120" s="320"/>
      <c r="T120" s="329"/>
      <c r="U120" s="336" t="str">
        <f>IF(ISERROR(VLOOKUP($T120, 'Reference data'!$J$2:$K$139, 2, FALSE)),"-",VLOOKUP($T120, 'Reference data'!$J$2:$K$139, 2, FALSE))</f>
        <v>-</v>
      </c>
      <c r="V120" s="320"/>
      <c r="W120" s="320"/>
      <c r="X120" s="324"/>
      <c r="Y120" s="325"/>
      <c r="Z120" s="70"/>
      <c r="AA120" s="352"/>
      <c r="AB120" s="86"/>
      <c r="AC120" s="72"/>
      <c r="AD120" s="331"/>
      <c r="AE120" s="239" t="s">
        <v>278</v>
      </c>
      <c r="AF120" s="243" t="s">
        <v>77</v>
      </c>
      <c r="AG120" s="334"/>
    </row>
    <row r="121" spans="2:33" s="306" customFormat="1" ht="12.75" customHeight="1" x14ac:dyDescent="0.2">
      <c r="B121" s="338" t="str" cm="1">
        <f t="array" ref="B121">IF(C121="","Skip",IF(AND(Validator!G115=TRUE,Validator!G365=TRUE,Validator!G615=TRUE,Validator!G865=TRUE,Validator!G1115=TRUE,Validator!G1365=TRUE,OR(ISBLANK($R121),ISNUMBER(VALUE(SUBSTITUTE(SUBSTITUTE(SUBSTITUTE(SUBSTITUTE($R121," ",""),"c",""),"C",""),"-","")))),OR(SUMPRODUCT(--($U121=Package_type_code))&gt;0,$U121="",$U121="-")),"Valid","Invalid"))</f>
        <v>Skip</v>
      </c>
      <c r="C121" s="70"/>
      <c r="D121" s="395"/>
      <c r="E121" s="396"/>
      <c r="F121" s="178" t="str">
        <f t="shared" si="2"/>
        <v>-</v>
      </c>
      <c r="G121" s="398"/>
      <c r="H121" s="178" t="str">
        <f t="shared" si="3"/>
        <v>-</v>
      </c>
      <c r="I121" s="333"/>
      <c r="J121" s="400"/>
      <c r="K121" s="401"/>
      <c r="L121" s="402"/>
      <c r="M121" s="322"/>
      <c r="N121" s="584"/>
      <c r="O121" s="403" t="s">
        <v>278</v>
      </c>
      <c r="P121" s="404" t="s">
        <v>77</v>
      </c>
      <c r="Q121" s="329"/>
      <c r="R121" s="320"/>
      <c r="S121" s="320"/>
      <c r="T121" s="329"/>
      <c r="U121" s="336" t="str">
        <f>IF(ISERROR(VLOOKUP($T121, 'Reference data'!$J$2:$K$139, 2, FALSE)),"-",VLOOKUP($T121, 'Reference data'!$J$2:$K$139, 2, FALSE))</f>
        <v>-</v>
      </c>
      <c r="V121" s="320"/>
      <c r="W121" s="320"/>
      <c r="X121" s="324"/>
      <c r="Y121" s="325"/>
      <c r="Z121" s="70"/>
      <c r="AA121" s="352"/>
      <c r="AB121" s="86"/>
      <c r="AC121" s="72"/>
      <c r="AD121" s="331"/>
      <c r="AE121" s="239" t="s">
        <v>278</v>
      </c>
      <c r="AF121" s="243" t="s">
        <v>77</v>
      </c>
      <c r="AG121" s="334"/>
    </row>
    <row r="122" spans="2:33" s="306" customFormat="1" ht="12.75" customHeight="1" x14ac:dyDescent="0.2">
      <c r="B122" s="338" t="str" cm="1">
        <f t="array" ref="B122">IF(C122="","Skip",IF(AND(Validator!G116=TRUE,Validator!G366=TRUE,Validator!G616=TRUE,Validator!G866=TRUE,Validator!G1116=TRUE,Validator!G1366=TRUE,OR(ISBLANK($R122),ISNUMBER(VALUE(SUBSTITUTE(SUBSTITUTE(SUBSTITUTE(SUBSTITUTE($R122," ",""),"c",""),"C",""),"-","")))),OR(SUMPRODUCT(--($U122=Package_type_code))&gt;0,$U122="",$U122="-")),"Valid","Invalid"))</f>
        <v>Skip</v>
      </c>
      <c r="C122" s="70"/>
      <c r="D122" s="395"/>
      <c r="E122" s="396"/>
      <c r="F122" s="178" t="str">
        <f t="shared" si="2"/>
        <v>-</v>
      </c>
      <c r="G122" s="398"/>
      <c r="H122" s="178" t="str">
        <f t="shared" si="3"/>
        <v>-</v>
      </c>
      <c r="I122" s="333"/>
      <c r="J122" s="400"/>
      <c r="K122" s="401"/>
      <c r="L122" s="402"/>
      <c r="M122" s="322"/>
      <c r="N122" s="584"/>
      <c r="O122" s="403" t="s">
        <v>278</v>
      </c>
      <c r="P122" s="404" t="s">
        <v>77</v>
      </c>
      <c r="Q122" s="329"/>
      <c r="R122" s="320"/>
      <c r="S122" s="320"/>
      <c r="T122" s="329"/>
      <c r="U122" s="336" t="str">
        <f>IF(ISERROR(VLOOKUP($T122, 'Reference data'!$J$2:$K$139, 2, FALSE)),"-",VLOOKUP($T122, 'Reference data'!$J$2:$K$139, 2, FALSE))</f>
        <v>-</v>
      </c>
      <c r="V122" s="320"/>
      <c r="W122" s="320"/>
      <c r="X122" s="324"/>
      <c r="Y122" s="325"/>
      <c r="Z122" s="70"/>
      <c r="AA122" s="352"/>
      <c r="AB122" s="86"/>
      <c r="AC122" s="72"/>
      <c r="AD122" s="331"/>
      <c r="AE122" s="239" t="s">
        <v>278</v>
      </c>
      <c r="AF122" s="243" t="s">
        <v>77</v>
      </c>
      <c r="AG122" s="334"/>
    </row>
    <row r="123" spans="2:33" s="306" customFormat="1" ht="12.75" customHeight="1" x14ac:dyDescent="0.2">
      <c r="B123" s="338" t="str" cm="1">
        <f t="array" ref="B123">IF(C123="","Skip",IF(AND(Validator!G117=TRUE,Validator!G367=TRUE,Validator!G617=TRUE,Validator!G867=TRUE,Validator!G1117=TRUE,Validator!G1367=TRUE,OR(ISBLANK($R123),ISNUMBER(VALUE(SUBSTITUTE(SUBSTITUTE(SUBSTITUTE(SUBSTITUTE($R123," ",""),"c",""),"C",""),"-","")))),OR(SUMPRODUCT(--($U123=Package_type_code))&gt;0,$U123="",$U123="-")),"Valid","Invalid"))</f>
        <v>Skip</v>
      </c>
      <c r="C123" s="70"/>
      <c r="D123" s="395"/>
      <c r="E123" s="396"/>
      <c r="F123" s="178" t="str">
        <f t="shared" si="2"/>
        <v>-</v>
      </c>
      <c r="G123" s="398"/>
      <c r="H123" s="178" t="str">
        <f t="shared" si="3"/>
        <v>-</v>
      </c>
      <c r="I123" s="333"/>
      <c r="J123" s="400"/>
      <c r="K123" s="401"/>
      <c r="L123" s="402"/>
      <c r="M123" s="322"/>
      <c r="N123" s="584"/>
      <c r="O123" s="403" t="s">
        <v>278</v>
      </c>
      <c r="P123" s="404" t="s">
        <v>77</v>
      </c>
      <c r="Q123" s="329"/>
      <c r="R123" s="320"/>
      <c r="S123" s="320"/>
      <c r="T123" s="329"/>
      <c r="U123" s="336" t="str">
        <f>IF(ISERROR(VLOOKUP($T123, 'Reference data'!$J$2:$K$139, 2, FALSE)),"-",VLOOKUP($T123, 'Reference data'!$J$2:$K$139, 2, FALSE))</f>
        <v>-</v>
      </c>
      <c r="V123" s="320"/>
      <c r="W123" s="320"/>
      <c r="X123" s="324"/>
      <c r="Y123" s="325"/>
      <c r="Z123" s="70"/>
      <c r="AA123" s="352"/>
      <c r="AB123" s="86"/>
      <c r="AC123" s="72"/>
      <c r="AD123" s="331"/>
      <c r="AE123" s="239" t="s">
        <v>278</v>
      </c>
      <c r="AF123" s="243" t="s">
        <v>77</v>
      </c>
      <c r="AG123" s="334"/>
    </row>
    <row r="124" spans="2:33" s="306" customFormat="1" ht="12.75" customHeight="1" x14ac:dyDescent="0.2">
      <c r="B124" s="338" t="str" cm="1">
        <f t="array" ref="B124">IF(C124="","Skip",IF(AND(Validator!G118=TRUE,Validator!G368=TRUE,Validator!G618=TRUE,Validator!G868=TRUE,Validator!G1118=TRUE,Validator!G1368=TRUE,OR(ISBLANK($R124),ISNUMBER(VALUE(SUBSTITUTE(SUBSTITUTE(SUBSTITUTE(SUBSTITUTE($R124," ",""),"c",""),"C",""),"-","")))),OR(SUMPRODUCT(--($U124=Package_type_code))&gt;0,$U124="",$U124="-")),"Valid","Invalid"))</f>
        <v>Skip</v>
      </c>
      <c r="C124" s="70"/>
      <c r="D124" s="395"/>
      <c r="E124" s="396"/>
      <c r="F124" s="178" t="str">
        <f t="shared" si="2"/>
        <v>-</v>
      </c>
      <c r="G124" s="398"/>
      <c r="H124" s="178" t="str">
        <f t="shared" si="3"/>
        <v>-</v>
      </c>
      <c r="I124" s="333"/>
      <c r="J124" s="400"/>
      <c r="K124" s="401"/>
      <c r="L124" s="402"/>
      <c r="M124" s="322"/>
      <c r="N124" s="584"/>
      <c r="O124" s="403" t="s">
        <v>278</v>
      </c>
      <c r="P124" s="404" t="s">
        <v>77</v>
      </c>
      <c r="Q124" s="329"/>
      <c r="R124" s="320"/>
      <c r="S124" s="320"/>
      <c r="T124" s="329"/>
      <c r="U124" s="336" t="str">
        <f>IF(ISERROR(VLOOKUP($T124, 'Reference data'!$J$2:$K$139, 2, FALSE)),"-",VLOOKUP($T124, 'Reference data'!$J$2:$K$139, 2, FALSE))</f>
        <v>-</v>
      </c>
      <c r="V124" s="320"/>
      <c r="W124" s="320"/>
      <c r="X124" s="324"/>
      <c r="Y124" s="325"/>
      <c r="Z124" s="70"/>
      <c r="AA124" s="352"/>
      <c r="AB124" s="86"/>
      <c r="AC124" s="72"/>
      <c r="AD124" s="331"/>
      <c r="AE124" s="239" t="s">
        <v>278</v>
      </c>
      <c r="AF124" s="243" t="s">
        <v>77</v>
      </c>
      <c r="AG124" s="334"/>
    </row>
    <row r="125" spans="2:33" s="306" customFormat="1" ht="12.75" customHeight="1" x14ac:dyDescent="0.2">
      <c r="B125" s="338" t="str" cm="1">
        <f t="array" ref="B125">IF(C125="","Skip",IF(AND(Validator!G119=TRUE,Validator!G369=TRUE,Validator!G619=TRUE,Validator!G869=TRUE,Validator!G1119=TRUE,Validator!G1369=TRUE,OR(ISBLANK($R125),ISNUMBER(VALUE(SUBSTITUTE(SUBSTITUTE(SUBSTITUTE(SUBSTITUTE($R125," ",""),"c",""),"C",""),"-","")))),OR(SUMPRODUCT(--($U125=Package_type_code))&gt;0,$U125="",$U125="-")),"Valid","Invalid"))</f>
        <v>Skip</v>
      </c>
      <c r="C125" s="70"/>
      <c r="D125" s="395"/>
      <c r="E125" s="396"/>
      <c r="F125" s="178" t="str">
        <f t="shared" si="2"/>
        <v>-</v>
      </c>
      <c r="G125" s="398"/>
      <c r="H125" s="178" t="str">
        <f t="shared" si="3"/>
        <v>-</v>
      </c>
      <c r="I125" s="333"/>
      <c r="J125" s="400"/>
      <c r="K125" s="401"/>
      <c r="L125" s="402"/>
      <c r="M125" s="322"/>
      <c r="N125" s="584"/>
      <c r="O125" s="403" t="s">
        <v>278</v>
      </c>
      <c r="P125" s="404" t="s">
        <v>77</v>
      </c>
      <c r="Q125" s="329"/>
      <c r="R125" s="320"/>
      <c r="S125" s="320"/>
      <c r="T125" s="329"/>
      <c r="U125" s="336" t="str">
        <f>IF(ISERROR(VLOOKUP($T125, 'Reference data'!$J$2:$K$139, 2, FALSE)),"-",VLOOKUP($T125, 'Reference data'!$J$2:$K$139, 2, FALSE))</f>
        <v>-</v>
      </c>
      <c r="V125" s="320"/>
      <c r="W125" s="320"/>
      <c r="X125" s="324"/>
      <c r="Y125" s="325"/>
      <c r="Z125" s="70"/>
      <c r="AA125" s="352"/>
      <c r="AB125" s="86"/>
      <c r="AC125" s="72"/>
      <c r="AD125" s="331"/>
      <c r="AE125" s="239" t="s">
        <v>278</v>
      </c>
      <c r="AF125" s="243" t="s">
        <v>77</v>
      </c>
      <c r="AG125" s="334"/>
    </row>
    <row r="126" spans="2:33" s="306" customFormat="1" ht="12.75" customHeight="1" x14ac:dyDescent="0.2">
      <c r="B126" s="338" t="str" cm="1">
        <f t="array" ref="B126">IF(C126="","Skip",IF(AND(Validator!G120=TRUE,Validator!G370=TRUE,Validator!G620=TRUE,Validator!G870=TRUE,Validator!G1120=TRUE,Validator!G1370=TRUE,OR(ISBLANK($R126),ISNUMBER(VALUE(SUBSTITUTE(SUBSTITUTE(SUBSTITUTE(SUBSTITUTE($R126," ",""),"c",""),"C",""),"-","")))),OR(SUMPRODUCT(--($U126=Package_type_code))&gt;0,$U126="",$U126="-")),"Valid","Invalid"))</f>
        <v>Skip</v>
      </c>
      <c r="C126" s="70"/>
      <c r="D126" s="395"/>
      <c r="E126" s="396"/>
      <c r="F126" s="178" t="str">
        <f t="shared" si="2"/>
        <v>-</v>
      </c>
      <c r="G126" s="398"/>
      <c r="H126" s="178" t="str">
        <f t="shared" si="3"/>
        <v>-</v>
      </c>
      <c r="I126" s="333"/>
      <c r="J126" s="400"/>
      <c r="K126" s="401"/>
      <c r="L126" s="402"/>
      <c r="M126" s="322"/>
      <c r="N126" s="584"/>
      <c r="O126" s="403" t="s">
        <v>278</v>
      </c>
      <c r="P126" s="404" t="s">
        <v>77</v>
      </c>
      <c r="Q126" s="329"/>
      <c r="R126" s="320"/>
      <c r="S126" s="320"/>
      <c r="T126" s="329"/>
      <c r="U126" s="336" t="str">
        <f>IF(ISERROR(VLOOKUP($T126, 'Reference data'!$J$2:$K$139, 2, FALSE)),"-",VLOOKUP($T126, 'Reference data'!$J$2:$K$139, 2, FALSE))</f>
        <v>-</v>
      </c>
      <c r="V126" s="320"/>
      <c r="W126" s="320"/>
      <c r="X126" s="324"/>
      <c r="Y126" s="325"/>
      <c r="Z126" s="70"/>
      <c r="AA126" s="352"/>
      <c r="AB126" s="86"/>
      <c r="AC126" s="72"/>
      <c r="AD126" s="331"/>
      <c r="AE126" s="239" t="s">
        <v>278</v>
      </c>
      <c r="AF126" s="243" t="s">
        <v>77</v>
      </c>
      <c r="AG126" s="334"/>
    </row>
    <row r="127" spans="2:33" s="306" customFormat="1" ht="12.75" customHeight="1" x14ac:dyDescent="0.2">
      <c r="B127" s="338" t="str" cm="1">
        <f t="array" ref="B127">IF(C127="","Skip",IF(AND(Validator!G121=TRUE,Validator!G371=TRUE,Validator!G621=TRUE,Validator!G871=TRUE,Validator!G1121=TRUE,Validator!G1371=TRUE,OR(ISBLANK($R127),ISNUMBER(VALUE(SUBSTITUTE(SUBSTITUTE(SUBSTITUTE(SUBSTITUTE($R127," ",""),"c",""),"C",""),"-","")))),OR(SUMPRODUCT(--($U127=Package_type_code))&gt;0,$U127="",$U127="-")),"Valid","Invalid"))</f>
        <v>Skip</v>
      </c>
      <c r="C127" s="70"/>
      <c r="D127" s="395"/>
      <c r="E127" s="396"/>
      <c r="F127" s="178" t="str">
        <f t="shared" si="2"/>
        <v>-</v>
      </c>
      <c r="G127" s="398"/>
      <c r="H127" s="178" t="str">
        <f t="shared" si="3"/>
        <v>-</v>
      </c>
      <c r="I127" s="333"/>
      <c r="J127" s="400"/>
      <c r="K127" s="401"/>
      <c r="L127" s="402"/>
      <c r="M127" s="322"/>
      <c r="N127" s="584"/>
      <c r="O127" s="403" t="s">
        <v>278</v>
      </c>
      <c r="P127" s="404" t="s">
        <v>77</v>
      </c>
      <c r="Q127" s="329"/>
      <c r="R127" s="320"/>
      <c r="S127" s="320"/>
      <c r="T127" s="329"/>
      <c r="U127" s="336" t="str">
        <f>IF(ISERROR(VLOOKUP($T127, 'Reference data'!$J$2:$K$139, 2, FALSE)),"-",VLOOKUP($T127, 'Reference data'!$J$2:$K$139, 2, FALSE))</f>
        <v>-</v>
      </c>
      <c r="V127" s="320"/>
      <c r="W127" s="320"/>
      <c r="X127" s="324"/>
      <c r="Y127" s="325"/>
      <c r="Z127" s="70"/>
      <c r="AA127" s="352"/>
      <c r="AB127" s="86"/>
      <c r="AC127" s="72"/>
      <c r="AD127" s="331"/>
      <c r="AE127" s="239" t="s">
        <v>278</v>
      </c>
      <c r="AF127" s="243" t="s">
        <v>77</v>
      </c>
      <c r="AG127" s="334"/>
    </row>
    <row r="128" spans="2:33" s="306" customFormat="1" ht="12.75" customHeight="1" x14ac:dyDescent="0.2">
      <c r="B128" s="338" t="str" cm="1">
        <f t="array" ref="B128">IF(C128="","Skip",IF(AND(Validator!G122=TRUE,Validator!G372=TRUE,Validator!G622=TRUE,Validator!G872=TRUE,Validator!G1122=TRUE,Validator!G1372=TRUE,OR(ISBLANK($R128),ISNUMBER(VALUE(SUBSTITUTE(SUBSTITUTE(SUBSTITUTE(SUBSTITUTE($R128," ",""),"c",""),"C",""),"-","")))),OR(SUMPRODUCT(--($U128=Package_type_code))&gt;0,$U128="",$U128="-")),"Valid","Invalid"))</f>
        <v>Skip</v>
      </c>
      <c r="C128" s="70"/>
      <c r="D128" s="395"/>
      <c r="E128" s="396"/>
      <c r="F128" s="178" t="str">
        <f t="shared" si="2"/>
        <v>-</v>
      </c>
      <c r="G128" s="398"/>
      <c r="H128" s="178" t="str">
        <f t="shared" si="3"/>
        <v>-</v>
      </c>
      <c r="I128" s="333"/>
      <c r="J128" s="400"/>
      <c r="K128" s="401"/>
      <c r="L128" s="402"/>
      <c r="M128" s="322"/>
      <c r="N128" s="584"/>
      <c r="O128" s="403" t="s">
        <v>278</v>
      </c>
      <c r="P128" s="404" t="s">
        <v>77</v>
      </c>
      <c r="Q128" s="329"/>
      <c r="R128" s="320"/>
      <c r="S128" s="320"/>
      <c r="T128" s="329"/>
      <c r="U128" s="336" t="str">
        <f>IF(ISERROR(VLOOKUP($T128, 'Reference data'!$J$2:$K$139, 2, FALSE)),"-",VLOOKUP($T128, 'Reference data'!$J$2:$K$139, 2, FALSE))</f>
        <v>-</v>
      </c>
      <c r="V128" s="320"/>
      <c r="W128" s="320"/>
      <c r="X128" s="324"/>
      <c r="Y128" s="325"/>
      <c r="Z128" s="70"/>
      <c r="AA128" s="352"/>
      <c r="AB128" s="86"/>
      <c r="AC128" s="72"/>
      <c r="AD128" s="331"/>
      <c r="AE128" s="239" t="s">
        <v>278</v>
      </c>
      <c r="AF128" s="243" t="s">
        <v>77</v>
      </c>
      <c r="AG128" s="334"/>
    </row>
    <row r="129" spans="2:33" s="306" customFormat="1" ht="12.75" customHeight="1" x14ac:dyDescent="0.2">
      <c r="B129" s="338" t="str" cm="1">
        <f t="array" ref="B129">IF(C129="","Skip",IF(AND(Validator!G123=TRUE,Validator!G373=TRUE,Validator!G623=TRUE,Validator!G873=TRUE,Validator!G1123=TRUE,Validator!G1373=TRUE,OR(ISBLANK($R129),ISNUMBER(VALUE(SUBSTITUTE(SUBSTITUTE(SUBSTITUTE(SUBSTITUTE($R129," ",""),"c",""),"C",""),"-","")))),OR(SUMPRODUCT(--($U129=Package_type_code))&gt;0,$U129="",$U129="-")),"Valid","Invalid"))</f>
        <v>Skip</v>
      </c>
      <c r="C129" s="70"/>
      <c r="D129" s="395"/>
      <c r="E129" s="396"/>
      <c r="F129" s="178" t="str">
        <f t="shared" si="2"/>
        <v>-</v>
      </c>
      <c r="G129" s="398"/>
      <c r="H129" s="178" t="str">
        <f t="shared" si="3"/>
        <v>-</v>
      </c>
      <c r="I129" s="333"/>
      <c r="J129" s="400"/>
      <c r="K129" s="401"/>
      <c r="L129" s="402"/>
      <c r="M129" s="322"/>
      <c r="N129" s="584"/>
      <c r="O129" s="403" t="s">
        <v>278</v>
      </c>
      <c r="P129" s="404" t="s">
        <v>77</v>
      </c>
      <c r="Q129" s="329"/>
      <c r="R129" s="320"/>
      <c r="S129" s="320"/>
      <c r="T129" s="329"/>
      <c r="U129" s="336" t="str">
        <f>IF(ISERROR(VLOOKUP($T129, 'Reference data'!$J$2:$K$139, 2, FALSE)),"-",VLOOKUP($T129, 'Reference data'!$J$2:$K$139, 2, FALSE))</f>
        <v>-</v>
      </c>
      <c r="V129" s="320"/>
      <c r="W129" s="320"/>
      <c r="X129" s="324"/>
      <c r="Y129" s="325"/>
      <c r="Z129" s="70"/>
      <c r="AA129" s="352"/>
      <c r="AB129" s="86"/>
      <c r="AC129" s="72"/>
      <c r="AD129" s="331"/>
      <c r="AE129" s="239" t="s">
        <v>278</v>
      </c>
      <c r="AF129" s="243" t="s">
        <v>77</v>
      </c>
      <c r="AG129" s="334"/>
    </row>
    <row r="130" spans="2:33" s="306" customFormat="1" ht="12.75" customHeight="1" x14ac:dyDescent="0.2">
      <c r="B130" s="338" t="str" cm="1">
        <f t="array" ref="B130">IF(C130="","Skip",IF(AND(Validator!G124=TRUE,Validator!G374=TRUE,Validator!G624=TRUE,Validator!G874=TRUE,Validator!G1124=TRUE,Validator!G1374=TRUE,OR(ISBLANK($R130),ISNUMBER(VALUE(SUBSTITUTE(SUBSTITUTE(SUBSTITUTE(SUBSTITUTE($R130," ",""),"c",""),"C",""),"-","")))),OR(SUMPRODUCT(--($U130=Package_type_code))&gt;0,$U130="",$U130="-")),"Valid","Invalid"))</f>
        <v>Skip</v>
      </c>
      <c r="C130" s="70"/>
      <c r="D130" s="395"/>
      <c r="E130" s="396"/>
      <c r="F130" s="178" t="str">
        <f t="shared" si="2"/>
        <v>-</v>
      </c>
      <c r="G130" s="398"/>
      <c r="H130" s="178" t="str">
        <f t="shared" si="3"/>
        <v>-</v>
      </c>
      <c r="I130" s="333"/>
      <c r="J130" s="400"/>
      <c r="K130" s="401"/>
      <c r="L130" s="402"/>
      <c r="M130" s="322"/>
      <c r="N130" s="584"/>
      <c r="O130" s="403" t="s">
        <v>278</v>
      </c>
      <c r="P130" s="404" t="s">
        <v>77</v>
      </c>
      <c r="Q130" s="329"/>
      <c r="R130" s="320"/>
      <c r="S130" s="320"/>
      <c r="T130" s="329"/>
      <c r="U130" s="336" t="str">
        <f>IF(ISERROR(VLOOKUP($T130, 'Reference data'!$J$2:$K$139, 2, FALSE)),"-",VLOOKUP($T130, 'Reference data'!$J$2:$K$139, 2, FALSE))</f>
        <v>-</v>
      </c>
      <c r="V130" s="320"/>
      <c r="W130" s="320"/>
      <c r="X130" s="324"/>
      <c r="Y130" s="325"/>
      <c r="Z130" s="70"/>
      <c r="AA130" s="352"/>
      <c r="AB130" s="86"/>
      <c r="AC130" s="72"/>
      <c r="AD130" s="331"/>
      <c r="AE130" s="239" t="s">
        <v>278</v>
      </c>
      <c r="AF130" s="243" t="s">
        <v>77</v>
      </c>
      <c r="AG130" s="334"/>
    </row>
    <row r="131" spans="2:33" s="306" customFormat="1" ht="12.75" customHeight="1" x14ac:dyDescent="0.2">
      <c r="B131" s="338" t="str" cm="1">
        <f t="array" ref="B131">IF(C131="","Skip",IF(AND(Validator!G125=TRUE,Validator!G375=TRUE,Validator!G625=TRUE,Validator!G875=TRUE,Validator!G1125=TRUE,Validator!G1375=TRUE,OR(ISBLANK($R131),ISNUMBER(VALUE(SUBSTITUTE(SUBSTITUTE(SUBSTITUTE(SUBSTITUTE($R131," ",""),"c",""),"C",""),"-","")))),OR(SUMPRODUCT(--($U131=Package_type_code))&gt;0,$U131="",$U131="-")),"Valid","Invalid"))</f>
        <v>Skip</v>
      </c>
      <c r="C131" s="70"/>
      <c r="D131" s="395"/>
      <c r="E131" s="396"/>
      <c r="F131" s="178" t="str">
        <f t="shared" si="2"/>
        <v>-</v>
      </c>
      <c r="G131" s="398"/>
      <c r="H131" s="178" t="str">
        <f t="shared" si="3"/>
        <v>-</v>
      </c>
      <c r="I131" s="333"/>
      <c r="J131" s="400"/>
      <c r="K131" s="401"/>
      <c r="L131" s="402"/>
      <c r="M131" s="322"/>
      <c r="N131" s="584"/>
      <c r="O131" s="403" t="s">
        <v>278</v>
      </c>
      <c r="P131" s="404" t="s">
        <v>77</v>
      </c>
      <c r="Q131" s="329"/>
      <c r="R131" s="320"/>
      <c r="S131" s="320"/>
      <c r="T131" s="329"/>
      <c r="U131" s="336" t="str">
        <f>IF(ISERROR(VLOOKUP($T131, 'Reference data'!$J$2:$K$139, 2, FALSE)),"-",VLOOKUP($T131, 'Reference data'!$J$2:$K$139, 2, FALSE))</f>
        <v>-</v>
      </c>
      <c r="V131" s="320"/>
      <c r="W131" s="320"/>
      <c r="X131" s="324"/>
      <c r="Y131" s="325"/>
      <c r="Z131" s="70"/>
      <c r="AA131" s="352"/>
      <c r="AB131" s="86"/>
      <c r="AC131" s="72"/>
      <c r="AD131" s="331"/>
      <c r="AE131" s="239" t="s">
        <v>278</v>
      </c>
      <c r="AF131" s="243" t="s">
        <v>77</v>
      </c>
      <c r="AG131" s="334"/>
    </row>
    <row r="132" spans="2:33" s="306" customFormat="1" ht="12.75" customHeight="1" x14ac:dyDescent="0.2">
      <c r="B132" s="338" t="str" cm="1">
        <f t="array" ref="B132">IF(C132="","Skip",IF(AND(Validator!G126=TRUE,Validator!G376=TRUE,Validator!G626=TRUE,Validator!G876=TRUE,Validator!G1126=TRUE,Validator!G1376=TRUE,OR(ISBLANK($R132),ISNUMBER(VALUE(SUBSTITUTE(SUBSTITUTE(SUBSTITUTE(SUBSTITUTE($R132," ",""),"c",""),"C",""),"-","")))),OR(SUMPRODUCT(--($U132=Package_type_code))&gt;0,$U132="",$U132="-")),"Valid","Invalid"))</f>
        <v>Skip</v>
      </c>
      <c r="C132" s="70"/>
      <c r="D132" s="395"/>
      <c r="E132" s="396"/>
      <c r="F132" s="178" t="str">
        <f t="shared" si="2"/>
        <v>-</v>
      </c>
      <c r="G132" s="398"/>
      <c r="H132" s="178" t="str">
        <f t="shared" si="3"/>
        <v>-</v>
      </c>
      <c r="I132" s="333"/>
      <c r="J132" s="400"/>
      <c r="K132" s="401"/>
      <c r="L132" s="402"/>
      <c r="M132" s="322"/>
      <c r="N132" s="584"/>
      <c r="O132" s="403" t="s">
        <v>278</v>
      </c>
      <c r="P132" s="404" t="s">
        <v>77</v>
      </c>
      <c r="Q132" s="329"/>
      <c r="R132" s="320"/>
      <c r="S132" s="320"/>
      <c r="T132" s="329"/>
      <c r="U132" s="336" t="str">
        <f>IF(ISERROR(VLOOKUP($T132, 'Reference data'!$J$2:$K$139, 2, FALSE)),"-",VLOOKUP($T132, 'Reference data'!$J$2:$K$139, 2, FALSE))</f>
        <v>-</v>
      </c>
      <c r="V132" s="320"/>
      <c r="W132" s="320"/>
      <c r="X132" s="324"/>
      <c r="Y132" s="325"/>
      <c r="Z132" s="70"/>
      <c r="AA132" s="352"/>
      <c r="AB132" s="86"/>
      <c r="AC132" s="72"/>
      <c r="AD132" s="331"/>
      <c r="AE132" s="239" t="s">
        <v>278</v>
      </c>
      <c r="AF132" s="243" t="s">
        <v>77</v>
      </c>
      <c r="AG132" s="334"/>
    </row>
    <row r="133" spans="2:33" s="306" customFormat="1" ht="12.75" customHeight="1" x14ac:dyDescent="0.2">
      <c r="B133" s="338" t="str" cm="1">
        <f t="array" ref="B133">IF(C133="","Skip",IF(AND(Validator!G127=TRUE,Validator!G377=TRUE,Validator!G627=TRUE,Validator!G877=TRUE,Validator!G1127=TRUE,Validator!G1377=TRUE,OR(ISBLANK($R133),ISNUMBER(VALUE(SUBSTITUTE(SUBSTITUTE(SUBSTITUTE(SUBSTITUTE($R133," ",""),"c",""),"C",""),"-","")))),OR(SUMPRODUCT(--($U133=Package_type_code))&gt;0,$U133="",$U133="-")),"Valid","Invalid"))</f>
        <v>Skip</v>
      </c>
      <c r="C133" s="70"/>
      <c r="D133" s="395"/>
      <c r="E133" s="396"/>
      <c r="F133" s="178" t="str">
        <f t="shared" si="2"/>
        <v>-</v>
      </c>
      <c r="G133" s="398"/>
      <c r="H133" s="178" t="str">
        <f t="shared" si="3"/>
        <v>-</v>
      </c>
      <c r="I133" s="333"/>
      <c r="J133" s="400"/>
      <c r="K133" s="401"/>
      <c r="L133" s="402"/>
      <c r="M133" s="322"/>
      <c r="N133" s="584"/>
      <c r="O133" s="403" t="s">
        <v>278</v>
      </c>
      <c r="P133" s="404" t="s">
        <v>77</v>
      </c>
      <c r="Q133" s="329"/>
      <c r="R133" s="320"/>
      <c r="S133" s="320"/>
      <c r="T133" s="329"/>
      <c r="U133" s="336" t="str">
        <f>IF(ISERROR(VLOOKUP($T133, 'Reference data'!$J$2:$K$139, 2, FALSE)),"-",VLOOKUP($T133, 'Reference data'!$J$2:$K$139, 2, FALSE))</f>
        <v>-</v>
      </c>
      <c r="V133" s="320"/>
      <c r="W133" s="320"/>
      <c r="X133" s="324"/>
      <c r="Y133" s="325"/>
      <c r="Z133" s="70"/>
      <c r="AA133" s="352"/>
      <c r="AB133" s="86"/>
      <c r="AC133" s="72"/>
      <c r="AD133" s="331"/>
      <c r="AE133" s="239" t="s">
        <v>278</v>
      </c>
      <c r="AF133" s="243" t="s">
        <v>77</v>
      </c>
      <c r="AG133" s="334"/>
    </row>
    <row r="134" spans="2:33" s="306" customFormat="1" ht="12.75" customHeight="1" x14ac:dyDescent="0.2">
      <c r="B134" s="338" t="str" cm="1">
        <f t="array" ref="B134">IF(C134="","Skip",IF(AND(Validator!G128=TRUE,Validator!G378=TRUE,Validator!G628=TRUE,Validator!G878=TRUE,Validator!G1128=TRUE,Validator!G1378=TRUE,OR(ISBLANK($R134),ISNUMBER(VALUE(SUBSTITUTE(SUBSTITUTE(SUBSTITUTE(SUBSTITUTE($R134," ",""),"c",""),"C",""),"-","")))),OR(SUMPRODUCT(--($U134=Package_type_code))&gt;0,$U134="",$U134="-")),"Valid","Invalid"))</f>
        <v>Skip</v>
      </c>
      <c r="C134" s="70"/>
      <c r="D134" s="395"/>
      <c r="E134" s="396"/>
      <c r="F134" s="178" t="str">
        <f t="shared" si="2"/>
        <v>-</v>
      </c>
      <c r="G134" s="398"/>
      <c r="H134" s="178" t="str">
        <f t="shared" si="3"/>
        <v>-</v>
      </c>
      <c r="I134" s="333"/>
      <c r="J134" s="400"/>
      <c r="K134" s="401"/>
      <c r="L134" s="402"/>
      <c r="M134" s="322"/>
      <c r="N134" s="584"/>
      <c r="O134" s="403" t="s">
        <v>278</v>
      </c>
      <c r="P134" s="404" t="s">
        <v>77</v>
      </c>
      <c r="Q134" s="329"/>
      <c r="R134" s="320"/>
      <c r="S134" s="320"/>
      <c r="T134" s="329"/>
      <c r="U134" s="336" t="str">
        <f>IF(ISERROR(VLOOKUP($T134, 'Reference data'!$J$2:$K$139, 2, FALSE)),"-",VLOOKUP($T134, 'Reference data'!$J$2:$K$139, 2, FALSE))</f>
        <v>-</v>
      </c>
      <c r="V134" s="320"/>
      <c r="W134" s="320"/>
      <c r="X134" s="324"/>
      <c r="Y134" s="325"/>
      <c r="Z134" s="70"/>
      <c r="AA134" s="352"/>
      <c r="AB134" s="86"/>
      <c r="AC134" s="72"/>
      <c r="AD134" s="331"/>
      <c r="AE134" s="239" t="s">
        <v>278</v>
      </c>
      <c r="AF134" s="243" t="s">
        <v>77</v>
      </c>
      <c r="AG134" s="334"/>
    </row>
    <row r="135" spans="2:33" s="306" customFormat="1" ht="12.75" customHeight="1" x14ac:dyDescent="0.2">
      <c r="B135" s="338" t="str" cm="1">
        <f t="array" ref="B135">IF(C135="","Skip",IF(AND(Validator!G129=TRUE,Validator!G379=TRUE,Validator!G629=TRUE,Validator!G879=TRUE,Validator!G1129=TRUE,Validator!G1379=TRUE,OR(ISBLANK($R135),ISNUMBER(VALUE(SUBSTITUTE(SUBSTITUTE(SUBSTITUTE(SUBSTITUTE($R135," ",""),"c",""),"C",""),"-","")))),OR(SUMPRODUCT(--($U135=Package_type_code))&gt;0,$U135="",$U135="-")),"Valid","Invalid"))</f>
        <v>Skip</v>
      </c>
      <c r="C135" s="70"/>
      <c r="D135" s="395"/>
      <c r="E135" s="396"/>
      <c r="F135" s="178" t="str">
        <f t="shared" si="2"/>
        <v>-</v>
      </c>
      <c r="G135" s="398"/>
      <c r="H135" s="178" t="str">
        <f t="shared" si="3"/>
        <v>-</v>
      </c>
      <c r="I135" s="333"/>
      <c r="J135" s="400"/>
      <c r="K135" s="401"/>
      <c r="L135" s="402"/>
      <c r="M135" s="322"/>
      <c r="N135" s="584"/>
      <c r="O135" s="403" t="s">
        <v>278</v>
      </c>
      <c r="P135" s="404" t="s">
        <v>77</v>
      </c>
      <c r="Q135" s="329"/>
      <c r="R135" s="320"/>
      <c r="S135" s="320"/>
      <c r="T135" s="329"/>
      <c r="U135" s="336" t="str">
        <f>IF(ISERROR(VLOOKUP($T135, 'Reference data'!$J$2:$K$139, 2, FALSE)),"-",VLOOKUP($T135, 'Reference data'!$J$2:$K$139, 2, FALSE))</f>
        <v>-</v>
      </c>
      <c r="V135" s="320"/>
      <c r="W135" s="320"/>
      <c r="X135" s="324"/>
      <c r="Y135" s="325"/>
      <c r="Z135" s="70"/>
      <c r="AA135" s="352"/>
      <c r="AB135" s="86"/>
      <c r="AC135" s="72"/>
      <c r="AD135" s="331"/>
      <c r="AE135" s="239" t="s">
        <v>278</v>
      </c>
      <c r="AF135" s="243" t="s">
        <v>77</v>
      </c>
      <c r="AG135" s="334"/>
    </row>
    <row r="136" spans="2:33" s="306" customFormat="1" ht="12.75" customHeight="1" x14ac:dyDescent="0.2">
      <c r="B136" s="338" t="str" cm="1">
        <f t="array" ref="B136">IF(C136="","Skip",IF(AND(Validator!G130=TRUE,Validator!G380=TRUE,Validator!G630=TRUE,Validator!G880=TRUE,Validator!G1130=TRUE,Validator!G1380=TRUE,OR(ISBLANK($R136),ISNUMBER(VALUE(SUBSTITUTE(SUBSTITUTE(SUBSTITUTE(SUBSTITUTE($R136," ",""),"c",""),"C",""),"-","")))),OR(SUMPRODUCT(--($U136=Package_type_code))&gt;0,$U136="",$U136="-")),"Valid","Invalid"))</f>
        <v>Skip</v>
      </c>
      <c r="C136" s="70"/>
      <c r="D136" s="395"/>
      <c r="E136" s="396"/>
      <c r="F136" s="178" t="str">
        <f t="shared" si="2"/>
        <v>-</v>
      </c>
      <c r="G136" s="398"/>
      <c r="H136" s="178" t="str">
        <f t="shared" si="3"/>
        <v>-</v>
      </c>
      <c r="I136" s="333"/>
      <c r="J136" s="400"/>
      <c r="K136" s="401"/>
      <c r="L136" s="402"/>
      <c r="M136" s="322"/>
      <c r="N136" s="584"/>
      <c r="O136" s="403" t="s">
        <v>278</v>
      </c>
      <c r="P136" s="404" t="s">
        <v>77</v>
      </c>
      <c r="Q136" s="329"/>
      <c r="R136" s="320"/>
      <c r="S136" s="320"/>
      <c r="T136" s="329"/>
      <c r="U136" s="336" t="str">
        <f>IF(ISERROR(VLOOKUP($T136, 'Reference data'!$J$2:$K$139, 2, FALSE)),"-",VLOOKUP($T136, 'Reference data'!$J$2:$K$139, 2, FALSE))</f>
        <v>-</v>
      </c>
      <c r="V136" s="320"/>
      <c r="W136" s="320"/>
      <c r="X136" s="324"/>
      <c r="Y136" s="325"/>
      <c r="Z136" s="70"/>
      <c r="AA136" s="352"/>
      <c r="AB136" s="86"/>
      <c r="AC136" s="72"/>
      <c r="AD136" s="331"/>
      <c r="AE136" s="239" t="s">
        <v>278</v>
      </c>
      <c r="AF136" s="243" t="s">
        <v>77</v>
      </c>
      <c r="AG136" s="334"/>
    </row>
    <row r="137" spans="2:33" s="306" customFormat="1" ht="12.75" customHeight="1" x14ac:dyDescent="0.2">
      <c r="B137" s="338" t="str" cm="1">
        <f t="array" ref="B137">IF(C137="","Skip",IF(AND(Validator!G131=TRUE,Validator!G381=TRUE,Validator!G631=TRUE,Validator!G881=TRUE,Validator!G1131=TRUE,Validator!G1381=TRUE,OR(ISBLANK($R137),ISNUMBER(VALUE(SUBSTITUTE(SUBSTITUTE(SUBSTITUTE(SUBSTITUTE($R137," ",""),"c",""),"C",""),"-","")))),OR(SUMPRODUCT(--($U137=Package_type_code))&gt;0,$U137="",$U137="-")),"Valid","Invalid"))</f>
        <v>Skip</v>
      </c>
      <c r="C137" s="70"/>
      <c r="D137" s="395"/>
      <c r="E137" s="396"/>
      <c r="F137" s="178" t="str">
        <f t="shared" si="2"/>
        <v>-</v>
      </c>
      <c r="G137" s="398"/>
      <c r="H137" s="178" t="str">
        <f t="shared" si="3"/>
        <v>-</v>
      </c>
      <c r="I137" s="333"/>
      <c r="J137" s="400"/>
      <c r="K137" s="401"/>
      <c r="L137" s="402"/>
      <c r="M137" s="322"/>
      <c r="N137" s="584"/>
      <c r="O137" s="403" t="s">
        <v>278</v>
      </c>
      <c r="P137" s="404" t="s">
        <v>77</v>
      </c>
      <c r="Q137" s="329"/>
      <c r="R137" s="320"/>
      <c r="S137" s="320"/>
      <c r="T137" s="329"/>
      <c r="U137" s="336" t="str">
        <f>IF(ISERROR(VLOOKUP($T137, 'Reference data'!$J$2:$K$139, 2, FALSE)),"-",VLOOKUP($T137, 'Reference data'!$J$2:$K$139, 2, FALSE))</f>
        <v>-</v>
      </c>
      <c r="V137" s="320"/>
      <c r="W137" s="320"/>
      <c r="X137" s="324"/>
      <c r="Y137" s="325"/>
      <c r="Z137" s="70"/>
      <c r="AA137" s="352"/>
      <c r="AB137" s="86"/>
      <c r="AC137" s="72"/>
      <c r="AD137" s="331"/>
      <c r="AE137" s="239" t="s">
        <v>278</v>
      </c>
      <c r="AF137" s="243" t="s">
        <v>77</v>
      </c>
      <c r="AG137" s="334"/>
    </row>
    <row r="138" spans="2:33" s="306" customFormat="1" ht="12.75" customHeight="1" x14ac:dyDescent="0.2">
      <c r="B138" s="338" t="str" cm="1">
        <f t="array" ref="B138">IF(C138="","Skip",IF(AND(Validator!G132=TRUE,Validator!G382=TRUE,Validator!G632=TRUE,Validator!G882=TRUE,Validator!G1132=TRUE,Validator!G1382=TRUE,OR(ISBLANK($R138),ISNUMBER(VALUE(SUBSTITUTE(SUBSTITUTE(SUBSTITUTE(SUBSTITUTE($R138," ",""),"c",""),"C",""),"-","")))),OR(SUMPRODUCT(--($U138=Package_type_code))&gt;0,$U138="",$U138="-")),"Valid","Invalid"))</f>
        <v>Skip</v>
      </c>
      <c r="C138" s="70"/>
      <c r="D138" s="395"/>
      <c r="E138" s="396"/>
      <c r="F138" s="178" t="str">
        <f t="shared" si="2"/>
        <v>-</v>
      </c>
      <c r="G138" s="398"/>
      <c r="H138" s="178" t="str">
        <f t="shared" si="3"/>
        <v>-</v>
      </c>
      <c r="I138" s="333"/>
      <c r="J138" s="400"/>
      <c r="K138" s="401"/>
      <c r="L138" s="402"/>
      <c r="M138" s="322"/>
      <c r="N138" s="584"/>
      <c r="O138" s="403" t="s">
        <v>278</v>
      </c>
      <c r="P138" s="404" t="s">
        <v>77</v>
      </c>
      <c r="Q138" s="329"/>
      <c r="R138" s="320"/>
      <c r="S138" s="320"/>
      <c r="T138" s="329"/>
      <c r="U138" s="336" t="str">
        <f>IF(ISERROR(VLOOKUP($T138, 'Reference data'!$J$2:$K$139, 2, FALSE)),"-",VLOOKUP($T138, 'Reference data'!$J$2:$K$139, 2, FALSE))</f>
        <v>-</v>
      </c>
      <c r="V138" s="320"/>
      <c r="W138" s="320"/>
      <c r="X138" s="324"/>
      <c r="Y138" s="325"/>
      <c r="Z138" s="70"/>
      <c r="AA138" s="352"/>
      <c r="AB138" s="86"/>
      <c r="AC138" s="72"/>
      <c r="AD138" s="331"/>
      <c r="AE138" s="239" t="s">
        <v>278</v>
      </c>
      <c r="AF138" s="243" t="s">
        <v>77</v>
      </c>
      <c r="AG138" s="334"/>
    </row>
    <row r="139" spans="2:33" s="306" customFormat="1" ht="12.75" customHeight="1" x14ac:dyDescent="0.2">
      <c r="B139" s="338" t="str" cm="1">
        <f t="array" ref="B139">IF(C139="","Skip",IF(AND(Validator!G133=TRUE,Validator!G383=TRUE,Validator!G633=TRUE,Validator!G883=TRUE,Validator!G1133=TRUE,Validator!G1383=TRUE,OR(ISBLANK($R139),ISNUMBER(VALUE(SUBSTITUTE(SUBSTITUTE(SUBSTITUTE(SUBSTITUTE($R139," ",""),"c",""),"C",""),"-","")))),OR(SUMPRODUCT(--($U139=Package_type_code))&gt;0,$U139="",$U139="-")),"Valid","Invalid"))</f>
        <v>Skip</v>
      </c>
      <c r="C139" s="70"/>
      <c r="D139" s="395"/>
      <c r="E139" s="396"/>
      <c r="F139" s="178" t="str">
        <f t="shared" si="2"/>
        <v>-</v>
      </c>
      <c r="G139" s="398"/>
      <c r="H139" s="178" t="str">
        <f t="shared" si="3"/>
        <v>-</v>
      </c>
      <c r="I139" s="333"/>
      <c r="J139" s="400"/>
      <c r="K139" s="401"/>
      <c r="L139" s="402"/>
      <c r="M139" s="322"/>
      <c r="N139" s="584"/>
      <c r="O139" s="403" t="s">
        <v>278</v>
      </c>
      <c r="P139" s="404" t="s">
        <v>77</v>
      </c>
      <c r="Q139" s="329"/>
      <c r="R139" s="320"/>
      <c r="S139" s="320"/>
      <c r="T139" s="329"/>
      <c r="U139" s="336" t="str">
        <f>IF(ISERROR(VLOOKUP($T139, 'Reference data'!$J$2:$K$139, 2, FALSE)),"-",VLOOKUP($T139, 'Reference data'!$J$2:$K$139, 2, FALSE))</f>
        <v>-</v>
      </c>
      <c r="V139" s="320"/>
      <c r="W139" s="320"/>
      <c r="X139" s="324"/>
      <c r="Y139" s="325"/>
      <c r="Z139" s="70"/>
      <c r="AA139" s="352"/>
      <c r="AB139" s="86"/>
      <c r="AC139" s="72"/>
      <c r="AD139" s="331"/>
      <c r="AE139" s="239" t="s">
        <v>278</v>
      </c>
      <c r="AF139" s="243" t="s">
        <v>77</v>
      </c>
      <c r="AG139" s="334"/>
    </row>
    <row r="140" spans="2:33" s="306" customFormat="1" ht="12.75" customHeight="1" x14ac:dyDescent="0.2">
      <c r="B140" s="338" t="str" cm="1">
        <f t="array" ref="B140">IF(C140="","Skip",IF(AND(Validator!G134=TRUE,Validator!G384=TRUE,Validator!G634=TRUE,Validator!G884=TRUE,Validator!G1134=TRUE,Validator!G1384=TRUE,OR(ISBLANK($R140),ISNUMBER(VALUE(SUBSTITUTE(SUBSTITUTE(SUBSTITUTE(SUBSTITUTE($R140," ",""),"c",""),"C",""),"-","")))),OR(SUMPRODUCT(--($U140=Package_type_code))&gt;0,$U140="",$U140="-")),"Valid","Invalid"))</f>
        <v>Skip</v>
      </c>
      <c r="C140" s="70"/>
      <c r="D140" s="395"/>
      <c r="E140" s="396"/>
      <c r="F140" s="178" t="str">
        <f t="shared" si="2"/>
        <v>-</v>
      </c>
      <c r="G140" s="398"/>
      <c r="H140" s="178" t="str">
        <f t="shared" si="3"/>
        <v>-</v>
      </c>
      <c r="I140" s="333"/>
      <c r="J140" s="400"/>
      <c r="K140" s="401"/>
      <c r="L140" s="402"/>
      <c r="M140" s="322"/>
      <c r="N140" s="584"/>
      <c r="O140" s="403" t="s">
        <v>278</v>
      </c>
      <c r="P140" s="404" t="s">
        <v>77</v>
      </c>
      <c r="Q140" s="329"/>
      <c r="R140" s="320"/>
      <c r="S140" s="320"/>
      <c r="T140" s="329"/>
      <c r="U140" s="336" t="str">
        <f>IF(ISERROR(VLOOKUP($T140, 'Reference data'!$J$2:$K$139, 2, FALSE)),"-",VLOOKUP($T140, 'Reference data'!$J$2:$K$139, 2, FALSE))</f>
        <v>-</v>
      </c>
      <c r="V140" s="320"/>
      <c r="W140" s="320"/>
      <c r="X140" s="324"/>
      <c r="Y140" s="325"/>
      <c r="Z140" s="70"/>
      <c r="AA140" s="352"/>
      <c r="AB140" s="86"/>
      <c r="AC140" s="72"/>
      <c r="AD140" s="331"/>
      <c r="AE140" s="239" t="s">
        <v>278</v>
      </c>
      <c r="AF140" s="243" t="s">
        <v>77</v>
      </c>
      <c r="AG140" s="334"/>
    </row>
    <row r="141" spans="2:33" s="306" customFormat="1" ht="12.75" customHeight="1" x14ac:dyDescent="0.2">
      <c r="B141" s="338" t="str" cm="1">
        <f t="array" ref="B141">IF(C141="","Skip",IF(AND(Validator!G135=TRUE,Validator!G385=TRUE,Validator!G635=TRUE,Validator!G885=TRUE,Validator!G1135=TRUE,Validator!G1385=TRUE,OR(ISBLANK($R141),ISNUMBER(VALUE(SUBSTITUTE(SUBSTITUTE(SUBSTITUTE(SUBSTITUTE($R141," ",""),"c",""),"C",""),"-","")))),OR(SUMPRODUCT(--($U141=Package_type_code))&gt;0,$U141="",$U141="-")),"Valid","Invalid"))</f>
        <v>Skip</v>
      </c>
      <c r="C141" s="70"/>
      <c r="D141" s="395"/>
      <c r="E141" s="396"/>
      <c r="F141" s="178" t="str">
        <f t="shared" si="2"/>
        <v>-</v>
      </c>
      <c r="G141" s="398"/>
      <c r="H141" s="178" t="str">
        <f t="shared" si="3"/>
        <v>-</v>
      </c>
      <c r="I141" s="333"/>
      <c r="J141" s="400"/>
      <c r="K141" s="401"/>
      <c r="L141" s="402"/>
      <c r="M141" s="322"/>
      <c r="N141" s="584"/>
      <c r="O141" s="403" t="s">
        <v>278</v>
      </c>
      <c r="P141" s="404" t="s">
        <v>77</v>
      </c>
      <c r="Q141" s="329"/>
      <c r="R141" s="320"/>
      <c r="S141" s="320"/>
      <c r="T141" s="329"/>
      <c r="U141" s="336" t="str">
        <f>IF(ISERROR(VLOOKUP($T141, 'Reference data'!$J$2:$K$139, 2, FALSE)),"-",VLOOKUP($T141, 'Reference data'!$J$2:$K$139, 2, FALSE))</f>
        <v>-</v>
      </c>
      <c r="V141" s="320"/>
      <c r="W141" s="320"/>
      <c r="X141" s="324"/>
      <c r="Y141" s="325"/>
      <c r="Z141" s="70"/>
      <c r="AA141" s="352"/>
      <c r="AB141" s="86"/>
      <c r="AC141" s="72"/>
      <c r="AD141" s="331"/>
      <c r="AE141" s="239" t="s">
        <v>278</v>
      </c>
      <c r="AF141" s="243" t="s">
        <v>77</v>
      </c>
      <c r="AG141" s="334"/>
    </row>
    <row r="142" spans="2:33" s="306" customFormat="1" ht="12.75" customHeight="1" x14ac:dyDescent="0.2">
      <c r="B142" s="338" t="str" cm="1">
        <f t="array" ref="B142">IF(C142="","Skip",IF(AND(Validator!G136=TRUE,Validator!G386=TRUE,Validator!G636=TRUE,Validator!G886=TRUE,Validator!G1136=TRUE,Validator!G1386=TRUE,OR(ISBLANK($R142),ISNUMBER(VALUE(SUBSTITUTE(SUBSTITUTE(SUBSTITUTE(SUBSTITUTE($R142," ",""),"c",""),"C",""),"-","")))),OR(SUMPRODUCT(--($U142=Package_type_code))&gt;0,$U142="",$U142="-")),"Valid","Invalid"))</f>
        <v>Skip</v>
      </c>
      <c r="C142" s="70"/>
      <c r="D142" s="395"/>
      <c r="E142" s="396"/>
      <c r="F142" s="178" t="str">
        <f t="shared" ref="F142:F205" si="4">IF(ISERROR(VLOOKUP($E142,REF_LOCODE_PORTNAME_COUNTRY, 2,FALSE)),"-",VLOOKUP($E142,REF_LOCODE_PORTNAME_COUNTRY, 2,FALSE))</f>
        <v>-</v>
      </c>
      <c r="G142" s="398"/>
      <c r="H142" s="178" t="str">
        <f t="shared" ref="H142:H205" si="5">IF(ISERROR(VLOOKUP($G142,REF_LOCODE_PORTNAME_COUNTRY, 2,FALSE)),"-",VLOOKUP($G142,REF_LOCODE_PORTNAME_COUNTRY, 2,FALSE))</f>
        <v>-</v>
      </c>
      <c r="I142" s="333"/>
      <c r="J142" s="400"/>
      <c r="K142" s="401"/>
      <c r="L142" s="402"/>
      <c r="M142" s="322"/>
      <c r="N142" s="584"/>
      <c r="O142" s="403" t="s">
        <v>278</v>
      </c>
      <c r="P142" s="404" t="s">
        <v>77</v>
      </c>
      <c r="Q142" s="329"/>
      <c r="R142" s="320"/>
      <c r="S142" s="320"/>
      <c r="T142" s="329"/>
      <c r="U142" s="336" t="str">
        <f>IF(ISERROR(VLOOKUP($T142, 'Reference data'!$J$2:$K$139, 2, FALSE)),"-",VLOOKUP($T142, 'Reference data'!$J$2:$K$139, 2, FALSE))</f>
        <v>-</v>
      </c>
      <c r="V142" s="320"/>
      <c r="W142" s="320"/>
      <c r="X142" s="324"/>
      <c r="Y142" s="325"/>
      <c r="Z142" s="70"/>
      <c r="AA142" s="352"/>
      <c r="AB142" s="86"/>
      <c r="AC142" s="72"/>
      <c r="AD142" s="331"/>
      <c r="AE142" s="239" t="s">
        <v>278</v>
      </c>
      <c r="AF142" s="243" t="s">
        <v>77</v>
      </c>
      <c r="AG142" s="334"/>
    </row>
    <row r="143" spans="2:33" s="306" customFormat="1" ht="12.75" customHeight="1" x14ac:dyDescent="0.2">
      <c r="B143" s="338" t="str" cm="1">
        <f t="array" ref="B143">IF(C143="","Skip",IF(AND(Validator!G137=TRUE,Validator!G387=TRUE,Validator!G637=TRUE,Validator!G887=TRUE,Validator!G1137=TRUE,Validator!G1387=TRUE,OR(ISBLANK($R143),ISNUMBER(VALUE(SUBSTITUTE(SUBSTITUTE(SUBSTITUTE(SUBSTITUTE($R143," ",""),"c",""),"C",""),"-","")))),OR(SUMPRODUCT(--($U143=Package_type_code))&gt;0,$U143="",$U143="-")),"Valid","Invalid"))</f>
        <v>Skip</v>
      </c>
      <c r="C143" s="70"/>
      <c r="D143" s="395"/>
      <c r="E143" s="396"/>
      <c r="F143" s="178" t="str">
        <f t="shared" si="4"/>
        <v>-</v>
      </c>
      <c r="G143" s="398"/>
      <c r="H143" s="178" t="str">
        <f t="shared" si="5"/>
        <v>-</v>
      </c>
      <c r="I143" s="333"/>
      <c r="J143" s="400"/>
      <c r="K143" s="401"/>
      <c r="L143" s="402"/>
      <c r="M143" s="322"/>
      <c r="N143" s="584"/>
      <c r="O143" s="403" t="s">
        <v>278</v>
      </c>
      <c r="P143" s="404" t="s">
        <v>77</v>
      </c>
      <c r="Q143" s="329"/>
      <c r="R143" s="320"/>
      <c r="S143" s="320"/>
      <c r="T143" s="329"/>
      <c r="U143" s="336" t="str">
        <f>IF(ISERROR(VLOOKUP($T143, 'Reference data'!$J$2:$K$139, 2, FALSE)),"-",VLOOKUP($T143, 'Reference data'!$J$2:$K$139, 2, FALSE))</f>
        <v>-</v>
      </c>
      <c r="V143" s="320"/>
      <c r="W143" s="320"/>
      <c r="X143" s="324"/>
      <c r="Y143" s="325"/>
      <c r="Z143" s="70"/>
      <c r="AA143" s="352"/>
      <c r="AB143" s="86"/>
      <c r="AC143" s="72"/>
      <c r="AD143" s="331"/>
      <c r="AE143" s="239" t="s">
        <v>278</v>
      </c>
      <c r="AF143" s="243" t="s">
        <v>77</v>
      </c>
      <c r="AG143" s="334"/>
    </row>
    <row r="144" spans="2:33" s="306" customFormat="1" ht="12.75" customHeight="1" x14ac:dyDescent="0.2">
      <c r="B144" s="338" t="str" cm="1">
        <f t="array" ref="B144">IF(C144="","Skip",IF(AND(Validator!G138=TRUE,Validator!G388=TRUE,Validator!G638=TRUE,Validator!G888=TRUE,Validator!G1138=TRUE,Validator!G1388=TRUE,OR(ISBLANK($R144),ISNUMBER(VALUE(SUBSTITUTE(SUBSTITUTE(SUBSTITUTE(SUBSTITUTE($R144," ",""),"c",""),"C",""),"-","")))),OR(SUMPRODUCT(--($U144=Package_type_code))&gt;0,$U144="",$U144="-")),"Valid","Invalid"))</f>
        <v>Skip</v>
      </c>
      <c r="C144" s="70"/>
      <c r="D144" s="395"/>
      <c r="E144" s="396"/>
      <c r="F144" s="178" t="str">
        <f t="shared" si="4"/>
        <v>-</v>
      </c>
      <c r="G144" s="398"/>
      <c r="H144" s="178" t="str">
        <f t="shared" si="5"/>
        <v>-</v>
      </c>
      <c r="I144" s="333"/>
      <c r="J144" s="400"/>
      <c r="K144" s="401"/>
      <c r="L144" s="402"/>
      <c r="M144" s="322"/>
      <c r="N144" s="584"/>
      <c r="O144" s="403" t="s">
        <v>278</v>
      </c>
      <c r="P144" s="404" t="s">
        <v>77</v>
      </c>
      <c r="Q144" s="329"/>
      <c r="R144" s="320"/>
      <c r="S144" s="320"/>
      <c r="T144" s="329"/>
      <c r="U144" s="336" t="str">
        <f>IF(ISERROR(VLOOKUP($T144, 'Reference data'!$J$2:$K$139, 2, FALSE)),"-",VLOOKUP($T144, 'Reference data'!$J$2:$K$139, 2, FALSE))</f>
        <v>-</v>
      </c>
      <c r="V144" s="320"/>
      <c r="W144" s="320"/>
      <c r="X144" s="324"/>
      <c r="Y144" s="325"/>
      <c r="Z144" s="70"/>
      <c r="AA144" s="352"/>
      <c r="AB144" s="86"/>
      <c r="AC144" s="72"/>
      <c r="AD144" s="331"/>
      <c r="AE144" s="239" t="s">
        <v>278</v>
      </c>
      <c r="AF144" s="243" t="s">
        <v>77</v>
      </c>
      <c r="AG144" s="334"/>
    </row>
    <row r="145" spans="2:33" s="306" customFormat="1" ht="12.75" customHeight="1" x14ac:dyDescent="0.2">
      <c r="B145" s="338" t="str" cm="1">
        <f t="array" ref="B145">IF(C145="","Skip",IF(AND(Validator!G139=TRUE,Validator!G389=TRUE,Validator!G639=TRUE,Validator!G889=TRUE,Validator!G1139=TRUE,Validator!G1389=TRUE,OR(ISBLANK($R145),ISNUMBER(VALUE(SUBSTITUTE(SUBSTITUTE(SUBSTITUTE(SUBSTITUTE($R145," ",""),"c",""),"C",""),"-","")))),OR(SUMPRODUCT(--($U145=Package_type_code))&gt;0,$U145="",$U145="-")),"Valid","Invalid"))</f>
        <v>Skip</v>
      </c>
      <c r="C145" s="70"/>
      <c r="D145" s="395"/>
      <c r="E145" s="396"/>
      <c r="F145" s="178" t="str">
        <f t="shared" si="4"/>
        <v>-</v>
      </c>
      <c r="G145" s="398"/>
      <c r="H145" s="178" t="str">
        <f t="shared" si="5"/>
        <v>-</v>
      </c>
      <c r="I145" s="333"/>
      <c r="J145" s="400"/>
      <c r="K145" s="401"/>
      <c r="L145" s="402"/>
      <c r="M145" s="322"/>
      <c r="N145" s="584"/>
      <c r="O145" s="403" t="s">
        <v>278</v>
      </c>
      <c r="P145" s="404" t="s">
        <v>77</v>
      </c>
      <c r="Q145" s="329"/>
      <c r="R145" s="320"/>
      <c r="S145" s="320"/>
      <c r="T145" s="329"/>
      <c r="U145" s="336" t="str">
        <f>IF(ISERROR(VLOOKUP($T145, 'Reference data'!$J$2:$K$139, 2, FALSE)),"-",VLOOKUP($T145, 'Reference data'!$J$2:$K$139, 2, FALSE))</f>
        <v>-</v>
      </c>
      <c r="V145" s="320"/>
      <c r="W145" s="320"/>
      <c r="X145" s="324"/>
      <c r="Y145" s="325"/>
      <c r="Z145" s="70"/>
      <c r="AA145" s="352"/>
      <c r="AB145" s="86"/>
      <c r="AC145" s="72"/>
      <c r="AD145" s="331"/>
      <c r="AE145" s="239" t="s">
        <v>278</v>
      </c>
      <c r="AF145" s="243" t="s">
        <v>77</v>
      </c>
      <c r="AG145" s="334"/>
    </row>
    <row r="146" spans="2:33" s="306" customFormat="1" ht="12.75" customHeight="1" x14ac:dyDescent="0.2">
      <c r="B146" s="338" t="str" cm="1">
        <f t="array" ref="B146">IF(C146="","Skip",IF(AND(Validator!G140=TRUE,Validator!G390=TRUE,Validator!G640=TRUE,Validator!G890=TRUE,Validator!G1140=TRUE,Validator!G1390=TRUE,OR(ISBLANK($R146),ISNUMBER(VALUE(SUBSTITUTE(SUBSTITUTE(SUBSTITUTE(SUBSTITUTE($R146," ",""),"c",""),"C",""),"-","")))),OR(SUMPRODUCT(--($U146=Package_type_code))&gt;0,$U146="",$U146="-")),"Valid","Invalid"))</f>
        <v>Skip</v>
      </c>
      <c r="C146" s="70"/>
      <c r="D146" s="395"/>
      <c r="E146" s="396"/>
      <c r="F146" s="178" t="str">
        <f t="shared" si="4"/>
        <v>-</v>
      </c>
      <c r="G146" s="398"/>
      <c r="H146" s="178" t="str">
        <f t="shared" si="5"/>
        <v>-</v>
      </c>
      <c r="I146" s="333"/>
      <c r="J146" s="400"/>
      <c r="K146" s="401"/>
      <c r="L146" s="402"/>
      <c r="M146" s="322"/>
      <c r="N146" s="584"/>
      <c r="O146" s="403" t="s">
        <v>278</v>
      </c>
      <c r="P146" s="404" t="s">
        <v>77</v>
      </c>
      <c r="Q146" s="329"/>
      <c r="R146" s="320"/>
      <c r="S146" s="320"/>
      <c r="T146" s="329"/>
      <c r="U146" s="336" t="str">
        <f>IF(ISERROR(VLOOKUP($T146, 'Reference data'!$J$2:$K$139, 2, FALSE)),"-",VLOOKUP($T146, 'Reference data'!$J$2:$K$139, 2, FALSE))</f>
        <v>-</v>
      </c>
      <c r="V146" s="320"/>
      <c r="W146" s="320"/>
      <c r="X146" s="324"/>
      <c r="Y146" s="325"/>
      <c r="Z146" s="70"/>
      <c r="AA146" s="352"/>
      <c r="AB146" s="86"/>
      <c r="AC146" s="72"/>
      <c r="AD146" s="331"/>
      <c r="AE146" s="239" t="s">
        <v>278</v>
      </c>
      <c r="AF146" s="243" t="s">
        <v>77</v>
      </c>
      <c r="AG146" s="334"/>
    </row>
    <row r="147" spans="2:33" s="306" customFormat="1" ht="12.75" customHeight="1" x14ac:dyDescent="0.2">
      <c r="B147" s="338" t="str" cm="1">
        <f t="array" ref="B147">IF(C147="","Skip",IF(AND(Validator!G141=TRUE,Validator!G391=TRUE,Validator!G641=TRUE,Validator!G891=TRUE,Validator!G1141=TRUE,Validator!G1391=TRUE,OR(ISBLANK($R147),ISNUMBER(VALUE(SUBSTITUTE(SUBSTITUTE(SUBSTITUTE(SUBSTITUTE($R147," ",""),"c",""),"C",""),"-","")))),OR(SUMPRODUCT(--($U147=Package_type_code))&gt;0,$U147="",$U147="-")),"Valid","Invalid"))</f>
        <v>Skip</v>
      </c>
      <c r="C147" s="70"/>
      <c r="D147" s="395"/>
      <c r="E147" s="396"/>
      <c r="F147" s="178" t="str">
        <f t="shared" si="4"/>
        <v>-</v>
      </c>
      <c r="G147" s="398"/>
      <c r="H147" s="178" t="str">
        <f t="shared" si="5"/>
        <v>-</v>
      </c>
      <c r="I147" s="333"/>
      <c r="J147" s="400"/>
      <c r="K147" s="401"/>
      <c r="L147" s="402"/>
      <c r="M147" s="322"/>
      <c r="N147" s="584"/>
      <c r="O147" s="403" t="s">
        <v>278</v>
      </c>
      <c r="P147" s="404" t="s">
        <v>77</v>
      </c>
      <c r="Q147" s="329"/>
      <c r="R147" s="320"/>
      <c r="S147" s="320"/>
      <c r="T147" s="329"/>
      <c r="U147" s="336" t="str">
        <f>IF(ISERROR(VLOOKUP($T147, 'Reference data'!$J$2:$K$139, 2, FALSE)),"-",VLOOKUP($T147, 'Reference data'!$J$2:$K$139, 2, FALSE))</f>
        <v>-</v>
      </c>
      <c r="V147" s="320"/>
      <c r="W147" s="320"/>
      <c r="X147" s="324"/>
      <c r="Y147" s="325"/>
      <c r="Z147" s="70"/>
      <c r="AA147" s="352"/>
      <c r="AB147" s="86"/>
      <c r="AC147" s="72"/>
      <c r="AD147" s="331"/>
      <c r="AE147" s="239" t="s">
        <v>278</v>
      </c>
      <c r="AF147" s="243" t="s">
        <v>77</v>
      </c>
      <c r="AG147" s="334"/>
    </row>
    <row r="148" spans="2:33" s="306" customFormat="1" ht="12.75" customHeight="1" x14ac:dyDescent="0.2">
      <c r="B148" s="338" t="str" cm="1">
        <f t="array" ref="B148">IF(C148="","Skip",IF(AND(Validator!G142=TRUE,Validator!G392=TRUE,Validator!G642=TRUE,Validator!G892=TRUE,Validator!G1142=TRUE,Validator!G1392=TRUE,OR(ISBLANK($R148),ISNUMBER(VALUE(SUBSTITUTE(SUBSTITUTE(SUBSTITUTE(SUBSTITUTE($R148," ",""),"c",""),"C",""),"-","")))),OR(SUMPRODUCT(--($U148=Package_type_code))&gt;0,$U148="",$U148="-")),"Valid","Invalid"))</f>
        <v>Skip</v>
      </c>
      <c r="C148" s="70"/>
      <c r="D148" s="395"/>
      <c r="E148" s="396"/>
      <c r="F148" s="178" t="str">
        <f t="shared" si="4"/>
        <v>-</v>
      </c>
      <c r="G148" s="398"/>
      <c r="H148" s="178" t="str">
        <f t="shared" si="5"/>
        <v>-</v>
      </c>
      <c r="I148" s="333"/>
      <c r="J148" s="400"/>
      <c r="K148" s="401"/>
      <c r="L148" s="402"/>
      <c r="M148" s="322"/>
      <c r="N148" s="584"/>
      <c r="O148" s="403" t="s">
        <v>278</v>
      </c>
      <c r="P148" s="404" t="s">
        <v>77</v>
      </c>
      <c r="Q148" s="329"/>
      <c r="R148" s="320"/>
      <c r="S148" s="320"/>
      <c r="T148" s="329"/>
      <c r="U148" s="336" t="str">
        <f>IF(ISERROR(VLOOKUP($T148, 'Reference data'!$J$2:$K$139, 2, FALSE)),"-",VLOOKUP($T148, 'Reference data'!$J$2:$K$139, 2, FALSE))</f>
        <v>-</v>
      </c>
      <c r="V148" s="320"/>
      <c r="W148" s="320"/>
      <c r="X148" s="324"/>
      <c r="Y148" s="325"/>
      <c r="Z148" s="70"/>
      <c r="AA148" s="352"/>
      <c r="AB148" s="86"/>
      <c r="AC148" s="72"/>
      <c r="AD148" s="331"/>
      <c r="AE148" s="239" t="s">
        <v>278</v>
      </c>
      <c r="AF148" s="243" t="s">
        <v>77</v>
      </c>
      <c r="AG148" s="334"/>
    </row>
    <row r="149" spans="2:33" s="306" customFormat="1" ht="12.75" customHeight="1" x14ac:dyDescent="0.2">
      <c r="B149" s="338" t="str" cm="1">
        <f t="array" ref="B149">IF(C149="","Skip",IF(AND(Validator!G143=TRUE,Validator!G393=TRUE,Validator!G643=TRUE,Validator!G893=TRUE,Validator!G1143=TRUE,Validator!G1393=TRUE,OR(ISBLANK($R149),ISNUMBER(VALUE(SUBSTITUTE(SUBSTITUTE(SUBSTITUTE(SUBSTITUTE($R149," ",""),"c",""),"C",""),"-","")))),OR(SUMPRODUCT(--($U149=Package_type_code))&gt;0,$U149="",$U149="-")),"Valid","Invalid"))</f>
        <v>Skip</v>
      </c>
      <c r="C149" s="70"/>
      <c r="D149" s="395"/>
      <c r="E149" s="396"/>
      <c r="F149" s="178" t="str">
        <f t="shared" si="4"/>
        <v>-</v>
      </c>
      <c r="G149" s="398"/>
      <c r="H149" s="178" t="str">
        <f t="shared" si="5"/>
        <v>-</v>
      </c>
      <c r="I149" s="333"/>
      <c r="J149" s="400"/>
      <c r="K149" s="401"/>
      <c r="L149" s="402"/>
      <c r="M149" s="322"/>
      <c r="N149" s="584"/>
      <c r="O149" s="403" t="s">
        <v>278</v>
      </c>
      <c r="P149" s="404" t="s">
        <v>77</v>
      </c>
      <c r="Q149" s="329"/>
      <c r="R149" s="320"/>
      <c r="S149" s="320"/>
      <c r="T149" s="329"/>
      <c r="U149" s="336" t="str">
        <f>IF(ISERROR(VLOOKUP($T149, 'Reference data'!$J$2:$K$139, 2, FALSE)),"-",VLOOKUP($T149, 'Reference data'!$J$2:$K$139, 2, FALSE))</f>
        <v>-</v>
      </c>
      <c r="V149" s="320"/>
      <c r="W149" s="320"/>
      <c r="X149" s="324"/>
      <c r="Y149" s="325"/>
      <c r="Z149" s="70"/>
      <c r="AA149" s="352"/>
      <c r="AB149" s="86"/>
      <c r="AC149" s="72"/>
      <c r="AD149" s="331"/>
      <c r="AE149" s="239" t="s">
        <v>278</v>
      </c>
      <c r="AF149" s="243" t="s">
        <v>77</v>
      </c>
      <c r="AG149" s="334"/>
    </row>
    <row r="150" spans="2:33" s="306" customFormat="1" ht="12.75" customHeight="1" x14ac:dyDescent="0.2">
      <c r="B150" s="338" t="str" cm="1">
        <f t="array" ref="B150">IF(C150="","Skip",IF(AND(Validator!G144=TRUE,Validator!G394=TRUE,Validator!G644=TRUE,Validator!G894=TRUE,Validator!G1144=TRUE,Validator!G1394=TRUE,OR(ISBLANK($R150),ISNUMBER(VALUE(SUBSTITUTE(SUBSTITUTE(SUBSTITUTE(SUBSTITUTE($R150," ",""),"c",""),"C",""),"-","")))),OR(SUMPRODUCT(--($U150=Package_type_code))&gt;0,$U150="",$U150="-")),"Valid","Invalid"))</f>
        <v>Skip</v>
      </c>
      <c r="C150" s="70"/>
      <c r="D150" s="395"/>
      <c r="E150" s="396"/>
      <c r="F150" s="178" t="str">
        <f t="shared" si="4"/>
        <v>-</v>
      </c>
      <c r="G150" s="398"/>
      <c r="H150" s="178" t="str">
        <f t="shared" si="5"/>
        <v>-</v>
      </c>
      <c r="I150" s="333"/>
      <c r="J150" s="400"/>
      <c r="K150" s="401"/>
      <c r="L150" s="402"/>
      <c r="M150" s="322"/>
      <c r="N150" s="584"/>
      <c r="O150" s="403" t="s">
        <v>278</v>
      </c>
      <c r="P150" s="404" t="s">
        <v>77</v>
      </c>
      <c r="Q150" s="329"/>
      <c r="R150" s="320"/>
      <c r="S150" s="320"/>
      <c r="T150" s="329"/>
      <c r="U150" s="336" t="str">
        <f>IF(ISERROR(VLOOKUP($T150, 'Reference data'!$J$2:$K$139, 2, FALSE)),"-",VLOOKUP($T150, 'Reference data'!$J$2:$K$139, 2, FALSE))</f>
        <v>-</v>
      </c>
      <c r="V150" s="320"/>
      <c r="W150" s="320"/>
      <c r="X150" s="324"/>
      <c r="Y150" s="325"/>
      <c r="Z150" s="70"/>
      <c r="AA150" s="352"/>
      <c r="AB150" s="86"/>
      <c r="AC150" s="72"/>
      <c r="AD150" s="331"/>
      <c r="AE150" s="239" t="s">
        <v>278</v>
      </c>
      <c r="AF150" s="243" t="s">
        <v>77</v>
      </c>
      <c r="AG150" s="334"/>
    </row>
    <row r="151" spans="2:33" s="306" customFormat="1" ht="12.75" customHeight="1" x14ac:dyDescent="0.2">
      <c r="B151" s="338" t="str" cm="1">
        <f t="array" ref="B151">IF(C151="","Skip",IF(AND(Validator!G145=TRUE,Validator!G395=TRUE,Validator!G645=TRUE,Validator!G895=TRUE,Validator!G1145=TRUE,Validator!G1395=TRUE,OR(ISBLANK($R151),ISNUMBER(VALUE(SUBSTITUTE(SUBSTITUTE(SUBSTITUTE(SUBSTITUTE($R151," ",""),"c",""),"C",""),"-","")))),OR(SUMPRODUCT(--($U151=Package_type_code))&gt;0,$U151="",$U151="-")),"Valid","Invalid"))</f>
        <v>Skip</v>
      </c>
      <c r="C151" s="70"/>
      <c r="D151" s="395"/>
      <c r="E151" s="396"/>
      <c r="F151" s="178" t="str">
        <f t="shared" si="4"/>
        <v>-</v>
      </c>
      <c r="G151" s="398"/>
      <c r="H151" s="178" t="str">
        <f t="shared" si="5"/>
        <v>-</v>
      </c>
      <c r="I151" s="333"/>
      <c r="J151" s="400"/>
      <c r="K151" s="401"/>
      <c r="L151" s="402"/>
      <c r="M151" s="322"/>
      <c r="N151" s="584"/>
      <c r="O151" s="403" t="s">
        <v>278</v>
      </c>
      <c r="P151" s="404" t="s">
        <v>77</v>
      </c>
      <c r="Q151" s="329"/>
      <c r="R151" s="320"/>
      <c r="S151" s="320"/>
      <c r="T151" s="329"/>
      <c r="U151" s="336" t="str">
        <f>IF(ISERROR(VLOOKUP($T151, 'Reference data'!$J$2:$K$139, 2, FALSE)),"-",VLOOKUP($T151, 'Reference data'!$J$2:$K$139, 2, FALSE))</f>
        <v>-</v>
      </c>
      <c r="V151" s="320"/>
      <c r="W151" s="320"/>
      <c r="X151" s="324"/>
      <c r="Y151" s="325"/>
      <c r="Z151" s="70"/>
      <c r="AA151" s="352"/>
      <c r="AB151" s="86"/>
      <c r="AC151" s="72"/>
      <c r="AD151" s="331"/>
      <c r="AE151" s="239" t="s">
        <v>278</v>
      </c>
      <c r="AF151" s="243" t="s">
        <v>77</v>
      </c>
      <c r="AG151" s="334"/>
    </row>
    <row r="152" spans="2:33" s="306" customFormat="1" ht="12.75" customHeight="1" x14ac:dyDescent="0.2">
      <c r="B152" s="338" t="str" cm="1">
        <f t="array" ref="B152">IF(C152="","Skip",IF(AND(Validator!G146=TRUE,Validator!G396=TRUE,Validator!G646=TRUE,Validator!G896=TRUE,Validator!G1146=TRUE,Validator!G1396=TRUE,OR(ISBLANK($R152),ISNUMBER(VALUE(SUBSTITUTE(SUBSTITUTE(SUBSTITUTE(SUBSTITUTE($R152," ",""),"c",""),"C",""),"-","")))),OR(SUMPRODUCT(--($U152=Package_type_code))&gt;0,$U152="",$U152="-")),"Valid","Invalid"))</f>
        <v>Skip</v>
      </c>
      <c r="C152" s="70"/>
      <c r="D152" s="395"/>
      <c r="E152" s="396"/>
      <c r="F152" s="178" t="str">
        <f t="shared" si="4"/>
        <v>-</v>
      </c>
      <c r="G152" s="398"/>
      <c r="H152" s="178" t="str">
        <f t="shared" si="5"/>
        <v>-</v>
      </c>
      <c r="I152" s="333"/>
      <c r="J152" s="400"/>
      <c r="K152" s="401"/>
      <c r="L152" s="402"/>
      <c r="M152" s="322"/>
      <c r="N152" s="584"/>
      <c r="O152" s="403" t="s">
        <v>278</v>
      </c>
      <c r="P152" s="404" t="s">
        <v>77</v>
      </c>
      <c r="Q152" s="329"/>
      <c r="R152" s="320"/>
      <c r="S152" s="320"/>
      <c r="T152" s="329"/>
      <c r="U152" s="336" t="str">
        <f>IF(ISERROR(VLOOKUP($T152, 'Reference data'!$J$2:$K$139, 2, FALSE)),"-",VLOOKUP($T152, 'Reference data'!$J$2:$K$139, 2, FALSE))</f>
        <v>-</v>
      </c>
      <c r="V152" s="320"/>
      <c r="W152" s="320"/>
      <c r="X152" s="324"/>
      <c r="Y152" s="325"/>
      <c r="Z152" s="70"/>
      <c r="AA152" s="352"/>
      <c r="AB152" s="86"/>
      <c r="AC152" s="72"/>
      <c r="AD152" s="331"/>
      <c r="AE152" s="239" t="s">
        <v>278</v>
      </c>
      <c r="AF152" s="243" t="s">
        <v>77</v>
      </c>
      <c r="AG152" s="334"/>
    </row>
    <row r="153" spans="2:33" s="306" customFormat="1" ht="12.75" customHeight="1" x14ac:dyDescent="0.2">
      <c r="B153" s="338" t="str" cm="1">
        <f t="array" ref="B153">IF(C153="","Skip",IF(AND(Validator!G147=TRUE,Validator!G397=TRUE,Validator!G647=TRUE,Validator!G897=TRUE,Validator!G1147=TRUE,Validator!G1397=TRUE,OR(ISBLANK($R153),ISNUMBER(VALUE(SUBSTITUTE(SUBSTITUTE(SUBSTITUTE(SUBSTITUTE($R153," ",""),"c",""),"C",""),"-","")))),OR(SUMPRODUCT(--($U153=Package_type_code))&gt;0,$U153="",$U153="-")),"Valid","Invalid"))</f>
        <v>Skip</v>
      </c>
      <c r="C153" s="70"/>
      <c r="D153" s="395"/>
      <c r="E153" s="396"/>
      <c r="F153" s="178" t="str">
        <f t="shared" si="4"/>
        <v>-</v>
      </c>
      <c r="G153" s="398"/>
      <c r="H153" s="178" t="str">
        <f t="shared" si="5"/>
        <v>-</v>
      </c>
      <c r="I153" s="333"/>
      <c r="J153" s="400"/>
      <c r="K153" s="401"/>
      <c r="L153" s="402"/>
      <c r="M153" s="322"/>
      <c r="N153" s="584"/>
      <c r="O153" s="403" t="s">
        <v>278</v>
      </c>
      <c r="P153" s="404" t="s">
        <v>77</v>
      </c>
      <c r="Q153" s="329"/>
      <c r="R153" s="320"/>
      <c r="S153" s="320"/>
      <c r="T153" s="329"/>
      <c r="U153" s="336" t="str">
        <f>IF(ISERROR(VLOOKUP($T153, 'Reference data'!$J$2:$K$139, 2, FALSE)),"-",VLOOKUP($T153, 'Reference data'!$J$2:$K$139, 2, FALSE))</f>
        <v>-</v>
      </c>
      <c r="V153" s="320"/>
      <c r="W153" s="320"/>
      <c r="X153" s="324"/>
      <c r="Y153" s="325"/>
      <c r="Z153" s="70"/>
      <c r="AA153" s="352"/>
      <c r="AB153" s="86"/>
      <c r="AC153" s="72"/>
      <c r="AD153" s="331"/>
      <c r="AE153" s="239" t="s">
        <v>278</v>
      </c>
      <c r="AF153" s="243" t="s">
        <v>77</v>
      </c>
      <c r="AG153" s="334"/>
    </row>
    <row r="154" spans="2:33" s="306" customFormat="1" ht="12.75" customHeight="1" x14ac:dyDescent="0.2">
      <c r="B154" s="338" t="str" cm="1">
        <f t="array" ref="B154">IF(C154="","Skip",IF(AND(Validator!G148=TRUE,Validator!G398=TRUE,Validator!G648=TRUE,Validator!G898=TRUE,Validator!G1148=TRUE,Validator!G1398=TRUE,OR(ISBLANK($R154),ISNUMBER(VALUE(SUBSTITUTE(SUBSTITUTE(SUBSTITUTE(SUBSTITUTE($R154," ",""),"c",""),"C",""),"-","")))),OR(SUMPRODUCT(--($U154=Package_type_code))&gt;0,$U154="",$U154="-")),"Valid","Invalid"))</f>
        <v>Skip</v>
      </c>
      <c r="C154" s="70"/>
      <c r="D154" s="395"/>
      <c r="E154" s="396"/>
      <c r="F154" s="178" t="str">
        <f t="shared" si="4"/>
        <v>-</v>
      </c>
      <c r="G154" s="398"/>
      <c r="H154" s="178" t="str">
        <f t="shared" si="5"/>
        <v>-</v>
      </c>
      <c r="I154" s="333"/>
      <c r="J154" s="400"/>
      <c r="K154" s="401"/>
      <c r="L154" s="402"/>
      <c r="M154" s="322"/>
      <c r="N154" s="584"/>
      <c r="O154" s="403" t="s">
        <v>278</v>
      </c>
      <c r="P154" s="404" t="s">
        <v>77</v>
      </c>
      <c r="Q154" s="329"/>
      <c r="R154" s="320"/>
      <c r="S154" s="320"/>
      <c r="T154" s="329"/>
      <c r="U154" s="336" t="str">
        <f>IF(ISERROR(VLOOKUP($T154, 'Reference data'!$J$2:$K$139, 2, FALSE)),"-",VLOOKUP($T154, 'Reference data'!$J$2:$K$139, 2, FALSE))</f>
        <v>-</v>
      </c>
      <c r="V154" s="320"/>
      <c r="W154" s="320"/>
      <c r="X154" s="324"/>
      <c r="Y154" s="325"/>
      <c r="Z154" s="70"/>
      <c r="AA154" s="352"/>
      <c r="AB154" s="86"/>
      <c r="AC154" s="72"/>
      <c r="AD154" s="331"/>
      <c r="AE154" s="239" t="s">
        <v>278</v>
      </c>
      <c r="AF154" s="243" t="s">
        <v>77</v>
      </c>
      <c r="AG154" s="334"/>
    </row>
    <row r="155" spans="2:33" s="306" customFormat="1" ht="12.75" customHeight="1" x14ac:dyDescent="0.2">
      <c r="B155" s="338" t="str" cm="1">
        <f t="array" ref="B155">IF(C155="","Skip",IF(AND(Validator!G149=TRUE,Validator!G399=TRUE,Validator!G649=TRUE,Validator!G899=TRUE,Validator!G1149=TRUE,Validator!G1399=TRUE,OR(ISBLANK($R155),ISNUMBER(VALUE(SUBSTITUTE(SUBSTITUTE(SUBSTITUTE(SUBSTITUTE($R155," ",""),"c",""),"C",""),"-","")))),OR(SUMPRODUCT(--($U155=Package_type_code))&gt;0,$U155="",$U155="-")),"Valid","Invalid"))</f>
        <v>Skip</v>
      </c>
      <c r="C155" s="70"/>
      <c r="D155" s="395"/>
      <c r="E155" s="396"/>
      <c r="F155" s="178" t="str">
        <f t="shared" si="4"/>
        <v>-</v>
      </c>
      <c r="G155" s="398"/>
      <c r="H155" s="178" t="str">
        <f t="shared" si="5"/>
        <v>-</v>
      </c>
      <c r="I155" s="333"/>
      <c r="J155" s="400"/>
      <c r="K155" s="401"/>
      <c r="L155" s="402"/>
      <c r="M155" s="322"/>
      <c r="N155" s="584"/>
      <c r="O155" s="403" t="s">
        <v>278</v>
      </c>
      <c r="P155" s="404" t="s">
        <v>77</v>
      </c>
      <c r="Q155" s="329"/>
      <c r="R155" s="320"/>
      <c r="S155" s="320"/>
      <c r="T155" s="329"/>
      <c r="U155" s="336" t="str">
        <f>IF(ISERROR(VLOOKUP($T155, 'Reference data'!$J$2:$K$139, 2, FALSE)),"-",VLOOKUP($T155, 'Reference data'!$J$2:$K$139, 2, FALSE))</f>
        <v>-</v>
      </c>
      <c r="V155" s="320"/>
      <c r="W155" s="320"/>
      <c r="X155" s="324"/>
      <c r="Y155" s="325"/>
      <c r="Z155" s="70"/>
      <c r="AA155" s="352"/>
      <c r="AB155" s="86"/>
      <c r="AC155" s="72"/>
      <c r="AD155" s="331"/>
      <c r="AE155" s="239" t="s">
        <v>278</v>
      </c>
      <c r="AF155" s="243" t="s">
        <v>77</v>
      </c>
      <c r="AG155" s="334"/>
    </row>
    <row r="156" spans="2:33" s="306" customFormat="1" ht="12.75" customHeight="1" x14ac:dyDescent="0.2">
      <c r="B156" s="338" t="str" cm="1">
        <f t="array" ref="B156">IF(C156="","Skip",IF(AND(Validator!G150=TRUE,Validator!G400=TRUE,Validator!G650=TRUE,Validator!G900=TRUE,Validator!G1150=TRUE,Validator!G1400=TRUE,OR(ISBLANK($R156),ISNUMBER(VALUE(SUBSTITUTE(SUBSTITUTE(SUBSTITUTE(SUBSTITUTE($R156," ",""),"c",""),"C",""),"-","")))),OR(SUMPRODUCT(--($U156=Package_type_code))&gt;0,$U156="",$U156="-")),"Valid","Invalid"))</f>
        <v>Skip</v>
      </c>
      <c r="C156" s="70"/>
      <c r="D156" s="395"/>
      <c r="E156" s="396"/>
      <c r="F156" s="178" t="str">
        <f t="shared" si="4"/>
        <v>-</v>
      </c>
      <c r="G156" s="398"/>
      <c r="H156" s="178" t="str">
        <f t="shared" si="5"/>
        <v>-</v>
      </c>
      <c r="I156" s="333"/>
      <c r="J156" s="400"/>
      <c r="K156" s="401"/>
      <c r="L156" s="402"/>
      <c r="M156" s="322"/>
      <c r="N156" s="584"/>
      <c r="O156" s="403" t="s">
        <v>278</v>
      </c>
      <c r="P156" s="404" t="s">
        <v>77</v>
      </c>
      <c r="Q156" s="329"/>
      <c r="R156" s="320"/>
      <c r="S156" s="320"/>
      <c r="T156" s="329"/>
      <c r="U156" s="336" t="str">
        <f>IF(ISERROR(VLOOKUP($T156, 'Reference data'!$J$2:$K$139, 2, FALSE)),"-",VLOOKUP($T156, 'Reference data'!$J$2:$K$139, 2, FALSE))</f>
        <v>-</v>
      </c>
      <c r="V156" s="320"/>
      <c r="W156" s="320"/>
      <c r="X156" s="324"/>
      <c r="Y156" s="325"/>
      <c r="Z156" s="70"/>
      <c r="AA156" s="352"/>
      <c r="AB156" s="86"/>
      <c r="AC156" s="72"/>
      <c r="AD156" s="331"/>
      <c r="AE156" s="239" t="s">
        <v>278</v>
      </c>
      <c r="AF156" s="243" t="s">
        <v>77</v>
      </c>
      <c r="AG156" s="334"/>
    </row>
    <row r="157" spans="2:33" s="306" customFormat="1" ht="12.75" customHeight="1" x14ac:dyDescent="0.2">
      <c r="B157" s="338" t="str" cm="1">
        <f t="array" ref="B157">IF(C157="","Skip",IF(AND(Validator!G151=TRUE,Validator!G401=TRUE,Validator!G651=TRUE,Validator!G901=TRUE,Validator!G1151=TRUE,Validator!G1401=TRUE,OR(ISBLANK($R157),ISNUMBER(VALUE(SUBSTITUTE(SUBSTITUTE(SUBSTITUTE(SUBSTITUTE($R157," ",""),"c",""),"C",""),"-","")))),OR(SUMPRODUCT(--($U157=Package_type_code))&gt;0,$U157="",$U157="-")),"Valid","Invalid"))</f>
        <v>Skip</v>
      </c>
      <c r="C157" s="70"/>
      <c r="D157" s="395"/>
      <c r="E157" s="396"/>
      <c r="F157" s="178" t="str">
        <f t="shared" si="4"/>
        <v>-</v>
      </c>
      <c r="G157" s="398"/>
      <c r="H157" s="178" t="str">
        <f t="shared" si="5"/>
        <v>-</v>
      </c>
      <c r="I157" s="333"/>
      <c r="J157" s="400"/>
      <c r="K157" s="401"/>
      <c r="L157" s="402"/>
      <c r="M157" s="322"/>
      <c r="N157" s="584"/>
      <c r="O157" s="403" t="s">
        <v>278</v>
      </c>
      <c r="P157" s="404" t="s">
        <v>77</v>
      </c>
      <c r="Q157" s="329"/>
      <c r="R157" s="320"/>
      <c r="S157" s="320"/>
      <c r="T157" s="329"/>
      <c r="U157" s="336" t="str">
        <f>IF(ISERROR(VLOOKUP($T157, 'Reference data'!$J$2:$K$139, 2, FALSE)),"-",VLOOKUP($T157, 'Reference data'!$J$2:$K$139, 2, FALSE))</f>
        <v>-</v>
      </c>
      <c r="V157" s="320"/>
      <c r="W157" s="320"/>
      <c r="X157" s="324"/>
      <c r="Y157" s="325"/>
      <c r="Z157" s="70"/>
      <c r="AA157" s="352"/>
      <c r="AB157" s="86"/>
      <c r="AC157" s="72"/>
      <c r="AD157" s="331"/>
      <c r="AE157" s="239" t="s">
        <v>278</v>
      </c>
      <c r="AF157" s="243" t="s">
        <v>77</v>
      </c>
      <c r="AG157" s="334"/>
    </row>
    <row r="158" spans="2:33" s="306" customFormat="1" ht="12.75" customHeight="1" x14ac:dyDescent="0.2">
      <c r="B158" s="338" t="str" cm="1">
        <f t="array" ref="B158">IF(C158="","Skip",IF(AND(Validator!G152=TRUE,Validator!G402=TRUE,Validator!G652=TRUE,Validator!G902=TRUE,Validator!G1152=TRUE,Validator!G1402=TRUE,OR(ISBLANK($R158),ISNUMBER(VALUE(SUBSTITUTE(SUBSTITUTE(SUBSTITUTE(SUBSTITUTE($R158," ",""),"c",""),"C",""),"-","")))),OR(SUMPRODUCT(--($U158=Package_type_code))&gt;0,$U158="",$U158="-")),"Valid","Invalid"))</f>
        <v>Skip</v>
      </c>
      <c r="C158" s="70"/>
      <c r="D158" s="395"/>
      <c r="E158" s="396"/>
      <c r="F158" s="178" t="str">
        <f t="shared" si="4"/>
        <v>-</v>
      </c>
      <c r="G158" s="398"/>
      <c r="H158" s="178" t="str">
        <f t="shared" si="5"/>
        <v>-</v>
      </c>
      <c r="I158" s="333"/>
      <c r="J158" s="400"/>
      <c r="K158" s="401"/>
      <c r="L158" s="402"/>
      <c r="M158" s="322"/>
      <c r="N158" s="584"/>
      <c r="O158" s="403" t="s">
        <v>278</v>
      </c>
      <c r="P158" s="404" t="s">
        <v>77</v>
      </c>
      <c r="Q158" s="329"/>
      <c r="R158" s="320"/>
      <c r="S158" s="320"/>
      <c r="T158" s="329"/>
      <c r="U158" s="336" t="str">
        <f>IF(ISERROR(VLOOKUP($T158, 'Reference data'!$J$2:$K$139, 2, FALSE)),"-",VLOOKUP($T158, 'Reference data'!$J$2:$K$139, 2, FALSE))</f>
        <v>-</v>
      </c>
      <c r="V158" s="320"/>
      <c r="W158" s="320"/>
      <c r="X158" s="324"/>
      <c r="Y158" s="325"/>
      <c r="Z158" s="70"/>
      <c r="AA158" s="352"/>
      <c r="AB158" s="86"/>
      <c r="AC158" s="72"/>
      <c r="AD158" s="331"/>
      <c r="AE158" s="239" t="s">
        <v>278</v>
      </c>
      <c r="AF158" s="243" t="s">
        <v>77</v>
      </c>
      <c r="AG158" s="334"/>
    </row>
    <row r="159" spans="2:33" s="306" customFormat="1" ht="12.75" customHeight="1" x14ac:dyDescent="0.2">
      <c r="B159" s="338" t="str" cm="1">
        <f t="array" ref="B159">IF(C159="","Skip",IF(AND(Validator!G153=TRUE,Validator!G403=TRUE,Validator!G653=TRUE,Validator!G903=TRUE,Validator!G1153=TRUE,Validator!G1403=TRUE,OR(ISBLANK($R159),ISNUMBER(VALUE(SUBSTITUTE(SUBSTITUTE(SUBSTITUTE(SUBSTITUTE($R159," ",""),"c",""),"C",""),"-","")))),OR(SUMPRODUCT(--($U159=Package_type_code))&gt;0,$U159="",$U159="-")),"Valid","Invalid"))</f>
        <v>Skip</v>
      </c>
      <c r="C159" s="70"/>
      <c r="D159" s="395"/>
      <c r="E159" s="396"/>
      <c r="F159" s="178" t="str">
        <f t="shared" si="4"/>
        <v>-</v>
      </c>
      <c r="G159" s="398"/>
      <c r="H159" s="178" t="str">
        <f t="shared" si="5"/>
        <v>-</v>
      </c>
      <c r="I159" s="333"/>
      <c r="J159" s="400"/>
      <c r="K159" s="401"/>
      <c r="L159" s="402"/>
      <c r="M159" s="322"/>
      <c r="N159" s="584"/>
      <c r="O159" s="403" t="s">
        <v>278</v>
      </c>
      <c r="P159" s="404" t="s">
        <v>77</v>
      </c>
      <c r="Q159" s="329"/>
      <c r="R159" s="320"/>
      <c r="S159" s="320"/>
      <c r="T159" s="329"/>
      <c r="U159" s="336" t="str">
        <f>IF(ISERROR(VLOOKUP($T159, 'Reference data'!$J$2:$K$139, 2, FALSE)),"-",VLOOKUP($T159, 'Reference data'!$J$2:$K$139, 2, FALSE))</f>
        <v>-</v>
      </c>
      <c r="V159" s="320"/>
      <c r="W159" s="320"/>
      <c r="X159" s="324"/>
      <c r="Y159" s="325"/>
      <c r="Z159" s="70"/>
      <c r="AA159" s="352"/>
      <c r="AB159" s="86"/>
      <c r="AC159" s="72"/>
      <c r="AD159" s="331"/>
      <c r="AE159" s="239" t="s">
        <v>278</v>
      </c>
      <c r="AF159" s="243" t="s">
        <v>77</v>
      </c>
      <c r="AG159" s="334"/>
    </row>
    <row r="160" spans="2:33" s="306" customFormat="1" ht="12.75" customHeight="1" x14ac:dyDescent="0.2">
      <c r="B160" s="338" t="str" cm="1">
        <f t="array" ref="B160">IF(C160="","Skip",IF(AND(Validator!G154=TRUE,Validator!G404=TRUE,Validator!G654=TRUE,Validator!G904=TRUE,Validator!G1154=TRUE,Validator!G1404=TRUE,OR(ISBLANK($R160),ISNUMBER(VALUE(SUBSTITUTE(SUBSTITUTE(SUBSTITUTE(SUBSTITUTE($R160," ",""),"c",""),"C",""),"-","")))),OR(SUMPRODUCT(--($U160=Package_type_code))&gt;0,$U160="",$U160="-")),"Valid","Invalid"))</f>
        <v>Skip</v>
      </c>
      <c r="C160" s="70"/>
      <c r="D160" s="395"/>
      <c r="E160" s="396"/>
      <c r="F160" s="178" t="str">
        <f t="shared" si="4"/>
        <v>-</v>
      </c>
      <c r="G160" s="398"/>
      <c r="H160" s="178" t="str">
        <f t="shared" si="5"/>
        <v>-</v>
      </c>
      <c r="I160" s="333"/>
      <c r="J160" s="400"/>
      <c r="K160" s="401"/>
      <c r="L160" s="402"/>
      <c r="M160" s="322"/>
      <c r="N160" s="584"/>
      <c r="O160" s="403" t="s">
        <v>278</v>
      </c>
      <c r="P160" s="404" t="s">
        <v>77</v>
      </c>
      <c r="Q160" s="329"/>
      <c r="R160" s="320"/>
      <c r="S160" s="320"/>
      <c r="T160" s="329"/>
      <c r="U160" s="336" t="str">
        <f>IF(ISERROR(VLOOKUP($T160, 'Reference data'!$J$2:$K$139, 2, FALSE)),"-",VLOOKUP($T160, 'Reference data'!$J$2:$K$139, 2, FALSE))</f>
        <v>-</v>
      </c>
      <c r="V160" s="320"/>
      <c r="W160" s="320"/>
      <c r="X160" s="324"/>
      <c r="Y160" s="325"/>
      <c r="Z160" s="70"/>
      <c r="AA160" s="352"/>
      <c r="AB160" s="86"/>
      <c r="AC160" s="72"/>
      <c r="AD160" s="331"/>
      <c r="AE160" s="239" t="s">
        <v>278</v>
      </c>
      <c r="AF160" s="243" t="s">
        <v>77</v>
      </c>
      <c r="AG160" s="334"/>
    </row>
    <row r="161" spans="2:33" s="306" customFormat="1" ht="12.75" customHeight="1" x14ac:dyDescent="0.2">
      <c r="B161" s="338" t="str" cm="1">
        <f t="array" ref="B161">IF(C161="","Skip",IF(AND(Validator!G155=TRUE,Validator!G405=TRUE,Validator!G655=TRUE,Validator!G905=TRUE,Validator!G1155=TRUE,Validator!G1405=TRUE,OR(ISBLANK($R161),ISNUMBER(VALUE(SUBSTITUTE(SUBSTITUTE(SUBSTITUTE(SUBSTITUTE($R161," ",""),"c",""),"C",""),"-","")))),OR(SUMPRODUCT(--($U161=Package_type_code))&gt;0,$U161="",$U161="-")),"Valid","Invalid"))</f>
        <v>Skip</v>
      </c>
      <c r="C161" s="70"/>
      <c r="D161" s="395"/>
      <c r="E161" s="396"/>
      <c r="F161" s="178" t="str">
        <f t="shared" si="4"/>
        <v>-</v>
      </c>
      <c r="G161" s="398"/>
      <c r="H161" s="178" t="str">
        <f t="shared" si="5"/>
        <v>-</v>
      </c>
      <c r="I161" s="333"/>
      <c r="J161" s="400"/>
      <c r="K161" s="401"/>
      <c r="L161" s="402"/>
      <c r="M161" s="322"/>
      <c r="N161" s="584"/>
      <c r="O161" s="403" t="s">
        <v>278</v>
      </c>
      <c r="P161" s="404" t="s">
        <v>77</v>
      </c>
      <c r="Q161" s="329"/>
      <c r="R161" s="320"/>
      <c r="S161" s="320"/>
      <c r="T161" s="329"/>
      <c r="U161" s="336" t="str">
        <f>IF(ISERROR(VLOOKUP($T161, 'Reference data'!$J$2:$K$139, 2, FALSE)),"-",VLOOKUP($T161, 'Reference data'!$J$2:$K$139, 2, FALSE))</f>
        <v>-</v>
      </c>
      <c r="V161" s="320"/>
      <c r="W161" s="320"/>
      <c r="X161" s="324"/>
      <c r="Y161" s="325"/>
      <c r="Z161" s="70"/>
      <c r="AA161" s="352"/>
      <c r="AB161" s="86"/>
      <c r="AC161" s="72"/>
      <c r="AD161" s="331"/>
      <c r="AE161" s="239" t="s">
        <v>278</v>
      </c>
      <c r="AF161" s="243" t="s">
        <v>77</v>
      </c>
      <c r="AG161" s="334"/>
    </row>
    <row r="162" spans="2:33" s="306" customFormat="1" ht="12.75" customHeight="1" x14ac:dyDescent="0.2">
      <c r="B162" s="338" t="str" cm="1">
        <f t="array" ref="B162">IF(C162="","Skip",IF(AND(Validator!G156=TRUE,Validator!G406=TRUE,Validator!G656=TRUE,Validator!G906=TRUE,Validator!G1156=TRUE,Validator!G1406=TRUE,OR(ISBLANK($R162),ISNUMBER(VALUE(SUBSTITUTE(SUBSTITUTE(SUBSTITUTE(SUBSTITUTE($R162," ",""),"c",""),"C",""),"-","")))),OR(SUMPRODUCT(--($U162=Package_type_code))&gt;0,$U162="",$U162="-")),"Valid","Invalid"))</f>
        <v>Skip</v>
      </c>
      <c r="C162" s="70"/>
      <c r="D162" s="395"/>
      <c r="E162" s="396"/>
      <c r="F162" s="178" t="str">
        <f t="shared" si="4"/>
        <v>-</v>
      </c>
      <c r="G162" s="398"/>
      <c r="H162" s="178" t="str">
        <f t="shared" si="5"/>
        <v>-</v>
      </c>
      <c r="I162" s="333"/>
      <c r="J162" s="400"/>
      <c r="K162" s="401"/>
      <c r="L162" s="402"/>
      <c r="M162" s="322"/>
      <c r="N162" s="584"/>
      <c r="O162" s="403" t="s">
        <v>278</v>
      </c>
      <c r="P162" s="404" t="s">
        <v>77</v>
      </c>
      <c r="Q162" s="329"/>
      <c r="R162" s="320"/>
      <c r="S162" s="320"/>
      <c r="T162" s="329"/>
      <c r="U162" s="336" t="str">
        <f>IF(ISERROR(VLOOKUP($T162, 'Reference data'!$J$2:$K$139, 2, FALSE)),"-",VLOOKUP($T162, 'Reference data'!$J$2:$K$139, 2, FALSE))</f>
        <v>-</v>
      </c>
      <c r="V162" s="320"/>
      <c r="W162" s="320"/>
      <c r="X162" s="324"/>
      <c r="Y162" s="325"/>
      <c r="Z162" s="70"/>
      <c r="AA162" s="352"/>
      <c r="AB162" s="86"/>
      <c r="AC162" s="72"/>
      <c r="AD162" s="331"/>
      <c r="AE162" s="239" t="s">
        <v>278</v>
      </c>
      <c r="AF162" s="243" t="s">
        <v>77</v>
      </c>
      <c r="AG162" s="334"/>
    </row>
    <row r="163" spans="2:33" s="306" customFormat="1" ht="12.75" customHeight="1" x14ac:dyDescent="0.2">
      <c r="B163" s="338" t="str" cm="1">
        <f t="array" ref="B163">IF(C163="","Skip",IF(AND(Validator!G157=TRUE,Validator!G407=TRUE,Validator!G657=TRUE,Validator!G907=TRUE,Validator!G1157=TRUE,Validator!G1407=TRUE,OR(ISBLANK($R163),ISNUMBER(VALUE(SUBSTITUTE(SUBSTITUTE(SUBSTITUTE(SUBSTITUTE($R163," ",""),"c",""),"C",""),"-","")))),OR(SUMPRODUCT(--($U163=Package_type_code))&gt;0,$U163="",$U163="-")),"Valid","Invalid"))</f>
        <v>Skip</v>
      </c>
      <c r="C163" s="70"/>
      <c r="D163" s="395"/>
      <c r="E163" s="396"/>
      <c r="F163" s="178" t="str">
        <f t="shared" si="4"/>
        <v>-</v>
      </c>
      <c r="G163" s="398"/>
      <c r="H163" s="178" t="str">
        <f t="shared" si="5"/>
        <v>-</v>
      </c>
      <c r="I163" s="333"/>
      <c r="J163" s="400"/>
      <c r="K163" s="401"/>
      <c r="L163" s="402"/>
      <c r="M163" s="322"/>
      <c r="N163" s="584"/>
      <c r="O163" s="403" t="s">
        <v>278</v>
      </c>
      <c r="P163" s="404" t="s">
        <v>77</v>
      </c>
      <c r="Q163" s="329"/>
      <c r="R163" s="320"/>
      <c r="S163" s="320"/>
      <c r="T163" s="329"/>
      <c r="U163" s="336" t="str">
        <f>IF(ISERROR(VLOOKUP($T163, 'Reference data'!$J$2:$K$139, 2, FALSE)),"-",VLOOKUP($T163, 'Reference data'!$J$2:$K$139, 2, FALSE))</f>
        <v>-</v>
      </c>
      <c r="V163" s="320"/>
      <c r="W163" s="320"/>
      <c r="X163" s="324"/>
      <c r="Y163" s="325"/>
      <c r="Z163" s="70"/>
      <c r="AA163" s="352"/>
      <c r="AB163" s="86"/>
      <c r="AC163" s="72"/>
      <c r="AD163" s="331"/>
      <c r="AE163" s="239" t="s">
        <v>278</v>
      </c>
      <c r="AF163" s="243" t="s">
        <v>77</v>
      </c>
      <c r="AG163" s="334"/>
    </row>
    <row r="164" spans="2:33" s="306" customFormat="1" ht="12.75" customHeight="1" x14ac:dyDescent="0.2">
      <c r="B164" s="338" t="str" cm="1">
        <f t="array" ref="B164">IF(C164="","Skip",IF(AND(Validator!G158=TRUE,Validator!G408=TRUE,Validator!G658=TRUE,Validator!G908=TRUE,Validator!G1158=TRUE,Validator!G1408=TRUE,OR(ISBLANK($R164),ISNUMBER(VALUE(SUBSTITUTE(SUBSTITUTE(SUBSTITUTE(SUBSTITUTE($R164," ",""),"c",""),"C",""),"-","")))),OR(SUMPRODUCT(--($U164=Package_type_code))&gt;0,$U164="",$U164="-")),"Valid","Invalid"))</f>
        <v>Skip</v>
      </c>
      <c r="C164" s="70"/>
      <c r="D164" s="395"/>
      <c r="E164" s="396"/>
      <c r="F164" s="178" t="str">
        <f t="shared" si="4"/>
        <v>-</v>
      </c>
      <c r="G164" s="398"/>
      <c r="H164" s="178" t="str">
        <f t="shared" si="5"/>
        <v>-</v>
      </c>
      <c r="I164" s="333"/>
      <c r="J164" s="400"/>
      <c r="K164" s="401"/>
      <c r="L164" s="402"/>
      <c r="M164" s="322"/>
      <c r="N164" s="584"/>
      <c r="O164" s="403" t="s">
        <v>278</v>
      </c>
      <c r="P164" s="404" t="s">
        <v>77</v>
      </c>
      <c r="Q164" s="329"/>
      <c r="R164" s="320"/>
      <c r="S164" s="320"/>
      <c r="T164" s="329"/>
      <c r="U164" s="336" t="str">
        <f>IF(ISERROR(VLOOKUP($T164, 'Reference data'!$J$2:$K$139, 2, FALSE)),"-",VLOOKUP($T164, 'Reference data'!$J$2:$K$139, 2, FALSE))</f>
        <v>-</v>
      </c>
      <c r="V164" s="320"/>
      <c r="W164" s="320"/>
      <c r="X164" s="324"/>
      <c r="Y164" s="325"/>
      <c r="Z164" s="70"/>
      <c r="AA164" s="352"/>
      <c r="AB164" s="86"/>
      <c r="AC164" s="72"/>
      <c r="AD164" s="331"/>
      <c r="AE164" s="239" t="s">
        <v>278</v>
      </c>
      <c r="AF164" s="243" t="s">
        <v>77</v>
      </c>
      <c r="AG164" s="334"/>
    </row>
    <row r="165" spans="2:33" s="306" customFormat="1" ht="12.75" customHeight="1" x14ac:dyDescent="0.2">
      <c r="B165" s="338" t="str" cm="1">
        <f t="array" ref="B165">IF(C165="","Skip",IF(AND(Validator!G159=TRUE,Validator!G409=TRUE,Validator!G659=TRUE,Validator!G909=TRUE,Validator!G1159=TRUE,Validator!G1409=TRUE,OR(ISBLANK($R165),ISNUMBER(VALUE(SUBSTITUTE(SUBSTITUTE(SUBSTITUTE(SUBSTITUTE($R165," ",""),"c",""),"C",""),"-","")))),OR(SUMPRODUCT(--($U165=Package_type_code))&gt;0,$U165="",$U165="-")),"Valid","Invalid"))</f>
        <v>Skip</v>
      </c>
      <c r="C165" s="70"/>
      <c r="D165" s="395"/>
      <c r="E165" s="396"/>
      <c r="F165" s="178" t="str">
        <f t="shared" si="4"/>
        <v>-</v>
      </c>
      <c r="G165" s="398"/>
      <c r="H165" s="178" t="str">
        <f t="shared" si="5"/>
        <v>-</v>
      </c>
      <c r="I165" s="333"/>
      <c r="J165" s="400"/>
      <c r="K165" s="401"/>
      <c r="L165" s="402"/>
      <c r="M165" s="322"/>
      <c r="N165" s="584"/>
      <c r="O165" s="403" t="s">
        <v>278</v>
      </c>
      <c r="P165" s="404" t="s">
        <v>77</v>
      </c>
      <c r="Q165" s="329"/>
      <c r="R165" s="320"/>
      <c r="S165" s="320"/>
      <c r="T165" s="329"/>
      <c r="U165" s="336" t="str">
        <f>IF(ISERROR(VLOOKUP($T165, 'Reference data'!$J$2:$K$139, 2, FALSE)),"-",VLOOKUP($T165, 'Reference data'!$J$2:$K$139, 2, FALSE))</f>
        <v>-</v>
      </c>
      <c r="V165" s="320"/>
      <c r="W165" s="320"/>
      <c r="X165" s="324"/>
      <c r="Y165" s="325"/>
      <c r="Z165" s="70"/>
      <c r="AA165" s="352"/>
      <c r="AB165" s="86"/>
      <c r="AC165" s="72"/>
      <c r="AD165" s="331"/>
      <c r="AE165" s="239" t="s">
        <v>278</v>
      </c>
      <c r="AF165" s="243" t="s">
        <v>77</v>
      </c>
      <c r="AG165" s="334"/>
    </row>
    <row r="166" spans="2:33" s="306" customFormat="1" ht="12.75" customHeight="1" x14ac:dyDescent="0.2">
      <c r="B166" s="338" t="str" cm="1">
        <f t="array" ref="B166">IF(C166="","Skip",IF(AND(Validator!G160=TRUE,Validator!G410=TRUE,Validator!G660=TRUE,Validator!G910=TRUE,Validator!G1160=TRUE,Validator!G1410=TRUE,OR(ISBLANK($R166),ISNUMBER(VALUE(SUBSTITUTE(SUBSTITUTE(SUBSTITUTE(SUBSTITUTE($R166," ",""),"c",""),"C",""),"-","")))),OR(SUMPRODUCT(--($U166=Package_type_code))&gt;0,$U166="",$U166="-")),"Valid","Invalid"))</f>
        <v>Skip</v>
      </c>
      <c r="C166" s="70"/>
      <c r="D166" s="395"/>
      <c r="E166" s="396"/>
      <c r="F166" s="178" t="str">
        <f t="shared" si="4"/>
        <v>-</v>
      </c>
      <c r="G166" s="398"/>
      <c r="H166" s="178" t="str">
        <f t="shared" si="5"/>
        <v>-</v>
      </c>
      <c r="I166" s="333"/>
      <c r="J166" s="400"/>
      <c r="K166" s="401"/>
      <c r="L166" s="402"/>
      <c r="M166" s="322"/>
      <c r="N166" s="584"/>
      <c r="O166" s="403" t="s">
        <v>278</v>
      </c>
      <c r="P166" s="404" t="s">
        <v>77</v>
      </c>
      <c r="Q166" s="329"/>
      <c r="R166" s="320"/>
      <c r="S166" s="320"/>
      <c r="T166" s="329"/>
      <c r="U166" s="336" t="str">
        <f>IF(ISERROR(VLOOKUP($T166, 'Reference data'!$J$2:$K$139, 2, FALSE)),"-",VLOOKUP($T166, 'Reference data'!$J$2:$K$139, 2, FALSE))</f>
        <v>-</v>
      </c>
      <c r="V166" s="320"/>
      <c r="W166" s="320"/>
      <c r="X166" s="324"/>
      <c r="Y166" s="325"/>
      <c r="Z166" s="70"/>
      <c r="AA166" s="352"/>
      <c r="AB166" s="86"/>
      <c r="AC166" s="72"/>
      <c r="AD166" s="331"/>
      <c r="AE166" s="239" t="s">
        <v>278</v>
      </c>
      <c r="AF166" s="243" t="s">
        <v>77</v>
      </c>
      <c r="AG166" s="334"/>
    </row>
    <row r="167" spans="2:33" s="306" customFormat="1" ht="12.75" customHeight="1" x14ac:dyDescent="0.2">
      <c r="B167" s="338" t="str" cm="1">
        <f t="array" ref="B167">IF(C167="","Skip",IF(AND(Validator!G161=TRUE,Validator!G411=TRUE,Validator!G661=TRUE,Validator!G911=TRUE,Validator!G1161=TRUE,Validator!G1411=TRUE,OR(ISBLANK($R167),ISNUMBER(VALUE(SUBSTITUTE(SUBSTITUTE(SUBSTITUTE(SUBSTITUTE($R167," ",""),"c",""),"C",""),"-","")))),OR(SUMPRODUCT(--($U167=Package_type_code))&gt;0,$U167="",$U167="-")),"Valid","Invalid"))</f>
        <v>Skip</v>
      </c>
      <c r="C167" s="70"/>
      <c r="D167" s="395"/>
      <c r="E167" s="396"/>
      <c r="F167" s="178" t="str">
        <f t="shared" si="4"/>
        <v>-</v>
      </c>
      <c r="G167" s="398"/>
      <c r="H167" s="178" t="str">
        <f t="shared" si="5"/>
        <v>-</v>
      </c>
      <c r="I167" s="333"/>
      <c r="J167" s="400"/>
      <c r="K167" s="401"/>
      <c r="L167" s="402"/>
      <c r="M167" s="322"/>
      <c r="N167" s="584"/>
      <c r="O167" s="403" t="s">
        <v>278</v>
      </c>
      <c r="P167" s="404" t="s">
        <v>77</v>
      </c>
      <c r="Q167" s="329"/>
      <c r="R167" s="320"/>
      <c r="S167" s="320"/>
      <c r="T167" s="329"/>
      <c r="U167" s="336" t="str">
        <f>IF(ISERROR(VLOOKUP($T167, 'Reference data'!$J$2:$K$139, 2, FALSE)),"-",VLOOKUP($T167, 'Reference data'!$J$2:$K$139, 2, FALSE))</f>
        <v>-</v>
      </c>
      <c r="V167" s="320"/>
      <c r="W167" s="320"/>
      <c r="X167" s="324"/>
      <c r="Y167" s="325"/>
      <c r="Z167" s="70"/>
      <c r="AA167" s="352"/>
      <c r="AB167" s="86"/>
      <c r="AC167" s="72"/>
      <c r="AD167" s="331"/>
      <c r="AE167" s="239" t="s">
        <v>278</v>
      </c>
      <c r="AF167" s="243" t="s">
        <v>77</v>
      </c>
      <c r="AG167" s="334"/>
    </row>
    <row r="168" spans="2:33" s="306" customFormat="1" ht="12.75" customHeight="1" x14ac:dyDescent="0.2">
      <c r="B168" s="338" t="str" cm="1">
        <f t="array" ref="B168">IF(C168="","Skip",IF(AND(Validator!G162=TRUE,Validator!G412=TRUE,Validator!G662=TRUE,Validator!G912=TRUE,Validator!G1162=TRUE,Validator!G1412=TRUE,OR(ISBLANK($R168),ISNUMBER(VALUE(SUBSTITUTE(SUBSTITUTE(SUBSTITUTE(SUBSTITUTE($R168," ",""),"c",""),"C",""),"-","")))),OR(SUMPRODUCT(--($U168=Package_type_code))&gt;0,$U168="",$U168="-")),"Valid","Invalid"))</f>
        <v>Skip</v>
      </c>
      <c r="C168" s="70"/>
      <c r="D168" s="395"/>
      <c r="E168" s="396"/>
      <c r="F168" s="178" t="str">
        <f t="shared" si="4"/>
        <v>-</v>
      </c>
      <c r="G168" s="398"/>
      <c r="H168" s="178" t="str">
        <f t="shared" si="5"/>
        <v>-</v>
      </c>
      <c r="I168" s="333"/>
      <c r="J168" s="400"/>
      <c r="K168" s="401"/>
      <c r="L168" s="402"/>
      <c r="M168" s="322"/>
      <c r="N168" s="584"/>
      <c r="O168" s="403" t="s">
        <v>278</v>
      </c>
      <c r="P168" s="404" t="s">
        <v>77</v>
      </c>
      <c r="Q168" s="329"/>
      <c r="R168" s="320"/>
      <c r="S168" s="320"/>
      <c r="T168" s="329"/>
      <c r="U168" s="336" t="str">
        <f>IF(ISERROR(VLOOKUP($T168, 'Reference data'!$J$2:$K$139, 2, FALSE)),"-",VLOOKUP($T168, 'Reference data'!$J$2:$K$139, 2, FALSE))</f>
        <v>-</v>
      </c>
      <c r="V168" s="320"/>
      <c r="W168" s="320"/>
      <c r="X168" s="324"/>
      <c r="Y168" s="325"/>
      <c r="Z168" s="70"/>
      <c r="AA168" s="352"/>
      <c r="AB168" s="86"/>
      <c r="AC168" s="72"/>
      <c r="AD168" s="331"/>
      <c r="AE168" s="239" t="s">
        <v>278</v>
      </c>
      <c r="AF168" s="243" t="s">
        <v>77</v>
      </c>
      <c r="AG168" s="334"/>
    </row>
    <row r="169" spans="2:33" s="306" customFormat="1" ht="12.75" customHeight="1" x14ac:dyDescent="0.2">
      <c r="B169" s="338" t="str" cm="1">
        <f t="array" ref="B169">IF(C169="","Skip",IF(AND(Validator!G163=TRUE,Validator!G413=TRUE,Validator!G663=TRUE,Validator!G913=TRUE,Validator!G1163=TRUE,Validator!G1413=TRUE,OR(ISBLANK($R169),ISNUMBER(VALUE(SUBSTITUTE(SUBSTITUTE(SUBSTITUTE(SUBSTITUTE($R169," ",""),"c",""),"C",""),"-","")))),OR(SUMPRODUCT(--($U169=Package_type_code))&gt;0,$U169="",$U169="-")),"Valid","Invalid"))</f>
        <v>Skip</v>
      </c>
      <c r="C169" s="70"/>
      <c r="D169" s="395"/>
      <c r="E169" s="396"/>
      <c r="F169" s="178" t="str">
        <f t="shared" si="4"/>
        <v>-</v>
      </c>
      <c r="G169" s="398"/>
      <c r="H169" s="178" t="str">
        <f t="shared" si="5"/>
        <v>-</v>
      </c>
      <c r="I169" s="333"/>
      <c r="J169" s="400"/>
      <c r="K169" s="401"/>
      <c r="L169" s="402"/>
      <c r="M169" s="322"/>
      <c r="N169" s="584"/>
      <c r="O169" s="403" t="s">
        <v>278</v>
      </c>
      <c r="P169" s="404" t="s">
        <v>77</v>
      </c>
      <c r="Q169" s="329"/>
      <c r="R169" s="320"/>
      <c r="S169" s="320"/>
      <c r="T169" s="329"/>
      <c r="U169" s="336" t="str">
        <f>IF(ISERROR(VLOOKUP($T169, 'Reference data'!$J$2:$K$139, 2, FALSE)),"-",VLOOKUP($T169, 'Reference data'!$J$2:$K$139, 2, FALSE))</f>
        <v>-</v>
      </c>
      <c r="V169" s="320"/>
      <c r="W169" s="320"/>
      <c r="X169" s="324"/>
      <c r="Y169" s="325"/>
      <c r="Z169" s="70"/>
      <c r="AA169" s="352"/>
      <c r="AB169" s="86"/>
      <c r="AC169" s="72"/>
      <c r="AD169" s="331"/>
      <c r="AE169" s="239" t="s">
        <v>278</v>
      </c>
      <c r="AF169" s="243" t="s">
        <v>77</v>
      </c>
      <c r="AG169" s="334"/>
    </row>
    <row r="170" spans="2:33" s="306" customFormat="1" ht="12.75" customHeight="1" x14ac:dyDescent="0.2">
      <c r="B170" s="338" t="str" cm="1">
        <f t="array" ref="B170">IF(C170="","Skip",IF(AND(Validator!G164=TRUE,Validator!G414=TRUE,Validator!G664=TRUE,Validator!G914=TRUE,Validator!G1164=TRUE,Validator!G1414=TRUE,OR(ISBLANK($R170),ISNUMBER(VALUE(SUBSTITUTE(SUBSTITUTE(SUBSTITUTE(SUBSTITUTE($R170," ",""),"c",""),"C",""),"-","")))),OR(SUMPRODUCT(--($U170=Package_type_code))&gt;0,$U170="",$U170="-")),"Valid","Invalid"))</f>
        <v>Skip</v>
      </c>
      <c r="C170" s="70"/>
      <c r="D170" s="395"/>
      <c r="E170" s="396"/>
      <c r="F170" s="178" t="str">
        <f t="shared" si="4"/>
        <v>-</v>
      </c>
      <c r="G170" s="398"/>
      <c r="H170" s="178" t="str">
        <f t="shared" si="5"/>
        <v>-</v>
      </c>
      <c r="I170" s="333"/>
      <c r="J170" s="400"/>
      <c r="K170" s="401"/>
      <c r="L170" s="402"/>
      <c r="M170" s="322"/>
      <c r="N170" s="584"/>
      <c r="O170" s="403" t="s">
        <v>278</v>
      </c>
      <c r="P170" s="404" t="s">
        <v>77</v>
      </c>
      <c r="Q170" s="329"/>
      <c r="R170" s="320"/>
      <c r="S170" s="320"/>
      <c r="T170" s="329"/>
      <c r="U170" s="336" t="str">
        <f>IF(ISERROR(VLOOKUP($T170, 'Reference data'!$J$2:$K$139, 2, FALSE)),"-",VLOOKUP($T170, 'Reference data'!$J$2:$K$139, 2, FALSE))</f>
        <v>-</v>
      </c>
      <c r="V170" s="320"/>
      <c r="W170" s="320"/>
      <c r="X170" s="324"/>
      <c r="Y170" s="325"/>
      <c r="Z170" s="70"/>
      <c r="AA170" s="352"/>
      <c r="AB170" s="86"/>
      <c r="AC170" s="72"/>
      <c r="AD170" s="331"/>
      <c r="AE170" s="239" t="s">
        <v>278</v>
      </c>
      <c r="AF170" s="243" t="s">
        <v>77</v>
      </c>
      <c r="AG170" s="334"/>
    </row>
    <row r="171" spans="2:33" s="306" customFormat="1" ht="12.75" customHeight="1" x14ac:dyDescent="0.2">
      <c r="B171" s="338" t="str" cm="1">
        <f t="array" ref="B171">IF(C171="","Skip",IF(AND(Validator!G165=TRUE,Validator!G415=TRUE,Validator!G665=TRUE,Validator!G915=TRUE,Validator!G1165=TRUE,Validator!G1415=TRUE,OR(ISBLANK($R171),ISNUMBER(VALUE(SUBSTITUTE(SUBSTITUTE(SUBSTITUTE(SUBSTITUTE($R171," ",""),"c",""),"C",""),"-","")))),OR(SUMPRODUCT(--($U171=Package_type_code))&gt;0,$U171="",$U171="-")),"Valid","Invalid"))</f>
        <v>Skip</v>
      </c>
      <c r="C171" s="70"/>
      <c r="D171" s="395"/>
      <c r="E171" s="396"/>
      <c r="F171" s="178" t="str">
        <f t="shared" si="4"/>
        <v>-</v>
      </c>
      <c r="G171" s="398"/>
      <c r="H171" s="178" t="str">
        <f t="shared" si="5"/>
        <v>-</v>
      </c>
      <c r="I171" s="333"/>
      <c r="J171" s="400"/>
      <c r="K171" s="401"/>
      <c r="L171" s="402"/>
      <c r="M171" s="322"/>
      <c r="N171" s="584"/>
      <c r="O171" s="403" t="s">
        <v>278</v>
      </c>
      <c r="P171" s="404" t="s">
        <v>77</v>
      </c>
      <c r="Q171" s="329"/>
      <c r="R171" s="320"/>
      <c r="S171" s="320"/>
      <c r="T171" s="329"/>
      <c r="U171" s="336" t="str">
        <f>IF(ISERROR(VLOOKUP($T171, 'Reference data'!$J$2:$K$139, 2, FALSE)),"-",VLOOKUP($T171, 'Reference data'!$J$2:$K$139, 2, FALSE))</f>
        <v>-</v>
      </c>
      <c r="V171" s="320"/>
      <c r="W171" s="320"/>
      <c r="X171" s="324"/>
      <c r="Y171" s="325"/>
      <c r="Z171" s="70"/>
      <c r="AA171" s="352"/>
      <c r="AB171" s="86"/>
      <c r="AC171" s="72"/>
      <c r="AD171" s="331"/>
      <c r="AE171" s="239" t="s">
        <v>278</v>
      </c>
      <c r="AF171" s="243" t="s">
        <v>77</v>
      </c>
      <c r="AG171" s="334"/>
    </row>
    <row r="172" spans="2:33" s="306" customFormat="1" ht="12.75" customHeight="1" x14ac:dyDescent="0.2">
      <c r="B172" s="338" t="str" cm="1">
        <f t="array" ref="B172">IF(C172="","Skip",IF(AND(Validator!G166=TRUE,Validator!G416=TRUE,Validator!G666=TRUE,Validator!G916=TRUE,Validator!G1166=TRUE,Validator!G1416=TRUE,OR(ISBLANK($R172),ISNUMBER(VALUE(SUBSTITUTE(SUBSTITUTE(SUBSTITUTE(SUBSTITUTE($R172," ",""),"c",""),"C",""),"-","")))),OR(SUMPRODUCT(--($U172=Package_type_code))&gt;0,$U172="",$U172="-")),"Valid","Invalid"))</f>
        <v>Skip</v>
      </c>
      <c r="C172" s="70"/>
      <c r="D172" s="395"/>
      <c r="E172" s="396"/>
      <c r="F172" s="178" t="str">
        <f t="shared" si="4"/>
        <v>-</v>
      </c>
      <c r="G172" s="398"/>
      <c r="H172" s="178" t="str">
        <f t="shared" si="5"/>
        <v>-</v>
      </c>
      <c r="I172" s="333"/>
      <c r="J172" s="400"/>
      <c r="K172" s="401"/>
      <c r="L172" s="402"/>
      <c r="M172" s="322"/>
      <c r="N172" s="584"/>
      <c r="O172" s="403" t="s">
        <v>278</v>
      </c>
      <c r="P172" s="404" t="s">
        <v>77</v>
      </c>
      <c r="Q172" s="329"/>
      <c r="R172" s="320"/>
      <c r="S172" s="320"/>
      <c r="T172" s="329"/>
      <c r="U172" s="336" t="str">
        <f>IF(ISERROR(VLOOKUP($T172, 'Reference data'!$J$2:$K$139, 2, FALSE)),"-",VLOOKUP($T172, 'Reference data'!$J$2:$K$139, 2, FALSE))</f>
        <v>-</v>
      </c>
      <c r="V172" s="320"/>
      <c r="W172" s="320"/>
      <c r="X172" s="324"/>
      <c r="Y172" s="325"/>
      <c r="Z172" s="70"/>
      <c r="AA172" s="352"/>
      <c r="AB172" s="86"/>
      <c r="AC172" s="72"/>
      <c r="AD172" s="331"/>
      <c r="AE172" s="239" t="s">
        <v>278</v>
      </c>
      <c r="AF172" s="243" t="s">
        <v>77</v>
      </c>
      <c r="AG172" s="334"/>
    </row>
    <row r="173" spans="2:33" s="306" customFormat="1" ht="12.75" customHeight="1" x14ac:dyDescent="0.2">
      <c r="B173" s="338" t="str" cm="1">
        <f t="array" ref="B173">IF(C173="","Skip",IF(AND(Validator!G167=TRUE,Validator!G417=TRUE,Validator!G667=TRUE,Validator!G917=TRUE,Validator!G1167=TRUE,Validator!G1417=TRUE,OR(ISBLANK($R173),ISNUMBER(VALUE(SUBSTITUTE(SUBSTITUTE(SUBSTITUTE(SUBSTITUTE($R173," ",""),"c",""),"C",""),"-","")))),OR(SUMPRODUCT(--($U173=Package_type_code))&gt;0,$U173="",$U173="-")),"Valid","Invalid"))</f>
        <v>Skip</v>
      </c>
      <c r="C173" s="70"/>
      <c r="D173" s="395"/>
      <c r="E173" s="396"/>
      <c r="F173" s="178" t="str">
        <f t="shared" si="4"/>
        <v>-</v>
      </c>
      <c r="G173" s="398"/>
      <c r="H173" s="178" t="str">
        <f t="shared" si="5"/>
        <v>-</v>
      </c>
      <c r="I173" s="333"/>
      <c r="J173" s="400"/>
      <c r="K173" s="401"/>
      <c r="L173" s="402"/>
      <c r="M173" s="322"/>
      <c r="N173" s="584"/>
      <c r="O173" s="403" t="s">
        <v>278</v>
      </c>
      <c r="P173" s="404" t="s">
        <v>77</v>
      </c>
      <c r="Q173" s="329"/>
      <c r="R173" s="320"/>
      <c r="S173" s="320"/>
      <c r="T173" s="329"/>
      <c r="U173" s="336" t="str">
        <f>IF(ISERROR(VLOOKUP($T173, 'Reference data'!$J$2:$K$139, 2, FALSE)),"-",VLOOKUP($T173, 'Reference data'!$J$2:$K$139, 2, FALSE))</f>
        <v>-</v>
      </c>
      <c r="V173" s="320"/>
      <c r="W173" s="320"/>
      <c r="X173" s="324"/>
      <c r="Y173" s="325"/>
      <c r="Z173" s="70"/>
      <c r="AA173" s="352"/>
      <c r="AB173" s="86"/>
      <c r="AC173" s="72"/>
      <c r="AD173" s="331"/>
      <c r="AE173" s="239" t="s">
        <v>278</v>
      </c>
      <c r="AF173" s="243" t="s">
        <v>77</v>
      </c>
      <c r="AG173" s="334"/>
    </row>
    <row r="174" spans="2:33" s="306" customFormat="1" ht="12.75" customHeight="1" x14ac:dyDescent="0.2">
      <c r="B174" s="338" t="str" cm="1">
        <f t="array" ref="B174">IF(C174="","Skip",IF(AND(Validator!G168=TRUE,Validator!G418=TRUE,Validator!G668=TRUE,Validator!G918=TRUE,Validator!G1168=TRUE,Validator!G1418=TRUE,OR(ISBLANK($R174),ISNUMBER(VALUE(SUBSTITUTE(SUBSTITUTE(SUBSTITUTE(SUBSTITUTE($R174," ",""),"c",""),"C",""),"-","")))),OR(SUMPRODUCT(--($U174=Package_type_code))&gt;0,$U174="",$U174="-")),"Valid","Invalid"))</f>
        <v>Skip</v>
      </c>
      <c r="C174" s="70"/>
      <c r="D174" s="395"/>
      <c r="E174" s="396"/>
      <c r="F174" s="178" t="str">
        <f t="shared" si="4"/>
        <v>-</v>
      </c>
      <c r="G174" s="398"/>
      <c r="H174" s="178" t="str">
        <f t="shared" si="5"/>
        <v>-</v>
      </c>
      <c r="I174" s="333"/>
      <c r="J174" s="400"/>
      <c r="K174" s="401"/>
      <c r="L174" s="402"/>
      <c r="M174" s="322"/>
      <c r="N174" s="584"/>
      <c r="O174" s="403" t="s">
        <v>278</v>
      </c>
      <c r="P174" s="404" t="s">
        <v>77</v>
      </c>
      <c r="Q174" s="329"/>
      <c r="R174" s="320"/>
      <c r="S174" s="320"/>
      <c r="T174" s="329"/>
      <c r="U174" s="336" t="str">
        <f>IF(ISERROR(VLOOKUP($T174, 'Reference data'!$J$2:$K$139, 2, FALSE)),"-",VLOOKUP($T174, 'Reference data'!$J$2:$K$139, 2, FALSE))</f>
        <v>-</v>
      </c>
      <c r="V174" s="320"/>
      <c r="W174" s="320"/>
      <c r="X174" s="324"/>
      <c r="Y174" s="325"/>
      <c r="Z174" s="70"/>
      <c r="AA174" s="352"/>
      <c r="AB174" s="86"/>
      <c r="AC174" s="72"/>
      <c r="AD174" s="331"/>
      <c r="AE174" s="239" t="s">
        <v>278</v>
      </c>
      <c r="AF174" s="243" t="s">
        <v>77</v>
      </c>
      <c r="AG174" s="334"/>
    </row>
    <row r="175" spans="2:33" s="306" customFormat="1" ht="12.75" customHeight="1" x14ac:dyDescent="0.2">
      <c r="B175" s="338" t="str" cm="1">
        <f t="array" ref="B175">IF(C175="","Skip",IF(AND(Validator!G169=TRUE,Validator!G419=TRUE,Validator!G669=TRUE,Validator!G919=TRUE,Validator!G1169=TRUE,Validator!G1419=TRUE,OR(ISBLANK($R175),ISNUMBER(VALUE(SUBSTITUTE(SUBSTITUTE(SUBSTITUTE(SUBSTITUTE($R175," ",""),"c",""),"C",""),"-","")))),OR(SUMPRODUCT(--($U175=Package_type_code))&gt;0,$U175="",$U175="-")),"Valid","Invalid"))</f>
        <v>Skip</v>
      </c>
      <c r="C175" s="70"/>
      <c r="D175" s="395"/>
      <c r="E175" s="396"/>
      <c r="F175" s="178" t="str">
        <f t="shared" si="4"/>
        <v>-</v>
      </c>
      <c r="G175" s="398"/>
      <c r="H175" s="178" t="str">
        <f t="shared" si="5"/>
        <v>-</v>
      </c>
      <c r="I175" s="333"/>
      <c r="J175" s="400"/>
      <c r="K175" s="401"/>
      <c r="L175" s="402"/>
      <c r="M175" s="322"/>
      <c r="N175" s="584"/>
      <c r="O175" s="403" t="s">
        <v>278</v>
      </c>
      <c r="P175" s="404" t="s">
        <v>77</v>
      </c>
      <c r="Q175" s="329"/>
      <c r="R175" s="320"/>
      <c r="S175" s="320"/>
      <c r="T175" s="329"/>
      <c r="U175" s="336" t="str">
        <f>IF(ISERROR(VLOOKUP($T175, 'Reference data'!$J$2:$K$139, 2, FALSE)),"-",VLOOKUP($T175, 'Reference data'!$J$2:$K$139, 2, FALSE))</f>
        <v>-</v>
      </c>
      <c r="V175" s="320"/>
      <c r="W175" s="320"/>
      <c r="X175" s="324"/>
      <c r="Y175" s="325"/>
      <c r="Z175" s="70"/>
      <c r="AA175" s="352"/>
      <c r="AB175" s="86"/>
      <c r="AC175" s="72"/>
      <c r="AD175" s="331"/>
      <c r="AE175" s="239" t="s">
        <v>278</v>
      </c>
      <c r="AF175" s="243" t="s">
        <v>77</v>
      </c>
      <c r="AG175" s="334"/>
    </row>
    <row r="176" spans="2:33" s="306" customFormat="1" ht="12.75" customHeight="1" x14ac:dyDescent="0.2">
      <c r="B176" s="338" t="str" cm="1">
        <f t="array" ref="B176">IF(C176="","Skip",IF(AND(Validator!G170=TRUE,Validator!G420=TRUE,Validator!G670=TRUE,Validator!G920=TRUE,Validator!G1170=TRUE,Validator!G1420=TRUE,OR(ISBLANK($R176),ISNUMBER(VALUE(SUBSTITUTE(SUBSTITUTE(SUBSTITUTE(SUBSTITUTE($R176," ",""),"c",""),"C",""),"-","")))),OR(SUMPRODUCT(--($U176=Package_type_code))&gt;0,$U176="",$U176="-")),"Valid","Invalid"))</f>
        <v>Skip</v>
      </c>
      <c r="C176" s="70"/>
      <c r="D176" s="395"/>
      <c r="E176" s="396"/>
      <c r="F176" s="178" t="str">
        <f t="shared" si="4"/>
        <v>-</v>
      </c>
      <c r="G176" s="398"/>
      <c r="H176" s="178" t="str">
        <f t="shared" si="5"/>
        <v>-</v>
      </c>
      <c r="I176" s="333"/>
      <c r="J176" s="400"/>
      <c r="K176" s="401"/>
      <c r="L176" s="402"/>
      <c r="M176" s="322"/>
      <c r="N176" s="584"/>
      <c r="O176" s="403" t="s">
        <v>278</v>
      </c>
      <c r="P176" s="404" t="s">
        <v>77</v>
      </c>
      <c r="Q176" s="329"/>
      <c r="R176" s="320"/>
      <c r="S176" s="320"/>
      <c r="T176" s="329"/>
      <c r="U176" s="336" t="str">
        <f>IF(ISERROR(VLOOKUP($T176, 'Reference data'!$J$2:$K$139, 2, FALSE)),"-",VLOOKUP($T176, 'Reference data'!$J$2:$K$139, 2, FALSE))</f>
        <v>-</v>
      </c>
      <c r="V176" s="320"/>
      <c r="W176" s="320"/>
      <c r="X176" s="324"/>
      <c r="Y176" s="325"/>
      <c r="Z176" s="70"/>
      <c r="AA176" s="352"/>
      <c r="AB176" s="86"/>
      <c r="AC176" s="72"/>
      <c r="AD176" s="331"/>
      <c r="AE176" s="239" t="s">
        <v>278</v>
      </c>
      <c r="AF176" s="243" t="s">
        <v>77</v>
      </c>
      <c r="AG176" s="334"/>
    </row>
    <row r="177" spans="2:33" s="306" customFormat="1" ht="12.75" customHeight="1" x14ac:dyDescent="0.2">
      <c r="B177" s="338" t="str" cm="1">
        <f t="array" ref="B177">IF(C177="","Skip",IF(AND(Validator!G171=TRUE,Validator!G421=TRUE,Validator!G671=TRUE,Validator!G921=TRUE,Validator!G1171=TRUE,Validator!G1421=TRUE,OR(ISBLANK($R177),ISNUMBER(VALUE(SUBSTITUTE(SUBSTITUTE(SUBSTITUTE(SUBSTITUTE($R177," ",""),"c",""),"C",""),"-","")))),OR(SUMPRODUCT(--($U177=Package_type_code))&gt;0,$U177="",$U177="-")),"Valid","Invalid"))</f>
        <v>Skip</v>
      </c>
      <c r="C177" s="70"/>
      <c r="D177" s="395"/>
      <c r="E177" s="396"/>
      <c r="F177" s="178" t="str">
        <f t="shared" si="4"/>
        <v>-</v>
      </c>
      <c r="G177" s="398"/>
      <c r="H177" s="178" t="str">
        <f t="shared" si="5"/>
        <v>-</v>
      </c>
      <c r="I177" s="333"/>
      <c r="J177" s="400"/>
      <c r="K177" s="401"/>
      <c r="L177" s="402"/>
      <c r="M177" s="322"/>
      <c r="N177" s="584"/>
      <c r="O177" s="403" t="s">
        <v>278</v>
      </c>
      <c r="P177" s="404" t="s">
        <v>77</v>
      </c>
      <c r="Q177" s="329"/>
      <c r="R177" s="320"/>
      <c r="S177" s="320"/>
      <c r="T177" s="329"/>
      <c r="U177" s="336" t="str">
        <f>IF(ISERROR(VLOOKUP($T177, 'Reference data'!$J$2:$K$139, 2, FALSE)),"-",VLOOKUP($T177, 'Reference data'!$J$2:$K$139, 2, FALSE))</f>
        <v>-</v>
      </c>
      <c r="V177" s="320"/>
      <c r="W177" s="320"/>
      <c r="X177" s="324"/>
      <c r="Y177" s="325"/>
      <c r="Z177" s="70"/>
      <c r="AA177" s="352"/>
      <c r="AB177" s="86"/>
      <c r="AC177" s="72"/>
      <c r="AD177" s="331"/>
      <c r="AE177" s="239" t="s">
        <v>278</v>
      </c>
      <c r="AF177" s="243" t="s">
        <v>77</v>
      </c>
      <c r="AG177" s="334"/>
    </row>
    <row r="178" spans="2:33" s="306" customFormat="1" ht="12.75" customHeight="1" x14ac:dyDescent="0.2">
      <c r="B178" s="338" t="str" cm="1">
        <f t="array" ref="B178">IF(C178="","Skip",IF(AND(Validator!G172=TRUE,Validator!G422=TRUE,Validator!G672=TRUE,Validator!G922=TRUE,Validator!G1172=TRUE,Validator!G1422=TRUE,OR(ISBLANK($R178),ISNUMBER(VALUE(SUBSTITUTE(SUBSTITUTE(SUBSTITUTE(SUBSTITUTE($R178," ",""),"c",""),"C",""),"-","")))),OR(SUMPRODUCT(--($U178=Package_type_code))&gt;0,$U178="",$U178="-")),"Valid","Invalid"))</f>
        <v>Skip</v>
      </c>
      <c r="C178" s="70"/>
      <c r="D178" s="395"/>
      <c r="E178" s="396"/>
      <c r="F178" s="178" t="str">
        <f t="shared" si="4"/>
        <v>-</v>
      </c>
      <c r="G178" s="398"/>
      <c r="H178" s="178" t="str">
        <f t="shared" si="5"/>
        <v>-</v>
      </c>
      <c r="I178" s="333"/>
      <c r="J178" s="400"/>
      <c r="K178" s="401"/>
      <c r="L178" s="402"/>
      <c r="M178" s="322"/>
      <c r="N178" s="584"/>
      <c r="O178" s="403" t="s">
        <v>278</v>
      </c>
      <c r="P178" s="404" t="s">
        <v>77</v>
      </c>
      <c r="Q178" s="329"/>
      <c r="R178" s="320"/>
      <c r="S178" s="320"/>
      <c r="T178" s="329"/>
      <c r="U178" s="336" t="str">
        <f>IF(ISERROR(VLOOKUP($T178, 'Reference data'!$J$2:$K$139, 2, FALSE)),"-",VLOOKUP($T178, 'Reference data'!$J$2:$K$139, 2, FALSE))</f>
        <v>-</v>
      </c>
      <c r="V178" s="320"/>
      <c r="W178" s="320"/>
      <c r="X178" s="324"/>
      <c r="Y178" s="325"/>
      <c r="Z178" s="70"/>
      <c r="AA178" s="352"/>
      <c r="AB178" s="86"/>
      <c r="AC178" s="72"/>
      <c r="AD178" s="331"/>
      <c r="AE178" s="239" t="s">
        <v>278</v>
      </c>
      <c r="AF178" s="243" t="s">
        <v>77</v>
      </c>
      <c r="AG178" s="334"/>
    </row>
    <row r="179" spans="2:33" s="306" customFormat="1" ht="12.75" customHeight="1" x14ac:dyDescent="0.2">
      <c r="B179" s="338" t="str" cm="1">
        <f t="array" ref="B179">IF(C179="","Skip",IF(AND(Validator!G173=TRUE,Validator!G423=TRUE,Validator!G673=TRUE,Validator!G923=TRUE,Validator!G1173=TRUE,Validator!G1423=TRUE,OR(ISBLANK($R179),ISNUMBER(VALUE(SUBSTITUTE(SUBSTITUTE(SUBSTITUTE(SUBSTITUTE($R179," ",""),"c",""),"C",""),"-","")))),OR(SUMPRODUCT(--($U179=Package_type_code))&gt;0,$U179="",$U179="-")),"Valid","Invalid"))</f>
        <v>Skip</v>
      </c>
      <c r="C179" s="70"/>
      <c r="D179" s="395"/>
      <c r="E179" s="396"/>
      <c r="F179" s="178" t="str">
        <f t="shared" si="4"/>
        <v>-</v>
      </c>
      <c r="G179" s="398"/>
      <c r="H179" s="178" t="str">
        <f t="shared" si="5"/>
        <v>-</v>
      </c>
      <c r="I179" s="333"/>
      <c r="J179" s="400"/>
      <c r="K179" s="401"/>
      <c r="L179" s="402"/>
      <c r="M179" s="322"/>
      <c r="N179" s="584"/>
      <c r="O179" s="403" t="s">
        <v>278</v>
      </c>
      <c r="P179" s="404" t="s">
        <v>77</v>
      </c>
      <c r="Q179" s="329"/>
      <c r="R179" s="320"/>
      <c r="S179" s="320"/>
      <c r="T179" s="329"/>
      <c r="U179" s="336" t="str">
        <f>IF(ISERROR(VLOOKUP($T179, 'Reference data'!$J$2:$K$139, 2, FALSE)),"-",VLOOKUP($T179, 'Reference data'!$J$2:$K$139, 2, FALSE))</f>
        <v>-</v>
      </c>
      <c r="V179" s="320"/>
      <c r="W179" s="320"/>
      <c r="X179" s="324"/>
      <c r="Y179" s="325"/>
      <c r="Z179" s="70"/>
      <c r="AA179" s="352"/>
      <c r="AB179" s="86"/>
      <c r="AC179" s="72"/>
      <c r="AD179" s="331"/>
      <c r="AE179" s="239" t="s">
        <v>278</v>
      </c>
      <c r="AF179" s="243" t="s">
        <v>77</v>
      </c>
      <c r="AG179" s="334"/>
    </row>
    <row r="180" spans="2:33" s="306" customFormat="1" ht="12.75" customHeight="1" x14ac:dyDescent="0.2">
      <c r="B180" s="338" t="str" cm="1">
        <f t="array" ref="B180">IF(C180="","Skip",IF(AND(Validator!G174=TRUE,Validator!G424=TRUE,Validator!G674=TRUE,Validator!G924=TRUE,Validator!G1174=TRUE,Validator!G1424=TRUE,OR(ISBLANK($R180),ISNUMBER(VALUE(SUBSTITUTE(SUBSTITUTE(SUBSTITUTE(SUBSTITUTE($R180," ",""),"c",""),"C",""),"-","")))),OR(SUMPRODUCT(--($U180=Package_type_code))&gt;0,$U180="",$U180="-")),"Valid","Invalid"))</f>
        <v>Skip</v>
      </c>
      <c r="C180" s="70"/>
      <c r="D180" s="395"/>
      <c r="E180" s="396"/>
      <c r="F180" s="178" t="str">
        <f t="shared" si="4"/>
        <v>-</v>
      </c>
      <c r="G180" s="398"/>
      <c r="H180" s="178" t="str">
        <f t="shared" si="5"/>
        <v>-</v>
      </c>
      <c r="I180" s="333"/>
      <c r="J180" s="400"/>
      <c r="K180" s="401"/>
      <c r="L180" s="402"/>
      <c r="M180" s="322"/>
      <c r="N180" s="584"/>
      <c r="O180" s="403" t="s">
        <v>278</v>
      </c>
      <c r="P180" s="404" t="s">
        <v>77</v>
      </c>
      <c r="Q180" s="329"/>
      <c r="R180" s="320"/>
      <c r="S180" s="320"/>
      <c r="T180" s="329"/>
      <c r="U180" s="336" t="str">
        <f>IF(ISERROR(VLOOKUP($T180, 'Reference data'!$J$2:$K$139, 2, FALSE)),"-",VLOOKUP($T180, 'Reference data'!$J$2:$K$139, 2, FALSE))</f>
        <v>-</v>
      </c>
      <c r="V180" s="320"/>
      <c r="W180" s="320"/>
      <c r="X180" s="324"/>
      <c r="Y180" s="325"/>
      <c r="Z180" s="70"/>
      <c r="AA180" s="352"/>
      <c r="AB180" s="86"/>
      <c r="AC180" s="72"/>
      <c r="AD180" s="331"/>
      <c r="AE180" s="239" t="s">
        <v>278</v>
      </c>
      <c r="AF180" s="243" t="s">
        <v>77</v>
      </c>
      <c r="AG180" s="334"/>
    </row>
    <row r="181" spans="2:33" s="306" customFormat="1" ht="12.75" customHeight="1" x14ac:dyDescent="0.2">
      <c r="B181" s="338" t="str" cm="1">
        <f t="array" ref="B181">IF(C181="","Skip",IF(AND(Validator!G175=TRUE,Validator!G425=TRUE,Validator!G675=TRUE,Validator!G925=TRUE,Validator!G1175=TRUE,Validator!G1425=TRUE,OR(ISBLANK($R181),ISNUMBER(VALUE(SUBSTITUTE(SUBSTITUTE(SUBSTITUTE(SUBSTITUTE($R181," ",""),"c",""),"C",""),"-","")))),OR(SUMPRODUCT(--($U181=Package_type_code))&gt;0,$U181="",$U181="-")),"Valid","Invalid"))</f>
        <v>Skip</v>
      </c>
      <c r="C181" s="70"/>
      <c r="D181" s="395"/>
      <c r="E181" s="396"/>
      <c r="F181" s="178" t="str">
        <f t="shared" si="4"/>
        <v>-</v>
      </c>
      <c r="G181" s="398"/>
      <c r="H181" s="178" t="str">
        <f t="shared" si="5"/>
        <v>-</v>
      </c>
      <c r="I181" s="333"/>
      <c r="J181" s="400"/>
      <c r="K181" s="401"/>
      <c r="L181" s="402"/>
      <c r="M181" s="322"/>
      <c r="N181" s="584"/>
      <c r="O181" s="403" t="s">
        <v>278</v>
      </c>
      <c r="P181" s="404" t="s">
        <v>77</v>
      </c>
      <c r="Q181" s="329"/>
      <c r="R181" s="320"/>
      <c r="S181" s="320"/>
      <c r="T181" s="329"/>
      <c r="U181" s="336" t="str">
        <f>IF(ISERROR(VLOOKUP($T181, 'Reference data'!$J$2:$K$139, 2, FALSE)),"-",VLOOKUP($T181, 'Reference data'!$J$2:$K$139, 2, FALSE))</f>
        <v>-</v>
      </c>
      <c r="V181" s="320"/>
      <c r="W181" s="320"/>
      <c r="X181" s="324"/>
      <c r="Y181" s="325"/>
      <c r="Z181" s="70"/>
      <c r="AA181" s="352"/>
      <c r="AB181" s="86"/>
      <c r="AC181" s="72"/>
      <c r="AD181" s="331"/>
      <c r="AE181" s="239" t="s">
        <v>278</v>
      </c>
      <c r="AF181" s="243" t="s">
        <v>77</v>
      </c>
      <c r="AG181" s="334"/>
    </row>
    <row r="182" spans="2:33" s="306" customFormat="1" ht="12.75" customHeight="1" x14ac:dyDescent="0.2">
      <c r="B182" s="338" t="str" cm="1">
        <f t="array" ref="B182">IF(C182="","Skip",IF(AND(Validator!G176=TRUE,Validator!G426=TRUE,Validator!G676=TRUE,Validator!G926=TRUE,Validator!G1176=TRUE,Validator!G1426=TRUE,OR(ISBLANK($R182),ISNUMBER(VALUE(SUBSTITUTE(SUBSTITUTE(SUBSTITUTE(SUBSTITUTE($R182," ",""),"c",""),"C",""),"-","")))),OR(SUMPRODUCT(--($U182=Package_type_code))&gt;0,$U182="",$U182="-")),"Valid","Invalid"))</f>
        <v>Skip</v>
      </c>
      <c r="C182" s="70"/>
      <c r="D182" s="395"/>
      <c r="E182" s="396"/>
      <c r="F182" s="178" t="str">
        <f t="shared" si="4"/>
        <v>-</v>
      </c>
      <c r="G182" s="398"/>
      <c r="H182" s="178" t="str">
        <f t="shared" si="5"/>
        <v>-</v>
      </c>
      <c r="I182" s="333"/>
      <c r="J182" s="400"/>
      <c r="K182" s="401"/>
      <c r="L182" s="402"/>
      <c r="M182" s="322"/>
      <c r="N182" s="584"/>
      <c r="O182" s="403" t="s">
        <v>278</v>
      </c>
      <c r="P182" s="404" t="s">
        <v>77</v>
      </c>
      <c r="Q182" s="329"/>
      <c r="R182" s="320"/>
      <c r="S182" s="320"/>
      <c r="T182" s="329"/>
      <c r="U182" s="336" t="str">
        <f>IF(ISERROR(VLOOKUP($T182, 'Reference data'!$J$2:$K$139, 2, FALSE)),"-",VLOOKUP($T182, 'Reference data'!$J$2:$K$139, 2, FALSE))</f>
        <v>-</v>
      </c>
      <c r="V182" s="320"/>
      <c r="W182" s="320"/>
      <c r="X182" s="324"/>
      <c r="Y182" s="325"/>
      <c r="Z182" s="70"/>
      <c r="AA182" s="352"/>
      <c r="AB182" s="86"/>
      <c r="AC182" s="72"/>
      <c r="AD182" s="331"/>
      <c r="AE182" s="239" t="s">
        <v>278</v>
      </c>
      <c r="AF182" s="243" t="s">
        <v>77</v>
      </c>
      <c r="AG182" s="334"/>
    </row>
    <row r="183" spans="2:33" s="306" customFormat="1" ht="12.75" customHeight="1" x14ac:dyDescent="0.2">
      <c r="B183" s="338" t="str" cm="1">
        <f t="array" ref="B183">IF(C183="","Skip",IF(AND(Validator!G177=TRUE,Validator!G427=TRUE,Validator!G677=TRUE,Validator!G927=TRUE,Validator!G1177=TRUE,Validator!G1427=TRUE,OR(ISBLANK($R183),ISNUMBER(VALUE(SUBSTITUTE(SUBSTITUTE(SUBSTITUTE(SUBSTITUTE($R183," ",""),"c",""),"C",""),"-","")))),OR(SUMPRODUCT(--($U183=Package_type_code))&gt;0,$U183="",$U183="-")),"Valid","Invalid"))</f>
        <v>Skip</v>
      </c>
      <c r="C183" s="70"/>
      <c r="D183" s="395"/>
      <c r="E183" s="396"/>
      <c r="F183" s="178" t="str">
        <f t="shared" si="4"/>
        <v>-</v>
      </c>
      <c r="G183" s="398"/>
      <c r="H183" s="178" t="str">
        <f t="shared" si="5"/>
        <v>-</v>
      </c>
      <c r="I183" s="333"/>
      <c r="J183" s="400"/>
      <c r="K183" s="401"/>
      <c r="L183" s="402"/>
      <c r="M183" s="322"/>
      <c r="N183" s="584"/>
      <c r="O183" s="403" t="s">
        <v>278</v>
      </c>
      <c r="P183" s="404" t="s">
        <v>77</v>
      </c>
      <c r="Q183" s="329"/>
      <c r="R183" s="320"/>
      <c r="S183" s="320"/>
      <c r="T183" s="329"/>
      <c r="U183" s="336" t="str">
        <f>IF(ISERROR(VLOOKUP($T183, 'Reference data'!$J$2:$K$139, 2, FALSE)),"-",VLOOKUP($T183, 'Reference data'!$J$2:$K$139, 2, FALSE))</f>
        <v>-</v>
      </c>
      <c r="V183" s="320"/>
      <c r="W183" s="320"/>
      <c r="X183" s="324"/>
      <c r="Y183" s="325"/>
      <c r="Z183" s="70"/>
      <c r="AA183" s="352"/>
      <c r="AB183" s="86"/>
      <c r="AC183" s="72"/>
      <c r="AD183" s="331"/>
      <c r="AE183" s="239" t="s">
        <v>278</v>
      </c>
      <c r="AF183" s="243" t="s">
        <v>77</v>
      </c>
      <c r="AG183" s="334"/>
    </row>
    <row r="184" spans="2:33" s="306" customFormat="1" ht="12.75" customHeight="1" x14ac:dyDescent="0.2">
      <c r="B184" s="338" t="str" cm="1">
        <f t="array" ref="B184">IF(C184="","Skip",IF(AND(Validator!G178=TRUE,Validator!G428=TRUE,Validator!G678=TRUE,Validator!G928=TRUE,Validator!G1178=TRUE,Validator!G1428=TRUE,OR(ISBLANK($R184),ISNUMBER(VALUE(SUBSTITUTE(SUBSTITUTE(SUBSTITUTE(SUBSTITUTE($R184," ",""),"c",""),"C",""),"-","")))),OR(SUMPRODUCT(--($U184=Package_type_code))&gt;0,$U184="",$U184="-")),"Valid","Invalid"))</f>
        <v>Skip</v>
      </c>
      <c r="C184" s="70"/>
      <c r="D184" s="395"/>
      <c r="E184" s="396"/>
      <c r="F184" s="178" t="str">
        <f t="shared" si="4"/>
        <v>-</v>
      </c>
      <c r="G184" s="398"/>
      <c r="H184" s="178" t="str">
        <f t="shared" si="5"/>
        <v>-</v>
      </c>
      <c r="I184" s="333"/>
      <c r="J184" s="400"/>
      <c r="K184" s="401"/>
      <c r="L184" s="402"/>
      <c r="M184" s="322"/>
      <c r="N184" s="584"/>
      <c r="O184" s="403" t="s">
        <v>278</v>
      </c>
      <c r="P184" s="404" t="s">
        <v>77</v>
      </c>
      <c r="Q184" s="329"/>
      <c r="R184" s="320"/>
      <c r="S184" s="320"/>
      <c r="T184" s="329"/>
      <c r="U184" s="336" t="str">
        <f>IF(ISERROR(VLOOKUP($T184, 'Reference data'!$J$2:$K$139, 2, FALSE)),"-",VLOOKUP($T184, 'Reference data'!$J$2:$K$139, 2, FALSE))</f>
        <v>-</v>
      </c>
      <c r="V184" s="320"/>
      <c r="W184" s="320"/>
      <c r="X184" s="324"/>
      <c r="Y184" s="325"/>
      <c r="Z184" s="70"/>
      <c r="AA184" s="352"/>
      <c r="AB184" s="86"/>
      <c r="AC184" s="72"/>
      <c r="AD184" s="331"/>
      <c r="AE184" s="239" t="s">
        <v>278</v>
      </c>
      <c r="AF184" s="243" t="s">
        <v>77</v>
      </c>
      <c r="AG184" s="334"/>
    </row>
    <row r="185" spans="2:33" s="306" customFormat="1" ht="12.75" customHeight="1" x14ac:dyDescent="0.2">
      <c r="B185" s="338" t="str" cm="1">
        <f t="array" ref="B185">IF(C185="","Skip",IF(AND(Validator!G179=TRUE,Validator!G429=TRUE,Validator!G679=TRUE,Validator!G929=TRUE,Validator!G1179=TRUE,Validator!G1429=TRUE,OR(ISBLANK($R185),ISNUMBER(VALUE(SUBSTITUTE(SUBSTITUTE(SUBSTITUTE(SUBSTITUTE($R185," ",""),"c",""),"C",""),"-","")))),OR(SUMPRODUCT(--($U185=Package_type_code))&gt;0,$U185="",$U185="-")),"Valid","Invalid"))</f>
        <v>Skip</v>
      </c>
      <c r="C185" s="70"/>
      <c r="D185" s="395"/>
      <c r="E185" s="396"/>
      <c r="F185" s="178" t="str">
        <f t="shared" si="4"/>
        <v>-</v>
      </c>
      <c r="G185" s="398"/>
      <c r="H185" s="178" t="str">
        <f t="shared" si="5"/>
        <v>-</v>
      </c>
      <c r="I185" s="333"/>
      <c r="J185" s="400"/>
      <c r="K185" s="401"/>
      <c r="L185" s="402"/>
      <c r="M185" s="322"/>
      <c r="N185" s="584"/>
      <c r="O185" s="403" t="s">
        <v>278</v>
      </c>
      <c r="P185" s="404" t="s">
        <v>77</v>
      </c>
      <c r="Q185" s="329"/>
      <c r="R185" s="320"/>
      <c r="S185" s="320"/>
      <c r="T185" s="329"/>
      <c r="U185" s="336" t="str">
        <f>IF(ISERROR(VLOOKUP($T185, 'Reference data'!$J$2:$K$139, 2, FALSE)),"-",VLOOKUP($T185, 'Reference data'!$J$2:$K$139, 2, FALSE))</f>
        <v>-</v>
      </c>
      <c r="V185" s="320"/>
      <c r="W185" s="320"/>
      <c r="X185" s="324"/>
      <c r="Y185" s="325"/>
      <c r="Z185" s="70"/>
      <c r="AA185" s="352"/>
      <c r="AB185" s="86"/>
      <c r="AC185" s="72"/>
      <c r="AD185" s="331"/>
      <c r="AE185" s="239" t="s">
        <v>278</v>
      </c>
      <c r="AF185" s="243" t="s">
        <v>77</v>
      </c>
      <c r="AG185" s="334"/>
    </row>
    <row r="186" spans="2:33" s="306" customFormat="1" ht="12.75" customHeight="1" x14ac:dyDescent="0.2">
      <c r="B186" s="338" t="str" cm="1">
        <f t="array" ref="B186">IF(C186="","Skip",IF(AND(Validator!G180=TRUE,Validator!G430=TRUE,Validator!G680=TRUE,Validator!G930=TRUE,Validator!G1180=TRUE,Validator!G1430=TRUE,OR(ISBLANK($R186),ISNUMBER(VALUE(SUBSTITUTE(SUBSTITUTE(SUBSTITUTE(SUBSTITUTE($R186," ",""),"c",""),"C",""),"-","")))),OR(SUMPRODUCT(--($U186=Package_type_code))&gt;0,$U186="",$U186="-")),"Valid","Invalid"))</f>
        <v>Skip</v>
      </c>
      <c r="C186" s="70"/>
      <c r="D186" s="395"/>
      <c r="E186" s="396"/>
      <c r="F186" s="178" t="str">
        <f t="shared" si="4"/>
        <v>-</v>
      </c>
      <c r="G186" s="398"/>
      <c r="H186" s="178" t="str">
        <f t="shared" si="5"/>
        <v>-</v>
      </c>
      <c r="I186" s="333"/>
      <c r="J186" s="400"/>
      <c r="K186" s="401"/>
      <c r="L186" s="402"/>
      <c r="M186" s="322"/>
      <c r="N186" s="584"/>
      <c r="O186" s="403" t="s">
        <v>278</v>
      </c>
      <c r="P186" s="404" t="s">
        <v>77</v>
      </c>
      <c r="Q186" s="329"/>
      <c r="R186" s="320"/>
      <c r="S186" s="320"/>
      <c r="T186" s="329"/>
      <c r="U186" s="336" t="str">
        <f>IF(ISERROR(VLOOKUP($T186, 'Reference data'!$J$2:$K$139, 2, FALSE)),"-",VLOOKUP($T186, 'Reference data'!$J$2:$K$139, 2, FALSE))</f>
        <v>-</v>
      </c>
      <c r="V186" s="320"/>
      <c r="W186" s="320"/>
      <c r="X186" s="324"/>
      <c r="Y186" s="325"/>
      <c r="Z186" s="70"/>
      <c r="AA186" s="352"/>
      <c r="AB186" s="86"/>
      <c r="AC186" s="72"/>
      <c r="AD186" s="331"/>
      <c r="AE186" s="239" t="s">
        <v>278</v>
      </c>
      <c r="AF186" s="243" t="s">
        <v>77</v>
      </c>
      <c r="AG186" s="334"/>
    </row>
    <row r="187" spans="2:33" s="306" customFormat="1" ht="12.75" customHeight="1" x14ac:dyDescent="0.2">
      <c r="B187" s="338" t="str" cm="1">
        <f t="array" ref="B187">IF(C187="","Skip",IF(AND(Validator!G181=TRUE,Validator!G431=TRUE,Validator!G681=TRUE,Validator!G931=TRUE,Validator!G1181=TRUE,Validator!G1431=TRUE,OR(ISBLANK($R187),ISNUMBER(VALUE(SUBSTITUTE(SUBSTITUTE(SUBSTITUTE(SUBSTITUTE($R187," ",""),"c",""),"C",""),"-","")))),OR(SUMPRODUCT(--($U187=Package_type_code))&gt;0,$U187="",$U187="-")),"Valid","Invalid"))</f>
        <v>Skip</v>
      </c>
      <c r="C187" s="70"/>
      <c r="D187" s="395"/>
      <c r="E187" s="396"/>
      <c r="F187" s="178" t="str">
        <f t="shared" si="4"/>
        <v>-</v>
      </c>
      <c r="G187" s="398"/>
      <c r="H187" s="178" t="str">
        <f t="shared" si="5"/>
        <v>-</v>
      </c>
      <c r="I187" s="333"/>
      <c r="J187" s="400"/>
      <c r="K187" s="401"/>
      <c r="L187" s="402"/>
      <c r="M187" s="322"/>
      <c r="N187" s="584"/>
      <c r="O187" s="403" t="s">
        <v>278</v>
      </c>
      <c r="P187" s="404" t="s">
        <v>77</v>
      </c>
      <c r="Q187" s="329"/>
      <c r="R187" s="320"/>
      <c r="S187" s="320"/>
      <c r="T187" s="329"/>
      <c r="U187" s="336" t="str">
        <f>IF(ISERROR(VLOOKUP($T187, 'Reference data'!$J$2:$K$139, 2, FALSE)),"-",VLOOKUP($T187, 'Reference data'!$J$2:$K$139, 2, FALSE))</f>
        <v>-</v>
      </c>
      <c r="V187" s="320"/>
      <c r="W187" s="320"/>
      <c r="X187" s="324"/>
      <c r="Y187" s="325"/>
      <c r="Z187" s="70"/>
      <c r="AA187" s="352"/>
      <c r="AB187" s="86"/>
      <c r="AC187" s="72"/>
      <c r="AD187" s="331"/>
      <c r="AE187" s="239" t="s">
        <v>278</v>
      </c>
      <c r="AF187" s="243" t="s">
        <v>77</v>
      </c>
      <c r="AG187" s="334"/>
    </row>
    <row r="188" spans="2:33" s="306" customFormat="1" ht="12.75" customHeight="1" x14ac:dyDescent="0.2">
      <c r="B188" s="338" t="str" cm="1">
        <f t="array" ref="B188">IF(C188="","Skip",IF(AND(Validator!G182=TRUE,Validator!G432=TRUE,Validator!G682=TRUE,Validator!G932=TRUE,Validator!G1182=TRUE,Validator!G1432=TRUE,OR(ISBLANK($R188),ISNUMBER(VALUE(SUBSTITUTE(SUBSTITUTE(SUBSTITUTE(SUBSTITUTE($R188," ",""),"c",""),"C",""),"-","")))),OR(SUMPRODUCT(--($U188=Package_type_code))&gt;0,$U188="",$U188="-")),"Valid","Invalid"))</f>
        <v>Skip</v>
      </c>
      <c r="C188" s="70"/>
      <c r="D188" s="395"/>
      <c r="E188" s="396"/>
      <c r="F188" s="178" t="str">
        <f t="shared" si="4"/>
        <v>-</v>
      </c>
      <c r="G188" s="398"/>
      <c r="H188" s="178" t="str">
        <f t="shared" si="5"/>
        <v>-</v>
      </c>
      <c r="I188" s="333"/>
      <c r="J188" s="400"/>
      <c r="K188" s="401"/>
      <c r="L188" s="402"/>
      <c r="M188" s="322"/>
      <c r="N188" s="584"/>
      <c r="O188" s="403" t="s">
        <v>278</v>
      </c>
      <c r="P188" s="404" t="s">
        <v>77</v>
      </c>
      <c r="Q188" s="329"/>
      <c r="R188" s="320"/>
      <c r="S188" s="320"/>
      <c r="T188" s="329"/>
      <c r="U188" s="336" t="str">
        <f>IF(ISERROR(VLOOKUP($T188, 'Reference data'!$J$2:$K$139, 2, FALSE)),"-",VLOOKUP($T188, 'Reference data'!$J$2:$K$139, 2, FALSE))</f>
        <v>-</v>
      </c>
      <c r="V188" s="320"/>
      <c r="W188" s="320"/>
      <c r="X188" s="324"/>
      <c r="Y188" s="325"/>
      <c r="Z188" s="70"/>
      <c r="AA188" s="352"/>
      <c r="AB188" s="86"/>
      <c r="AC188" s="72"/>
      <c r="AD188" s="331"/>
      <c r="AE188" s="239" t="s">
        <v>278</v>
      </c>
      <c r="AF188" s="243" t="s">
        <v>77</v>
      </c>
      <c r="AG188" s="334"/>
    </row>
    <row r="189" spans="2:33" s="306" customFormat="1" ht="12.75" customHeight="1" x14ac:dyDescent="0.2">
      <c r="B189" s="338" t="str" cm="1">
        <f t="array" ref="B189">IF(C189="","Skip",IF(AND(Validator!G183=TRUE,Validator!G433=TRUE,Validator!G683=TRUE,Validator!G933=TRUE,Validator!G1183=TRUE,Validator!G1433=TRUE,OR(ISBLANK($R189),ISNUMBER(VALUE(SUBSTITUTE(SUBSTITUTE(SUBSTITUTE(SUBSTITUTE($R189," ",""),"c",""),"C",""),"-","")))),OR(SUMPRODUCT(--($U189=Package_type_code))&gt;0,$U189="",$U189="-")),"Valid","Invalid"))</f>
        <v>Skip</v>
      </c>
      <c r="C189" s="70"/>
      <c r="D189" s="395"/>
      <c r="E189" s="396"/>
      <c r="F189" s="178" t="str">
        <f t="shared" si="4"/>
        <v>-</v>
      </c>
      <c r="G189" s="398"/>
      <c r="H189" s="178" t="str">
        <f t="shared" si="5"/>
        <v>-</v>
      </c>
      <c r="I189" s="333"/>
      <c r="J189" s="400"/>
      <c r="K189" s="401"/>
      <c r="L189" s="402"/>
      <c r="M189" s="322"/>
      <c r="N189" s="584"/>
      <c r="O189" s="403" t="s">
        <v>278</v>
      </c>
      <c r="P189" s="404" t="s">
        <v>77</v>
      </c>
      <c r="Q189" s="329"/>
      <c r="R189" s="320"/>
      <c r="S189" s="320"/>
      <c r="T189" s="329"/>
      <c r="U189" s="336" t="str">
        <f>IF(ISERROR(VLOOKUP($T189, 'Reference data'!$J$2:$K$139, 2, FALSE)),"-",VLOOKUP($T189, 'Reference data'!$J$2:$K$139, 2, FALSE))</f>
        <v>-</v>
      </c>
      <c r="V189" s="320"/>
      <c r="W189" s="320"/>
      <c r="X189" s="324"/>
      <c r="Y189" s="325"/>
      <c r="Z189" s="70"/>
      <c r="AA189" s="352"/>
      <c r="AB189" s="86"/>
      <c r="AC189" s="72"/>
      <c r="AD189" s="331"/>
      <c r="AE189" s="239" t="s">
        <v>278</v>
      </c>
      <c r="AF189" s="243" t="s">
        <v>77</v>
      </c>
      <c r="AG189" s="334"/>
    </row>
    <row r="190" spans="2:33" s="306" customFormat="1" ht="12.75" customHeight="1" x14ac:dyDescent="0.2">
      <c r="B190" s="338" t="str" cm="1">
        <f t="array" ref="B190">IF(C190="","Skip",IF(AND(Validator!G184=TRUE,Validator!G434=TRUE,Validator!G684=TRUE,Validator!G934=TRUE,Validator!G1184=TRUE,Validator!G1434=TRUE,OR(ISBLANK($R190),ISNUMBER(VALUE(SUBSTITUTE(SUBSTITUTE(SUBSTITUTE(SUBSTITUTE($R190," ",""),"c",""),"C",""),"-","")))),OR(SUMPRODUCT(--($U190=Package_type_code))&gt;0,$U190="",$U190="-")),"Valid","Invalid"))</f>
        <v>Skip</v>
      </c>
      <c r="C190" s="70"/>
      <c r="D190" s="395"/>
      <c r="E190" s="396"/>
      <c r="F190" s="178" t="str">
        <f t="shared" si="4"/>
        <v>-</v>
      </c>
      <c r="G190" s="398"/>
      <c r="H190" s="178" t="str">
        <f t="shared" si="5"/>
        <v>-</v>
      </c>
      <c r="I190" s="333"/>
      <c r="J190" s="400"/>
      <c r="K190" s="401"/>
      <c r="L190" s="402"/>
      <c r="M190" s="322"/>
      <c r="N190" s="584"/>
      <c r="O190" s="403" t="s">
        <v>278</v>
      </c>
      <c r="P190" s="404" t="s">
        <v>77</v>
      </c>
      <c r="Q190" s="329"/>
      <c r="R190" s="320"/>
      <c r="S190" s="320"/>
      <c r="T190" s="329"/>
      <c r="U190" s="336" t="str">
        <f>IF(ISERROR(VLOOKUP($T190, 'Reference data'!$J$2:$K$139, 2, FALSE)),"-",VLOOKUP($T190, 'Reference data'!$J$2:$K$139, 2, FALSE))</f>
        <v>-</v>
      </c>
      <c r="V190" s="320"/>
      <c r="W190" s="320"/>
      <c r="X190" s="324"/>
      <c r="Y190" s="325"/>
      <c r="Z190" s="70"/>
      <c r="AA190" s="352"/>
      <c r="AB190" s="86"/>
      <c r="AC190" s="72"/>
      <c r="AD190" s="331"/>
      <c r="AE190" s="239" t="s">
        <v>278</v>
      </c>
      <c r="AF190" s="243" t="s">
        <v>77</v>
      </c>
      <c r="AG190" s="334"/>
    </row>
    <row r="191" spans="2:33" s="306" customFormat="1" ht="12.75" customHeight="1" x14ac:dyDescent="0.2">
      <c r="B191" s="338" t="str" cm="1">
        <f t="array" ref="B191">IF(C191="","Skip",IF(AND(Validator!G185=TRUE,Validator!G435=TRUE,Validator!G685=TRUE,Validator!G935=TRUE,Validator!G1185=TRUE,Validator!G1435=TRUE,OR(ISBLANK($R191),ISNUMBER(VALUE(SUBSTITUTE(SUBSTITUTE(SUBSTITUTE(SUBSTITUTE($R191," ",""),"c",""),"C",""),"-","")))),OR(SUMPRODUCT(--($U191=Package_type_code))&gt;0,$U191="",$U191="-")),"Valid","Invalid"))</f>
        <v>Skip</v>
      </c>
      <c r="C191" s="70"/>
      <c r="D191" s="395"/>
      <c r="E191" s="396"/>
      <c r="F191" s="178" t="str">
        <f t="shared" si="4"/>
        <v>-</v>
      </c>
      <c r="G191" s="398"/>
      <c r="H191" s="178" t="str">
        <f t="shared" si="5"/>
        <v>-</v>
      </c>
      <c r="I191" s="333"/>
      <c r="J191" s="400"/>
      <c r="K191" s="401"/>
      <c r="L191" s="402"/>
      <c r="M191" s="322"/>
      <c r="N191" s="584"/>
      <c r="O191" s="403" t="s">
        <v>278</v>
      </c>
      <c r="P191" s="404" t="s">
        <v>77</v>
      </c>
      <c r="Q191" s="329"/>
      <c r="R191" s="320"/>
      <c r="S191" s="320"/>
      <c r="T191" s="329"/>
      <c r="U191" s="336" t="str">
        <f>IF(ISERROR(VLOOKUP($T191, 'Reference data'!$J$2:$K$139, 2, FALSE)),"-",VLOOKUP($T191, 'Reference data'!$J$2:$K$139, 2, FALSE))</f>
        <v>-</v>
      </c>
      <c r="V191" s="320"/>
      <c r="W191" s="320"/>
      <c r="X191" s="324"/>
      <c r="Y191" s="325"/>
      <c r="Z191" s="70"/>
      <c r="AA191" s="352"/>
      <c r="AB191" s="86"/>
      <c r="AC191" s="72"/>
      <c r="AD191" s="331"/>
      <c r="AE191" s="239" t="s">
        <v>278</v>
      </c>
      <c r="AF191" s="243" t="s">
        <v>77</v>
      </c>
      <c r="AG191" s="334"/>
    </row>
    <row r="192" spans="2:33" s="306" customFormat="1" ht="12.75" customHeight="1" x14ac:dyDescent="0.2">
      <c r="B192" s="338" t="str" cm="1">
        <f t="array" ref="B192">IF(C192="","Skip",IF(AND(Validator!G186=TRUE,Validator!G436=TRUE,Validator!G686=TRUE,Validator!G936=TRUE,Validator!G1186=TRUE,Validator!G1436=TRUE,OR(ISBLANK($R192),ISNUMBER(VALUE(SUBSTITUTE(SUBSTITUTE(SUBSTITUTE(SUBSTITUTE($R192," ",""),"c",""),"C",""),"-","")))),OR(SUMPRODUCT(--($U192=Package_type_code))&gt;0,$U192="",$U192="-")),"Valid","Invalid"))</f>
        <v>Skip</v>
      </c>
      <c r="C192" s="70"/>
      <c r="D192" s="395"/>
      <c r="E192" s="396"/>
      <c r="F192" s="178" t="str">
        <f t="shared" si="4"/>
        <v>-</v>
      </c>
      <c r="G192" s="398"/>
      <c r="H192" s="178" t="str">
        <f t="shared" si="5"/>
        <v>-</v>
      </c>
      <c r="I192" s="333"/>
      <c r="J192" s="400"/>
      <c r="K192" s="401"/>
      <c r="L192" s="402"/>
      <c r="M192" s="322"/>
      <c r="N192" s="584"/>
      <c r="O192" s="403" t="s">
        <v>278</v>
      </c>
      <c r="P192" s="404" t="s">
        <v>77</v>
      </c>
      <c r="Q192" s="329"/>
      <c r="R192" s="320"/>
      <c r="S192" s="320"/>
      <c r="T192" s="329"/>
      <c r="U192" s="336" t="str">
        <f>IF(ISERROR(VLOOKUP($T192, 'Reference data'!$J$2:$K$139, 2, FALSE)),"-",VLOOKUP($T192, 'Reference data'!$J$2:$K$139, 2, FALSE))</f>
        <v>-</v>
      </c>
      <c r="V192" s="320"/>
      <c r="W192" s="320"/>
      <c r="X192" s="324"/>
      <c r="Y192" s="325"/>
      <c r="Z192" s="70"/>
      <c r="AA192" s="352"/>
      <c r="AB192" s="86"/>
      <c r="AC192" s="72"/>
      <c r="AD192" s="331"/>
      <c r="AE192" s="239" t="s">
        <v>278</v>
      </c>
      <c r="AF192" s="243" t="s">
        <v>77</v>
      </c>
      <c r="AG192" s="334"/>
    </row>
    <row r="193" spans="2:33" s="306" customFormat="1" ht="12.75" customHeight="1" x14ac:dyDescent="0.2">
      <c r="B193" s="338" t="str" cm="1">
        <f t="array" ref="B193">IF(C193="","Skip",IF(AND(Validator!G187=TRUE,Validator!G437=TRUE,Validator!G687=TRUE,Validator!G937=TRUE,Validator!G1187=TRUE,Validator!G1437=TRUE,OR(ISBLANK($R193),ISNUMBER(VALUE(SUBSTITUTE(SUBSTITUTE(SUBSTITUTE(SUBSTITUTE($R193," ",""),"c",""),"C",""),"-","")))),OR(SUMPRODUCT(--($U193=Package_type_code))&gt;0,$U193="",$U193="-")),"Valid","Invalid"))</f>
        <v>Skip</v>
      </c>
      <c r="C193" s="70"/>
      <c r="D193" s="395"/>
      <c r="E193" s="396"/>
      <c r="F193" s="178" t="str">
        <f t="shared" si="4"/>
        <v>-</v>
      </c>
      <c r="G193" s="398"/>
      <c r="H193" s="178" t="str">
        <f t="shared" si="5"/>
        <v>-</v>
      </c>
      <c r="I193" s="333"/>
      <c r="J193" s="400"/>
      <c r="K193" s="401"/>
      <c r="L193" s="402"/>
      <c r="M193" s="322"/>
      <c r="N193" s="584"/>
      <c r="O193" s="403" t="s">
        <v>278</v>
      </c>
      <c r="P193" s="404" t="s">
        <v>77</v>
      </c>
      <c r="Q193" s="329"/>
      <c r="R193" s="320"/>
      <c r="S193" s="320"/>
      <c r="T193" s="329"/>
      <c r="U193" s="336" t="str">
        <f>IF(ISERROR(VLOOKUP($T193, 'Reference data'!$J$2:$K$139, 2, FALSE)),"-",VLOOKUP($T193, 'Reference data'!$J$2:$K$139, 2, FALSE))</f>
        <v>-</v>
      </c>
      <c r="V193" s="320"/>
      <c r="W193" s="320"/>
      <c r="X193" s="324"/>
      <c r="Y193" s="325"/>
      <c r="Z193" s="70"/>
      <c r="AA193" s="352"/>
      <c r="AB193" s="86"/>
      <c r="AC193" s="72"/>
      <c r="AD193" s="331"/>
      <c r="AE193" s="239" t="s">
        <v>278</v>
      </c>
      <c r="AF193" s="243" t="s">
        <v>77</v>
      </c>
      <c r="AG193" s="334"/>
    </row>
    <row r="194" spans="2:33" s="306" customFormat="1" ht="12.75" customHeight="1" x14ac:dyDescent="0.2">
      <c r="B194" s="338" t="str" cm="1">
        <f t="array" ref="B194">IF(C194="","Skip",IF(AND(Validator!G188=TRUE,Validator!G438=TRUE,Validator!G688=TRUE,Validator!G938=TRUE,Validator!G1188=TRUE,Validator!G1438=TRUE,OR(ISBLANK($R194),ISNUMBER(VALUE(SUBSTITUTE(SUBSTITUTE(SUBSTITUTE(SUBSTITUTE($R194," ",""),"c",""),"C",""),"-","")))),OR(SUMPRODUCT(--($U194=Package_type_code))&gt;0,$U194="",$U194="-")),"Valid","Invalid"))</f>
        <v>Skip</v>
      </c>
      <c r="C194" s="70"/>
      <c r="D194" s="395"/>
      <c r="E194" s="396"/>
      <c r="F194" s="178" t="str">
        <f t="shared" si="4"/>
        <v>-</v>
      </c>
      <c r="G194" s="398"/>
      <c r="H194" s="178" t="str">
        <f t="shared" si="5"/>
        <v>-</v>
      </c>
      <c r="I194" s="333"/>
      <c r="J194" s="400"/>
      <c r="K194" s="401"/>
      <c r="L194" s="402"/>
      <c r="M194" s="322"/>
      <c r="N194" s="584"/>
      <c r="O194" s="403" t="s">
        <v>278</v>
      </c>
      <c r="P194" s="404" t="s">
        <v>77</v>
      </c>
      <c r="Q194" s="329"/>
      <c r="R194" s="320"/>
      <c r="S194" s="320"/>
      <c r="T194" s="329"/>
      <c r="U194" s="336" t="str">
        <f>IF(ISERROR(VLOOKUP($T194, 'Reference data'!$J$2:$K$139, 2, FALSE)),"-",VLOOKUP($T194, 'Reference data'!$J$2:$K$139, 2, FALSE))</f>
        <v>-</v>
      </c>
      <c r="V194" s="320"/>
      <c r="W194" s="320"/>
      <c r="X194" s="324"/>
      <c r="Y194" s="325"/>
      <c r="Z194" s="70"/>
      <c r="AA194" s="352"/>
      <c r="AB194" s="86"/>
      <c r="AC194" s="72"/>
      <c r="AD194" s="331"/>
      <c r="AE194" s="239" t="s">
        <v>278</v>
      </c>
      <c r="AF194" s="243" t="s">
        <v>77</v>
      </c>
      <c r="AG194" s="334"/>
    </row>
    <row r="195" spans="2:33" s="306" customFormat="1" ht="12.75" customHeight="1" x14ac:dyDescent="0.2">
      <c r="B195" s="338" t="str" cm="1">
        <f t="array" ref="B195">IF(C195="","Skip",IF(AND(Validator!G189=TRUE,Validator!G439=TRUE,Validator!G689=TRUE,Validator!G939=TRUE,Validator!G1189=TRUE,Validator!G1439=TRUE,OR(ISBLANK($R195),ISNUMBER(VALUE(SUBSTITUTE(SUBSTITUTE(SUBSTITUTE(SUBSTITUTE($R195," ",""),"c",""),"C",""),"-","")))),OR(SUMPRODUCT(--($U195=Package_type_code))&gt;0,$U195="",$U195="-")),"Valid","Invalid"))</f>
        <v>Skip</v>
      </c>
      <c r="C195" s="70"/>
      <c r="D195" s="395"/>
      <c r="E195" s="396"/>
      <c r="F195" s="178" t="str">
        <f t="shared" si="4"/>
        <v>-</v>
      </c>
      <c r="G195" s="398"/>
      <c r="H195" s="178" t="str">
        <f t="shared" si="5"/>
        <v>-</v>
      </c>
      <c r="I195" s="333"/>
      <c r="J195" s="400"/>
      <c r="K195" s="401"/>
      <c r="L195" s="402"/>
      <c r="M195" s="322"/>
      <c r="N195" s="584"/>
      <c r="O195" s="403" t="s">
        <v>278</v>
      </c>
      <c r="P195" s="404" t="s">
        <v>77</v>
      </c>
      <c r="Q195" s="329"/>
      <c r="R195" s="320"/>
      <c r="S195" s="320"/>
      <c r="T195" s="329"/>
      <c r="U195" s="336" t="str">
        <f>IF(ISERROR(VLOOKUP($T195, 'Reference data'!$J$2:$K$139, 2, FALSE)),"-",VLOOKUP($T195, 'Reference data'!$J$2:$K$139, 2, FALSE))</f>
        <v>-</v>
      </c>
      <c r="V195" s="320"/>
      <c r="W195" s="320"/>
      <c r="X195" s="324"/>
      <c r="Y195" s="325"/>
      <c r="Z195" s="70"/>
      <c r="AA195" s="352"/>
      <c r="AB195" s="86"/>
      <c r="AC195" s="72"/>
      <c r="AD195" s="331"/>
      <c r="AE195" s="239" t="s">
        <v>278</v>
      </c>
      <c r="AF195" s="243" t="s">
        <v>77</v>
      </c>
      <c r="AG195" s="334"/>
    </row>
    <row r="196" spans="2:33" s="306" customFormat="1" ht="12.75" customHeight="1" x14ac:dyDescent="0.2">
      <c r="B196" s="338" t="str" cm="1">
        <f t="array" ref="B196">IF(C196="","Skip",IF(AND(Validator!G190=TRUE,Validator!G440=TRUE,Validator!G690=TRUE,Validator!G940=TRUE,Validator!G1190=TRUE,Validator!G1440=TRUE,OR(ISBLANK($R196),ISNUMBER(VALUE(SUBSTITUTE(SUBSTITUTE(SUBSTITUTE(SUBSTITUTE($R196," ",""),"c",""),"C",""),"-","")))),OR(SUMPRODUCT(--($U196=Package_type_code))&gt;0,$U196="",$U196="-")),"Valid","Invalid"))</f>
        <v>Skip</v>
      </c>
      <c r="C196" s="70"/>
      <c r="D196" s="395"/>
      <c r="E196" s="396"/>
      <c r="F196" s="178" t="str">
        <f t="shared" si="4"/>
        <v>-</v>
      </c>
      <c r="G196" s="398"/>
      <c r="H196" s="178" t="str">
        <f t="shared" si="5"/>
        <v>-</v>
      </c>
      <c r="I196" s="333"/>
      <c r="J196" s="400"/>
      <c r="K196" s="401"/>
      <c r="L196" s="402"/>
      <c r="M196" s="322"/>
      <c r="N196" s="584"/>
      <c r="O196" s="403" t="s">
        <v>278</v>
      </c>
      <c r="P196" s="404" t="s">
        <v>77</v>
      </c>
      <c r="Q196" s="329"/>
      <c r="R196" s="320"/>
      <c r="S196" s="320"/>
      <c r="T196" s="329"/>
      <c r="U196" s="336" t="str">
        <f>IF(ISERROR(VLOOKUP($T196, 'Reference data'!$J$2:$K$139, 2, FALSE)),"-",VLOOKUP($T196, 'Reference data'!$J$2:$K$139, 2, FALSE))</f>
        <v>-</v>
      </c>
      <c r="V196" s="320"/>
      <c r="W196" s="320"/>
      <c r="X196" s="324"/>
      <c r="Y196" s="325"/>
      <c r="Z196" s="70"/>
      <c r="AA196" s="352"/>
      <c r="AB196" s="86"/>
      <c r="AC196" s="72"/>
      <c r="AD196" s="331"/>
      <c r="AE196" s="239" t="s">
        <v>278</v>
      </c>
      <c r="AF196" s="243" t="s">
        <v>77</v>
      </c>
      <c r="AG196" s="334"/>
    </row>
    <row r="197" spans="2:33" s="306" customFormat="1" ht="12.75" customHeight="1" x14ac:dyDescent="0.2">
      <c r="B197" s="338" t="str" cm="1">
        <f t="array" ref="B197">IF(C197="","Skip",IF(AND(Validator!G191=TRUE,Validator!G441=TRUE,Validator!G691=TRUE,Validator!G941=TRUE,Validator!G1191=TRUE,Validator!G1441=TRUE,OR(ISBLANK($R197),ISNUMBER(VALUE(SUBSTITUTE(SUBSTITUTE(SUBSTITUTE(SUBSTITUTE($R197," ",""),"c",""),"C",""),"-","")))),OR(SUMPRODUCT(--($U197=Package_type_code))&gt;0,$U197="",$U197="-")),"Valid","Invalid"))</f>
        <v>Skip</v>
      </c>
      <c r="C197" s="70"/>
      <c r="D197" s="395"/>
      <c r="E197" s="396"/>
      <c r="F197" s="178" t="str">
        <f t="shared" si="4"/>
        <v>-</v>
      </c>
      <c r="G197" s="398"/>
      <c r="H197" s="178" t="str">
        <f t="shared" si="5"/>
        <v>-</v>
      </c>
      <c r="I197" s="333"/>
      <c r="J197" s="400"/>
      <c r="K197" s="401"/>
      <c r="L197" s="402"/>
      <c r="M197" s="322"/>
      <c r="N197" s="584"/>
      <c r="O197" s="403" t="s">
        <v>278</v>
      </c>
      <c r="P197" s="404" t="s">
        <v>77</v>
      </c>
      <c r="Q197" s="329"/>
      <c r="R197" s="320"/>
      <c r="S197" s="320"/>
      <c r="T197" s="329"/>
      <c r="U197" s="336" t="str">
        <f>IF(ISERROR(VLOOKUP($T197, 'Reference data'!$J$2:$K$139, 2, FALSE)),"-",VLOOKUP($T197, 'Reference data'!$J$2:$K$139, 2, FALSE))</f>
        <v>-</v>
      </c>
      <c r="V197" s="320"/>
      <c r="W197" s="320"/>
      <c r="X197" s="324"/>
      <c r="Y197" s="325"/>
      <c r="Z197" s="70"/>
      <c r="AA197" s="352"/>
      <c r="AB197" s="86"/>
      <c r="AC197" s="72"/>
      <c r="AD197" s="331"/>
      <c r="AE197" s="239" t="s">
        <v>278</v>
      </c>
      <c r="AF197" s="243" t="s">
        <v>77</v>
      </c>
      <c r="AG197" s="334"/>
    </row>
    <row r="198" spans="2:33" s="306" customFormat="1" ht="12.75" customHeight="1" x14ac:dyDescent="0.2">
      <c r="B198" s="338" t="str" cm="1">
        <f t="array" ref="B198">IF(C198="","Skip",IF(AND(Validator!G192=TRUE,Validator!G442=TRUE,Validator!G692=TRUE,Validator!G942=TRUE,Validator!G1192=TRUE,Validator!G1442=TRUE,OR(ISBLANK($R198),ISNUMBER(VALUE(SUBSTITUTE(SUBSTITUTE(SUBSTITUTE(SUBSTITUTE($R198," ",""),"c",""),"C",""),"-","")))),OR(SUMPRODUCT(--($U198=Package_type_code))&gt;0,$U198="",$U198="-")),"Valid","Invalid"))</f>
        <v>Skip</v>
      </c>
      <c r="C198" s="70"/>
      <c r="D198" s="395"/>
      <c r="E198" s="396"/>
      <c r="F198" s="178" t="str">
        <f t="shared" si="4"/>
        <v>-</v>
      </c>
      <c r="G198" s="398"/>
      <c r="H198" s="178" t="str">
        <f t="shared" si="5"/>
        <v>-</v>
      </c>
      <c r="I198" s="333"/>
      <c r="J198" s="400"/>
      <c r="K198" s="401"/>
      <c r="L198" s="402"/>
      <c r="M198" s="322"/>
      <c r="N198" s="584"/>
      <c r="O198" s="403" t="s">
        <v>278</v>
      </c>
      <c r="P198" s="404" t="s">
        <v>77</v>
      </c>
      <c r="Q198" s="329"/>
      <c r="R198" s="320"/>
      <c r="S198" s="320"/>
      <c r="T198" s="329"/>
      <c r="U198" s="336" t="str">
        <f>IF(ISERROR(VLOOKUP($T198, 'Reference data'!$J$2:$K$139, 2, FALSE)),"-",VLOOKUP($T198, 'Reference data'!$J$2:$K$139, 2, FALSE))</f>
        <v>-</v>
      </c>
      <c r="V198" s="320"/>
      <c r="W198" s="320"/>
      <c r="X198" s="324"/>
      <c r="Y198" s="325"/>
      <c r="Z198" s="70"/>
      <c r="AA198" s="352"/>
      <c r="AB198" s="86"/>
      <c r="AC198" s="72"/>
      <c r="AD198" s="331"/>
      <c r="AE198" s="239" t="s">
        <v>278</v>
      </c>
      <c r="AF198" s="243" t="s">
        <v>77</v>
      </c>
      <c r="AG198" s="334"/>
    </row>
    <row r="199" spans="2:33" s="306" customFormat="1" ht="12.75" customHeight="1" x14ac:dyDescent="0.2">
      <c r="B199" s="338" t="str" cm="1">
        <f t="array" ref="B199">IF(C199="","Skip",IF(AND(Validator!G193=TRUE,Validator!G443=TRUE,Validator!G693=TRUE,Validator!G943=TRUE,Validator!G1193=TRUE,Validator!G1443=TRUE,OR(ISBLANK($R199),ISNUMBER(VALUE(SUBSTITUTE(SUBSTITUTE(SUBSTITUTE(SUBSTITUTE($R199," ",""),"c",""),"C",""),"-","")))),OR(SUMPRODUCT(--($U199=Package_type_code))&gt;0,$U199="",$U199="-")),"Valid","Invalid"))</f>
        <v>Skip</v>
      </c>
      <c r="C199" s="70"/>
      <c r="D199" s="395"/>
      <c r="E199" s="396"/>
      <c r="F199" s="178" t="str">
        <f t="shared" si="4"/>
        <v>-</v>
      </c>
      <c r="G199" s="398"/>
      <c r="H199" s="178" t="str">
        <f t="shared" si="5"/>
        <v>-</v>
      </c>
      <c r="I199" s="333"/>
      <c r="J199" s="400"/>
      <c r="K199" s="401"/>
      <c r="L199" s="402"/>
      <c r="M199" s="322"/>
      <c r="N199" s="584"/>
      <c r="O199" s="403" t="s">
        <v>278</v>
      </c>
      <c r="P199" s="404" t="s">
        <v>77</v>
      </c>
      <c r="Q199" s="329"/>
      <c r="R199" s="320"/>
      <c r="S199" s="320"/>
      <c r="T199" s="329"/>
      <c r="U199" s="336" t="str">
        <f>IF(ISERROR(VLOOKUP($T199, 'Reference data'!$J$2:$K$139, 2, FALSE)),"-",VLOOKUP($T199, 'Reference data'!$J$2:$K$139, 2, FALSE))</f>
        <v>-</v>
      </c>
      <c r="V199" s="320"/>
      <c r="W199" s="320"/>
      <c r="X199" s="324"/>
      <c r="Y199" s="325"/>
      <c r="Z199" s="70"/>
      <c r="AA199" s="352"/>
      <c r="AB199" s="86"/>
      <c r="AC199" s="72"/>
      <c r="AD199" s="331"/>
      <c r="AE199" s="239" t="s">
        <v>278</v>
      </c>
      <c r="AF199" s="243" t="s">
        <v>77</v>
      </c>
      <c r="AG199" s="334"/>
    </row>
    <row r="200" spans="2:33" s="306" customFormat="1" ht="12.75" customHeight="1" x14ac:dyDescent="0.2">
      <c r="B200" s="338" t="str" cm="1">
        <f t="array" ref="B200">IF(C200="","Skip",IF(AND(Validator!G194=TRUE,Validator!G444=TRUE,Validator!G694=TRUE,Validator!G944=TRUE,Validator!G1194=TRUE,Validator!G1444=TRUE,OR(ISBLANK($R200),ISNUMBER(VALUE(SUBSTITUTE(SUBSTITUTE(SUBSTITUTE(SUBSTITUTE($R200," ",""),"c",""),"C",""),"-","")))),OR(SUMPRODUCT(--($U200=Package_type_code))&gt;0,$U200="",$U200="-")),"Valid","Invalid"))</f>
        <v>Skip</v>
      </c>
      <c r="C200" s="70"/>
      <c r="D200" s="395"/>
      <c r="E200" s="396"/>
      <c r="F200" s="178" t="str">
        <f t="shared" si="4"/>
        <v>-</v>
      </c>
      <c r="G200" s="398"/>
      <c r="H200" s="178" t="str">
        <f t="shared" si="5"/>
        <v>-</v>
      </c>
      <c r="I200" s="333"/>
      <c r="J200" s="400"/>
      <c r="K200" s="401"/>
      <c r="L200" s="402"/>
      <c r="M200" s="322"/>
      <c r="N200" s="584"/>
      <c r="O200" s="403" t="s">
        <v>278</v>
      </c>
      <c r="P200" s="404" t="s">
        <v>77</v>
      </c>
      <c r="Q200" s="329"/>
      <c r="R200" s="320"/>
      <c r="S200" s="320"/>
      <c r="T200" s="329"/>
      <c r="U200" s="336" t="str">
        <f>IF(ISERROR(VLOOKUP($T200, 'Reference data'!$J$2:$K$139, 2, FALSE)),"-",VLOOKUP($T200, 'Reference data'!$J$2:$K$139, 2, FALSE))</f>
        <v>-</v>
      </c>
      <c r="V200" s="320"/>
      <c r="W200" s="320"/>
      <c r="X200" s="324"/>
      <c r="Y200" s="325"/>
      <c r="Z200" s="70"/>
      <c r="AA200" s="352"/>
      <c r="AB200" s="86"/>
      <c r="AC200" s="72"/>
      <c r="AD200" s="331"/>
      <c r="AE200" s="239" t="s">
        <v>278</v>
      </c>
      <c r="AF200" s="243" t="s">
        <v>77</v>
      </c>
      <c r="AG200" s="334"/>
    </row>
    <row r="201" spans="2:33" s="306" customFormat="1" ht="12.75" customHeight="1" x14ac:dyDescent="0.2">
      <c r="B201" s="338" t="str" cm="1">
        <f t="array" ref="B201">IF(C201="","Skip",IF(AND(Validator!G195=TRUE,Validator!G445=TRUE,Validator!G695=TRUE,Validator!G945=TRUE,Validator!G1195=TRUE,Validator!G1445=TRUE,OR(ISBLANK($R201),ISNUMBER(VALUE(SUBSTITUTE(SUBSTITUTE(SUBSTITUTE(SUBSTITUTE($R201," ",""),"c",""),"C",""),"-","")))),OR(SUMPRODUCT(--($U201=Package_type_code))&gt;0,$U201="",$U201="-")),"Valid","Invalid"))</f>
        <v>Skip</v>
      </c>
      <c r="C201" s="70"/>
      <c r="D201" s="395"/>
      <c r="E201" s="396"/>
      <c r="F201" s="178" t="str">
        <f t="shared" si="4"/>
        <v>-</v>
      </c>
      <c r="G201" s="398"/>
      <c r="H201" s="178" t="str">
        <f t="shared" si="5"/>
        <v>-</v>
      </c>
      <c r="I201" s="333"/>
      <c r="J201" s="400"/>
      <c r="K201" s="401"/>
      <c r="L201" s="402"/>
      <c r="M201" s="322"/>
      <c r="N201" s="584"/>
      <c r="O201" s="403" t="s">
        <v>278</v>
      </c>
      <c r="P201" s="404" t="s">
        <v>77</v>
      </c>
      <c r="Q201" s="329"/>
      <c r="R201" s="320"/>
      <c r="S201" s="320"/>
      <c r="T201" s="329"/>
      <c r="U201" s="336" t="str">
        <f>IF(ISERROR(VLOOKUP($T201, 'Reference data'!$J$2:$K$139, 2, FALSE)),"-",VLOOKUP($T201, 'Reference data'!$J$2:$K$139, 2, FALSE))</f>
        <v>-</v>
      </c>
      <c r="V201" s="320"/>
      <c r="W201" s="320"/>
      <c r="X201" s="324"/>
      <c r="Y201" s="325"/>
      <c r="Z201" s="70"/>
      <c r="AA201" s="352"/>
      <c r="AB201" s="86"/>
      <c r="AC201" s="72"/>
      <c r="AD201" s="331"/>
      <c r="AE201" s="239" t="s">
        <v>278</v>
      </c>
      <c r="AF201" s="243" t="s">
        <v>77</v>
      </c>
      <c r="AG201" s="334"/>
    </row>
    <row r="202" spans="2:33" s="306" customFormat="1" ht="12.75" customHeight="1" x14ac:dyDescent="0.2">
      <c r="B202" s="338" t="str" cm="1">
        <f t="array" ref="B202">IF(C202="","Skip",IF(AND(Validator!G196=TRUE,Validator!G446=TRUE,Validator!G696=TRUE,Validator!G946=TRUE,Validator!G1196=TRUE,Validator!G1446=TRUE,OR(ISBLANK($R202),ISNUMBER(VALUE(SUBSTITUTE(SUBSTITUTE(SUBSTITUTE(SUBSTITUTE($R202," ",""),"c",""),"C",""),"-","")))),OR(SUMPRODUCT(--($U202=Package_type_code))&gt;0,$U202="",$U202="-")),"Valid","Invalid"))</f>
        <v>Skip</v>
      </c>
      <c r="C202" s="70"/>
      <c r="D202" s="395"/>
      <c r="E202" s="396"/>
      <c r="F202" s="178" t="str">
        <f t="shared" si="4"/>
        <v>-</v>
      </c>
      <c r="G202" s="398"/>
      <c r="H202" s="178" t="str">
        <f t="shared" si="5"/>
        <v>-</v>
      </c>
      <c r="I202" s="333"/>
      <c r="J202" s="400"/>
      <c r="K202" s="401"/>
      <c r="L202" s="402"/>
      <c r="M202" s="322"/>
      <c r="N202" s="584"/>
      <c r="O202" s="403" t="s">
        <v>278</v>
      </c>
      <c r="P202" s="404" t="s">
        <v>77</v>
      </c>
      <c r="Q202" s="329"/>
      <c r="R202" s="320"/>
      <c r="S202" s="320"/>
      <c r="T202" s="329"/>
      <c r="U202" s="336" t="str">
        <f>IF(ISERROR(VLOOKUP($T202, 'Reference data'!$J$2:$K$139, 2, FALSE)),"-",VLOOKUP($T202, 'Reference data'!$J$2:$K$139, 2, FALSE))</f>
        <v>-</v>
      </c>
      <c r="V202" s="320"/>
      <c r="W202" s="320"/>
      <c r="X202" s="324"/>
      <c r="Y202" s="325"/>
      <c r="Z202" s="70"/>
      <c r="AA202" s="352"/>
      <c r="AB202" s="86"/>
      <c r="AC202" s="72"/>
      <c r="AD202" s="331"/>
      <c r="AE202" s="239" t="s">
        <v>278</v>
      </c>
      <c r="AF202" s="243" t="s">
        <v>77</v>
      </c>
      <c r="AG202" s="334"/>
    </row>
    <row r="203" spans="2:33" s="306" customFormat="1" ht="12.75" customHeight="1" x14ac:dyDescent="0.2">
      <c r="B203" s="338" t="str" cm="1">
        <f t="array" ref="B203">IF(C203="","Skip",IF(AND(Validator!G197=TRUE,Validator!G447=TRUE,Validator!G697=TRUE,Validator!G947=TRUE,Validator!G1197=TRUE,Validator!G1447=TRUE,OR(ISBLANK($R203),ISNUMBER(VALUE(SUBSTITUTE(SUBSTITUTE(SUBSTITUTE(SUBSTITUTE($R203," ",""),"c",""),"C",""),"-","")))),OR(SUMPRODUCT(--($U203=Package_type_code))&gt;0,$U203="",$U203="-")),"Valid","Invalid"))</f>
        <v>Skip</v>
      </c>
      <c r="C203" s="70"/>
      <c r="D203" s="395"/>
      <c r="E203" s="396"/>
      <c r="F203" s="178" t="str">
        <f t="shared" si="4"/>
        <v>-</v>
      </c>
      <c r="G203" s="398"/>
      <c r="H203" s="178" t="str">
        <f t="shared" si="5"/>
        <v>-</v>
      </c>
      <c r="I203" s="333"/>
      <c r="J203" s="400"/>
      <c r="K203" s="401"/>
      <c r="L203" s="402"/>
      <c r="M203" s="322"/>
      <c r="N203" s="584"/>
      <c r="O203" s="403" t="s">
        <v>278</v>
      </c>
      <c r="P203" s="404" t="s">
        <v>77</v>
      </c>
      <c r="Q203" s="329"/>
      <c r="R203" s="320"/>
      <c r="S203" s="320"/>
      <c r="T203" s="329"/>
      <c r="U203" s="336" t="str">
        <f>IF(ISERROR(VLOOKUP($T203, 'Reference data'!$J$2:$K$139, 2, FALSE)),"-",VLOOKUP($T203, 'Reference data'!$J$2:$K$139, 2, FALSE))</f>
        <v>-</v>
      </c>
      <c r="V203" s="320"/>
      <c r="W203" s="320"/>
      <c r="X203" s="324"/>
      <c r="Y203" s="325"/>
      <c r="Z203" s="70"/>
      <c r="AA203" s="352"/>
      <c r="AB203" s="86"/>
      <c r="AC203" s="72"/>
      <c r="AD203" s="331"/>
      <c r="AE203" s="239" t="s">
        <v>278</v>
      </c>
      <c r="AF203" s="243" t="s">
        <v>77</v>
      </c>
      <c r="AG203" s="334"/>
    </row>
    <row r="204" spans="2:33" s="306" customFormat="1" ht="12.75" customHeight="1" x14ac:dyDescent="0.2">
      <c r="B204" s="338" t="str" cm="1">
        <f t="array" ref="B204">IF(C204="","Skip",IF(AND(Validator!G198=TRUE,Validator!G448=TRUE,Validator!G698=TRUE,Validator!G948=TRUE,Validator!G1198=TRUE,Validator!G1448=TRUE,OR(ISBLANK($R204),ISNUMBER(VALUE(SUBSTITUTE(SUBSTITUTE(SUBSTITUTE(SUBSTITUTE($R204," ",""),"c",""),"C",""),"-","")))),OR(SUMPRODUCT(--($U204=Package_type_code))&gt;0,$U204="",$U204="-")),"Valid","Invalid"))</f>
        <v>Skip</v>
      </c>
      <c r="C204" s="70"/>
      <c r="D204" s="395"/>
      <c r="E204" s="396"/>
      <c r="F204" s="178" t="str">
        <f t="shared" si="4"/>
        <v>-</v>
      </c>
      <c r="G204" s="398"/>
      <c r="H204" s="178" t="str">
        <f t="shared" si="5"/>
        <v>-</v>
      </c>
      <c r="I204" s="333"/>
      <c r="J204" s="400"/>
      <c r="K204" s="401"/>
      <c r="L204" s="402"/>
      <c r="M204" s="322"/>
      <c r="N204" s="584"/>
      <c r="O204" s="403" t="s">
        <v>278</v>
      </c>
      <c r="P204" s="404" t="s">
        <v>77</v>
      </c>
      <c r="Q204" s="329"/>
      <c r="R204" s="320"/>
      <c r="S204" s="320"/>
      <c r="T204" s="329"/>
      <c r="U204" s="336" t="str">
        <f>IF(ISERROR(VLOOKUP($T204, 'Reference data'!$J$2:$K$139, 2, FALSE)),"-",VLOOKUP($T204, 'Reference data'!$J$2:$K$139, 2, FALSE))</f>
        <v>-</v>
      </c>
      <c r="V204" s="320"/>
      <c r="W204" s="320"/>
      <c r="X204" s="324"/>
      <c r="Y204" s="325"/>
      <c r="Z204" s="70"/>
      <c r="AA204" s="352"/>
      <c r="AB204" s="86"/>
      <c r="AC204" s="72"/>
      <c r="AD204" s="331"/>
      <c r="AE204" s="239" t="s">
        <v>278</v>
      </c>
      <c r="AF204" s="243" t="s">
        <v>77</v>
      </c>
      <c r="AG204" s="334"/>
    </row>
    <row r="205" spans="2:33" s="306" customFormat="1" ht="12.75" customHeight="1" x14ac:dyDescent="0.2">
      <c r="B205" s="338" t="str" cm="1">
        <f t="array" ref="B205">IF(C205="","Skip",IF(AND(Validator!G199=TRUE,Validator!G449=TRUE,Validator!G699=TRUE,Validator!G949=TRUE,Validator!G1199=TRUE,Validator!G1449=TRUE,OR(ISBLANK($R205),ISNUMBER(VALUE(SUBSTITUTE(SUBSTITUTE(SUBSTITUTE(SUBSTITUTE($R205," ",""),"c",""),"C",""),"-","")))),OR(SUMPRODUCT(--($U205=Package_type_code))&gt;0,$U205="",$U205="-")),"Valid","Invalid"))</f>
        <v>Skip</v>
      </c>
      <c r="C205" s="70"/>
      <c r="D205" s="395"/>
      <c r="E205" s="396"/>
      <c r="F205" s="178" t="str">
        <f t="shared" si="4"/>
        <v>-</v>
      </c>
      <c r="G205" s="398"/>
      <c r="H205" s="178" t="str">
        <f t="shared" si="5"/>
        <v>-</v>
      </c>
      <c r="I205" s="333"/>
      <c r="J205" s="400"/>
      <c r="K205" s="401"/>
      <c r="L205" s="402"/>
      <c r="M205" s="322"/>
      <c r="N205" s="584"/>
      <c r="O205" s="403" t="s">
        <v>278</v>
      </c>
      <c r="P205" s="404" t="s">
        <v>77</v>
      </c>
      <c r="Q205" s="329"/>
      <c r="R205" s="320"/>
      <c r="S205" s="320"/>
      <c r="T205" s="329"/>
      <c r="U205" s="336" t="str">
        <f>IF(ISERROR(VLOOKUP($T205, 'Reference data'!$J$2:$K$139, 2, FALSE)),"-",VLOOKUP($T205, 'Reference data'!$J$2:$K$139, 2, FALSE))</f>
        <v>-</v>
      </c>
      <c r="V205" s="320"/>
      <c r="W205" s="320"/>
      <c r="X205" s="324"/>
      <c r="Y205" s="325"/>
      <c r="Z205" s="70"/>
      <c r="AA205" s="352"/>
      <c r="AB205" s="86"/>
      <c r="AC205" s="72"/>
      <c r="AD205" s="331"/>
      <c r="AE205" s="239" t="s">
        <v>278</v>
      </c>
      <c r="AF205" s="243" t="s">
        <v>77</v>
      </c>
      <c r="AG205" s="334"/>
    </row>
    <row r="206" spans="2:33" s="306" customFormat="1" ht="12.75" customHeight="1" x14ac:dyDescent="0.2">
      <c r="B206" s="338" t="str" cm="1">
        <f t="array" ref="B206">IF(C206="","Skip",IF(AND(Validator!G200=TRUE,Validator!G450=TRUE,Validator!G700=TRUE,Validator!G950=TRUE,Validator!G1200=TRUE,Validator!G1450=TRUE,OR(ISBLANK($R206),ISNUMBER(VALUE(SUBSTITUTE(SUBSTITUTE(SUBSTITUTE(SUBSTITUTE($R206," ",""),"c",""),"C",""),"-","")))),OR(SUMPRODUCT(--($U206=Package_type_code))&gt;0,$U206="",$U206="-")),"Valid","Invalid"))</f>
        <v>Skip</v>
      </c>
      <c r="C206" s="70"/>
      <c r="D206" s="395"/>
      <c r="E206" s="396"/>
      <c r="F206" s="178" t="str">
        <f t="shared" ref="F206:F263" si="6">IF(ISERROR(VLOOKUP($E206,REF_LOCODE_PORTNAME_COUNTRY, 2,FALSE)),"-",VLOOKUP($E206,REF_LOCODE_PORTNAME_COUNTRY, 2,FALSE))</f>
        <v>-</v>
      </c>
      <c r="G206" s="398"/>
      <c r="H206" s="178" t="str">
        <f t="shared" ref="H206:H263" si="7">IF(ISERROR(VLOOKUP($G206,REF_LOCODE_PORTNAME_COUNTRY, 2,FALSE)),"-",VLOOKUP($G206,REF_LOCODE_PORTNAME_COUNTRY, 2,FALSE))</f>
        <v>-</v>
      </c>
      <c r="I206" s="333"/>
      <c r="J206" s="400"/>
      <c r="K206" s="401"/>
      <c r="L206" s="402"/>
      <c r="M206" s="322"/>
      <c r="N206" s="584"/>
      <c r="O206" s="403" t="s">
        <v>278</v>
      </c>
      <c r="P206" s="404" t="s">
        <v>77</v>
      </c>
      <c r="Q206" s="329"/>
      <c r="R206" s="320"/>
      <c r="S206" s="320"/>
      <c r="T206" s="329"/>
      <c r="U206" s="336" t="str">
        <f>IF(ISERROR(VLOOKUP($T206, 'Reference data'!$J$2:$K$139, 2, FALSE)),"-",VLOOKUP($T206, 'Reference data'!$J$2:$K$139, 2, FALSE))</f>
        <v>-</v>
      </c>
      <c r="V206" s="320"/>
      <c r="W206" s="320"/>
      <c r="X206" s="324"/>
      <c r="Y206" s="325"/>
      <c r="Z206" s="70"/>
      <c r="AA206" s="352"/>
      <c r="AB206" s="86"/>
      <c r="AC206" s="72"/>
      <c r="AD206" s="331"/>
      <c r="AE206" s="239" t="s">
        <v>278</v>
      </c>
      <c r="AF206" s="243" t="s">
        <v>77</v>
      </c>
      <c r="AG206" s="334"/>
    </row>
    <row r="207" spans="2:33" s="306" customFormat="1" ht="12.75" customHeight="1" x14ac:dyDescent="0.2">
      <c r="B207" s="338" t="str" cm="1">
        <f t="array" ref="B207">IF(C207="","Skip",IF(AND(Validator!G201=TRUE,Validator!G451=TRUE,Validator!G701=TRUE,Validator!G951=TRUE,Validator!G1201=TRUE,Validator!G1451=TRUE,OR(ISBLANK($R207),ISNUMBER(VALUE(SUBSTITUTE(SUBSTITUTE(SUBSTITUTE(SUBSTITUTE($R207," ",""),"c",""),"C",""),"-","")))),OR(SUMPRODUCT(--($U207=Package_type_code))&gt;0,$U207="",$U207="-")),"Valid","Invalid"))</f>
        <v>Skip</v>
      </c>
      <c r="C207" s="70"/>
      <c r="D207" s="395"/>
      <c r="E207" s="396"/>
      <c r="F207" s="178" t="str">
        <f t="shared" si="6"/>
        <v>-</v>
      </c>
      <c r="G207" s="398"/>
      <c r="H207" s="178" t="str">
        <f t="shared" si="7"/>
        <v>-</v>
      </c>
      <c r="I207" s="333"/>
      <c r="J207" s="400"/>
      <c r="K207" s="401"/>
      <c r="L207" s="402"/>
      <c r="M207" s="322"/>
      <c r="N207" s="584"/>
      <c r="O207" s="403" t="s">
        <v>278</v>
      </c>
      <c r="P207" s="404" t="s">
        <v>77</v>
      </c>
      <c r="Q207" s="329"/>
      <c r="R207" s="320"/>
      <c r="S207" s="320"/>
      <c r="T207" s="329"/>
      <c r="U207" s="336" t="str">
        <f>IF(ISERROR(VLOOKUP($T207, 'Reference data'!$J$2:$K$139, 2, FALSE)),"-",VLOOKUP($T207, 'Reference data'!$J$2:$K$139, 2, FALSE))</f>
        <v>-</v>
      </c>
      <c r="V207" s="320"/>
      <c r="W207" s="320"/>
      <c r="X207" s="324"/>
      <c r="Y207" s="325"/>
      <c r="Z207" s="70"/>
      <c r="AA207" s="352"/>
      <c r="AB207" s="86"/>
      <c r="AC207" s="72"/>
      <c r="AD207" s="331"/>
      <c r="AE207" s="239" t="s">
        <v>278</v>
      </c>
      <c r="AF207" s="243" t="s">
        <v>77</v>
      </c>
      <c r="AG207" s="334"/>
    </row>
    <row r="208" spans="2:33" s="306" customFormat="1" ht="12.75" customHeight="1" x14ac:dyDescent="0.2">
      <c r="B208" s="338" t="str" cm="1">
        <f t="array" ref="B208">IF(C208="","Skip",IF(AND(Validator!G202=TRUE,Validator!G452=TRUE,Validator!G702=TRUE,Validator!G952=TRUE,Validator!G1202=TRUE,Validator!G1452=TRUE,OR(ISBLANK($R208),ISNUMBER(VALUE(SUBSTITUTE(SUBSTITUTE(SUBSTITUTE(SUBSTITUTE($R208," ",""),"c",""),"C",""),"-","")))),OR(SUMPRODUCT(--($U208=Package_type_code))&gt;0,$U208="",$U208="-")),"Valid","Invalid"))</f>
        <v>Skip</v>
      </c>
      <c r="C208" s="70"/>
      <c r="D208" s="395"/>
      <c r="E208" s="396"/>
      <c r="F208" s="178" t="str">
        <f t="shared" si="6"/>
        <v>-</v>
      </c>
      <c r="G208" s="398"/>
      <c r="H208" s="178" t="str">
        <f t="shared" si="7"/>
        <v>-</v>
      </c>
      <c r="I208" s="333"/>
      <c r="J208" s="400"/>
      <c r="K208" s="401"/>
      <c r="L208" s="402"/>
      <c r="M208" s="322"/>
      <c r="N208" s="584"/>
      <c r="O208" s="403" t="s">
        <v>278</v>
      </c>
      <c r="P208" s="404" t="s">
        <v>77</v>
      </c>
      <c r="Q208" s="329"/>
      <c r="R208" s="320"/>
      <c r="S208" s="320"/>
      <c r="T208" s="329"/>
      <c r="U208" s="336" t="str">
        <f>IF(ISERROR(VLOOKUP($T208, 'Reference data'!$J$2:$K$139, 2, FALSE)),"-",VLOOKUP($T208, 'Reference data'!$J$2:$K$139, 2, FALSE))</f>
        <v>-</v>
      </c>
      <c r="V208" s="320"/>
      <c r="W208" s="320"/>
      <c r="X208" s="324"/>
      <c r="Y208" s="325"/>
      <c r="Z208" s="70"/>
      <c r="AA208" s="352"/>
      <c r="AB208" s="86"/>
      <c r="AC208" s="72"/>
      <c r="AD208" s="331"/>
      <c r="AE208" s="239" t="s">
        <v>278</v>
      </c>
      <c r="AF208" s="243" t="s">
        <v>77</v>
      </c>
      <c r="AG208" s="334"/>
    </row>
    <row r="209" spans="2:33" s="306" customFormat="1" ht="12.75" customHeight="1" x14ac:dyDescent="0.2">
      <c r="B209" s="338" t="str" cm="1">
        <f t="array" ref="B209">IF(C209="","Skip",IF(AND(Validator!G203=TRUE,Validator!G453=TRUE,Validator!G703=TRUE,Validator!G953=TRUE,Validator!G1203=TRUE,Validator!G1453=TRUE,OR(ISBLANK($R209),ISNUMBER(VALUE(SUBSTITUTE(SUBSTITUTE(SUBSTITUTE(SUBSTITUTE($R209," ",""),"c",""),"C",""),"-","")))),OR(SUMPRODUCT(--($U209=Package_type_code))&gt;0,$U209="",$U209="-")),"Valid","Invalid"))</f>
        <v>Skip</v>
      </c>
      <c r="C209" s="70"/>
      <c r="D209" s="395"/>
      <c r="E209" s="396"/>
      <c r="F209" s="178" t="str">
        <f t="shared" si="6"/>
        <v>-</v>
      </c>
      <c r="G209" s="398"/>
      <c r="H209" s="178" t="str">
        <f t="shared" si="7"/>
        <v>-</v>
      </c>
      <c r="I209" s="333"/>
      <c r="J209" s="400"/>
      <c r="K209" s="401"/>
      <c r="L209" s="402"/>
      <c r="M209" s="322"/>
      <c r="N209" s="584"/>
      <c r="O209" s="403" t="s">
        <v>278</v>
      </c>
      <c r="P209" s="404" t="s">
        <v>77</v>
      </c>
      <c r="Q209" s="329"/>
      <c r="R209" s="320"/>
      <c r="S209" s="320"/>
      <c r="T209" s="329"/>
      <c r="U209" s="336" t="str">
        <f>IF(ISERROR(VLOOKUP($T209, 'Reference data'!$J$2:$K$139, 2, FALSE)),"-",VLOOKUP($T209, 'Reference data'!$J$2:$K$139, 2, FALSE))</f>
        <v>-</v>
      </c>
      <c r="V209" s="320"/>
      <c r="W209" s="320"/>
      <c r="X209" s="324"/>
      <c r="Y209" s="325"/>
      <c r="Z209" s="70"/>
      <c r="AA209" s="352"/>
      <c r="AB209" s="86"/>
      <c r="AC209" s="72"/>
      <c r="AD209" s="331"/>
      <c r="AE209" s="239" t="s">
        <v>278</v>
      </c>
      <c r="AF209" s="243" t="s">
        <v>77</v>
      </c>
      <c r="AG209" s="334"/>
    </row>
    <row r="210" spans="2:33" s="306" customFormat="1" ht="12.75" customHeight="1" x14ac:dyDescent="0.2">
      <c r="B210" s="338" t="str" cm="1">
        <f t="array" ref="B210">IF(C210="","Skip",IF(AND(Validator!G204=TRUE,Validator!G454=TRUE,Validator!G704=TRUE,Validator!G954=TRUE,Validator!G1204=TRUE,Validator!G1454=TRUE,OR(ISBLANK($R210),ISNUMBER(VALUE(SUBSTITUTE(SUBSTITUTE(SUBSTITUTE(SUBSTITUTE($R210," ",""),"c",""),"C",""),"-","")))),OR(SUMPRODUCT(--($U210=Package_type_code))&gt;0,$U210="",$U210="-")),"Valid","Invalid"))</f>
        <v>Skip</v>
      </c>
      <c r="C210" s="70"/>
      <c r="D210" s="395"/>
      <c r="E210" s="396"/>
      <c r="F210" s="178" t="str">
        <f t="shared" si="6"/>
        <v>-</v>
      </c>
      <c r="G210" s="398"/>
      <c r="H210" s="178" t="str">
        <f t="shared" si="7"/>
        <v>-</v>
      </c>
      <c r="I210" s="333"/>
      <c r="J210" s="400"/>
      <c r="K210" s="401"/>
      <c r="L210" s="402"/>
      <c r="M210" s="322"/>
      <c r="N210" s="584"/>
      <c r="O210" s="403" t="s">
        <v>278</v>
      </c>
      <c r="P210" s="404" t="s">
        <v>77</v>
      </c>
      <c r="Q210" s="329"/>
      <c r="R210" s="320"/>
      <c r="S210" s="320"/>
      <c r="T210" s="329"/>
      <c r="U210" s="336" t="str">
        <f>IF(ISERROR(VLOOKUP($T210, 'Reference data'!$J$2:$K$139, 2, FALSE)),"-",VLOOKUP($T210, 'Reference data'!$J$2:$K$139, 2, FALSE))</f>
        <v>-</v>
      </c>
      <c r="V210" s="320"/>
      <c r="W210" s="320"/>
      <c r="X210" s="324"/>
      <c r="Y210" s="325"/>
      <c r="Z210" s="70"/>
      <c r="AA210" s="352"/>
      <c r="AB210" s="86"/>
      <c r="AC210" s="72"/>
      <c r="AD210" s="331"/>
      <c r="AE210" s="239" t="s">
        <v>278</v>
      </c>
      <c r="AF210" s="243" t="s">
        <v>77</v>
      </c>
      <c r="AG210" s="334"/>
    </row>
    <row r="211" spans="2:33" s="306" customFormat="1" ht="12.75" customHeight="1" x14ac:dyDescent="0.2">
      <c r="B211" s="338" t="str" cm="1">
        <f t="array" ref="B211">IF(C211="","Skip",IF(AND(Validator!G205=TRUE,Validator!G455=TRUE,Validator!G705=TRUE,Validator!G955=TRUE,Validator!G1205=TRUE,Validator!G1455=TRUE,OR(ISBLANK($R211),ISNUMBER(VALUE(SUBSTITUTE(SUBSTITUTE(SUBSTITUTE(SUBSTITUTE($R211," ",""),"c",""),"C",""),"-","")))),OR(SUMPRODUCT(--($U211=Package_type_code))&gt;0,$U211="",$U211="-")),"Valid","Invalid"))</f>
        <v>Skip</v>
      </c>
      <c r="C211" s="70"/>
      <c r="D211" s="395"/>
      <c r="E211" s="396"/>
      <c r="F211" s="178" t="str">
        <f t="shared" si="6"/>
        <v>-</v>
      </c>
      <c r="G211" s="398"/>
      <c r="H211" s="178" t="str">
        <f t="shared" si="7"/>
        <v>-</v>
      </c>
      <c r="I211" s="333"/>
      <c r="J211" s="400"/>
      <c r="K211" s="401"/>
      <c r="L211" s="402"/>
      <c r="M211" s="322"/>
      <c r="N211" s="584"/>
      <c r="O211" s="403" t="s">
        <v>278</v>
      </c>
      <c r="P211" s="404" t="s">
        <v>77</v>
      </c>
      <c r="Q211" s="329"/>
      <c r="R211" s="320"/>
      <c r="S211" s="320"/>
      <c r="T211" s="329"/>
      <c r="U211" s="336" t="str">
        <f>IF(ISERROR(VLOOKUP($T211, 'Reference data'!$J$2:$K$139, 2, FALSE)),"-",VLOOKUP($T211, 'Reference data'!$J$2:$K$139, 2, FALSE))</f>
        <v>-</v>
      </c>
      <c r="V211" s="320"/>
      <c r="W211" s="320"/>
      <c r="X211" s="324"/>
      <c r="Y211" s="325"/>
      <c r="Z211" s="70"/>
      <c r="AA211" s="352"/>
      <c r="AB211" s="86"/>
      <c r="AC211" s="72"/>
      <c r="AD211" s="331"/>
      <c r="AE211" s="239" t="s">
        <v>278</v>
      </c>
      <c r="AF211" s="243" t="s">
        <v>77</v>
      </c>
      <c r="AG211" s="334"/>
    </row>
    <row r="212" spans="2:33" s="306" customFormat="1" ht="12.75" customHeight="1" x14ac:dyDescent="0.2">
      <c r="B212" s="338" t="str" cm="1">
        <f t="array" ref="B212">IF(C212="","Skip",IF(AND(Validator!G206=TRUE,Validator!G456=TRUE,Validator!G706=TRUE,Validator!G956=TRUE,Validator!G1206=TRUE,Validator!G1456=TRUE,OR(ISBLANK($R212),ISNUMBER(VALUE(SUBSTITUTE(SUBSTITUTE(SUBSTITUTE(SUBSTITUTE($R212," ",""),"c",""),"C",""),"-","")))),OR(SUMPRODUCT(--($U212=Package_type_code))&gt;0,$U212="",$U212="-")),"Valid","Invalid"))</f>
        <v>Skip</v>
      </c>
      <c r="C212" s="70"/>
      <c r="D212" s="395"/>
      <c r="E212" s="396"/>
      <c r="F212" s="178" t="str">
        <f t="shared" si="6"/>
        <v>-</v>
      </c>
      <c r="G212" s="398"/>
      <c r="H212" s="178" t="str">
        <f t="shared" si="7"/>
        <v>-</v>
      </c>
      <c r="I212" s="333"/>
      <c r="J212" s="400"/>
      <c r="K212" s="401"/>
      <c r="L212" s="402"/>
      <c r="M212" s="322"/>
      <c r="N212" s="584"/>
      <c r="O212" s="403" t="s">
        <v>278</v>
      </c>
      <c r="P212" s="404" t="s">
        <v>77</v>
      </c>
      <c r="Q212" s="329"/>
      <c r="R212" s="320"/>
      <c r="S212" s="320"/>
      <c r="T212" s="329"/>
      <c r="U212" s="336" t="str">
        <f>IF(ISERROR(VLOOKUP($T212, 'Reference data'!$J$2:$K$139, 2, FALSE)),"-",VLOOKUP($T212, 'Reference data'!$J$2:$K$139, 2, FALSE))</f>
        <v>-</v>
      </c>
      <c r="V212" s="320"/>
      <c r="W212" s="320"/>
      <c r="X212" s="324"/>
      <c r="Y212" s="325"/>
      <c r="Z212" s="70"/>
      <c r="AA212" s="352"/>
      <c r="AB212" s="86"/>
      <c r="AC212" s="72"/>
      <c r="AD212" s="331"/>
      <c r="AE212" s="239" t="s">
        <v>278</v>
      </c>
      <c r="AF212" s="243" t="s">
        <v>77</v>
      </c>
      <c r="AG212" s="334"/>
    </row>
    <row r="213" spans="2:33" s="306" customFormat="1" ht="12.75" customHeight="1" x14ac:dyDescent="0.2">
      <c r="B213" s="338" t="str" cm="1">
        <f t="array" ref="B213">IF(C213="","Skip",IF(AND(Validator!G207=TRUE,Validator!G457=TRUE,Validator!G707=TRUE,Validator!G957=TRUE,Validator!G1207=TRUE,Validator!G1457=TRUE,OR(ISBLANK($R213),ISNUMBER(VALUE(SUBSTITUTE(SUBSTITUTE(SUBSTITUTE(SUBSTITUTE($R213," ",""),"c",""),"C",""),"-","")))),OR(SUMPRODUCT(--($U213=Package_type_code))&gt;0,$U213="",$U213="-")),"Valid","Invalid"))</f>
        <v>Skip</v>
      </c>
      <c r="C213" s="70"/>
      <c r="D213" s="395"/>
      <c r="E213" s="396"/>
      <c r="F213" s="178" t="str">
        <f t="shared" si="6"/>
        <v>-</v>
      </c>
      <c r="G213" s="398"/>
      <c r="H213" s="178" t="str">
        <f t="shared" si="7"/>
        <v>-</v>
      </c>
      <c r="I213" s="333"/>
      <c r="J213" s="400"/>
      <c r="K213" s="401"/>
      <c r="L213" s="402"/>
      <c r="M213" s="322"/>
      <c r="N213" s="584"/>
      <c r="O213" s="403" t="s">
        <v>278</v>
      </c>
      <c r="P213" s="404" t="s">
        <v>77</v>
      </c>
      <c r="Q213" s="329"/>
      <c r="R213" s="320"/>
      <c r="S213" s="320"/>
      <c r="T213" s="329"/>
      <c r="U213" s="336" t="str">
        <f>IF(ISERROR(VLOOKUP($T213, 'Reference data'!$J$2:$K$139, 2, FALSE)),"-",VLOOKUP($T213, 'Reference data'!$J$2:$K$139, 2, FALSE))</f>
        <v>-</v>
      </c>
      <c r="V213" s="320"/>
      <c r="W213" s="320"/>
      <c r="X213" s="324"/>
      <c r="Y213" s="325"/>
      <c r="Z213" s="70"/>
      <c r="AA213" s="352"/>
      <c r="AB213" s="86"/>
      <c r="AC213" s="72"/>
      <c r="AD213" s="331"/>
      <c r="AE213" s="239" t="s">
        <v>278</v>
      </c>
      <c r="AF213" s="243" t="s">
        <v>77</v>
      </c>
      <c r="AG213" s="334"/>
    </row>
    <row r="214" spans="2:33" s="306" customFormat="1" ht="12.75" customHeight="1" x14ac:dyDescent="0.2">
      <c r="B214" s="338" t="str" cm="1">
        <f t="array" ref="B214">IF(C214="","Skip",IF(AND(Validator!G208=TRUE,Validator!G458=TRUE,Validator!G708=TRUE,Validator!G958=TRUE,Validator!G1208=TRUE,Validator!G1458=TRUE,OR(ISBLANK($R214),ISNUMBER(VALUE(SUBSTITUTE(SUBSTITUTE(SUBSTITUTE(SUBSTITUTE($R214," ",""),"c",""),"C",""),"-","")))),OR(SUMPRODUCT(--($U214=Package_type_code))&gt;0,$U214="",$U214="-")),"Valid","Invalid"))</f>
        <v>Skip</v>
      </c>
      <c r="C214" s="70"/>
      <c r="D214" s="395"/>
      <c r="E214" s="396"/>
      <c r="F214" s="178" t="str">
        <f t="shared" si="6"/>
        <v>-</v>
      </c>
      <c r="G214" s="398"/>
      <c r="H214" s="178" t="str">
        <f t="shared" si="7"/>
        <v>-</v>
      </c>
      <c r="I214" s="333"/>
      <c r="J214" s="400"/>
      <c r="K214" s="401"/>
      <c r="L214" s="402"/>
      <c r="M214" s="322"/>
      <c r="N214" s="584"/>
      <c r="O214" s="403" t="s">
        <v>278</v>
      </c>
      <c r="P214" s="404" t="s">
        <v>77</v>
      </c>
      <c r="Q214" s="329"/>
      <c r="R214" s="320"/>
      <c r="S214" s="320"/>
      <c r="T214" s="329"/>
      <c r="U214" s="336" t="str">
        <f>IF(ISERROR(VLOOKUP($T214, 'Reference data'!$J$2:$K$139, 2, FALSE)),"-",VLOOKUP($T214, 'Reference data'!$J$2:$K$139, 2, FALSE))</f>
        <v>-</v>
      </c>
      <c r="V214" s="320"/>
      <c r="W214" s="320"/>
      <c r="X214" s="324"/>
      <c r="Y214" s="325"/>
      <c r="Z214" s="70"/>
      <c r="AA214" s="352"/>
      <c r="AB214" s="86"/>
      <c r="AC214" s="72"/>
      <c r="AD214" s="331"/>
      <c r="AE214" s="239" t="s">
        <v>278</v>
      </c>
      <c r="AF214" s="243" t="s">
        <v>77</v>
      </c>
      <c r="AG214" s="334"/>
    </row>
    <row r="215" spans="2:33" s="306" customFormat="1" ht="12.75" customHeight="1" x14ac:dyDescent="0.2">
      <c r="B215" s="338" t="str" cm="1">
        <f t="array" ref="B215">IF(C215="","Skip",IF(AND(Validator!G209=TRUE,Validator!G459=TRUE,Validator!G709=TRUE,Validator!G959=TRUE,Validator!G1209=TRUE,Validator!G1459=TRUE,OR(ISBLANK($R215),ISNUMBER(VALUE(SUBSTITUTE(SUBSTITUTE(SUBSTITUTE(SUBSTITUTE($R215," ",""),"c",""),"C",""),"-","")))),OR(SUMPRODUCT(--($U215=Package_type_code))&gt;0,$U215="",$U215="-")),"Valid","Invalid"))</f>
        <v>Skip</v>
      </c>
      <c r="C215" s="70"/>
      <c r="D215" s="395"/>
      <c r="E215" s="396"/>
      <c r="F215" s="178" t="str">
        <f t="shared" si="6"/>
        <v>-</v>
      </c>
      <c r="G215" s="398"/>
      <c r="H215" s="178" t="str">
        <f t="shared" si="7"/>
        <v>-</v>
      </c>
      <c r="I215" s="333"/>
      <c r="J215" s="400"/>
      <c r="K215" s="401"/>
      <c r="L215" s="402"/>
      <c r="M215" s="322"/>
      <c r="N215" s="584"/>
      <c r="O215" s="403" t="s">
        <v>278</v>
      </c>
      <c r="P215" s="404" t="s">
        <v>77</v>
      </c>
      <c r="Q215" s="329"/>
      <c r="R215" s="320"/>
      <c r="S215" s="320"/>
      <c r="T215" s="329"/>
      <c r="U215" s="336" t="str">
        <f>IF(ISERROR(VLOOKUP($T215, 'Reference data'!$J$2:$K$139, 2, FALSE)),"-",VLOOKUP($T215, 'Reference data'!$J$2:$K$139, 2, FALSE))</f>
        <v>-</v>
      </c>
      <c r="V215" s="320"/>
      <c r="W215" s="320"/>
      <c r="X215" s="324"/>
      <c r="Y215" s="325"/>
      <c r="Z215" s="70"/>
      <c r="AA215" s="352"/>
      <c r="AB215" s="86"/>
      <c r="AC215" s="72"/>
      <c r="AD215" s="331"/>
      <c r="AE215" s="239" t="s">
        <v>278</v>
      </c>
      <c r="AF215" s="243" t="s">
        <v>77</v>
      </c>
      <c r="AG215" s="334"/>
    </row>
    <row r="216" spans="2:33" s="306" customFormat="1" ht="12.75" customHeight="1" x14ac:dyDescent="0.2">
      <c r="B216" s="338" t="str" cm="1">
        <f t="array" ref="B216">IF(C216="","Skip",IF(AND(Validator!G210=TRUE,Validator!G460=TRUE,Validator!G710=TRUE,Validator!G960=TRUE,Validator!G1210=TRUE,Validator!G1460=TRUE,OR(ISBLANK($R216),ISNUMBER(VALUE(SUBSTITUTE(SUBSTITUTE(SUBSTITUTE(SUBSTITUTE($R216," ",""),"c",""),"C",""),"-","")))),OR(SUMPRODUCT(--($U216=Package_type_code))&gt;0,$U216="",$U216="-")),"Valid","Invalid"))</f>
        <v>Skip</v>
      </c>
      <c r="C216" s="70"/>
      <c r="D216" s="395"/>
      <c r="E216" s="396"/>
      <c r="F216" s="178" t="str">
        <f t="shared" si="6"/>
        <v>-</v>
      </c>
      <c r="G216" s="398"/>
      <c r="H216" s="178" t="str">
        <f t="shared" si="7"/>
        <v>-</v>
      </c>
      <c r="I216" s="333"/>
      <c r="J216" s="400"/>
      <c r="K216" s="401"/>
      <c r="L216" s="402"/>
      <c r="M216" s="322"/>
      <c r="N216" s="584"/>
      <c r="O216" s="403" t="s">
        <v>278</v>
      </c>
      <c r="P216" s="404" t="s">
        <v>77</v>
      </c>
      <c r="Q216" s="329"/>
      <c r="R216" s="320"/>
      <c r="S216" s="320"/>
      <c r="T216" s="329"/>
      <c r="U216" s="336" t="str">
        <f>IF(ISERROR(VLOOKUP($T216, 'Reference data'!$J$2:$K$139, 2, FALSE)),"-",VLOOKUP($T216, 'Reference data'!$J$2:$K$139, 2, FALSE))</f>
        <v>-</v>
      </c>
      <c r="V216" s="320"/>
      <c r="W216" s="320"/>
      <c r="X216" s="324"/>
      <c r="Y216" s="325"/>
      <c r="Z216" s="70"/>
      <c r="AA216" s="352"/>
      <c r="AB216" s="86"/>
      <c r="AC216" s="72"/>
      <c r="AD216" s="331"/>
      <c r="AE216" s="239" t="s">
        <v>278</v>
      </c>
      <c r="AF216" s="243" t="s">
        <v>77</v>
      </c>
      <c r="AG216" s="334"/>
    </row>
    <row r="217" spans="2:33" s="306" customFormat="1" ht="12.75" customHeight="1" x14ac:dyDescent="0.2">
      <c r="B217" s="338" t="str" cm="1">
        <f t="array" ref="B217">IF(C217="","Skip",IF(AND(Validator!G211=TRUE,Validator!G461=TRUE,Validator!G711=TRUE,Validator!G961=TRUE,Validator!G1211=TRUE,Validator!G1461=TRUE,OR(ISBLANK($R217),ISNUMBER(VALUE(SUBSTITUTE(SUBSTITUTE(SUBSTITUTE(SUBSTITUTE($R217," ",""),"c",""),"C",""),"-","")))),OR(SUMPRODUCT(--($U217=Package_type_code))&gt;0,$U217="",$U217="-")),"Valid","Invalid"))</f>
        <v>Skip</v>
      </c>
      <c r="C217" s="70"/>
      <c r="D217" s="395"/>
      <c r="E217" s="396"/>
      <c r="F217" s="178" t="str">
        <f t="shared" si="6"/>
        <v>-</v>
      </c>
      <c r="G217" s="398"/>
      <c r="H217" s="178" t="str">
        <f t="shared" si="7"/>
        <v>-</v>
      </c>
      <c r="I217" s="333"/>
      <c r="J217" s="400"/>
      <c r="K217" s="401"/>
      <c r="L217" s="402"/>
      <c r="M217" s="322"/>
      <c r="N217" s="584"/>
      <c r="O217" s="403" t="s">
        <v>278</v>
      </c>
      <c r="P217" s="404" t="s">
        <v>77</v>
      </c>
      <c r="Q217" s="329"/>
      <c r="R217" s="320"/>
      <c r="S217" s="320"/>
      <c r="T217" s="329"/>
      <c r="U217" s="336" t="str">
        <f>IF(ISERROR(VLOOKUP($T217, 'Reference data'!$J$2:$K$139, 2, FALSE)),"-",VLOOKUP($T217, 'Reference data'!$J$2:$K$139, 2, FALSE))</f>
        <v>-</v>
      </c>
      <c r="V217" s="320"/>
      <c r="W217" s="320"/>
      <c r="X217" s="324"/>
      <c r="Y217" s="325"/>
      <c r="Z217" s="70"/>
      <c r="AA217" s="352"/>
      <c r="AB217" s="86"/>
      <c r="AC217" s="72"/>
      <c r="AD217" s="331"/>
      <c r="AE217" s="239" t="s">
        <v>278</v>
      </c>
      <c r="AF217" s="243" t="s">
        <v>77</v>
      </c>
      <c r="AG217" s="334"/>
    </row>
    <row r="218" spans="2:33" s="306" customFormat="1" ht="12.75" customHeight="1" x14ac:dyDescent="0.2">
      <c r="B218" s="338" t="str" cm="1">
        <f t="array" ref="B218">IF(C218="","Skip",IF(AND(Validator!G212=TRUE,Validator!G462=TRUE,Validator!G712=TRUE,Validator!G962=TRUE,Validator!G1212=TRUE,Validator!G1462=TRUE,OR(ISBLANK($R218),ISNUMBER(VALUE(SUBSTITUTE(SUBSTITUTE(SUBSTITUTE(SUBSTITUTE($R218," ",""),"c",""),"C",""),"-","")))),OR(SUMPRODUCT(--($U218=Package_type_code))&gt;0,$U218="",$U218="-")),"Valid","Invalid"))</f>
        <v>Skip</v>
      </c>
      <c r="C218" s="70"/>
      <c r="D218" s="395"/>
      <c r="E218" s="396"/>
      <c r="F218" s="178" t="str">
        <f t="shared" si="6"/>
        <v>-</v>
      </c>
      <c r="G218" s="398"/>
      <c r="H218" s="178" t="str">
        <f t="shared" si="7"/>
        <v>-</v>
      </c>
      <c r="I218" s="333"/>
      <c r="J218" s="400"/>
      <c r="K218" s="401"/>
      <c r="L218" s="402"/>
      <c r="M218" s="322"/>
      <c r="N218" s="584"/>
      <c r="O218" s="403" t="s">
        <v>278</v>
      </c>
      <c r="P218" s="404" t="s">
        <v>77</v>
      </c>
      <c r="Q218" s="329"/>
      <c r="R218" s="320"/>
      <c r="S218" s="320"/>
      <c r="T218" s="329"/>
      <c r="U218" s="336" t="str">
        <f>IF(ISERROR(VLOOKUP($T218, 'Reference data'!$J$2:$K$139, 2, FALSE)),"-",VLOOKUP($T218, 'Reference data'!$J$2:$K$139, 2, FALSE))</f>
        <v>-</v>
      </c>
      <c r="V218" s="320"/>
      <c r="W218" s="320"/>
      <c r="X218" s="324"/>
      <c r="Y218" s="325"/>
      <c r="Z218" s="70"/>
      <c r="AA218" s="352"/>
      <c r="AB218" s="86"/>
      <c r="AC218" s="72"/>
      <c r="AD218" s="331"/>
      <c r="AE218" s="239" t="s">
        <v>278</v>
      </c>
      <c r="AF218" s="243" t="s">
        <v>77</v>
      </c>
      <c r="AG218" s="334"/>
    </row>
    <row r="219" spans="2:33" s="306" customFormat="1" ht="12.75" customHeight="1" x14ac:dyDescent="0.2">
      <c r="B219" s="338" t="str" cm="1">
        <f t="array" ref="B219">IF(C219="","Skip",IF(AND(Validator!G213=TRUE,Validator!G463=TRUE,Validator!G713=TRUE,Validator!G963=TRUE,Validator!G1213=TRUE,Validator!G1463=TRUE,OR(ISBLANK($R219),ISNUMBER(VALUE(SUBSTITUTE(SUBSTITUTE(SUBSTITUTE(SUBSTITUTE($R219," ",""),"c",""),"C",""),"-","")))),OR(SUMPRODUCT(--($U219=Package_type_code))&gt;0,$U219="",$U219="-")),"Valid","Invalid"))</f>
        <v>Skip</v>
      </c>
      <c r="C219" s="70"/>
      <c r="D219" s="395"/>
      <c r="E219" s="396"/>
      <c r="F219" s="178" t="str">
        <f t="shared" si="6"/>
        <v>-</v>
      </c>
      <c r="G219" s="398"/>
      <c r="H219" s="178" t="str">
        <f t="shared" si="7"/>
        <v>-</v>
      </c>
      <c r="I219" s="333"/>
      <c r="J219" s="400"/>
      <c r="K219" s="401"/>
      <c r="L219" s="402"/>
      <c r="M219" s="322"/>
      <c r="N219" s="584"/>
      <c r="O219" s="403" t="s">
        <v>278</v>
      </c>
      <c r="P219" s="404" t="s">
        <v>77</v>
      </c>
      <c r="Q219" s="329"/>
      <c r="R219" s="320"/>
      <c r="S219" s="320"/>
      <c r="T219" s="329"/>
      <c r="U219" s="336" t="str">
        <f>IF(ISERROR(VLOOKUP($T219, 'Reference data'!$J$2:$K$139, 2, FALSE)),"-",VLOOKUP($T219, 'Reference data'!$J$2:$K$139, 2, FALSE))</f>
        <v>-</v>
      </c>
      <c r="V219" s="320"/>
      <c r="W219" s="320"/>
      <c r="X219" s="324"/>
      <c r="Y219" s="325"/>
      <c r="Z219" s="70"/>
      <c r="AA219" s="352"/>
      <c r="AB219" s="86"/>
      <c r="AC219" s="72"/>
      <c r="AD219" s="331"/>
      <c r="AE219" s="239" t="s">
        <v>278</v>
      </c>
      <c r="AF219" s="243" t="s">
        <v>77</v>
      </c>
      <c r="AG219" s="334"/>
    </row>
    <row r="220" spans="2:33" s="306" customFormat="1" ht="12.75" customHeight="1" x14ac:dyDescent="0.2">
      <c r="B220" s="338" t="str" cm="1">
        <f t="array" ref="B220">IF(C220="","Skip",IF(AND(Validator!G214=TRUE,Validator!G464=TRUE,Validator!G714=TRUE,Validator!G964=TRUE,Validator!G1214=TRUE,Validator!G1464=TRUE,OR(ISBLANK($R220),ISNUMBER(VALUE(SUBSTITUTE(SUBSTITUTE(SUBSTITUTE(SUBSTITUTE($R220," ",""),"c",""),"C",""),"-","")))),OR(SUMPRODUCT(--($U220=Package_type_code))&gt;0,$U220="",$U220="-")),"Valid","Invalid"))</f>
        <v>Skip</v>
      </c>
      <c r="C220" s="70"/>
      <c r="D220" s="395"/>
      <c r="E220" s="396"/>
      <c r="F220" s="178" t="str">
        <f t="shared" si="6"/>
        <v>-</v>
      </c>
      <c r="G220" s="398"/>
      <c r="H220" s="178" t="str">
        <f t="shared" si="7"/>
        <v>-</v>
      </c>
      <c r="I220" s="333"/>
      <c r="J220" s="400"/>
      <c r="K220" s="401"/>
      <c r="L220" s="402"/>
      <c r="M220" s="322"/>
      <c r="N220" s="584"/>
      <c r="O220" s="403" t="s">
        <v>278</v>
      </c>
      <c r="P220" s="404" t="s">
        <v>77</v>
      </c>
      <c r="Q220" s="329"/>
      <c r="R220" s="320"/>
      <c r="S220" s="320"/>
      <c r="T220" s="329"/>
      <c r="U220" s="336" t="str">
        <f>IF(ISERROR(VLOOKUP($T220, 'Reference data'!$J$2:$K$139, 2, FALSE)),"-",VLOOKUP($T220, 'Reference data'!$J$2:$K$139, 2, FALSE))</f>
        <v>-</v>
      </c>
      <c r="V220" s="320"/>
      <c r="W220" s="320"/>
      <c r="X220" s="324"/>
      <c r="Y220" s="325"/>
      <c r="Z220" s="70"/>
      <c r="AA220" s="352"/>
      <c r="AB220" s="86"/>
      <c r="AC220" s="72"/>
      <c r="AD220" s="331"/>
      <c r="AE220" s="239" t="s">
        <v>278</v>
      </c>
      <c r="AF220" s="243" t="s">
        <v>77</v>
      </c>
      <c r="AG220" s="334"/>
    </row>
    <row r="221" spans="2:33" s="306" customFormat="1" ht="12.75" customHeight="1" x14ac:dyDescent="0.2">
      <c r="B221" s="338" t="str" cm="1">
        <f t="array" ref="B221">IF(C221="","Skip",IF(AND(Validator!G215=TRUE,Validator!G465=TRUE,Validator!G715=TRUE,Validator!G965=TRUE,Validator!G1215=TRUE,Validator!G1465=TRUE,OR(ISBLANK($R221),ISNUMBER(VALUE(SUBSTITUTE(SUBSTITUTE(SUBSTITUTE(SUBSTITUTE($R221," ",""),"c",""),"C",""),"-","")))),OR(SUMPRODUCT(--($U221=Package_type_code))&gt;0,$U221="",$U221="-")),"Valid","Invalid"))</f>
        <v>Skip</v>
      </c>
      <c r="C221" s="70"/>
      <c r="D221" s="395"/>
      <c r="E221" s="396"/>
      <c r="F221" s="178" t="str">
        <f t="shared" si="6"/>
        <v>-</v>
      </c>
      <c r="G221" s="398"/>
      <c r="H221" s="178" t="str">
        <f t="shared" si="7"/>
        <v>-</v>
      </c>
      <c r="I221" s="333"/>
      <c r="J221" s="400"/>
      <c r="K221" s="401"/>
      <c r="L221" s="402"/>
      <c r="M221" s="322"/>
      <c r="N221" s="584"/>
      <c r="O221" s="403" t="s">
        <v>278</v>
      </c>
      <c r="P221" s="404" t="s">
        <v>77</v>
      </c>
      <c r="Q221" s="329"/>
      <c r="R221" s="320"/>
      <c r="S221" s="320"/>
      <c r="T221" s="329"/>
      <c r="U221" s="336" t="str">
        <f>IF(ISERROR(VLOOKUP($T221, 'Reference data'!$J$2:$K$139, 2, FALSE)),"-",VLOOKUP($T221, 'Reference data'!$J$2:$K$139, 2, FALSE))</f>
        <v>-</v>
      </c>
      <c r="V221" s="320"/>
      <c r="W221" s="320"/>
      <c r="X221" s="324"/>
      <c r="Y221" s="325"/>
      <c r="Z221" s="70"/>
      <c r="AA221" s="352"/>
      <c r="AB221" s="86"/>
      <c r="AC221" s="72"/>
      <c r="AD221" s="331"/>
      <c r="AE221" s="239" t="s">
        <v>278</v>
      </c>
      <c r="AF221" s="243" t="s">
        <v>77</v>
      </c>
      <c r="AG221" s="334"/>
    </row>
    <row r="222" spans="2:33" s="306" customFormat="1" ht="12.75" customHeight="1" x14ac:dyDescent="0.2">
      <c r="B222" s="338" t="str" cm="1">
        <f t="array" ref="B222">IF(C222="","Skip",IF(AND(Validator!G216=TRUE,Validator!G466=TRUE,Validator!G716=TRUE,Validator!G966=TRUE,Validator!G1216=TRUE,Validator!G1466=TRUE,OR(ISBLANK($R222),ISNUMBER(VALUE(SUBSTITUTE(SUBSTITUTE(SUBSTITUTE(SUBSTITUTE($R222," ",""),"c",""),"C",""),"-","")))),OR(SUMPRODUCT(--($U222=Package_type_code))&gt;0,$U222="",$U222="-")),"Valid","Invalid"))</f>
        <v>Skip</v>
      </c>
      <c r="C222" s="70"/>
      <c r="D222" s="395"/>
      <c r="E222" s="396"/>
      <c r="F222" s="178" t="str">
        <f t="shared" si="6"/>
        <v>-</v>
      </c>
      <c r="G222" s="398"/>
      <c r="H222" s="178" t="str">
        <f t="shared" si="7"/>
        <v>-</v>
      </c>
      <c r="I222" s="333"/>
      <c r="J222" s="400"/>
      <c r="K222" s="401"/>
      <c r="L222" s="402"/>
      <c r="M222" s="322"/>
      <c r="N222" s="584"/>
      <c r="O222" s="403" t="s">
        <v>278</v>
      </c>
      <c r="P222" s="404" t="s">
        <v>77</v>
      </c>
      <c r="Q222" s="329"/>
      <c r="R222" s="320"/>
      <c r="S222" s="320"/>
      <c r="T222" s="329"/>
      <c r="U222" s="336" t="str">
        <f>IF(ISERROR(VLOOKUP($T222, 'Reference data'!$J$2:$K$139, 2, FALSE)),"-",VLOOKUP($T222, 'Reference data'!$J$2:$K$139, 2, FALSE))</f>
        <v>-</v>
      </c>
      <c r="V222" s="320"/>
      <c r="W222" s="320"/>
      <c r="X222" s="324"/>
      <c r="Y222" s="325"/>
      <c r="Z222" s="70"/>
      <c r="AA222" s="352"/>
      <c r="AB222" s="86"/>
      <c r="AC222" s="72"/>
      <c r="AD222" s="331"/>
      <c r="AE222" s="239" t="s">
        <v>278</v>
      </c>
      <c r="AF222" s="243" t="s">
        <v>77</v>
      </c>
      <c r="AG222" s="334"/>
    </row>
    <row r="223" spans="2:33" s="306" customFormat="1" ht="12.75" customHeight="1" x14ac:dyDescent="0.2">
      <c r="B223" s="338" t="str" cm="1">
        <f t="array" ref="B223">IF(C223="","Skip",IF(AND(Validator!G217=TRUE,Validator!G467=TRUE,Validator!G717=TRUE,Validator!G967=TRUE,Validator!G1217=TRUE,Validator!G1467=TRUE,OR(ISBLANK($R223),ISNUMBER(VALUE(SUBSTITUTE(SUBSTITUTE(SUBSTITUTE(SUBSTITUTE($R223," ",""),"c",""),"C",""),"-","")))),OR(SUMPRODUCT(--($U223=Package_type_code))&gt;0,$U223="",$U223="-")),"Valid","Invalid"))</f>
        <v>Skip</v>
      </c>
      <c r="C223" s="70"/>
      <c r="D223" s="395"/>
      <c r="E223" s="396"/>
      <c r="F223" s="178" t="str">
        <f t="shared" si="6"/>
        <v>-</v>
      </c>
      <c r="G223" s="398"/>
      <c r="H223" s="178" t="str">
        <f t="shared" si="7"/>
        <v>-</v>
      </c>
      <c r="I223" s="333"/>
      <c r="J223" s="400"/>
      <c r="K223" s="401"/>
      <c r="L223" s="402"/>
      <c r="M223" s="322"/>
      <c r="N223" s="584"/>
      <c r="O223" s="403" t="s">
        <v>278</v>
      </c>
      <c r="P223" s="404" t="s">
        <v>77</v>
      </c>
      <c r="Q223" s="329"/>
      <c r="R223" s="320"/>
      <c r="S223" s="320"/>
      <c r="T223" s="329"/>
      <c r="U223" s="336" t="str">
        <f>IF(ISERROR(VLOOKUP($T223, 'Reference data'!$J$2:$K$139, 2, FALSE)),"-",VLOOKUP($T223, 'Reference data'!$J$2:$K$139, 2, FALSE))</f>
        <v>-</v>
      </c>
      <c r="V223" s="320"/>
      <c r="W223" s="320"/>
      <c r="X223" s="324"/>
      <c r="Y223" s="325"/>
      <c r="Z223" s="70"/>
      <c r="AA223" s="352"/>
      <c r="AB223" s="86"/>
      <c r="AC223" s="72"/>
      <c r="AD223" s="331"/>
      <c r="AE223" s="239" t="s">
        <v>278</v>
      </c>
      <c r="AF223" s="243" t="s">
        <v>77</v>
      </c>
      <c r="AG223" s="334"/>
    </row>
    <row r="224" spans="2:33" s="306" customFormat="1" ht="12.75" customHeight="1" x14ac:dyDescent="0.2">
      <c r="B224" s="338" t="str" cm="1">
        <f t="array" ref="B224">IF(C224="","Skip",IF(AND(Validator!G218=TRUE,Validator!G468=TRUE,Validator!G718=TRUE,Validator!G968=TRUE,Validator!G1218=TRUE,Validator!G1468=TRUE,OR(ISBLANK($R224),ISNUMBER(VALUE(SUBSTITUTE(SUBSTITUTE(SUBSTITUTE(SUBSTITUTE($R224," ",""),"c",""),"C",""),"-","")))),OR(SUMPRODUCT(--($U224=Package_type_code))&gt;0,$U224="",$U224="-")),"Valid","Invalid"))</f>
        <v>Skip</v>
      </c>
      <c r="C224" s="70"/>
      <c r="D224" s="395"/>
      <c r="E224" s="396"/>
      <c r="F224" s="178" t="str">
        <f t="shared" si="6"/>
        <v>-</v>
      </c>
      <c r="G224" s="398"/>
      <c r="H224" s="178" t="str">
        <f t="shared" si="7"/>
        <v>-</v>
      </c>
      <c r="I224" s="333"/>
      <c r="J224" s="400"/>
      <c r="K224" s="401"/>
      <c r="L224" s="402"/>
      <c r="M224" s="322"/>
      <c r="N224" s="584"/>
      <c r="O224" s="403" t="s">
        <v>278</v>
      </c>
      <c r="P224" s="404" t="s">
        <v>77</v>
      </c>
      <c r="Q224" s="329"/>
      <c r="R224" s="320"/>
      <c r="S224" s="320"/>
      <c r="T224" s="329"/>
      <c r="U224" s="336" t="str">
        <f>IF(ISERROR(VLOOKUP($T224, 'Reference data'!$J$2:$K$139, 2, FALSE)),"-",VLOOKUP($T224, 'Reference data'!$J$2:$K$139, 2, FALSE))</f>
        <v>-</v>
      </c>
      <c r="V224" s="320"/>
      <c r="W224" s="320"/>
      <c r="X224" s="324"/>
      <c r="Y224" s="325"/>
      <c r="Z224" s="70"/>
      <c r="AA224" s="352"/>
      <c r="AB224" s="86"/>
      <c r="AC224" s="72"/>
      <c r="AD224" s="331"/>
      <c r="AE224" s="239" t="s">
        <v>278</v>
      </c>
      <c r="AF224" s="243" t="s">
        <v>77</v>
      </c>
      <c r="AG224" s="334"/>
    </row>
    <row r="225" spans="2:33" s="306" customFormat="1" ht="12.75" customHeight="1" x14ac:dyDescent="0.2">
      <c r="B225" s="338" t="str" cm="1">
        <f t="array" ref="B225">IF(C225="","Skip",IF(AND(Validator!G219=TRUE,Validator!G469=TRUE,Validator!G719=TRUE,Validator!G969=TRUE,Validator!G1219=TRUE,Validator!G1469=TRUE,OR(ISBLANK($R225),ISNUMBER(VALUE(SUBSTITUTE(SUBSTITUTE(SUBSTITUTE(SUBSTITUTE($R225," ",""),"c",""),"C",""),"-","")))),OR(SUMPRODUCT(--($U225=Package_type_code))&gt;0,$U225="",$U225="-")),"Valid","Invalid"))</f>
        <v>Skip</v>
      </c>
      <c r="C225" s="70"/>
      <c r="D225" s="395"/>
      <c r="E225" s="396"/>
      <c r="F225" s="178" t="str">
        <f t="shared" si="6"/>
        <v>-</v>
      </c>
      <c r="G225" s="398"/>
      <c r="H225" s="178" t="str">
        <f t="shared" si="7"/>
        <v>-</v>
      </c>
      <c r="I225" s="333"/>
      <c r="J225" s="400"/>
      <c r="K225" s="401"/>
      <c r="L225" s="402"/>
      <c r="M225" s="322"/>
      <c r="N225" s="584"/>
      <c r="O225" s="403" t="s">
        <v>278</v>
      </c>
      <c r="P225" s="404" t="s">
        <v>77</v>
      </c>
      <c r="Q225" s="329"/>
      <c r="R225" s="320"/>
      <c r="S225" s="320"/>
      <c r="T225" s="329"/>
      <c r="U225" s="336" t="str">
        <f>IF(ISERROR(VLOOKUP($T225, 'Reference data'!$J$2:$K$139, 2, FALSE)),"-",VLOOKUP($T225, 'Reference data'!$J$2:$K$139, 2, FALSE))</f>
        <v>-</v>
      </c>
      <c r="V225" s="320"/>
      <c r="W225" s="320"/>
      <c r="X225" s="324"/>
      <c r="Y225" s="325"/>
      <c r="Z225" s="70"/>
      <c r="AA225" s="352"/>
      <c r="AB225" s="86"/>
      <c r="AC225" s="72"/>
      <c r="AD225" s="331"/>
      <c r="AE225" s="239" t="s">
        <v>278</v>
      </c>
      <c r="AF225" s="243" t="s">
        <v>77</v>
      </c>
      <c r="AG225" s="334"/>
    </row>
    <row r="226" spans="2:33" s="306" customFormat="1" ht="12.75" customHeight="1" x14ac:dyDescent="0.2">
      <c r="B226" s="338" t="str" cm="1">
        <f t="array" ref="B226">IF(C226="","Skip",IF(AND(Validator!G220=TRUE,Validator!G470=TRUE,Validator!G720=TRUE,Validator!G970=TRUE,Validator!G1220=TRUE,Validator!G1470=TRUE,OR(ISBLANK($R226),ISNUMBER(VALUE(SUBSTITUTE(SUBSTITUTE(SUBSTITUTE(SUBSTITUTE($R226," ",""),"c",""),"C",""),"-","")))),OR(SUMPRODUCT(--($U226=Package_type_code))&gt;0,$U226="",$U226="-")),"Valid","Invalid"))</f>
        <v>Skip</v>
      </c>
      <c r="C226" s="70"/>
      <c r="D226" s="395"/>
      <c r="E226" s="396"/>
      <c r="F226" s="178" t="str">
        <f t="shared" si="6"/>
        <v>-</v>
      </c>
      <c r="G226" s="398"/>
      <c r="H226" s="178" t="str">
        <f t="shared" si="7"/>
        <v>-</v>
      </c>
      <c r="I226" s="333"/>
      <c r="J226" s="400"/>
      <c r="K226" s="401"/>
      <c r="L226" s="402"/>
      <c r="M226" s="322"/>
      <c r="N226" s="584"/>
      <c r="O226" s="403" t="s">
        <v>278</v>
      </c>
      <c r="P226" s="404" t="s">
        <v>77</v>
      </c>
      <c r="Q226" s="329"/>
      <c r="R226" s="320"/>
      <c r="S226" s="320"/>
      <c r="T226" s="329"/>
      <c r="U226" s="336" t="str">
        <f>IF(ISERROR(VLOOKUP($T226, 'Reference data'!$J$2:$K$139, 2, FALSE)),"-",VLOOKUP($T226, 'Reference data'!$J$2:$K$139, 2, FALSE))</f>
        <v>-</v>
      </c>
      <c r="V226" s="320"/>
      <c r="W226" s="320"/>
      <c r="X226" s="324"/>
      <c r="Y226" s="325"/>
      <c r="Z226" s="70"/>
      <c r="AA226" s="352"/>
      <c r="AB226" s="86"/>
      <c r="AC226" s="72"/>
      <c r="AD226" s="331"/>
      <c r="AE226" s="239" t="s">
        <v>278</v>
      </c>
      <c r="AF226" s="243" t="s">
        <v>77</v>
      </c>
      <c r="AG226" s="334"/>
    </row>
    <row r="227" spans="2:33" s="306" customFormat="1" ht="12.75" customHeight="1" x14ac:dyDescent="0.2">
      <c r="B227" s="338" t="str" cm="1">
        <f t="array" ref="B227">IF(C227="","Skip",IF(AND(Validator!G221=TRUE,Validator!G471=TRUE,Validator!G721=TRUE,Validator!G971=TRUE,Validator!G1221=TRUE,Validator!G1471=TRUE,OR(ISBLANK($R227),ISNUMBER(VALUE(SUBSTITUTE(SUBSTITUTE(SUBSTITUTE(SUBSTITUTE($R227," ",""),"c",""),"C",""),"-","")))),OR(SUMPRODUCT(--($U227=Package_type_code))&gt;0,$U227="",$U227="-")),"Valid","Invalid"))</f>
        <v>Skip</v>
      </c>
      <c r="C227" s="70"/>
      <c r="D227" s="395"/>
      <c r="E227" s="396"/>
      <c r="F227" s="178" t="str">
        <f t="shared" si="6"/>
        <v>-</v>
      </c>
      <c r="G227" s="398"/>
      <c r="H227" s="178" t="str">
        <f t="shared" si="7"/>
        <v>-</v>
      </c>
      <c r="I227" s="333"/>
      <c r="J227" s="400"/>
      <c r="K227" s="401"/>
      <c r="L227" s="402"/>
      <c r="M227" s="322"/>
      <c r="N227" s="584"/>
      <c r="O227" s="403" t="s">
        <v>278</v>
      </c>
      <c r="P227" s="404" t="s">
        <v>77</v>
      </c>
      <c r="Q227" s="329"/>
      <c r="R227" s="320"/>
      <c r="S227" s="320"/>
      <c r="T227" s="329"/>
      <c r="U227" s="336" t="str">
        <f>IF(ISERROR(VLOOKUP($T227, 'Reference data'!$J$2:$K$139, 2, FALSE)),"-",VLOOKUP($T227, 'Reference data'!$J$2:$K$139, 2, FALSE))</f>
        <v>-</v>
      </c>
      <c r="V227" s="320"/>
      <c r="W227" s="320"/>
      <c r="X227" s="324"/>
      <c r="Y227" s="325"/>
      <c r="Z227" s="70"/>
      <c r="AA227" s="352"/>
      <c r="AB227" s="86"/>
      <c r="AC227" s="72"/>
      <c r="AD227" s="331"/>
      <c r="AE227" s="239" t="s">
        <v>278</v>
      </c>
      <c r="AF227" s="243" t="s">
        <v>77</v>
      </c>
      <c r="AG227" s="334"/>
    </row>
    <row r="228" spans="2:33" s="306" customFormat="1" ht="12.75" customHeight="1" x14ac:dyDescent="0.2">
      <c r="B228" s="338" t="str" cm="1">
        <f t="array" ref="B228">IF(C228="","Skip",IF(AND(Validator!G222=TRUE,Validator!G472=TRUE,Validator!G722=TRUE,Validator!G972=TRUE,Validator!G1222=TRUE,Validator!G1472=TRUE,OR(ISBLANK($R228),ISNUMBER(VALUE(SUBSTITUTE(SUBSTITUTE(SUBSTITUTE(SUBSTITUTE($R228," ",""),"c",""),"C",""),"-","")))),OR(SUMPRODUCT(--($U228=Package_type_code))&gt;0,$U228="",$U228="-")),"Valid","Invalid"))</f>
        <v>Skip</v>
      </c>
      <c r="C228" s="70"/>
      <c r="D228" s="395"/>
      <c r="E228" s="396"/>
      <c r="F228" s="178" t="str">
        <f t="shared" si="6"/>
        <v>-</v>
      </c>
      <c r="G228" s="398"/>
      <c r="H228" s="178" t="str">
        <f t="shared" si="7"/>
        <v>-</v>
      </c>
      <c r="I228" s="333"/>
      <c r="J228" s="400"/>
      <c r="K228" s="401"/>
      <c r="L228" s="402"/>
      <c r="M228" s="322"/>
      <c r="N228" s="584"/>
      <c r="O228" s="403" t="s">
        <v>278</v>
      </c>
      <c r="P228" s="404" t="s">
        <v>77</v>
      </c>
      <c r="Q228" s="329"/>
      <c r="R228" s="320"/>
      <c r="S228" s="320"/>
      <c r="T228" s="329"/>
      <c r="U228" s="336" t="str">
        <f>IF(ISERROR(VLOOKUP($T228, 'Reference data'!$J$2:$K$139, 2, FALSE)),"-",VLOOKUP($T228, 'Reference data'!$J$2:$K$139, 2, FALSE))</f>
        <v>-</v>
      </c>
      <c r="V228" s="320"/>
      <c r="W228" s="320"/>
      <c r="X228" s="324"/>
      <c r="Y228" s="325"/>
      <c r="Z228" s="70"/>
      <c r="AA228" s="352"/>
      <c r="AB228" s="86"/>
      <c r="AC228" s="72"/>
      <c r="AD228" s="331"/>
      <c r="AE228" s="239" t="s">
        <v>278</v>
      </c>
      <c r="AF228" s="243" t="s">
        <v>77</v>
      </c>
      <c r="AG228" s="334"/>
    </row>
    <row r="229" spans="2:33" s="306" customFormat="1" ht="12.75" customHeight="1" x14ac:dyDescent="0.2">
      <c r="B229" s="338" t="str" cm="1">
        <f t="array" ref="B229">IF(C229="","Skip",IF(AND(Validator!G223=TRUE,Validator!G473=TRUE,Validator!G723=TRUE,Validator!G973=TRUE,Validator!G1223=TRUE,Validator!G1473=TRUE,OR(ISBLANK($R229),ISNUMBER(VALUE(SUBSTITUTE(SUBSTITUTE(SUBSTITUTE(SUBSTITUTE($R229," ",""),"c",""),"C",""),"-","")))),OR(SUMPRODUCT(--($U229=Package_type_code))&gt;0,$U229="",$U229="-")),"Valid","Invalid"))</f>
        <v>Skip</v>
      </c>
      <c r="C229" s="70"/>
      <c r="D229" s="395"/>
      <c r="E229" s="396"/>
      <c r="F229" s="178" t="str">
        <f t="shared" si="6"/>
        <v>-</v>
      </c>
      <c r="G229" s="398"/>
      <c r="H229" s="178" t="str">
        <f t="shared" si="7"/>
        <v>-</v>
      </c>
      <c r="I229" s="333"/>
      <c r="J229" s="400"/>
      <c r="K229" s="401"/>
      <c r="L229" s="402"/>
      <c r="M229" s="322"/>
      <c r="N229" s="584"/>
      <c r="O229" s="403" t="s">
        <v>278</v>
      </c>
      <c r="P229" s="404" t="s">
        <v>77</v>
      </c>
      <c r="Q229" s="329"/>
      <c r="R229" s="320"/>
      <c r="S229" s="320"/>
      <c r="T229" s="329"/>
      <c r="U229" s="336" t="str">
        <f>IF(ISERROR(VLOOKUP($T229, 'Reference data'!$J$2:$K$139, 2, FALSE)),"-",VLOOKUP($T229, 'Reference data'!$J$2:$K$139, 2, FALSE))</f>
        <v>-</v>
      </c>
      <c r="V229" s="320"/>
      <c r="W229" s="320"/>
      <c r="X229" s="324"/>
      <c r="Y229" s="325"/>
      <c r="Z229" s="70"/>
      <c r="AA229" s="352"/>
      <c r="AB229" s="86"/>
      <c r="AC229" s="72"/>
      <c r="AD229" s="331"/>
      <c r="AE229" s="239" t="s">
        <v>278</v>
      </c>
      <c r="AF229" s="243" t="s">
        <v>77</v>
      </c>
      <c r="AG229" s="334"/>
    </row>
    <row r="230" spans="2:33" s="306" customFormat="1" ht="12.75" customHeight="1" x14ac:dyDescent="0.2">
      <c r="B230" s="338" t="str" cm="1">
        <f t="array" ref="B230">IF(C230="","Skip",IF(AND(Validator!G224=TRUE,Validator!G474=TRUE,Validator!G724=TRUE,Validator!G974=TRUE,Validator!G1224=TRUE,Validator!G1474=TRUE,OR(ISBLANK($R230),ISNUMBER(VALUE(SUBSTITUTE(SUBSTITUTE(SUBSTITUTE(SUBSTITUTE($R230," ",""),"c",""),"C",""),"-","")))),OR(SUMPRODUCT(--($U230=Package_type_code))&gt;0,$U230="",$U230="-")),"Valid","Invalid"))</f>
        <v>Skip</v>
      </c>
      <c r="C230" s="70"/>
      <c r="D230" s="395"/>
      <c r="E230" s="396"/>
      <c r="F230" s="178" t="str">
        <f t="shared" si="6"/>
        <v>-</v>
      </c>
      <c r="G230" s="398"/>
      <c r="H230" s="178" t="str">
        <f t="shared" si="7"/>
        <v>-</v>
      </c>
      <c r="I230" s="333"/>
      <c r="J230" s="400"/>
      <c r="K230" s="401"/>
      <c r="L230" s="402"/>
      <c r="M230" s="322"/>
      <c r="N230" s="584"/>
      <c r="O230" s="403" t="s">
        <v>278</v>
      </c>
      <c r="P230" s="404" t="s">
        <v>77</v>
      </c>
      <c r="Q230" s="329"/>
      <c r="R230" s="320"/>
      <c r="S230" s="320"/>
      <c r="T230" s="329"/>
      <c r="U230" s="336" t="str">
        <f>IF(ISERROR(VLOOKUP($T230, 'Reference data'!$J$2:$K$139, 2, FALSE)),"-",VLOOKUP($T230, 'Reference data'!$J$2:$K$139, 2, FALSE))</f>
        <v>-</v>
      </c>
      <c r="V230" s="320"/>
      <c r="W230" s="320"/>
      <c r="X230" s="324"/>
      <c r="Y230" s="325"/>
      <c r="Z230" s="70"/>
      <c r="AA230" s="352"/>
      <c r="AB230" s="86"/>
      <c r="AC230" s="72"/>
      <c r="AD230" s="331"/>
      <c r="AE230" s="239" t="s">
        <v>278</v>
      </c>
      <c r="AF230" s="243" t="s">
        <v>77</v>
      </c>
      <c r="AG230" s="334"/>
    </row>
    <row r="231" spans="2:33" s="306" customFormat="1" ht="12.75" customHeight="1" x14ac:dyDescent="0.2">
      <c r="B231" s="338" t="str" cm="1">
        <f t="array" ref="B231">IF(C231="","Skip",IF(AND(Validator!G225=TRUE,Validator!G475=TRUE,Validator!G725=TRUE,Validator!G975=TRUE,Validator!G1225=TRUE,Validator!G1475=TRUE,OR(ISBLANK($R231),ISNUMBER(VALUE(SUBSTITUTE(SUBSTITUTE(SUBSTITUTE(SUBSTITUTE($R231," ",""),"c",""),"C",""),"-","")))),OR(SUMPRODUCT(--($U231=Package_type_code))&gt;0,$U231="",$U231="-")),"Valid","Invalid"))</f>
        <v>Skip</v>
      </c>
      <c r="C231" s="70"/>
      <c r="D231" s="395"/>
      <c r="E231" s="396"/>
      <c r="F231" s="178" t="str">
        <f t="shared" si="6"/>
        <v>-</v>
      </c>
      <c r="G231" s="398"/>
      <c r="H231" s="178" t="str">
        <f t="shared" si="7"/>
        <v>-</v>
      </c>
      <c r="I231" s="333"/>
      <c r="J231" s="400"/>
      <c r="K231" s="401"/>
      <c r="L231" s="402"/>
      <c r="M231" s="322"/>
      <c r="N231" s="584"/>
      <c r="O231" s="403" t="s">
        <v>278</v>
      </c>
      <c r="P231" s="404" t="s">
        <v>77</v>
      </c>
      <c r="Q231" s="329"/>
      <c r="R231" s="320"/>
      <c r="S231" s="320"/>
      <c r="T231" s="329"/>
      <c r="U231" s="336" t="str">
        <f>IF(ISERROR(VLOOKUP($T231, 'Reference data'!$J$2:$K$139, 2, FALSE)),"-",VLOOKUP($T231, 'Reference data'!$J$2:$K$139, 2, FALSE))</f>
        <v>-</v>
      </c>
      <c r="V231" s="320"/>
      <c r="W231" s="320"/>
      <c r="X231" s="324"/>
      <c r="Y231" s="325"/>
      <c r="Z231" s="70"/>
      <c r="AA231" s="352"/>
      <c r="AB231" s="86"/>
      <c r="AC231" s="72"/>
      <c r="AD231" s="331"/>
      <c r="AE231" s="239" t="s">
        <v>278</v>
      </c>
      <c r="AF231" s="243" t="s">
        <v>77</v>
      </c>
      <c r="AG231" s="334"/>
    </row>
    <row r="232" spans="2:33" s="306" customFormat="1" ht="12.75" customHeight="1" x14ac:dyDescent="0.2">
      <c r="B232" s="338" t="str" cm="1">
        <f t="array" ref="B232">IF(C232="","Skip",IF(AND(Validator!G226=TRUE,Validator!G476=TRUE,Validator!G726=TRUE,Validator!G976=TRUE,Validator!G1226=TRUE,Validator!G1476=TRUE,OR(ISBLANK($R232),ISNUMBER(VALUE(SUBSTITUTE(SUBSTITUTE(SUBSTITUTE(SUBSTITUTE($R232," ",""),"c",""),"C",""),"-","")))),OR(SUMPRODUCT(--($U232=Package_type_code))&gt;0,$U232="",$U232="-")),"Valid","Invalid"))</f>
        <v>Skip</v>
      </c>
      <c r="C232" s="70"/>
      <c r="D232" s="395"/>
      <c r="E232" s="396"/>
      <c r="F232" s="178" t="str">
        <f t="shared" si="6"/>
        <v>-</v>
      </c>
      <c r="G232" s="398"/>
      <c r="H232" s="178" t="str">
        <f t="shared" si="7"/>
        <v>-</v>
      </c>
      <c r="I232" s="333"/>
      <c r="J232" s="400"/>
      <c r="K232" s="401"/>
      <c r="L232" s="402"/>
      <c r="M232" s="322"/>
      <c r="N232" s="584"/>
      <c r="O232" s="403" t="s">
        <v>278</v>
      </c>
      <c r="P232" s="404" t="s">
        <v>77</v>
      </c>
      <c r="Q232" s="329"/>
      <c r="R232" s="320"/>
      <c r="S232" s="320"/>
      <c r="T232" s="329"/>
      <c r="U232" s="336" t="str">
        <f>IF(ISERROR(VLOOKUP($T232, 'Reference data'!$J$2:$K$139, 2, FALSE)),"-",VLOOKUP($T232, 'Reference data'!$J$2:$K$139, 2, FALSE))</f>
        <v>-</v>
      </c>
      <c r="V232" s="320"/>
      <c r="W232" s="320"/>
      <c r="X232" s="324"/>
      <c r="Y232" s="325"/>
      <c r="Z232" s="70"/>
      <c r="AA232" s="352"/>
      <c r="AB232" s="86"/>
      <c r="AC232" s="72"/>
      <c r="AD232" s="331"/>
      <c r="AE232" s="239" t="s">
        <v>278</v>
      </c>
      <c r="AF232" s="243" t="s">
        <v>77</v>
      </c>
      <c r="AG232" s="334"/>
    </row>
    <row r="233" spans="2:33" s="306" customFormat="1" ht="12.75" customHeight="1" x14ac:dyDescent="0.2">
      <c r="B233" s="338" t="str" cm="1">
        <f t="array" ref="B233">IF(C233="","Skip",IF(AND(Validator!G227=TRUE,Validator!G477=TRUE,Validator!G727=TRUE,Validator!G977=TRUE,Validator!G1227=TRUE,Validator!G1477=TRUE,OR(ISBLANK($R233),ISNUMBER(VALUE(SUBSTITUTE(SUBSTITUTE(SUBSTITUTE(SUBSTITUTE($R233," ",""),"c",""),"C",""),"-","")))),OR(SUMPRODUCT(--($U233=Package_type_code))&gt;0,$U233="",$U233="-")),"Valid","Invalid"))</f>
        <v>Skip</v>
      </c>
      <c r="C233" s="70"/>
      <c r="D233" s="395"/>
      <c r="E233" s="396"/>
      <c r="F233" s="178" t="str">
        <f t="shared" si="6"/>
        <v>-</v>
      </c>
      <c r="G233" s="398"/>
      <c r="H233" s="178" t="str">
        <f t="shared" si="7"/>
        <v>-</v>
      </c>
      <c r="I233" s="333"/>
      <c r="J233" s="400"/>
      <c r="K233" s="401"/>
      <c r="L233" s="402"/>
      <c r="M233" s="322"/>
      <c r="N233" s="584"/>
      <c r="O233" s="403" t="s">
        <v>278</v>
      </c>
      <c r="P233" s="404" t="s">
        <v>77</v>
      </c>
      <c r="Q233" s="329"/>
      <c r="R233" s="320"/>
      <c r="S233" s="320"/>
      <c r="T233" s="329"/>
      <c r="U233" s="336" t="str">
        <f>IF(ISERROR(VLOOKUP($T233, 'Reference data'!$J$2:$K$139, 2, FALSE)),"-",VLOOKUP($T233, 'Reference data'!$J$2:$K$139, 2, FALSE))</f>
        <v>-</v>
      </c>
      <c r="V233" s="320"/>
      <c r="W233" s="320"/>
      <c r="X233" s="324"/>
      <c r="Y233" s="325"/>
      <c r="Z233" s="70"/>
      <c r="AA233" s="352"/>
      <c r="AB233" s="86"/>
      <c r="AC233" s="72"/>
      <c r="AD233" s="331"/>
      <c r="AE233" s="239" t="s">
        <v>278</v>
      </c>
      <c r="AF233" s="243" t="s">
        <v>77</v>
      </c>
      <c r="AG233" s="334"/>
    </row>
    <row r="234" spans="2:33" s="306" customFormat="1" ht="12.75" customHeight="1" x14ac:dyDescent="0.2">
      <c r="B234" s="338" t="str" cm="1">
        <f t="array" ref="B234">IF(C234="","Skip",IF(AND(Validator!G228=TRUE,Validator!G478=TRUE,Validator!G728=TRUE,Validator!G978=TRUE,Validator!G1228=TRUE,Validator!G1478=TRUE,OR(ISBLANK($R234),ISNUMBER(VALUE(SUBSTITUTE(SUBSTITUTE(SUBSTITUTE(SUBSTITUTE($R234," ",""),"c",""),"C",""),"-","")))),OR(SUMPRODUCT(--($U234=Package_type_code))&gt;0,$U234="",$U234="-")),"Valid","Invalid"))</f>
        <v>Skip</v>
      </c>
      <c r="C234" s="70"/>
      <c r="D234" s="395"/>
      <c r="E234" s="396"/>
      <c r="F234" s="178" t="str">
        <f t="shared" si="6"/>
        <v>-</v>
      </c>
      <c r="G234" s="398"/>
      <c r="H234" s="178" t="str">
        <f t="shared" si="7"/>
        <v>-</v>
      </c>
      <c r="I234" s="333"/>
      <c r="J234" s="400"/>
      <c r="K234" s="401"/>
      <c r="L234" s="402"/>
      <c r="M234" s="322"/>
      <c r="N234" s="584"/>
      <c r="O234" s="403" t="s">
        <v>278</v>
      </c>
      <c r="P234" s="404" t="s">
        <v>77</v>
      </c>
      <c r="Q234" s="329"/>
      <c r="R234" s="320"/>
      <c r="S234" s="320"/>
      <c r="T234" s="329"/>
      <c r="U234" s="336" t="str">
        <f>IF(ISERROR(VLOOKUP($T234, 'Reference data'!$J$2:$K$139, 2, FALSE)),"-",VLOOKUP($T234, 'Reference data'!$J$2:$K$139, 2, FALSE))</f>
        <v>-</v>
      </c>
      <c r="V234" s="320"/>
      <c r="W234" s="320"/>
      <c r="X234" s="324"/>
      <c r="Y234" s="325"/>
      <c r="Z234" s="70"/>
      <c r="AA234" s="352"/>
      <c r="AB234" s="86"/>
      <c r="AC234" s="72"/>
      <c r="AD234" s="331"/>
      <c r="AE234" s="239" t="s">
        <v>278</v>
      </c>
      <c r="AF234" s="243" t="s">
        <v>77</v>
      </c>
      <c r="AG234" s="334"/>
    </row>
    <row r="235" spans="2:33" s="306" customFormat="1" ht="12.75" customHeight="1" x14ac:dyDescent="0.2">
      <c r="B235" s="338" t="str" cm="1">
        <f t="array" ref="B235">IF(C235="","Skip",IF(AND(Validator!G229=TRUE,Validator!G479=TRUE,Validator!G729=TRUE,Validator!G979=TRUE,Validator!G1229=TRUE,Validator!G1479=TRUE,OR(ISBLANK($R235),ISNUMBER(VALUE(SUBSTITUTE(SUBSTITUTE(SUBSTITUTE(SUBSTITUTE($R235," ",""),"c",""),"C",""),"-","")))),OR(SUMPRODUCT(--($U235=Package_type_code))&gt;0,$U235="",$U235="-")),"Valid","Invalid"))</f>
        <v>Skip</v>
      </c>
      <c r="C235" s="70"/>
      <c r="D235" s="395"/>
      <c r="E235" s="396"/>
      <c r="F235" s="178" t="str">
        <f t="shared" si="6"/>
        <v>-</v>
      </c>
      <c r="G235" s="398"/>
      <c r="H235" s="178" t="str">
        <f t="shared" si="7"/>
        <v>-</v>
      </c>
      <c r="I235" s="333"/>
      <c r="J235" s="400"/>
      <c r="K235" s="401"/>
      <c r="L235" s="402"/>
      <c r="M235" s="322"/>
      <c r="N235" s="584"/>
      <c r="O235" s="403" t="s">
        <v>278</v>
      </c>
      <c r="P235" s="404" t="s">
        <v>77</v>
      </c>
      <c r="Q235" s="329"/>
      <c r="R235" s="320"/>
      <c r="S235" s="320"/>
      <c r="T235" s="329"/>
      <c r="U235" s="336" t="str">
        <f>IF(ISERROR(VLOOKUP($T235, 'Reference data'!$J$2:$K$139, 2, FALSE)),"-",VLOOKUP($T235, 'Reference data'!$J$2:$K$139, 2, FALSE))</f>
        <v>-</v>
      </c>
      <c r="V235" s="320"/>
      <c r="W235" s="320"/>
      <c r="X235" s="324"/>
      <c r="Y235" s="325"/>
      <c r="Z235" s="70"/>
      <c r="AA235" s="352"/>
      <c r="AB235" s="86"/>
      <c r="AC235" s="72"/>
      <c r="AD235" s="331"/>
      <c r="AE235" s="239" t="s">
        <v>278</v>
      </c>
      <c r="AF235" s="243" t="s">
        <v>77</v>
      </c>
      <c r="AG235" s="334"/>
    </row>
    <row r="236" spans="2:33" s="306" customFormat="1" ht="12.75" customHeight="1" x14ac:dyDescent="0.2">
      <c r="B236" s="338" t="str" cm="1">
        <f t="array" ref="B236">IF(C236="","Skip",IF(AND(Validator!G230=TRUE,Validator!G480=TRUE,Validator!G730=TRUE,Validator!G980=TRUE,Validator!G1230=TRUE,Validator!G1480=TRUE,OR(ISBLANK($R236),ISNUMBER(VALUE(SUBSTITUTE(SUBSTITUTE(SUBSTITUTE(SUBSTITUTE($R236," ",""),"c",""),"C",""),"-","")))),OR(SUMPRODUCT(--($U236=Package_type_code))&gt;0,$U236="",$U236="-")),"Valid","Invalid"))</f>
        <v>Skip</v>
      </c>
      <c r="C236" s="70"/>
      <c r="D236" s="395"/>
      <c r="E236" s="396"/>
      <c r="F236" s="178" t="str">
        <f t="shared" si="6"/>
        <v>-</v>
      </c>
      <c r="G236" s="398"/>
      <c r="H236" s="178" t="str">
        <f t="shared" si="7"/>
        <v>-</v>
      </c>
      <c r="I236" s="333"/>
      <c r="J236" s="400"/>
      <c r="K236" s="401"/>
      <c r="L236" s="402"/>
      <c r="M236" s="322"/>
      <c r="N236" s="584"/>
      <c r="O236" s="403" t="s">
        <v>278</v>
      </c>
      <c r="P236" s="404" t="s">
        <v>77</v>
      </c>
      <c r="Q236" s="329"/>
      <c r="R236" s="320"/>
      <c r="S236" s="320"/>
      <c r="T236" s="329"/>
      <c r="U236" s="336" t="str">
        <f>IF(ISERROR(VLOOKUP($T236, 'Reference data'!$J$2:$K$139, 2, FALSE)),"-",VLOOKUP($T236, 'Reference data'!$J$2:$K$139, 2, FALSE))</f>
        <v>-</v>
      </c>
      <c r="V236" s="320"/>
      <c r="W236" s="320"/>
      <c r="X236" s="324"/>
      <c r="Y236" s="325"/>
      <c r="Z236" s="70"/>
      <c r="AA236" s="352"/>
      <c r="AB236" s="86"/>
      <c r="AC236" s="72"/>
      <c r="AD236" s="331"/>
      <c r="AE236" s="239" t="s">
        <v>278</v>
      </c>
      <c r="AF236" s="243" t="s">
        <v>77</v>
      </c>
      <c r="AG236" s="334"/>
    </row>
    <row r="237" spans="2:33" s="306" customFormat="1" ht="12.75" customHeight="1" x14ac:dyDescent="0.2">
      <c r="B237" s="338" t="str" cm="1">
        <f t="array" ref="B237">IF(C237="","Skip",IF(AND(Validator!G231=TRUE,Validator!G481=TRUE,Validator!G731=TRUE,Validator!G981=TRUE,Validator!G1231=TRUE,Validator!G1481=TRUE,OR(ISBLANK($R237),ISNUMBER(VALUE(SUBSTITUTE(SUBSTITUTE(SUBSTITUTE(SUBSTITUTE($R237," ",""),"c",""),"C",""),"-","")))),OR(SUMPRODUCT(--($U237=Package_type_code))&gt;0,$U237="",$U237="-")),"Valid","Invalid"))</f>
        <v>Skip</v>
      </c>
      <c r="C237" s="70"/>
      <c r="D237" s="395"/>
      <c r="E237" s="396"/>
      <c r="F237" s="178" t="str">
        <f t="shared" si="6"/>
        <v>-</v>
      </c>
      <c r="G237" s="398"/>
      <c r="H237" s="178" t="str">
        <f t="shared" si="7"/>
        <v>-</v>
      </c>
      <c r="I237" s="333"/>
      <c r="J237" s="400"/>
      <c r="K237" s="401"/>
      <c r="L237" s="402"/>
      <c r="M237" s="322"/>
      <c r="N237" s="584"/>
      <c r="O237" s="403" t="s">
        <v>278</v>
      </c>
      <c r="P237" s="404" t="s">
        <v>77</v>
      </c>
      <c r="Q237" s="329"/>
      <c r="R237" s="320"/>
      <c r="S237" s="320"/>
      <c r="T237" s="329"/>
      <c r="U237" s="336" t="str">
        <f>IF(ISERROR(VLOOKUP($T237, 'Reference data'!$J$2:$K$139, 2, FALSE)),"-",VLOOKUP($T237, 'Reference data'!$J$2:$K$139, 2, FALSE))</f>
        <v>-</v>
      </c>
      <c r="V237" s="320"/>
      <c r="W237" s="320"/>
      <c r="X237" s="324"/>
      <c r="Y237" s="325"/>
      <c r="Z237" s="70"/>
      <c r="AA237" s="352"/>
      <c r="AB237" s="86"/>
      <c r="AC237" s="72"/>
      <c r="AD237" s="331"/>
      <c r="AE237" s="239" t="s">
        <v>278</v>
      </c>
      <c r="AF237" s="243" t="s">
        <v>77</v>
      </c>
      <c r="AG237" s="334"/>
    </row>
    <row r="238" spans="2:33" s="306" customFormat="1" ht="12.75" customHeight="1" x14ac:dyDescent="0.2">
      <c r="B238" s="338" t="str" cm="1">
        <f t="array" ref="B238">IF(C238="","Skip",IF(AND(Validator!G232=TRUE,Validator!G482=TRUE,Validator!G732=TRUE,Validator!G982=TRUE,Validator!G1232=TRUE,Validator!G1482=TRUE,OR(ISBLANK($R238),ISNUMBER(VALUE(SUBSTITUTE(SUBSTITUTE(SUBSTITUTE(SUBSTITUTE($R238," ",""),"c",""),"C",""),"-","")))),OR(SUMPRODUCT(--($U238=Package_type_code))&gt;0,$U238="",$U238="-")),"Valid","Invalid"))</f>
        <v>Skip</v>
      </c>
      <c r="C238" s="70"/>
      <c r="D238" s="395"/>
      <c r="E238" s="396"/>
      <c r="F238" s="178" t="str">
        <f t="shared" si="6"/>
        <v>-</v>
      </c>
      <c r="G238" s="398"/>
      <c r="H238" s="178" t="str">
        <f t="shared" si="7"/>
        <v>-</v>
      </c>
      <c r="I238" s="333"/>
      <c r="J238" s="400"/>
      <c r="K238" s="401"/>
      <c r="L238" s="402"/>
      <c r="M238" s="322"/>
      <c r="N238" s="584"/>
      <c r="O238" s="403" t="s">
        <v>278</v>
      </c>
      <c r="P238" s="404" t="s">
        <v>77</v>
      </c>
      <c r="Q238" s="329"/>
      <c r="R238" s="320"/>
      <c r="S238" s="320"/>
      <c r="T238" s="329"/>
      <c r="U238" s="336" t="str">
        <f>IF(ISERROR(VLOOKUP($T238, 'Reference data'!$J$2:$K$139, 2, FALSE)),"-",VLOOKUP($T238, 'Reference data'!$J$2:$K$139, 2, FALSE))</f>
        <v>-</v>
      </c>
      <c r="V238" s="320"/>
      <c r="W238" s="320"/>
      <c r="X238" s="324"/>
      <c r="Y238" s="325"/>
      <c r="Z238" s="70"/>
      <c r="AA238" s="352"/>
      <c r="AB238" s="86"/>
      <c r="AC238" s="72"/>
      <c r="AD238" s="331"/>
      <c r="AE238" s="239" t="s">
        <v>278</v>
      </c>
      <c r="AF238" s="243" t="s">
        <v>77</v>
      </c>
      <c r="AG238" s="334"/>
    </row>
    <row r="239" spans="2:33" s="306" customFormat="1" ht="12.75" customHeight="1" x14ac:dyDescent="0.2">
      <c r="B239" s="338" t="str" cm="1">
        <f t="array" ref="B239">IF(C239="","Skip",IF(AND(Validator!G233=TRUE,Validator!G483=TRUE,Validator!G733=TRUE,Validator!G983=TRUE,Validator!G1233=TRUE,Validator!G1483=TRUE,OR(ISBLANK($R239),ISNUMBER(VALUE(SUBSTITUTE(SUBSTITUTE(SUBSTITUTE(SUBSTITUTE($R239," ",""),"c",""),"C",""),"-","")))),OR(SUMPRODUCT(--($U239=Package_type_code))&gt;0,$U239="",$U239="-")),"Valid","Invalid"))</f>
        <v>Skip</v>
      </c>
      <c r="C239" s="70"/>
      <c r="D239" s="395"/>
      <c r="E239" s="396"/>
      <c r="F239" s="178" t="str">
        <f t="shared" si="6"/>
        <v>-</v>
      </c>
      <c r="G239" s="398"/>
      <c r="H239" s="178" t="str">
        <f t="shared" si="7"/>
        <v>-</v>
      </c>
      <c r="I239" s="333"/>
      <c r="J239" s="400"/>
      <c r="K239" s="401"/>
      <c r="L239" s="402"/>
      <c r="M239" s="322"/>
      <c r="N239" s="584"/>
      <c r="O239" s="403" t="s">
        <v>278</v>
      </c>
      <c r="P239" s="404" t="s">
        <v>77</v>
      </c>
      <c r="Q239" s="329"/>
      <c r="R239" s="320"/>
      <c r="S239" s="320"/>
      <c r="T239" s="329"/>
      <c r="U239" s="336" t="str">
        <f>IF(ISERROR(VLOOKUP($T239, 'Reference data'!$J$2:$K$139, 2, FALSE)),"-",VLOOKUP($T239, 'Reference data'!$J$2:$K$139, 2, FALSE))</f>
        <v>-</v>
      </c>
      <c r="V239" s="320"/>
      <c r="W239" s="320"/>
      <c r="X239" s="324"/>
      <c r="Y239" s="325"/>
      <c r="Z239" s="70"/>
      <c r="AA239" s="352"/>
      <c r="AB239" s="86"/>
      <c r="AC239" s="72"/>
      <c r="AD239" s="331"/>
      <c r="AE239" s="239" t="s">
        <v>278</v>
      </c>
      <c r="AF239" s="243" t="s">
        <v>77</v>
      </c>
      <c r="AG239" s="334"/>
    </row>
    <row r="240" spans="2:33" s="306" customFormat="1" ht="12.75" customHeight="1" x14ac:dyDescent="0.2">
      <c r="B240" s="338" t="str" cm="1">
        <f t="array" ref="B240">IF(C240="","Skip",IF(AND(Validator!G234=TRUE,Validator!G484=TRUE,Validator!G734=TRUE,Validator!G984=TRUE,Validator!G1234=TRUE,Validator!G1484=TRUE,OR(ISBLANK($R240),ISNUMBER(VALUE(SUBSTITUTE(SUBSTITUTE(SUBSTITUTE(SUBSTITUTE($R240," ",""),"c",""),"C",""),"-","")))),OR(SUMPRODUCT(--($U240=Package_type_code))&gt;0,$U240="",$U240="-")),"Valid","Invalid"))</f>
        <v>Skip</v>
      </c>
      <c r="C240" s="70"/>
      <c r="D240" s="395"/>
      <c r="E240" s="396"/>
      <c r="F240" s="178" t="str">
        <f t="shared" si="6"/>
        <v>-</v>
      </c>
      <c r="G240" s="398"/>
      <c r="H240" s="178" t="str">
        <f t="shared" si="7"/>
        <v>-</v>
      </c>
      <c r="I240" s="333"/>
      <c r="J240" s="400"/>
      <c r="K240" s="401"/>
      <c r="L240" s="402"/>
      <c r="M240" s="322"/>
      <c r="N240" s="584"/>
      <c r="O240" s="403" t="s">
        <v>278</v>
      </c>
      <c r="P240" s="404" t="s">
        <v>77</v>
      </c>
      <c r="Q240" s="329"/>
      <c r="R240" s="320"/>
      <c r="S240" s="320"/>
      <c r="T240" s="329"/>
      <c r="U240" s="336" t="str">
        <f>IF(ISERROR(VLOOKUP($T240, 'Reference data'!$J$2:$K$139, 2, FALSE)),"-",VLOOKUP($T240, 'Reference data'!$J$2:$K$139, 2, FALSE))</f>
        <v>-</v>
      </c>
      <c r="V240" s="320"/>
      <c r="W240" s="320"/>
      <c r="X240" s="324"/>
      <c r="Y240" s="325"/>
      <c r="Z240" s="70"/>
      <c r="AA240" s="352"/>
      <c r="AB240" s="86"/>
      <c r="AC240" s="72"/>
      <c r="AD240" s="331"/>
      <c r="AE240" s="239" t="s">
        <v>278</v>
      </c>
      <c r="AF240" s="243" t="s">
        <v>77</v>
      </c>
      <c r="AG240" s="334"/>
    </row>
    <row r="241" spans="2:33" s="306" customFormat="1" ht="12.75" customHeight="1" x14ac:dyDescent="0.2">
      <c r="B241" s="338" t="str" cm="1">
        <f t="array" ref="B241">IF(C241="","Skip",IF(AND(Validator!G235=TRUE,Validator!G485=TRUE,Validator!G735=TRUE,Validator!G985=TRUE,Validator!G1235=TRUE,Validator!G1485=TRUE,OR(ISBLANK($R241),ISNUMBER(VALUE(SUBSTITUTE(SUBSTITUTE(SUBSTITUTE(SUBSTITUTE($R241," ",""),"c",""),"C",""),"-","")))),OR(SUMPRODUCT(--($U241=Package_type_code))&gt;0,$U241="",$U241="-")),"Valid","Invalid"))</f>
        <v>Skip</v>
      </c>
      <c r="C241" s="70"/>
      <c r="D241" s="395"/>
      <c r="E241" s="396"/>
      <c r="F241" s="178" t="str">
        <f t="shared" si="6"/>
        <v>-</v>
      </c>
      <c r="G241" s="398"/>
      <c r="H241" s="178" t="str">
        <f t="shared" si="7"/>
        <v>-</v>
      </c>
      <c r="I241" s="333"/>
      <c r="J241" s="400"/>
      <c r="K241" s="401"/>
      <c r="L241" s="402"/>
      <c r="M241" s="322"/>
      <c r="N241" s="584"/>
      <c r="O241" s="403" t="s">
        <v>278</v>
      </c>
      <c r="P241" s="404" t="s">
        <v>77</v>
      </c>
      <c r="Q241" s="329"/>
      <c r="R241" s="320"/>
      <c r="S241" s="320"/>
      <c r="T241" s="329"/>
      <c r="U241" s="336" t="str">
        <f>IF(ISERROR(VLOOKUP($T241, 'Reference data'!$J$2:$K$139, 2, FALSE)),"-",VLOOKUP($T241, 'Reference data'!$J$2:$K$139, 2, FALSE))</f>
        <v>-</v>
      </c>
      <c r="V241" s="320"/>
      <c r="W241" s="320"/>
      <c r="X241" s="324"/>
      <c r="Y241" s="325"/>
      <c r="Z241" s="70"/>
      <c r="AA241" s="352"/>
      <c r="AB241" s="86"/>
      <c r="AC241" s="72"/>
      <c r="AD241" s="331"/>
      <c r="AE241" s="239" t="s">
        <v>278</v>
      </c>
      <c r="AF241" s="243" t="s">
        <v>77</v>
      </c>
      <c r="AG241" s="334"/>
    </row>
    <row r="242" spans="2:33" s="306" customFormat="1" ht="12.75" customHeight="1" x14ac:dyDescent="0.2">
      <c r="B242" s="338" t="str" cm="1">
        <f t="array" ref="B242">IF(C242="","Skip",IF(AND(Validator!G236=TRUE,Validator!G486=TRUE,Validator!G736=TRUE,Validator!G986=TRUE,Validator!G1236=TRUE,Validator!G1486=TRUE,OR(ISBLANK($R242),ISNUMBER(VALUE(SUBSTITUTE(SUBSTITUTE(SUBSTITUTE(SUBSTITUTE($R242," ",""),"c",""),"C",""),"-","")))),OR(SUMPRODUCT(--($U242=Package_type_code))&gt;0,$U242="",$U242="-")),"Valid","Invalid"))</f>
        <v>Skip</v>
      </c>
      <c r="C242" s="70"/>
      <c r="D242" s="395"/>
      <c r="E242" s="396"/>
      <c r="F242" s="178" t="str">
        <f t="shared" si="6"/>
        <v>-</v>
      </c>
      <c r="G242" s="398"/>
      <c r="H242" s="178" t="str">
        <f t="shared" si="7"/>
        <v>-</v>
      </c>
      <c r="I242" s="333"/>
      <c r="J242" s="400"/>
      <c r="K242" s="401"/>
      <c r="L242" s="402"/>
      <c r="M242" s="322"/>
      <c r="N242" s="584"/>
      <c r="O242" s="403" t="s">
        <v>278</v>
      </c>
      <c r="P242" s="404" t="s">
        <v>77</v>
      </c>
      <c r="Q242" s="329"/>
      <c r="R242" s="320"/>
      <c r="S242" s="320"/>
      <c r="T242" s="329"/>
      <c r="U242" s="336" t="str">
        <f>IF(ISERROR(VLOOKUP($T242, 'Reference data'!$J$2:$K$139, 2, FALSE)),"-",VLOOKUP($T242, 'Reference data'!$J$2:$K$139, 2, FALSE))</f>
        <v>-</v>
      </c>
      <c r="V242" s="320"/>
      <c r="W242" s="320"/>
      <c r="X242" s="324"/>
      <c r="Y242" s="325"/>
      <c r="Z242" s="70"/>
      <c r="AA242" s="352"/>
      <c r="AB242" s="86"/>
      <c r="AC242" s="72"/>
      <c r="AD242" s="331"/>
      <c r="AE242" s="239" t="s">
        <v>278</v>
      </c>
      <c r="AF242" s="243" t="s">
        <v>77</v>
      </c>
      <c r="AG242" s="334"/>
    </row>
    <row r="243" spans="2:33" s="306" customFormat="1" ht="12.75" customHeight="1" x14ac:dyDescent="0.2">
      <c r="B243" s="338" t="str" cm="1">
        <f t="array" ref="B243">IF(C243="","Skip",IF(AND(Validator!G237=TRUE,Validator!G487=TRUE,Validator!G737=TRUE,Validator!G987=TRUE,Validator!G1237=TRUE,Validator!G1487=TRUE,OR(ISBLANK($R243),ISNUMBER(VALUE(SUBSTITUTE(SUBSTITUTE(SUBSTITUTE(SUBSTITUTE($R243," ",""),"c",""),"C",""),"-","")))),OR(SUMPRODUCT(--($U243=Package_type_code))&gt;0,$U243="",$U243="-")),"Valid","Invalid"))</f>
        <v>Skip</v>
      </c>
      <c r="C243" s="70"/>
      <c r="D243" s="395"/>
      <c r="E243" s="396"/>
      <c r="F243" s="178" t="str">
        <f t="shared" si="6"/>
        <v>-</v>
      </c>
      <c r="G243" s="398"/>
      <c r="H243" s="178" t="str">
        <f t="shared" si="7"/>
        <v>-</v>
      </c>
      <c r="I243" s="333"/>
      <c r="J243" s="400"/>
      <c r="K243" s="401"/>
      <c r="L243" s="402"/>
      <c r="M243" s="322"/>
      <c r="N243" s="584"/>
      <c r="O243" s="403" t="s">
        <v>278</v>
      </c>
      <c r="P243" s="404" t="s">
        <v>77</v>
      </c>
      <c r="Q243" s="329"/>
      <c r="R243" s="320"/>
      <c r="S243" s="320"/>
      <c r="T243" s="329"/>
      <c r="U243" s="336" t="str">
        <f>IF(ISERROR(VLOOKUP($T243, 'Reference data'!$J$2:$K$139, 2, FALSE)),"-",VLOOKUP($T243, 'Reference data'!$J$2:$K$139, 2, FALSE))</f>
        <v>-</v>
      </c>
      <c r="V243" s="320"/>
      <c r="W243" s="320"/>
      <c r="X243" s="324"/>
      <c r="Y243" s="325"/>
      <c r="Z243" s="70"/>
      <c r="AA243" s="352"/>
      <c r="AB243" s="86"/>
      <c r="AC243" s="72"/>
      <c r="AD243" s="331"/>
      <c r="AE243" s="239" t="s">
        <v>278</v>
      </c>
      <c r="AF243" s="243" t="s">
        <v>77</v>
      </c>
      <c r="AG243" s="334"/>
    </row>
    <row r="244" spans="2:33" s="306" customFormat="1" ht="12.75" customHeight="1" x14ac:dyDescent="0.2">
      <c r="B244" s="338" t="str" cm="1">
        <f t="array" ref="B244">IF(C244="","Skip",IF(AND(Validator!G238=TRUE,Validator!G488=TRUE,Validator!G738=TRUE,Validator!G988=TRUE,Validator!G1238=TRUE,Validator!G1488=TRUE,OR(ISBLANK($R244),ISNUMBER(VALUE(SUBSTITUTE(SUBSTITUTE(SUBSTITUTE(SUBSTITUTE($R244," ",""),"c",""),"C",""),"-","")))),OR(SUMPRODUCT(--($U244=Package_type_code))&gt;0,$U244="",$U244="-")),"Valid","Invalid"))</f>
        <v>Skip</v>
      </c>
      <c r="C244" s="70"/>
      <c r="D244" s="395"/>
      <c r="E244" s="396"/>
      <c r="F244" s="178" t="str">
        <f t="shared" si="6"/>
        <v>-</v>
      </c>
      <c r="G244" s="398"/>
      <c r="H244" s="178" t="str">
        <f t="shared" si="7"/>
        <v>-</v>
      </c>
      <c r="I244" s="333"/>
      <c r="J244" s="400"/>
      <c r="K244" s="401"/>
      <c r="L244" s="402"/>
      <c r="M244" s="322"/>
      <c r="N244" s="584"/>
      <c r="O244" s="403" t="s">
        <v>278</v>
      </c>
      <c r="P244" s="404" t="s">
        <v>77</v>
      </c>
      <c r="Q244" s="329"/>
      <c r="R244" s="320"/>
      <c r="S244" s="320"/>
      <c r="T244" s="329"/>
      <c r="U244" s="336" t="str">
        <f>IF(ISERROR(VLOOKUP($T244, 'Reference data'!$J$2:$K$139, 2, FALSE)),"-",VLOOKUP($T244, 'Reference data'!$J$2:$K$139, 2, FALSE))</f>
        <v>-</v>
      </c>
      <c r="V244" s="320"/>
      <c r="W244" s="320"/>
      <c r="X244" s="324"/>
      <c r="Y244" s="325"/>
      <c r="Z244" s="70"/>
      <c r="AA244" s="352"/>
      <c r="AB244" s="86"/>
      <c r="AC244" s="72"/>
      <c r="AD244" s="331"/>
      <c r="AE244" s="239" t="s">
        <v>278</v>
      </c>
      <c r="AF244" s="243" t="s">
        <v>77</v>
      </c>
      <c r="AG244" s="334"/>
    </row>
    <row r="245" spans="2:33" s="306" customFormat="1" ht="12.75" customHeight="1" x14ac:dyDescent="0.2">
      <c r="B245" s="338" t="str" cm="1">
        <f t="array" ref="B245">IF(C245="","Skip",IF(AND(Validator!G239=TRUE,Validator!G489=TRUE,Validator!G739=TRUE,Validator!G989=TRUE,Validator!G1239=TRUE,Validator!G1489=TRUE,OR(ISBLANK($R245),ISNUMBER(VALUE(SUBSTITUTE(SUBSTITUTE(SUBSTITUTE(SUBSTITUTE($R245," ",""),"c",""),"C",""),"-","")))),OR(SUMPRODUCT(--($U245=Package_type_code))&gt;0,$U245="",$U245="-")),"Valid","Invalid"))</f>
        <v>Skip</v>
      </c>
      <c r="C245" s="70"/>
      <c r="D245" s="395"/>
      <c r="E245" s="396"/>
      <c r="F245" s="178" t="str">
        <f t="shared" si="6"/>
        <v>-</v>
      </c>
      <c r="G245" s="398"/>
      <c r="H245" s="178" t="str">
        <f t="shared" si="7"/>
        <v>-</v>
      </c>
      <c r="I245" s="333"/>
      <c r="J245" s="400"/>
      <c r="K245" s="401"/>
      <c r="L245" s="402"/>
      <c r="M245" s="322"/>
      <c r="N245" s="584"/>
      <c r="O245" s="403" t="s">
        <v>278</v>
      </c>
      <c r="P245" s="404" t="s">
        <v>77</v>
      </c>
      <c r="Q245" s="329"/>
      <c r="R245" s="320"/>
      <c r="S245" s="320"/>
      <c r="T245" s="329"/>
      <c r="U245" s="336" t="str">
        <f>IF(ISERROR(VLOOKUP($T245, 'Reference data'!$J$2:$K$139, 2, FALSE)),"-",VLOOKUP($T245, 'Reference data'!$J$2:$K$139, 2, FALSE))</f>
        <v>-</v>
      </c>
      <c r="V245" s="320"/>
      <c r="W245" s="320"/>
      <c r="X245" s="324"/>
      <c r="Y245" s="325"/>
      <c r="Z245" s="70"/>
      <c r="AA245" s="352"/>
      <c r="AB245" s="86"/>
      <c r="AC245" s="72"/>
      <c r="AD245" s="331"/>
      <c r="AE245" s="239" t="s">
        <v>278</v>
      </c>
      <c r="AF245" s="243" t="s">
        <v>77</v>
      </c>
      <c r="AG245" s="334"/>
    </row>
    <row r="246" spans="2:33" s="306" customFormat="1" ht="12.75" customHeight="1" x14ac:dyDescent="0.2">
      <c r="B246" s="338" t="str" cm="1">
        <f t="array" ref="B246">IF(C246="","Skip",IF(AND(Validator!G240=TRUE,Validator!G490=TRUE,Validator!G740=TRUE,Validator!G990=TRUE,Validator!G1240=TRUE,Validator!G1490=TRUE,OR(ISBLANK($R246),ISNUMBER(VALUE(SUBSTITUTE(SUBSTITUTE(SUBSTITUTE(SUBSTITUTE($R246," ",""),"c",""),"C",""),"-","")))),OR(SUMPRODUCT(--($U246=Package_type_code))&gt;0,$U246="",$U246="-")),"Valid","Invalid"))</f>
        <v>Skip</v>
      </c>
      <c r="C246" s="70"/>
      <c r="D246" s="395"/>
      <c r="E246" s="396"/>
      <c r="F246" s="178" t="str">
        <f t="shared" si="6"/>
        <v>-</v>
      </c>
      <c r="G246" s="398"/>
      <c r="H246" s="178" t="str">
        <f t="shared" si="7"/>
        <v>-</v>
      </c>
      <c r="I246" s="333"/>
      <c r="J246" s="400"/>
      <c r="K246" s="401"/>
      <c r="L246" s="402"/>
      <c r="M246" s="322"/>
      <c r="N246" s="584"/>
      <c r="O246" s="403" t="s">
        <v>278</v>
      </c>
      <c r="P246" s="404" t="s">
        <v>77</v>
      </c>
      <c r="Q246" s="329"/>
      <c r="R246" s="320"/>
      <c r="S246" s="320"/>
      <c r="T246" s="329"/>
      <c r="U246" s="336" t="str">
        <f>IF(ISERROR(VLOOKUP($T246, 'Reference data'!$J$2:$K$139, 2, FALSE)),"-",VLOOKUP($T246, 'Reference data'!$J$2:$K$139, 2, FALSE))</f>
        <v>-</v>
      </c>
      <c r="V246" s="320"/>
      <c r="W246" s="320"/>
      <c r="X246" s="324"/>
      <c r="Y246" s="325"/>
      <c r="Z246" s="70"/>
      <c r="AA246" s="352"/>
      <c r="AB246" s="86"/>
      <c r="AC246" s="72"/>
      <c r="AD246" s="331"/>
      <c r="AE246" s="239" t="s">
        <v>278</v>
      </c>
      <c r="AF246" s="243" t="s">
        <v>77</v>
      </c>
      <c r="AG246" s="334"/>
    </row>
    <row r="247" spans="2:33" s="306" customFormat="1" ht="12.75" customHeight="1" x14ac:dyDescent="0.2">
      <c r="B247" s="338" t="str" cm="1">
        <f t="array" ref="B247">IF(C247="","Skip",IF(AND(Validator!G241=TRUE,Validator!G491=TRUE,Validator!G741=TRUE,Validator!G991=TRUE,Validator!G1241=TRUE,Validator!G1491=TRUE,OR(ISBLANK($R247),ISNUMBER(VALUE(SUBSTITUTE(SUBSTITUTE(SUBSTITUTE(SUBSTITUTE($R247," ",""),"c",""),"C",""),"-","")))),OR(SUMPRODUCT(--($U247=Package_type_code))&gt;0,$U247="",$U247="-")),"Valid","Invalid"))</f>
        <v>Skip</v>
      </c>
      <c r="C247" s="70"/>
      <c r="D247" s="395"/>
      <c r="E247" s="396"/>
      <c r="F247" s="178" t="str">
        <f t="shared" si="6"/>
        <v>-</v>
      </c>
      <c r="G247" s="398"/>
      <c r="H247" s="178" t="str">
        <f t="shared" si="7"/>
        <v>-</v>
      </c>
      <c r="I247" s="333"/>
      <c r="J247" s="400"/>
      <c r="K247" s="401"/>
      <c r="L247" s="402"/>
      <c r="M247" s="322"/>
      <c r="N247" s="584"/>
      <c r="O247" s="403" t="s">
        <v>278</v>
      </c>
      <c r="P247" s="404" t="s">
        <v>77</v>
      </c>
      <c r="Q247" s="329"/>
      <c r="R247" s="320"/>
      <c r="S247" s="320"/>
      <c r="T247" s="329"/>
      <c r="U247" s="336" t="str">
        <f>IF(ISERROR(VLOOKUP($T247, 'Reference data'!$J$2:$K$139, 2, FALSE)),"-",VLOOKUP($T247, 'Reference data'!$J$2:$K$139, 2, FALSE))</f>
        <v>-</v>
      </c>
      <c r="V247" s="320"/>
      <c r="W247" s="320"/>
      <c r="X247" s="324"/>
      <c r="Y247" s="325"/>
      <c r="Z247" s="70"/>
      <c r="AA247" s="352"/>
      <c r="AB247" s="86"/>
      <c r="AC247" s="72"/>
      <c r="AD247" s="331"/>
      <c r="AE247" s="239" t="s">
        <v>278</v>
      </c>
      <c r="AF247" s="243" t="s">
        <v>77</v>
      </c>
      <c r="AG247" s="334"/>
    </row>
    <row r="248" spans="2:33" s="306" customFormat="1" ht="12.75" customHeight="1" x14ac:dyDescent="0.2">
      <c r="B248" s="338" t="str" cm="1">
        <f t="array" ref="B248">IF(C248="","Skip",IF(AND(Validator!G242=TRUE,Validator!G492=TRUE,Validator!G742=TRUE,Validator!G992=TRUE,Validator!G1242=TRUE,Validator!G1492=TRUE,OR(ISBLANK($R248),ISNUMBER(VALUE(SUBSTITUTE(SUBSTITUTE(SUBSTITUTE(SUBSTITUTE($R248," ",""),"c",""),"C",""),"-","")))),OR(SUMPRODUCT(--($U248=Package_type_code))&gt;0,$U248="",$U248="-")),"Valid","Invalid"))</f>
        <v>Skip</v>
      </c>
      <c r="C248" s="70"/>
      <c r="D248" s="395"/>
      <c r="E248" s="396"/>
      <c r="F248" s="178" t="str">
        <f t="shared" si="6"/>
        <v>-</v>
      </c>
      <c r="G248" s="398"/>
      <c r="H248" s="178" t="str">
        <f t="shared" si="7"/>
        <v>-</v>
      </c>
      <c r="I248" s="333"/>
      <c r="J248" s="400"/>
      <c r="K248" s="401"/>
      <c r="L248" s="402"/>
      <c r="M248" s="322"/>
      <c r="N248" s="584"/>
      <c r="O248" s="403" t="s">
        <v>278</v>
      </c>
      <c r="P248" s="404" t="s">
        <v>77</v>
      </c>
      <c r="Q248" s="329"/>
      <c r="R248" s="320"/>
      <c r="S248" s="320"/>
      <c r="T248" s="329"/>
      <c r="U248" s="336" t="str">
        <f>IF(ISERROR(VLOOKUP($T248, 'Reference data'!$J$2:$K$139, 2, FALSE)),"-",VLOOKUP($T248, 'Reference data'!$J$2:$K$139, 2, FALSE))</f>
        <v>-</v>
      </c>
      <c r="V248" s="320"/>
      <c r="W248" s="320"/>
      <c r="X248" s="324"/>
      <c r="Y248" s="325"/>
      <c r="Z248" s="70"/>
      <c r="AA248" s="352"/>
      <c r="AB248" s="86"/>
      <c r="AC248" s="72"/>
      <c r="AD248" s="331"/>
      <c r="AE248" s="239" t="s">
        <v>278</v>
      </c>
      <c r="AF248" s="243" t="s">
        <v>77</v>
      </c>
      <c r="AG248" s="334"/>
    </row>
    <row r="249" spans="2:33" s="306" customFormat="1" ht="12.75" customHeight="1" x14ac:dyDescent="0.2">
      <c r="B249" s="338" t="str" cm="1">
        <f t="array" ref="B249">IF(C249="","Skip",IF(AND(Validator!G243=TRUE,Validator!G493=TRUE,Validator!G743=TRUE,Validator!G993=TRUE,Validator!G1243=TRUE,Validator!G1493=TRUE,OR(ISBLANK($R249),ISNUMBER(VALUE(SUBSTITUTE(SUBSTITUTE(SUBSTITUTE(SUBSTITUTE($R249," ",""),"c",""),"C",""),"-","")))),OR(SUMPRODUCT(--($U249=Package_type_code))&gt;0,$U249="",$U249="-")),"Valid","Invalid"))</f>
        <v>Skip</v>
      </c>
      <c r="C249" s="70"/>
      <c r="D249" s="395"/>
      <c r="E249" s="396"/>
      <c r="F249" s="178" t="str">
        <f t="shared" si="6"/>
        <v>-</v>
      </c>
      <c r="G249" s="398"/>
      <c r="H249" s="178" t="str">
        <f t="shared" si="7"/>
        <v>-</v>
      </c>
      <c r="I249" s="333"/>
      <c r="J249" s="400"/>
      <c r="K249" s="401"/>
      <c r="L249" s="402"/>
      <c r="M249" s="322"/>
      <c r="N249" s="584"/>
      <c r="O249" s="403" t="s">
        <v>278</v>
      </c>
      <c r="P249" s="404" t="s">
        <v>77</v>
      </c>
      <c r="Q249" s="329"/>
      <c r="R249" s="320"/>
      <c r="S249" s="320"/>
      <c r="T249" s="329"/>
      <c r="U249" s="336" t="str">
        <f>IF(ISERROR(VLOOKUP($T249, 'Reference data'!$J$2:$K$139, 2, FALSE)),"-",VLOOKUP($T249, 'Reference data'!$J$2:$K$139, 2, FALSE))</f>
        <v>-</v>
      </c>
      <c r="V249" s="320"/>
      <c r="W249" s="320"/>
      <c r="X249" s="324"/>
      <c r="Y249" s="325"/>
      <c r="Z249" s="70"/>
      <c r="AA249" s="352"/>
      <c r="AB249" s="86"/>
      <c r="AC249" s="72"/>
      <c r="AD249" s="331"/>
      <c r="AE249" s="239" t="s">
        <v>278</v>
      </c>
      <c r="AF249" s="243" t="s">
        <v>77</v>
      </c>
      <c r="AG249" s="334"/>
    </row>
    <row r="250" spans="2:33" s="306" customFormat="1" ht="12.75" customHeight="1" x14ac:dyDescent="0.2">
      <c r="B250" s="338" t="str" cm="1">
        <f t="array" ref="B250">IF(C250="","Skip",IF(AND(Validator!G244=TRUE,Validator!G494=TRUE,Validator!G744=TRUE,Validator!G994=TRUE,Validator!G1244=TRUE,Validator!G1494=TRUE,OR(ISBLANK($R250),ISNUMBER(VALUE(SUBSTITUTE(SUBSTITUTE(SUBSTITUTE(SUBSTITUTE($R250," ",""),"c",""),"C",""),"-","")))),OR(SUMPRODUCT(--($U250=Package_type_code))&gt;0,$U250="",$U250="-")),"Valid","Invalid"))</f>
        <v>Skip</v>
      </c>
      <c r="C250" s="70"/>
      <c r="D250" s="395"/>
      <c r="E250" s="396"/>
      <c r="F250" s="178" t="str">
        <f t="shared" si="6"/>
        <v>-</v>
      </c>
      <c r="G250" s="398"/>
      <c r="H250" s="178" t="str">
        <f t="shared" si="7"/>
        <v>-</v>
      </c>
      <c r="I250" s="333"/>
      <c r="J250" s="400"/>
      <c r="K250" s="401"/>
      <c r="L250" s="402"/>
      <c r="M250" s="322"/>
      <c r="N250" s="584"/>
      <c r="O250" s="403" t="s">
        <v>278</v>
      </c>
      <c r="P250" s="404" t="s">
        <v>77</v>
      </c>
      <c r="Q250" s="329"/>
      <c r="R250" s="320"/>
      <c r="S250" s="320"/>
      <c r="T250" s="329"/>
      <c r="U250" s="336" t="str">
        <f>IF(ISERROR(VLOOKUP($T250, 'Reference data'!$J$2:$K$139, 2, FALSE)),"-",VLOOKUP($T250, 'Reference data'!$J$2:$K$139, 2, FALSE))</f>
        <v>-</v>
      </c>
      <c r="V250" s="320"/>
      <c r="W250" s="320"/>
      <c r="X250" s="324"/>
      <c r="Y250" s="325"/>
      <c r="Z250" s="70"/>
      <c r="AA250" s="352"/>
      <c r="AB250" s="86"/>
      <c r="AC250" s="72"/>
      <c r="AD250" s="331"/>
      <c r="AE250" s="239" t="s">
        <v>278</v>
      </c>
      <c r="AF250" s="243" t="s">
        <v>77</v>
      </c>
      <c r="AG250" s="334"/>
    </row>
    <row r="251" spans="2:33" s="306" customFormat="1" ht="12.75" customHeight="1" x14ac:dyDescent="0.2">
      <c r="B251" s="338" t="str" cm="1">
        <f t="array" ref="B251">IF(C251="","Skip",IF(AND(Validator!G245=TRUE,Validator!G495=TRUE,Validator!G745=TRUE,Validator!G995=TRUE,Validator!G1245=TRUE,Validator!G1495=TRUE,OR(ISBLANK($R251),ISNUMBER(VALUE(SUBSTITUTE(SUBSTITUTE(SUBSTITUTE(SUBSTITUTE($R251," ",""),"c",""),"C",""),"-","")))),OR(SUMPRODUCT(--($U251=Package_type_code))&gt;0,$U251="",$U251="-")),"Valid","Invalid"))</f>
        <v>Skip</v>
      </c>
      <c r="C251" s="70"/>
      <c r="D251" s="395"/>
      <c r="E251" s="396"/>
      <c r="F251" s="178" t="str">
        <f t="shared" si="6"/>
        <v>-</v>
      </c>
      <c r="G251" s="398"/>
      <c r="H251" s="178" t="str">
        <f t="shared" si="7"/>
        <v>-</v>
      </c>
      <c r="I251" s="333"/>
      <c r="J251" s="400"/>
      <c r="K251" s="401"/>
      <c r="L251" s="402"/>
      <c r="M251" s="322"/>
      <c r="N251" s="584"/>
      <c r="O251" s="403" t="s">
        <v>278</v>
      </c>
      <c r="P251" s="404" t="s">
        <v>77</v>
      </c>
      <c r="Q251" s="329"/>
      <c r="R251" s="320"/>
      <c r="S251" s="320"/>
      <c r="T251" s="329"/>
      <c r="U251" s="336" t="str">
        <f>IF(ISERROR(VLOOKUP($T251, 'Reference data'!$J$2:$K$139, 2, FALSE)),"-",VLOOKUP($T251, 'Reference data'!$J$2:$K$139, 2, FALSE))</f>
        <v>-</v>
      </c>
      <c r="V251" s="320"/>
      <c r="W251" s="320"/>
      <c r="X251" s="324"/>
      <c r="Y251" s="325"/>
      <c r="Z251" s="70"/>
      <c r="AA251" s="352"/>
      <c r="AB251" s="86"/>
      <c r="AC251" s="72"/>
      <c r="AD251" s="331"/>
      <c r="AE251" s="239" t="s">
        <v>278</v>
      </c>
      <c r="AF251" s="243" t="s">
        <v>77</v>
      </c>
      <c r="AG251" s="334"/>
    </row>
    <row r="252" spans="2:33" s="306" customFormat="1" ht="12.75" customHeight="1" x14ac:dyDescent="0.2">
      <c r="B252" s="338" t="str" cm="1">
        <f t="array" ref="B252">IF(C252="","Skip",IF(AND(Validator!G246=TRUE,Validator!G496=TRUE,Validator!G746=TRUE,Validator!G996=TRUE,Validator!G1246=TRUE,Validator!G1496=TRUE,OR(ISBLANK($R252),ISNUMBER(VALUE(SUBSTITUTE(SUBSTITUTE(SUBSTITUTE(SUBSTITUTE($R252," ",""),"c",""),"C",""),"-","")))),OR(SUMPRODUCT(--($U252=Package_type_code))&gt;0,$U252="",$U252="-")),"Valid","Invalid"))</f>
        <v>Skip</v>
      </c>
      <c r="C252" s="70"/>
      <c r="D252" s="395"/>
      <c r="E252" s="396"/>
      <c r="F252" s="178" t="str">
        <f t="shared" si="6"/>
        <v>-</v>
      </c>
      <c r="G252" s="398"/>
      <c r="H252" s="178" t="str">
        <f t="shared" si="7"/>
        <v>-</v>
      </c>
      <c r="I252" s="333"/>
      <c r="J252" s="400"/>
      <c r="K252" s="401"/>
      <c r="L252" s="402"/>
      <c r="M252" s="322"/>
      <c r="N252" s="584"/>
      <c r="O252" s="403" t="s">
        <v>278</v>
      </c>
      <c r="P252" s="404" t="s">
        <v>77</v>
      </c>
      <c r="Q252" s="329"/>
      <c r="R252" s="320"/>
      <c r="S252" s="320"/>
      <c r="T252" s="329"/>
      <c r="U252" s="336" t="str">
        <f>IF(ISERROR(VLOOKUP($T252, 'Reference data'!$J$2:$K$139, 2, FALSE)),"-",VLOOKUP($T252, 'Reference data'!$J$2:$K$139, 2, FALSE))</f>
        <v>-</v>
      </c>
      <c r="V252" s="320"/>
      <c r="W252" s="320"/>
      <c r="X252" s="324"/>
      <c r="Y252" s="325"/>
      <c r="Z252" s="70"/>
      <c r="AA252" s="352"/>
      <c r="AB252" s="86"/>
      <c r="AC252" s="72"/>
      <c r="AD252" s="331"/>
      <c r="AE252" s="239" t="s">
        <v>278</v>
      </c>
      <c r="AF252" s="243" t="s">
        <v>77</v>
      </c>
      <c r="AG252" s="334"/>
    </row>
    <row r="253" spans="2:33" s="306" customFormat="1" ht="12.75" customHeight="1" x14ac:dyDescent="0.2">
      <c r="B253" s="338" t="str" cm="1">
        <f t="array" ref="B253">IF(C253="","Skip",IF(AND(Validator!G247=TRUE,Validator!G497=TRUE,Validator!G747=TRUE,Validator!G997=TRUE,Validator!G1247=TRUE,Validator!G1497=TRUE,OR(ISBLANK($R253),ISNUMBER(VALUE(SUBSTITUTE(SUBSTITUTE(SUBSTITUTE(SUBSTITUTE($R253," ",""),"c",""),"C",""),"-","")))),OR(SUMPRODUCT(--($U253=Package_type_code))&gt;0,$U253="",$U253="-")),"Valid","Invalid"))</f>
        <v>Skip</v>
      </c>
      <c r="C253" s="70"/>
      <c r="D253" s="395"/>
      <c r="E253" s="396"/>
      <c r="F253" s="178" t="str">
        <f t="shared" si="6"/>
        <v>-</v>
      </c>
      <c r="G253" s="398"/>
      <c r="H253" s="178" t="str">
        <f t="shared" si="7"/>
        <v>-</v>
      </c>
      <c r="I253" s="333"/>
      <c r="J253" s="400"/>
      <c r="K253" s="401"/>
      <c r="L253" s="402"/>
      <c r="M253" s="322"/>
      <c r="N253" s="584"/>
      <c r="O253" s="403" t="s">
        <v>278</v>
      </c>
      <c r="P253" s="404" t="s">
        <v>77</v>
      </c>
      <c r="Q253" s="329"/>
      <c r="R253" s="320"/>
      <c r="S253" s="320"/>
      <c r="T253" s="329"/>
      <c r="U253" s="336" t="str">
        <f>IF(ISERROR(VLOOKUP($T253, 'Reference data'!$J$2:$K$139, 2, FALSE)),"-",VLOOKUP($T253, 'Reference data'!$J$2:$K$139, 2, FALSE))</f>
        <v>-</v>
      </c>
      <c r="V253" s="320"/>
      <c r="W253" s="320"/>
      <c r="X253" s="324"/>
      <c r="Y253" s="325"/>
      <c r="Z253" s="70"/>
      <c r="AA253" s="352"/>
      <c r="AB253" s="86"/>
      <c r="AC253" s="72"/>
      <c r="AD253" s="331"/>
      <c r="AE253" s="239" t="s">
        <v>278</v>
      </c>
      <c r="AF253" s="243" t="s">
        <v>77</v>
      </c>
      <c r="AG253" s="334"/>
    </row>
    <row r="254" spans="2:33" s="306" customFormat="1" ht="12.75" customHeight="1" x14ac:dyDescent="0.2">
      <c r="B254" s="338" t="str" cm="1">
        <f t="array" ref="B254">IF(C254="","Skip",IF(AND(Validator!G248=TRUE,Validator!G498=TRUE,Validator!G748=TRUE,Validator!G998=TRUE,Validator!G1248=TRUE,Validator!G1498=TRUE,OR(ISBLANK($R254),ISNUMBER(VALUE(SUBSTITUTE(SUBSTITUTE(SUBSTITUTE(SUBSTITUTE($R254," ",""),"c",""),"C",""),"-","")))),OR(SUMPRODUCT(--($U254=Package_type_code))&gt;0,$U254="",$U254="-")),"Valid","Invalid"))</f>
        <v>Skip</v>
      </c>
      <c r="C254" s="70"/>
      <c r="D254" s="395"/>
      <c r="E254" s="396"/>
      <c r="F254" s="178" t="str">
        <f t="shared" si="6"/>
        <v>-</v>
      </c>
      <c r="G254" s="398"/>
      <c r="H254" s="178" t="str">
        <f t="shared" si="7"/>
        <v>-</v>
      </c>
      <c r="I254" s="333"/>
      <c r="J254" s="400"/>
      <c r="K254" s="401"/>
      <c r="L254" s="402"/>
      <c r="M254" s="322"/>
      <c r="N254" s="584"/>
      <c r="O254" s="403" t="s">
        <v>278</v>
      </c>
      <c r="P254" s="404" t="s">
        <v>77</v>
      </c>
      <c r="Q254" s="329"/>
      <c r="R254" s="320"/>
      <c r="S254" s="320"/>
      <c r="T254" s="329"/>
      <c r="U254" s="336" t="str">
        <f>IF(ISERROR(VLOOKUP($T254, 'Reference data'!$J$2:$K$139, 2, FALSE)),"-",VLOOKUP($T254, 'Reference data'!$J$2:$K$139, 2, FALSE))</f>
        <v>-</v>
      </c>
      <c r="V254" s="320"/>
      <c r="W254" s="320"/>
      <c r="X254" s="324"/>
      <c r="Y254" s="325"/>
      <c r="Z254" s="70"/>
      <c r="AA254" s="352"/>
      <c r="AB254" s="86"/>
      <c r="AC254" s="72"/>
      <c r="AD254" s="331"/>
      <c r="AE254" s="239" t="s">
        <v>278</v>
      </c>
      <c r="AF254" s="243" t="s">
        <v>77</v>
      </c>
      <c r="AG254" s="334"/>
    </row>
    <row r="255" spans="2:33" s="306" customFormat="1" ht="12.75" customHeight="1" x14ac:dyDescent="0.2">
      <c r="B255" s="338" t="str" cm="1">
        <f t="array" ref="B255">IF(C255="","Skip",IF(AND(Validator!G249=TRUE,Validator!G499=TRUE,Validator!G749=TRUE,Validator!G999=TRUE,Validator!G1249=TRUE,Validator!G1499=TRUE,OR(ISBLANK($R255),ISNUMBER(VALUE(SUBSTITUTE(SUBSTITUTE(SUBSTITUTE(SUBSTITUTE($R255," ",""),"c",""),"C",""),"-","")))),OR(SUMPRODUCT(--($U255=Package_type_code))&gt;0,$U255="",$U255="-")),"Valid","Invalid"))</f>
        <v>Skip</v>
      </c>
      <c r="C255" s="70"/>
      <c r="D255" s="395"/>
      <c r="E255" s="396"/>
      <c r="F255" s="178" t="str">
        <f t="shared" si="6"/>
        <v>-</v>
      </c>
      <c r="G255" s="398"/>
      <c r="H255" s="178" t="str">
        <f t="shared" si="7"/>
        <v>-</v>
      </c>
      <c r="I255" s="333"/>
      <c r="J255" s="400"/>
      <c r="K255" s="401"/>
      <c r="L255" s="402"/>
      <c r="M255" s="322"/>
      <c r="N255" s="584"/>
      <c r="O255" s="403" t="s">
        <v>278</v>
      </c>
      <c r="P255" s="404" t="s">
        <v>77</v>
      </c>
      <c r="Q255" s="329"/>
      <c r="R255" s="320"/>
      <c r="S255" s="320"/>
      <c r="T255" s="329"/>
      <c r="U255" s="336" t="str">
        <f>IF(ISERROR(VLOOKUP($T255, 'Reference data'!$J$2:$K$139, 2, FALSE)),"-",VLOOKUP($T255, 'Reference data'!$J$2:$K$139, 2, FALSE))</f>
        <v>-</v>
      </c>
      <c r="V255" s="320"/>
      <c r="W255" s="320"/>
      <c r="X255" s="324"/>
      <c r="Y255" s="325"/>
      <c r="Z255" s="70"/>
      <c r="AA255" s="352"/>
      <c r="AB255" s="86"/>
      <c r="AC255" s="72"/>
      <c r="AD255" s="331"/>
      <c r="AE255" s="239" t="s">
        <v>278</v>
      </c>
      <c r="AF255" s="243" t="s">
        <v>77</v>
      </c>
      <c r="AG255" s="334"/>
    </row>
    <row r="256" spans="2:33" s="306" customFormat="1" ht="12.75" customHeight="1" x14ac:dyDescent="0.2">
      <c r="B256" s="338" t="str" cm="1">
        <f t="array" ref="B256">IF(C256="","Skip",IF(AND(Validator!G250=TRUE,Validator!G500=TRUE,Validator!G750=TRUE,Validator!G1000=TRUE,Validator!G1250=TRUE,Validator!G1500=TRUE,OR(ISBLANK($R256),ISNUMBER(VALUE(SUBSTITUTE(SUBSTITUTE(SUBSTITUTE(SUBSTITUTE($R256," ",""),"c",""),"C",""),"-","")))),OR(SUMPRODUCT(--($U256=Package_type_code))&gt;0,$U256="",$U256="-")),"Valid","Invalid"))</f>
        <v>Skip</v>
      </c>
      <c r="C256" s="70"/>
      <c r="D256" s="395"/>
      <c r="E256" s="396"/>
      <c r="F256" s="178" t="str">
        <f t="shared" si="6"/>
        <v>-</v>
      </c>
      <c r="G256" s="398"/>
      <c r="H256" s="178" t="str">
        <f t="shared" si="7"/>
        <v>-</v>
      </c>
      <c r="I256" s="333"/>
      <c r="J256" s="400"/>
      <c r="K256" s="401"/>
      <c r="L256" s="402"/>
      <c r="M256" s="322"/>
      <c r="N256" s="584"/>
      <c r="O256" s="403" t="s">
        <v>278</v>
      </c>
      <c r="P256" s="404" t="s">
        <v>77</v>
      </c>
      <c r="Q256" s="329"/>
      <c r="R256" s="320"/>
      <c r="S256" s="320"/>
      <c r="T256" s="329"/>
      <c r="U256" s="336" t="str">
        <f>IF(ISERROR(VLOOKUP($T256, 'Reference data'!$J$2:$K$139, 2, FALSE)),"-",VLOOKUP($T256, 'Reference data'!$J$2:$K$139, 2, FALSE))</f>
        <v>-</v>
      </c>
      <c r="V256" s="320"/>
      <c r="W256" s="320"/>
      <c r="X256" s="324"/>
      <c r="Y256" s="325"/>
      <c r="Z256" s="70"/>
      <c r="AA256" s="352"/>
      <c r="AB256" s="86"/>
      <c r="AC256" s="72"/>
      <c r="AD256" s="331"/>
      <c r="AE256" s="239" t="s">
        <v>278</v>
      </c>
      <c r="AF256" s="243" t="s">
        <v>77</v>
      </c>
      <c r="AG256" s="334"/>
    </row>
    <row r="257" spans="2:33" s="306" customFormat="1" ht="12.75" customHeight="1" x14ac:dyDescent="0.2">
      <c r="B257" s="338" t="str" cm="1">
        <f t="array" ref="B257">IF(C257="","Skip",IF(AND(Validator!G251=TRUE,Validator!G501=TRUE,Validator!G751=TRUE,Validator!G1001=TRUE,Validator!G1251=TRUE,Validator!G1501=TRUE,OR(ISBLANK($R257),ISNUMBER(VALUE(SUBSTITUTE(SUBSTITUTE(SUBSTITUTE(SUBSTITUTE($R257," ",""),"c",""),"C",""),"-","")))),OR(SUMPRODUCT(--($U257=Package_type_code))&gt;0,$U257="",$U257="-")),"Valid","Invalid"))</f>
        <v>Skip</v>
      </c>
      <c r="C257" s="70"/>
      <c r="D257" s="395"/>
      <c r="E257" s="396"/>
      <c r="F257" s="178" t="str">
        <f t="shared" si="6"/>
        <v>-</v>
      </c>
      <c r="G257" s="398"/>
      <c r="H257" s="178" t="str">
        <f t="shared" si="7"/>
        <v>-</v>
      </c>
      <c r="I257" s="333"/>
      <c r="J257" s="400"/>
      <c r="K257" s="401"/>
      <c r="L257" s="402"/>
      <c r="M257" s="322"/>
      <c r="N257" s="584"/>
      <c r="O257" s="403" t="s">
        <v>278</v>
      </c>
      <c r="P257" s="404" t="s">
        <v>77</v>
      </c>
      <c r="Q257" s="329"/>
      <c r="R257" s="320"/>
      <c r="S257" s="320"/>
      <c r="T257" s="329"/>
      <c r="U257" s="336" t="str">
        <f>IF(ISERROR(VLOOKUP($T257, 'Reference data'!$J$2:$K$139, 2, FALSE)),"-",VLOOKUP($T257, 'Reference data'!$J$2:$K$139, 2, FALSE))</f>
        <v>-</v>
      </c>
      <c r="V257" s="320"/>
      <c r="W257" s="320"/>
      <c r="X257" s="324"/>
      <c r="Y257" s="325"/>
      <c r="Z257" s="70"/>
      <c r="AA257" s="352"/>
      <c r="AB257" s="86"/>
      <c r="AC257" s="72"/>
      <c r="AD257" s="331"/>
      <c r="AE257" s="239" t="s">
        <v>278</v>
      </c>
      <c r="AF257" s="243" t="s">
        <v>77</v>
      </c>
      <c r="AG257" s="334"/>
    </row>
    <row r="258" spans="2:33" s="306" customFormat="1" ht="12.75" customHeight="1" x14ac:dyDescent="0.2">
      <c r="B258" s="338" t="str" cm="1">
        <f t="array" ref="B258">IF(C258="","Skip",IF(AND(Validator!G252=TRUE,Validator!G502=TRUE,Validator!G752=TRUE,Validator!G1002=TRUE,Validator!G1252=TRUE,Validator!G1502=TRUE,OR(ISBLANK($R258),ISNUMBER(VALUE(SUBSTITUTE(SUBSTITUTE(SUBSTITUTE(SUBSTITUTE($R258," ",""),"c",""),"C",""),"-","")))),OR(SUMPRODUCT(--($U258=Package_type_code))&gt;0,$U258="",$U258="-")),"Valid","Invalid"))</f>
        <v>Skip</v>
      </c>
      <c r="C258" s="70"/>
      <c r="D258" s="395"/>
      <c r="E258" s="396"/>
      <c r="F258" s="178" t="str">
        <f t="shared" si="6"/>
        <v>-</v>
      </c>
      <c r="G258" s="398"/>
      <c r="H258" s="178" t="str">
        <f t="shared" si="7"/>
        <v>-</v>
      </c>
      <c r="I258" s="333"/>
      <c r="J258" s="400"/>
      <c r="K258" s="401"/>
      <c r="L258" s="402"/>
      <c r="M258" s="322"/>
      <c r="N258" s="584"/>
      <c r="O258" s="403" t="s">
        <v>278</v>
      </c>
      <c r="P258" s="404" t="s">
        <v>77</v>
      </c>
      <c r="Q258" s="329"/>
      <c r="R258" s="320"/>
      <c r="S258" s="320"/>
      <c r="T258" s="329"/>
      <c r="U258" s="336" t="str">
        <f>IF(ISERROR(VLOOKUP($T258, 'Reference data'!$J$2:$K$139, 2, FALSE)),"-",VLOOKUP($T258, 'Reference data'!$J$2:$K$139, 2, FALSE))</f>
        <v>-</v>
      </c>
      <c r="V258" s="320"/>
      <c r="W258" s="320"/>
      <c r="X258" s="324"/>
      <c r="Y258" s="325"/>
      <c r="Z258" s="70"/>
      <c r="AA258" s="352"/>
      <c r="AB258" s="86"/>
      <c r="AC258" s="72"/>
      <c r="AD258" s="331"/>
      <c r="AE258" s="239" t="s">
        <v>278</v>
      </c>
      <c r="AF258" s="243" t="s">
        <v>77</v>
      </c>
      <c r="AG258" s="334"/>
    </row>
    <row r="259" spans="2:33" s="306" customFormat="1" ht="12.75" customHeight="1" x14ac:dyDescent="0.2">
      <c r="B259" s="338" t="str" cm="1">
        <f t="array" ref="B259">IF(C259="","Skip",IF(AND(Validator!G253=TRUE,Validator!G503=TRUE,Validator!G753=TRUE,Validator!G1003=TRUE,Validator!G1253=TRUE,Validator!G1503=TRUE,OR(ISBLANK($R259),ISNUMBER(VALUE(SUBSTITUTE(SUBSTITUTE(SUBSTITUTE(SUBSTITUTE($R259," ",""),"c",""),"C",""),"-","")))),OR(SUMPRODUCT(--($U259=Package_type_code))&gt;0,$U259="",$U259="-")),"Valid","Invalid"))</f>
        <v>Skip</v>
      </c>
      <c r="C259" s="70"/>
      <c r="D259" s="395"/>
      <c r="E259" s="396"/>
      <c r="F259" s="178" t="str">
        <f t="shared" si="6"/>
        <v>-</v>
      </c>
      <c r="G259" s="398"/>
      <c r="H259" s="178" t="str">
        <f t="shared" si="7"/>
        <v>-</v>
      </c>
      <c r="I259" s="333"/>
      <c r="J259" s="400"/>
      <c r="K259" s="401"/>
      <c r="L259" s="402"/>
      <c r="M259" s="322"/>
      <c r="N259" s="584"/>
      <c r="O259" s="403" t="s">
        <v>278</v>
      </c>
      <c r="P259" s="404" t="s">
        <v>77</v>
      </c>
      <c r="Q259" s="329"/>
      <c r="R259" s="320"/>
      <c r="S259" s="320"/>
      <c r="T259" s="329"/>
      <c r="U259" s="336" t="str">
        <f>IF(ISERROR(VLOOKUP($T259, 'Reference data'!$J$2:$K$139, 2, FALSE)),"-",VLOOKUP($T259, 'Reference data'!$J$2:$K$139, 2, FALSE))</f>
        <v>-</v>
      </c>
      <c r="V259" s="320"/>
      <c r="W259" s="320"/>
      <c r="X259" s="324"/>
      <c r="Y259" s="325"/>
      <c r="Z259" s="70"/>
      <c r="AA259" s="352"/>
      <c r="AB259" s="86"/>
      <c r="AC259" s="72"/>
      <c r="AD259" s="331"/>
      <c r="AE259" s="239" t="s">
        <v>278</v>
      </c>
      <c r="AF259" s="243" t="s">
        <v>77</v>
      </c>
      <c r="AG259" s="334"/>
    </row>
    <row r="260" spans="2:33" s="306" customFormat="1" ht="12.75" customHeight="1" x14ac:dyDescent="0.2">
      <c r="B260" s="338" t="str" cm="1">
        <f t="array" ref="B260">IF(C260="","Skip",IF(AND(Validator!G254=TRUE,Validator!G504=TRUE,Validator!G754=TRUE,Validator!G1004=TRUE,Validator!G1254=TRUE,Validator!G1504=TRUE,OR(ISBLANK($R260),ISNUMBER(VALUE(SUBSTITUTE(SUBSTITUTE(SUBSTITUTE(SUBSTITUTE($R260," ",""),"c",""),"C",""),"-","")))),OR(SUMPRODUCT(--($U260=Package_type_code))&gt;0,$U260="",$U260="-")),"Valid","Invalid"))</f>
        <v>Skip</v>
      </c>
      <c r="C260" s="70"/>
      <c r="D260" s="395"/>
      <c r="E260" s="396"/>
      <c r="F260" s="178" t="str">
        <f t="shared" si="6"/>
        <v>-</v>
      </c>
      <c r="G260" s="398"/>
      <c r="H260" s="178" t="str">
        <f t="shared" si="7"/>
        <v>-</v>
      </c>
      <c r="I260" s="333"/>
      <c r="J260" s="400"/>
      <c r="K260" s="401"/>
      <c r="L260" s="402"/>
      <c r="M260" s="322"/>
      <c r="N260" s="584"/>
      <c r="O260" s="403" t="s">
        <v>278</v>
      </c>
      <c r="P260" s="404" t="s">
        <v>77</v>
      </c>
      <c r="Q260" s="329"/>
      <c r="R260" s="320"/>
      <c r="S260" s="320"/>
      <c r="T260" s="329"/>
      <c r="U260" s="336" t="str">
        <f>IF(ISERROR(VLOOKUP($T260, 'Reference data'!$J$2:$K$139, 2, FALSE)),"-",VLOOKUP($T260, 'Reference data'!$J$2:$K$139, 2, FALSE))</f>
        <v>-</v>
      </c>
      <c r="V260" s="320"/>
      <c r="W260" s="320"/>
      <c r="X260" s="324"/>
      <c r="Y260" s="325"/>
      <c r="Z260" s="70"/>
      <c r="AA260" s="352"/>
      <c r="AB260" s="86"/>
      <c r="AC260" s="72"/>
      <c r="AD260" s="331"/>
      <c r="AE260" s="239" t="s">
        <v>278</v>
      </c>
      <c r="AF260" s="243" t="s">
        <v>77</v>
      </c>
      <c r="AG260" s="334"/>
    </row>
    <row r="261" spans="2:33" s="306" customFormat="1" ht="12.75" customHeight="1" x14ac:dyDescent="0.2">
      <c r="B261" s="338" t="str" cm="1">
        <f t="array" ref="B261">IF(C261="","Skip",IF(AND(Validator!G255=TRUE,Validator!G505=TRUE,Validator!G755=TRUE,Validator!G1005=TRUE,Validator!G1255=TRUE,Validator!G1505=TRUE,OR(ISBLANK($R261),ISNUMBER(VALUE(SUBSTITUTE(SUBSTITUTE(SUBSTITUTE(SUBSTITUTE($R261," ",""),"c",""),"C",""),"-","")))),OR(SUMPRODUCT(--($U261=Package_type_code))&gt;0,$U261="",$U261="-")),"Valid","Invalid"))</f>
        <v>Skip</v>
      </c>
      <c r="C261" s="70"/>
      <c r="D261" s="395"/>
      <c r="E261" s="396"/>
      <c r="F261" s="178" t="str">
        <f t="shared" si="6"/>
        <v>-</v>
      </c>
      <c r="G261" s="398"/>
      <c r="H261" s="178" t="str">
        <f t="shared" si="7"/>
        <v>-</v>
      </c>
      <c r="I261" s="333"/>
      <c r="J261" s="400"/>
      <c r="K261" s="401"/>
      <c r="L261" s="402"/>
      <c r="M261" s="322"/>
      <c r="N261" s="584"/>
      <c r="O261" s="403" t="s">
        <v>278</v>
      </c>
      <c r="P261" s="404" t="s">
        <v>77</v>
      </c>
      <c r="Q261" s="329"/>
      <c r="R261" s="320"/>
      <c r="S261" s="320"/>
      <c r="T261" s="329"/>
      <c r="U261" s="336" t="str">
        <f>IF(ISERROR(VLOOKUP($T261, 'Reference data'!$J$2:$K$139, 2, FALSE)),"-",VLOOKUP($T261, 'Reference data'!$J$2:$K$139, 2, FALSE))</f>
        <v>-</v>
      </c>
      <c r="V261" s="320"/>
      <c r="W261" s="320"/>
      <c r="X261" s="324"/>
      <c r="Y261" s="325"/>
      <c r="Z261" s="70"/>
      <c r="AA261" s="352"/>
      <c r="AB261" s="86"/>
      <c r="AC261" s="72"/>
      <c r="AD261" s="331"/>
      <c r="AE261" s="239" t="s">
        <v>278</v>
      </c>
      <c r="AF261" s="243" t="s">
        <v>77</v>
      </c>
      <c r="AG261" s="334"/>
    </row>
    <row r="262" spans="2:33" s="306" customFormat="1" ht="12.75" customHeight="1" x14ac:dyDescent="0.2">
      <c r="B262" s="338" t="str" cm="1">
        <f t="array" ref="B262">IF(C262="","Skip",IF(AND(Validator!G256=TRUE,Validator!G506=TRUE,Validator!G756=TRUE,Validator!G1006=TRUE,Validator!G1256=TRUE,Validator!G1506=TRUE,OR(ISBLANK($R262),ISNUMBER(VALUE(SUBSTITUTE(SUBSTITUTE(SUBSTITUTE(SUBSTITUTE($R262," ",""),"c",""),"C",""),"-","")))),OR(SUMPRODUCT(--($U262=Package_type_code))&gt;0,$U262="",$U262="-")),"Valid","Invalid"))</f>
        <v>Skip</v>
      </c>
      <c r="C262" s="70"/>
      <c r="D262" s="395"/>
      <c r="E262" s="396"/>
      <c r="F262" s="178" t="str">
        <f t="shared" si="6"/>
        <v>-</v>
      </c>
      <c r="G262" s="398"/>
      <c r="H262" s="178" t="str">
        <f t="shared" si="7"/>
        <v>-</v>
      </c>
      <c r="I262" s="333"/>
      <c r="J262" s="400"/>
      <c r="K262" s="401"/>
      <c r="L262" s="402"/>
      <c r="M262" s="322"/>
      <c r="N262" s="584"/>
      <c r="O262" s="403" t="s">
        <v>278</v>
      </c>
      <c r="P262" s="404" t="s">
        <v>77</v>
      </c>
      <c r="Q262" s="329"/>
      <c r="R262" s="320"/>
      <c r="S262" s="320"/>
      <c r="T262" s="329"/>
      <c r="U262" s="336" t="str">
        <f>IF(ISERROR(VLOOKUP($T262, 'Reference data'!$J$2:$K$139, 2, FALSE)),"-",VLOOKUP($T262, 'Reference data'!$J$2:$K$139, 2, FALSE))</f>
        <v>-</v>
      </c>
      <c r="V262" s="320"/>
      <c r="W262" s="320"/>
      <c r="X262" s="324"/>
      <c r="Y262" s="325"/>
      <c r="Z262" s="70"/>
      <c r="AA262" s="352"/>
      <c r="AB262" s="86"/>
      <c r="AC262" s="72"/>
      <c r="AD262" s="331"/>
      <c r="AE262" s="239" t="s">
        <v>278</v>
      </c>
      <c r="AF262" s="243" t="s">
        <v>77</v>
      </c>
      <c r="AG262" s="334"/>
    </row>
    <row r="263" spans="2:33" s="306" customFormat="1" ht="12.75" customHeight="1" thickBot="1" x14ac:dyDescent="0.25">
      <c r="B263" s="591" t="str" cm="1">
        <f t="array" ref="B263">IF(C263="","Skip",IF(AND(Validator!G257=TRUE,Validator!G507=TRUE,Validator!G757=TRUE,Validator!G1007=TRUE,Validator!G1257=TRUE,Validator!G1507=TRUE,OR(ISBLANK($R263),ISNUMBER(VALUE(SUBSTITUTE(SUBSTITUTE(SUBSTITUTE(SUBSTITUTE($R263," ",""),"c",""),"C",""),"-","")))),OR(SUMPRODUCT(--($U263=Package_type_code))&gt;0,$U263="",$U263="-")),"Valid","Invalid"))</f>
        <v>Skip</v>
      </c>
      <c r="C263" s="73"/>
      <c r="D263" s="397"/>
      <c r="E263" s="399"/>
      <c r="F263" s="189" t="str">
        <f t="shared" si="6"/>
        <v>-</v>
      </c>
      <c r="G263" s="399"/>
      <c r="H263" s="189" t="str">
        <f t="shared" si="7"/>
        <v>-</v>
      </c>
      <c r="I263" s="335"/>
      <c r="J263" s="405"/>
      <c r="K263" s="406"/>
      <c r="L263" s="407"/>
      <c r="M263" s="323"/>
      <c r="N263" s="585"/>
      <c r="O263" s="408" t="s">
        <v>278</v>
      </c>
      <c r="P263" s="409" t="s">
        <v>77</v>
      </c>
      <c r="Q263" s="330"/>
      <c r="R263" s="321"/>
      <c r="S263" s="321"/>
      <c r="T263" s="330"/>
      <c r="U263" s="337" t="str">
        <f>IF(ISERROR(VLOOKUP($T263, 'Reference data'!$J$2:$K$139, 2, FALSE)),"-",VLOOKUP($T263, 'Reference data'!$J$2:$K$139, 2, FALSE))</f>
        <v>-</v>
      </c>
      <c r="V263" s="321"/>
      <c r="W263" s="321"/>
      <c r="X263" s="326"/>
      <c r="Y263" s="327"/>
      <c r="Z263" s="73"/>
      <c r="AA263" s="353"/>
      <c r="AB263" s="87"/>
      <c r="AC263" s="74"/>
      <c r="AD263" s="74"/>
      <c r="AE263" s="240" t="s">
        <v>278</v>
      </c>
      <c r="AF263" s="244" t="s">
        <v>77</v>
      </c>
      <c r="AG263" s="334"/>
    </row>
    <row r="264" spans="2:33" ht="0.75" customHeight="1" thickTop="1" x14ac:dyDescent="0.2"/>
    <row r="265" spans="2:33" ht="18" hidden="1" customHeight="1" x14ac:dyDescent="0.2">
      <c r="B265" s="88" t="s">
        <v>33823</v>
      </c>
      <c r="C265" s="441" t="s">
        <v>37198</v>
      </c>
    </row>
  </sheetData>
  <sheetProtection algorithmName="SHA-512" hashValue="syjmdAcE0ea27fZovEDAwcHVW3ePDywAbkofKUSCYo+ZQ4hCyHwLl+r7hjfLjTJy8VBKUt8dmSEvO7Ppe12rsg==" saltValue="rUxPFlLDuOKEsqHYA6vrJQ==" spinCount="100000" sheet="1" formatCells="0" formatColumns="0" formatRows="0" selectLockedCells="1"/>
  <dataConsolidate/>
  <mergeCells count="36">
    <mergeCell ref="C12:H12"/>
    <mergeCell ref="I12:Y12"/>
    <mergeCell ref="G10:H10"/>
    <mergeCell ref="E7:F7"/>
    <mergeCell ref="E8:F8"/>
    <mergeCell ref="E9:F9"/>
    <mergeCell ref="E10:F10"/>
    <mergeCell ref="B10:D11"/>
    <mergeCell ref="G9:H9"/>
    <mergeCell ref="J9:K9"/>
    <mergeCell ref="L8:M8"/>
    <mergeCell ref="AH13:AM17"/>
    <mergeCell ref="Z12:AF12"/>
    <mergeCell ref="AC9:AE9"/>
    <mergeCell ref="AC5:AJ5"/>
    <mergeCell ref="AC8:AJ8"/>
    <mergeCell ref="AC6:AJ7"/>
    <mergeCell ref="U5:AA5"/>
    <mergeCell ref="U9:V9"/>
    <mergeCell ref="W8:AA8"/>
    <mergeCell ref="W9:AA9"/>
    <mergeCell ref="E5:S5"/>
    <mergeCell ref="E6:K6"/>
    <mergeCell ref="B5:D5"/>
    <mergeCell ref="U8:V8"/>
    <mergeCell ref="G7:H7"/>
    <mergeCell ref="G8:H8"/>
    <mergeCell ref="J7:K7"/>
    <mergeCell ref="J8:K8"/>
    <mergeCell ref="U6:V7"/>
    <mergeCell ref="B6:C6"/>
    <mergeCell ref="B7:C7"/>
    <mergeCell ref="L6:S6"/>
    <mergeCell ref="N7:S7"/>
    <mergeCell ref="N8:S8"/>
    <mergeCell ref="L7:M7"/>
  </mergeCells>
  <conditionalFormatting sqref="G10 U14:U263 F14:F263 H14:H263">
    <cfRule type="containsErrors" dxfId="68" priority="87">
      <formula>ISERROR(F10)</formula>
    </cfRule>
  </conditionalFormatting>
  <conditionalFormatting sqref="K2">
    <cfRule type="expression" dxfId="67" priority="5">
      <formula>IHZ_STATUS="Empty"</formula>
    </cfRule>
    <cfRule type="expression" dxfId="66" priority="20">
      <formula>IHZ_STATUS="VALID"</formula>
    </cfRule>
    <cfRule type="expression" dxfId="65" priority="21">
      <formula>IHZ_STATUS="Invalid"</formula>
    </cfRule>
  </conditionalFormatting>
  <conditionalFormatting sqref="T14:T263 X14:Y263">
    <cfRule type="expression" dxfId="64" priority="557">
      <formula>$J14="IMDG"</formula>
    </cfRule>
  </conditionalFormatting>
  <conditionalFormatting sqref="S14:S263">
    <cfRule type="expression" dxfId="63" priority="561">
      <formula>OR(J14="IMDG",J14="IBC")</formula>
    </cfRule>
  </conditionalFormatting>
  <conditionalFormatting sqref="R14:R263">
    <cfRule type="expression" dxfId="62" priority="562">
      <formula>OR(J14="IMDG",J14="IBC",J14="MARPOL_ANNEX_1")</formula>
    </cfRule>
  </conditionalFormatting>
  <conditionalFormatting sqref="AA14:AA263">
    <cfRule type="expression" dxfId="61" priority="563">
      <formula>$Z14="TEU"</formula>
    </cfRule>
  </conditionalFormatting>
  <conditionalFormatting sqref="B14:B263">
    <cfRule type="expression" dxfId="60" priority="1">
      <formula>$B14="Valid"</formula>
    </cfRule>
    <cfRule type="expression" dxfId="59" priority="15">
      <formula>B14="Invalid"</formula>
    </cfRule>
  </conditionalFormatting>
  <conditionalFormatting sqref="M14:M263">
    <cfRule type="expression" dxfId="58" priority="13">
      <formula>OR(J14="IMDG",J14="IBC",J14="IMSBC",J14="BC")</formula>
    </cfRule>
  </conditionalFormatting>
  <conditionalFormatting sqref="Q14:Q263">
    <cfRule type="expression" dxfId="57" priority="12">
      <formula>J14="IMDG"</formula>
    </cfRule>
  </conditionalFormatting>
  <conditionalFormatting sqref="W8">
    <cfRule type="containsErrors" dxfId="56" priority="10">
      <formula>ISERROR(W8)</formula>
    </cfRule>
  </conditionalFormatting>
  <conditionalFormatting sqref="W9">
    <cfRule type="containsErrors" dxfId="55" priority="9">
      <formula>ISERROR(W9)</formula>
    </cfRule>
  </conditionalFormatting>
  <conditionalFormatting sqref="I7">
    <cfRule type="expression" dxfId="54" priority="8">
      <formula xml:space="preserve"> OR( IHZ_CON_FIRSTNAME&lt;&gt;"", IHZ_CON_LASTNAME&lt;&gt;"", IHZ_CON_LOCODE&lt;&gt;"", IHZ_CON_PHONE&lt;&gt;"", IHZ_CON_FAX&lt;&gt;"", IHZ_CON_EMAIL&lt;&gt;"", )</formula>
    </cfRule>
  </conditionalFormatting>
  <conditionalFormatting sqref="L7:M8">
    <cfRule type="expression" dxfId="53" priority="7">
      <formula>OR( IHZ_DET_URL&lt;&gt;"", IHZ_DET_DOCTYPE&lt;&gt;"", )</formula>
    </cfRule>
  </conditionalFormatting>
  <conditionalFormatting sqref="C13 I13:K13 N13:P13">
    <cfRule type="expression" dxfId="52" priority="6">
      <formula>IHZ_DET_HAZONBOARD="Yes"</formula>
    </cfRule>
  </conditionalFormatting>
  <conditionalFormatting sqref="D14:H263">
    <cfRule type="expression" dxfId="51" priority="4">
      <formula>AND($C13&lt;&gt;$C14)</formula>
    </cfRule>
  </conditionalFormatting>
  <conditionalFormatting sqref="J14:L263 N14:P263 J14:L263 J14:L263 N14:P263">
    <cfRule type="expression" dxfId="50" priority="3">
      <formula>OR($C13&lt;&gt;$C14,$I13&lt;&gt;$I14)</formula>
    </cfRule>
  </conditionalFormatting>
  <conditionalFormatting sqref="AC6">
    <cfRule type="containsErrors" dxfId="49" priority="2">
      <formula>ISERROR(AC6)</formula>
    </cfRule>
  </conditionalFormatting>
  <dataValidations xWindow="720" yWindow="687" count="40">
    <dataValidation allowBlank="1" error="Port name is not recognised" sqref="G10"/>
    <dataValidation type="textLength" allowBlank="1" showInputMessage="1" showErrorMessage="1" error="Max 50 characters" promptTitle="Last name" prompt="The last name of the cargo contact person_x000a__x000a_Max 50 characters" sqref="G8:H8">
      <formula1>0</formula1>
      <formula2>50</formula2>
    </dataValidation>
    <dataValidation type="list" allowBlank="1" showInputMessage="1" showErrorMessage="1" errorTitle="Invalid Input" error="Select from dropdown" promptTitle="Total amount unit" prompt="Unit of measurement for amount_x000a__x000a_Choose from dropdown menu" sqref="AF14:AF263">
      <formula1>Units_description</formula1>
    </dataValidation>
    <dataValidation type="list" allowBlank="1" showInputMessage="1" showErrorMessage="1" errorTitle="Invalid Input" error="Select from dropdown" promptTitle="Marpol code" prompt="The MARPOL code for the DPG item as defined in MARPOL Annex II_x000a__x000a_Choose from dropdown menu" sqref="S14:S263">
      <formula1>MARPOL_codes</formula1>
    </dataValidation>
    <dataValidation type="list" allowBlank="1" showInputMessage="1" showErrorMessage="1" errorTitle="Invalid input" error="Select from dropdown" promptTitle="Package type" prompt="Description of the outer package of the cargo item_x000a__x000a_Choose from dropdown menu" sqref="T14:T263">
      <formula1>Package_type_name</formula1>
    </dataValidation>
    <dataValidation type="textLength" allowBlank="1" showInputMessage="1" showErrorMessage="1" error="Maximum 7 characters." promptTitle="IMO Hazard class" prompt="IMO Hazard class (IMDG-IBC-IGC-IMSBC codes) of DPG item_x000a__x000a_Max 7 characters" sqref="L14:L263">
      <formula1>1</formula1>
      <formula2>7</formula2>
    </dataValidation>
    <dataValidation type="custom" allowBlank="1" showInputMessage="1" showErrorMessage="1" errorTitle="Invalid Input" error="Must be a number between -9999999999 and 9999999999 with a maximum of 3 decimal places" promptTitle="Flash point" prompt="The temperature in degrees Celsius at which a liquid will give_x000a_off enough flammable vapour to be ignited_x000a__x000a_Must be a number between -9999999999 and 9999999999 with a maximum of 3 decimal places" sqref="R14:R263">
      <formula1>IF(OR(ISBLANK(R14),AND(ISNUMBER(R14),LEN(R14)-(IF(ISNUMBER(SEARCH(".",R14)),SEARCH(".",R14),LEN(R14)))&lt;=3,R14&lt;=9999999999,R14&gt;=-9999999999)),TRUE(),FALSE())</formula1>
    </dataValidation>
    <dataValidation type="textLength" operator="lessThanOrEqual" allowBlank="1" showInputMessage="1" showErrorMessage="1" errorTitle="Invalid Input" error="Must be less than 350 characters" promptTitle="Textual Reference" prompt="This is the proper shipping name, completed with the_x000a_technical name where appropriate_x000a__x000a_Maximum 350 characters" sqref="K14:K263">
      <formula1>350</formula1>
    </dataValidation>
    <dataValidation type="custom" allowBlank="1" showInputMessage="1" showErrorMessage="1" errorTitle="Invalid Input" error="Up to 2 EMS numbers separated by comma. Each number cannot be longer than 50 characters." promptTitle="EMS number(s)" prompt="Up to 2 EMS numbers separated by comma_x000a__x000a_Each number cannot be longer than 50 characters" sqref="X14:X263">
      <formula1>OR(ISBLANK(X14),AND(LEN(X14)&lt;=101,LEN(X14)-LEN(SUBSTITUTE(X14,",",""))&lt;2,LEN(LEFT(X14,IF(ISNUMBER(SEARCH(",",X14)),SEARCH(",",X14)-1,LEN(X14))))&lt;=50,(LEN(X14)-1)-LEN(LEFT(X14,IF(ISNUMBER(SEARCH(",",X14)),SEARCH(",",X14)-1,LEN(X14))))&lt;=50))</formula1>
    </dataValidation>
    <dataValidation type="whole" allowBlank="1" showInputMessage="1" showErrorMessage="1" errorTitle="Invalid input" error="Must be a positive whole number between 0 and 999999999" promptTitle="Total packages" prompt="The total number of packages on all cargo units_x000a_covered by this cargo item_x000a__x000a_Must be a positive whole number between 0 and 999999999" sqref="V14:V263">
      <formula1>0</formula1>
      <formula2>999999999</formula2>
    </dataValidation>
    <dataValidation type="textLength" allowBlank="1" showInputMessage="1" showErrorMessage="1" errorTitle="Invalid Input" error="Maximum 255 characters." promptTitle="Additional info" prompt="Any additional information regarding dangerous and_x000a_polluting goods on board_x000a__x000a_Maximum 255 characters" sqref="W14:W263">
      <formula1>1</formula1>
      <formula2>255</formula2>
    </dataValidation>
    <dataValidation type="list" allowBlank="1" showInputMessage="1" showErrorMessage="1" errorTitle="Invalid Input" error="Select from dropdown" promptTitle="Net/Gross" prompt="Whether the reported amount is net or gross_x000a__x000a_Choose from dropdown menu" sqref="AE14:AE263 O14:O263">
      <formula1>"Net, Gross"</formula1>
    </dataValidation>
    <dataValidation type="whole" allowBlank="1" showInputMessage="1" showErrorMessage="1" errorTitle="Invalid Input" error="Must be whole number less than 1,000,000,000" promptTitle="Package count" prompt="This is the number of packages covered by this cargo item in_x000a_a specific location on board or in a cargo unit_x000a__x000a_Must be whole number less than 1000,000,000" sqref="AC14:AC263">
      <formula1>0</formula1>
      <formula2>999999999</formula2>
    </dataValidation>
    <dataValidation type="textLength" allowBlank="1" showInputMessage="1" showErrorMessage="1" errorTitle="Invalid Input" error="Max 17 characters." promptTitle="TEU Id" prompt="Identification number of cargo transport unit (if no tanks). For containers, this shall be the identification code as defined in ISO 6346 (limited to goods under IMDG code)_x000a__x000a_Mandatory for TEUs_x000a__x000a_Max 17 characters" sqref="AA14:AA263">
      <formula1>1</formula1>
      <formula2>17</formula2>
    </dataValidation>
    <dataValidation type="textLength" operator="equal" allowBlank="1" showDropDown="1" showInputMessage="1" showErrorMessage="1" errorTitle="Error" error="Invalid LOCODE, must be 5 characters." promptTitle="Port of discharge LOCODE" prompt="LOCODE of port where Hazmat consignment will be discharged from vessel_x000a__x000a_Use the LOCODE lookup to find the correct code_x000a__x000a_Must be valid LOCODE" sqref="G14:G263">
      <formula1>5</formula1>
    </dataValidation>
    <dataValidation type="whole" allowBlank="1" showInputMessage="1" showErrorMessage="1" errorTitle="Invalid Input" error="Must be a number between 1 and 999" promptTitle="Consignment ID" prompt="Links DPG items and transport units to relevant consignments. If all DPG items are related to the same consignment, use &quot;1&quot; for all rows. If there are more than one consignment, increment this number_x000a__x000a_Must be a number between 1 and 999_x000a__x000a_" sqref="C14:C263">
      <formula1>1</formula1>
      <formula2>999</formula2>
    </dataValidation>
    <dataValidation type="textLength" operator="equal" allowBlank="1" showDropDown="1" showInputMessage="1" showErrorMessage="1" errorTitle="Error" error="Invalid LOCODE, must be 5 characters." promptTitle="Port of loading LOCODE" prompt="LOCODE of port where Hazmat consignment was loaded onto vessel_x000a__x000a_Use the LOCODE lookup to find the correct code_x000a__x000a_Must be valid LOCODE" sqref="E14:E263">
      <formula1>5</formula1>
    </dataValidation>
    <dataValidation type="textLength" allowBlank="1" showInputMessage="1" showErrorMessage="1" errorTitle="Invalid Input" error="Max 25 characters" promptTitle="Location on board" prompt="Stowage position on board_x000a__x000a_Max 25 characters" sqref="AB14:AB263">
      <formula1>0</formula1>
      <formula2>25</formula2>
    </dataValidation>
    <dataValidation type="custom" allowBlank="1" showInputMessage="1" showErrorMessage="1" errorTitle="Invalid" error="Must be a positive number, max 3 decimal places._x000a__x000a_Maximum 9,999,999,999,999" promptTitle="Amount" prompt="Must be a positive number, 9,999,999,999,999 or less, with a maximum of 3 decimal places" sqref="AD14:AD263">
      <formula1>IF(OR(ISBLANK(AD14),AND(ISNUMBER(AD14),LEN(AD14)-(IF(ISNUMBER(SEARCH(".",AD14)),SEARCH(".",AD14),LEN(AD14)))&lt;=3,AD14&lt;=9999999999999)),TRUE(),FALSE())</formula1>
    </dataValidation>
    <dataValidation type="whole" allowBlank="1" showInputMessage="1" showErrorMessage="1" errorTitle="Invalid Input" error="Must be a number between 1 and 999" promptTitle="DPG item reference number" prompt="This field links DPG items to relevant transport units_x000a__x000a_An DPG item can consist of 0 or more transport units (TEU and/or non-TEUs)_x000a__x000a_Must be a number between 1 and 999" sqref="I14:I263">
      <formula1>1</formula1>
      <formula2>999</formula2>
    </dataValidation>
    <dataValidation type="list" allowBlank="1" showInputMessage="1" showErrorMessage="1" error="Select from dropdown" promptTitle="Total amount unit" prompt="Unit of measurement for Total DPG amount_x000a__x000a_Choose from dropdown menu" sqref="P14:P263">
      <formula1>Units_description</formula1>
    </dataValidation>
    <dataValidation type="list" allowBlank="1" showInputMessage="1" showErrorMessage="1" error="Select from dropdown" promptTitle="TEU type" prompt="Select TEU or Non-TEU unit_x000a__x000a_Leave blank for no container_x000a__x000a_Choose from dropdown menu" sqref="Z14:Z263">
      <formula1>"TEU,Non-TEU"</formula1>
    </dataValidation>
    <dataValidation type="textLength" operator="equal" allowBlank="1" showInputMessage="1" showErrorMessage="1" errorTitle="Error" error="Must be 4 characters." promptTitle="UN number" prompt="UN number of DPG item_x000a__x000a_Must be 4 characters" sqref="M14:M263">
      <formula1>4</formula1>
    </dataValidation>
    <dataValidation type="textLength" allowBlank="1" showInputMessage="1" showErrorMessage="1" error="Max 35 characters." promptTitle="Transport document ID" prompt="ID for the consignment transport document, e.g., Bill of Lading, identity code_x000a__x000a_ Max 35 characters_x000a_" sqref="D14:D263">
      <formula1>1</formula1>
      <formula2>35</formula2>
    </dataValidation>
    <dataValidation type="custom" allowBlank="1" showInputMessage="1" showErrorMessage="1" errorTitle="Invalid Input" error="Positive number, max 3 decimal places._x000a__x000a_Maximum 9,999,999,999,999" promptTitle="Total amount" prompt="Total quantity of the DPG item on board_x000a__x000a_Must be a positive number, 9,999,999,999,999 or less, with a maximum of 3 decimal places" sqref="N14:N263">
      <formula1>IF(OR(ISBLANK(N14),AND(ISNUMBER(N14),LEN(N14)-(IF(ISNUMBER(SEARCH(".",N14)),SEARCH(".",N14),LEN(N14)))&lt;=3,N14&lt;=9999999999999)),TRUE(),FALSE())</formula1>
    </dataValidation>
    <dataValidation type="custom" allowBlank="1" showInputMessage="1" showErrorMessage="1" errorTitle="Invalid Input" error="Up to five risks of max 17 characters in length, separated by commas." promptTitle="Subsidiary risk(s)" prompt="Subsidiary risk(s) of the DPG items_x000a__x000a_Up to five risks of max 17 characters in length. Each risk must be separated by a comma" sqref="Y14:Y263">
      <formula1>OR(ISBLANK(Y14),AND(LEN(Y14)&lt;=89,LEN(Y14)-LEN(SUBSTITUTE(Y14,",",""))&lt;5))</formula1>
    </dataValidation>
    <dataValidation type="list" allowBlank="1" showInputMessage="1" showErrorMessage="1" error="Select from dropdown_x000a_" promptTitle="Cargo manifest document type" prompt="The document type of the cargo manifest_x000a__x000a_Must be provided if Manifest URL is provided _x000a__x000a_Choose from dropdown menu" sqref="N8">
      <formula1>REF_DOCTYPES</formula1>
    </dataValidation>
    <dataValidation type="list" allowBlank="1" showInputMessage="1" showErrorMessage="1" error="Select 'Yes' or 'No' from the dropdown" promptTitle="Hazmat on board" prompt="Whether the vessel has any Hazmat on board_x000a__x000a_Choose 'Yes' or 'No' from dropdown menu" sqref="D6">
      <formula1>REF_YES_NO</formula1>
    </dataValidation>
    <dataValidation type="list" allowBlank="1" showInputMessage="1" showErrorMessage="1" error="Select from dropdown" promptTitle="INF ship class" prompt="Code for the license of the vessel according to the INF Code (Code for the Safe Carriage of Irradiated Nuclear Fuel, Plutonium and High-level Radioactive Wastes in Flasks on board Ships)_x000a__x000a_Choose from dropdown menu" sqref="D7">
      <formula1>INF_ship_classes</formula1>
    </dataValidation>
    <dataValidation type="textLength" allowBlank="1" showInputMessage="1" showErrorMessage="1" error="Max 50 characters" promptTitle="First name" prompt="The first name of the cargo contact person_x000a__x000a_Max 50 characters" sqref="G7:H7">
      <formula1>0</formula1>
      <formula2>50</formula2>
    </dataValidation>
    <dataValidation type="custom" operator="equal" allowBlank="1" showDropDown="1" showInputMessage="1" showErrorMessage="1" errorTitle="Error" error="Invalid LOCODE: must be 5 characters of letters and numbers with no spaces" promptTitle="Port LOCODE" prompt="The LOCODE for the port of the cargo contact person_x000a__x000a_Use the LOCODE lookup to find the correct code_x000a__x000a_Must be valid LOCODE" sqref="G9:H9">
      <formula1>IFERROR(AND(SUMPRODUCT(SEARCH(MID(G9,ROW(INDIRECT("1:"&amp;LEN(G9))),1),"abcdefghijklmnopqrstuvwxyz0123456789")),LEN(G9)=5),FALSE)</formula1>
    </dataValidation>
    <dataValidation type="list" allowBlank="1" showInputMessage="1" showErrorMessage="1" errorTitle="Invalid Input" error="Select from dropdown" promptTitle="Packing group" prompt="The packing group code as defined in the IMDG_x000a__x000a_Choose from dropdown menu" sqref="Q14:Q263">
      <formula1>REF_PACKING_GROUP</formula1>
    </dataValidation>
    <dataValidation allowBlank="1" showInputMessage="1" showErrorMessage="1" promptTitle="Port of loading name" prompt="The name of the port at which the consignment was loaded _x000a__x000a_This field is automatically generated from the 'Port of loading LOCODE' field_x000a_" sqref="F14:F263"/>
    <dataValidation allowBlank="1" showInputMessage="1" showErrorMessage="1" promptTitle="Port of discharge name" prompt="The name of the port at which Consignment will be discharged _x000a__x000a_This field is automatically generated from the 'Port of discharge LOCODE' field_x000a_" sqref="H14:H263"/>
    <dataValidation type="list" allowBlank="1" showInputMessage="1" showErrorMessage="1" error="Select from dropdown" promptTitle="Dangerous goods classification" prompt="The dangerous goods classification of the DPG item_x000a__x000a_Choose from dropdown menu" sqref="J14:J263">
      <formula1>REF_DG_CLASSIFICATION</formula1>
    </dataValidation>
    <dataValidation type="custom" allowBlank="1" showInputMessage="1" showErrorMessage="1" error="Max 16 characters. Only numerals (0-9) and (&quot;+&quot;) are allowed" promptTitle="Fax" prompt="The Fax of the cargo contact person _x000a__x000a_Include country code_x000a__x000a_Max 16 characters. Only numerals (0-9) and (&quot;+&quot;) are allowed" sqref="J8:K8">
      <formula1>AND(ISNUMBER(SUMPRODUCT(SEARCH(MID(IHZ_CON_FAX,ROW(INDIRECT("1:"&amp;LEN(IHZ_CON_FAX))),1),"0123456789+"))),LEN(IHZ_CON_FAX)&lt;=16)</formula1>
    </dataValidation>
    <dataValidation type="custom" showInputMessage="1" showErrorMessage="1" error="Must be valid, more than 19 characters, less than 256 characters, start with &quot;https://&quot; and contain a ." promptTitle="Cargo manifest URL" prompt="The URL of the cargo manifest_x000a__x000a_Must be provided if Doc type is provided_x000a__x000a_Must be valid, more than 19 characters, less than 256 characters and start with https://" sqref="N7:S7">
      <formula1>AND(LEFT(INDEX(IHZ_DET_URL,1,1),8)="https://",ISNUMBER(SEARCH(".",INDEX(IHZ_DET_URL,1,1))),LEN(INDEX(IHZ_DET_URL,1,1))&lt;256,LEN(INDEX(IHZ_DET_URL,1,1))&gt;19)</formula1>
    </dataValidation>
    <dataValidation type="custom" allowBlank="1" showInputMessage="1" showErrorMessage="1" error="Max 16 characters. Only numerals (0-9) and (&quot;+&quot;) are allowed" promptTitle="Phone" prompt="The Phone number of the cargo contact person_x000a__x000a_Include country code_x000a__x000a_Max 16 characters. Only numerals (0-9) and (&quot;+&quot;) are allowed" sqref="J7:K7">
      <formula1>AND(ISNUMBER(SUMPRODUCT(SEARCH(MID(INDEX(IHZ_CON_PHONE,1,1),ROW(INDIRECT("1:"&amp;LEN(INDEX(IHZ_CON_PHONE,1,1)))),1),"0123456789+"))),LEN(INDEX(IHZ_CON_PHONE,1,1))&lt;=16)</formula1>
    </dataValidation>
    <dataValidation type="custom" showInputMessage="1" showErrorMessage="1" error="Must contain an &quot;@&quot;, can not contain spaces or commas and must be less than 50 characters" promptTitle="Email" prompt="The email of the cargo contact person_x000a__x000a_Must contain an &quot;@&quot;, can not contain spaces or commas and must be less than 50 characters" sqref="J9:K9">
      <formula1>IF(OR(ISBLANK(INDEX(IHZ_CON_EMAIL,1,1)),AND(NOT(ISERROR(SEARCH("@",INDEX(IHZ_CON_EMAIL,1,1)))),ISERROR(SEARCH(" ",INDEX(IHZ_CON_EMAIL,1,1))),ISERROR(SEARCH(",",INDEX(IHZ_CON_EMAIL,1,1))),LEN(INDEX(IHZ_CON_EMAIL,1,1))&lt;=50)),TRUE(),FALSE())</formula1>
    </dataValidation>
    <dataValidation type="list" allowBlank="1" showInputMessage="1" showErrorMessage="1" errorTitle="Invalid package code" error="Select a package type code from the dropdown, or select a package type to populate this field automatically." promptTitle="Package Type Code" prompt="Select a package type code from the dropdown, or select a package type to populate this field automatically." sqref="U14:U263">
      <formula1>Package_type_code</formula1>
    </dataValidation>
  </dataValidations>
  <pageMargins left="0.23622047244094491" right="0.23622047244094491" top="0.39370078740157483" bottom="0.39370078740157483" header="0.31496062992125984" footer="0.31496062992125984"/>
  <pageSetup paperSize="9" scale="44" fitToHeight="0" orientation="landscape" r:id="rId1"/>
  <drawing r:id="rId2"/>
  <legacyDrawing r:id="rId3"/>
  <controls>
    <mc:AlternateContent xmlns:mc="http://schemas.openxmlformats.org/markup-compatibility/2006">
      <mc:Choice Requires="x14">
        <control shapeId="24577" r:id="rId4" name="ComboBox1">
          <controlPr defaultSize="0" autoLine="0" linkedCell="IHZ_LOCODE_LOOKUP" listFillRange="REF_LOCODE_PORTNAME_COUNTRY" r:id="rId5">
            <anchor moveWithCells="1" sizeWithCells="1">
              <from>
                <xdr:col>22</xdr:col>
                <xdr:colOff>28575</xdr:colOff>
                <xdr:row>5</xdr:row>
                <xdr:rowOff>0</xdr:rowOff>
              </from>
              <to>
                <xdr:col>26</xdr:col>
                <xdr:colOff>581025</xdr:colOff>
                <xdr:row>6</xdr:row>
                <xdr:rowOff>114300</xdr:rowOff>
              </to>
            </anchor>
          </controlPr>
        </control>
      </mc:Choice>
      <mc:Fallback>
        <control shapeId="24577" r:id="rId4" name="ComboBox1"/>
      </mc:Fallback>
    </mc:AlternateContent>
  </control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B0F0"/>
  </sheetPr>
  <dimension ref="A1:AG26"/>
  <sheetViews>
    <sheetView workbookViewId="0">
      <selection activeCell="C6" sqref="C6"/>
    </sheetView>
  </sheetViews>
  <sheetFormatPr defaultRowHeight="12.75" x14ac:dyDescent="0.2"/>
  <cols>
    <col min="2" max="2" width="24.5703125" customWidth="1"/>
    <col min="3" max="3" width="28" customWidth="1"/>
    <col min="4" max="4" width="12.42578125" customWidth="1"/>
    <col min="5" max="5" width="7.5703125" customWidth="1"/>
  </cols>
  <sheetData>
    <row r="1" spans="1:33" s="34" customFormat="1" ht="4.5" customHeight="1" x14ac:dyDescent="0.2"/>
    <row r="2" spans="1:33" s="78" customFormat="1" ht="20.25" x14ac:dyDescent="0.2">
      <c r="A2" s="75"/>
      <c r="B2" s="75" t="s">
        <v>35154</v>
      </c>
      <c r="C2" s="75"/>
      <c r="D2" s="75"/>
      <c r="E2" s="75"/>
      <c r="F2" s="75"/>
      <c r="G2" s="275" t="s">
        <v>33411</v>
      </c>
      <c r="H2" s="503" t="str">
        <f>OBK_STATUS</f>
        <v>Empty</v>
      </c>
      <c r="I2" s="277" t="str">
        <f>IFERROR(OBK_VALID_RES,"")</f>
        <v/>
      </c>
      <c r="M2" s="277"/>
      <c r="N2" s="277"/>
      <c r="O2" s="277"/>
      <c r="P2" s="277"/>
      <c r="Q2" s="277"/>
      <c r="R2" s="277"/>
      <c r="S2" s="277"/>
      <c r="T2" s="277"/>
      <c r="U2" s="277"/>
      <c r="V2" s="277"/>
      <c r="W2" s="277"/>
      <c r="X2" s="277"/>
      <c r="Y2" s="277"/>
      <c r="Z2" s="277"/>
      <c r="AA2" s="277"/>
      <c r="AB2" s="277"/>
      <c r="AC2" s="277"/>
      <c r="AD2" s="277"/>
      <c r="AE2" s="277"/>
      <c r="AF2" s="277"/>
      <c r="AG2" s="277"/>
    </row>
    <row r="3" spans="1:33" s="78" customFormat="1" ht="4.5" customHeight="1" x14ac:dyDescent="0.2">
      <c r="N3" s="273"/>
      <c r="O3" s="273"/>
      <c r="P3" s="273"/>
      <c r="Q3" s="273"/>
      <c r="R3" s="273"/>
      <c r="S3" s="273"/>
      <c r="T3" s="273"/>
      <c r="U3" s="273"/>
    </row>
    <row r="4" spans="1:33" s="572" customFormat="1" ht="12.75" customHeight="1" thickBot="1" x14ac:dyDescent="0.25">
      <c r="N4" s="441"/>
      <c r="O4" s="441"/>
      <c r="P4" s="441"/>
      <c r="Q4" s="441"/>
      <c r="R4" s="441"/>
      <c r="S4" s="441"/>
      <c r="T4" s="441"/>
      <c r="U4" s="441"/>
    </row>
    <row r="5" spans="1:33" s="572" customFormat="1" ht="21.75" customHeight="1" thickTop="1" x14ac:dyDescent="0.2">
      <c r="B5" s="859" t="s">
        <v>35171</v>
      </c>
      <c r="C5" s="860"/>
      <c r="E5" s="861" t="s">
        <v>35229</v>
      </c>
      <c r="F5" s="861"/>
      <c r="G5" s="861"/>
      <c r="H5" s="861"/>
      <c r="I5" s="861"/>
      <c r="J5" s="861"/>
      <c r="K5" s="861"/>
      <c r="N5" s="441"/>
      <c r="O5" s="441"/>
      <c r="P5" s="441"/>
      <c r="Q5" s="441"/>
      <c r="R5" s="441"/>
      <c r="S5" s="441"/>
      <c r="T5" s="441"/>
      <c r="U5" s="441"/>
    </row>
    <row r="6" spans="1:33" s="572" customFormat="1" ht="12.75" customHeight="1" thickBot="1" x14ac:dyDescent="0.25">
      <c r="B6" s="568" t="s">
        <v>35172</v>
      </c>
      <c r="C6" s="569"/>
      <c r="E6" s="861"/>
      <c r="F6" s="861"/>
      <c r="G6" s="861"/>
      <c r="H6" s="861"/>
      <c r="I6" s="861"/>
      <c r="J6" s="861"/>
      <c r="K6" s="861"/>
      <c r="N6" s="441"/>
      <c r="O6" s="441"/>
      <c r="P6" s="441"/>
      <c r="Q6" s="441"/>
      <c r="R6" s="441"/>
      <c r="S6" s="441"/>
      <c r="T6" s="441"/>
      <c r="U6" s="441"/>
    </row>
    <row r="7" spans="1:33" s="572" customFormat="1" ht="6" customHeight="1" thickTop="1" thickBot="1" x14ac:dyDescent="0.25">
      <c r="N7" s="441"/>
      <c r="O7" s="441"/>
      <c r="P7" s="441"/>
      <c r="Q7" s="441"/>
      <c r="R7" s="441"/>
      <c r="S7" s="441"/>
      <c r="T7" s="441"/>
      <c r="U7" s="441"/>
    </row>
    <row r="8" spans="1:33" ht="18.75" customHeight="1" thickTop="1" x14ac:dyDescent="0.2">
      <c r="A8" s="35"/>
      <c r="B8" s="617" t="s">
        <v>35151</v>
      </c>
      <c r="C8" s="618"/>
      <c r="D8" s="618"/>
      <c r="E8" s="619"/>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row>
    <row r="9" spans="1:33" x14ac:dyDescent="0.2">
      <c r="A9" s="35"/>
      <c r="B9" s="522" t="s">
        <v>33790</v>
      </c>
      <c r="C9" s="523" t="s">
        <v>578</v>
      </c>
      <c r="D9" s="523" t="s">
        <v>35150</v>
      </c>
      <c r="E9" s="524" t="s">
        <v>33421</v>
      </c>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row>
    <row r="10" spans="1:33" ht="14.25" customHeight="1" x14ac:dyDescent="0.2">
      <c r="A10" s="35"/>
      <c r="B10" s="574"/>
      <c r="C10" s="575"/>
      <c r="D10" s="575"/>
      <c r="E10" s="576"/>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row>
    <row r="11" spans="1:33" ht="14.25" customHeight="1" x14ac:dyDescent="0.2">
      <c r="A11" s="35"/>
      <c r="B11" s="577"/>
      <c r="C11" s="578"/>
      <c r="D11" s="578"/>
      <c r="E11" s="579"/>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row>
    <row r="12" spans="1:33" x14ac:dyDescent="0.2">
      <c r="A12" s="35"/>
      <c r="B12" s="577"/>
      <c r="C12" s="578"/>
      <c r="D12" s="578"/>
      <c r="E12" s="579"/>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row>
    <row r="13" spans="1:33" x14ac:dyDescent="0.2">
      <c r="A13" s="35"/>
      <c r="B13" s="577"/>
      <c r="C13" s="578"/>
      <c r="D13" s="578"/>
      <c r="E13" s="579"/>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row>
    <row r="14" spans="1:33" x14ac:dyDescent="0.2">
      <c r="A14" s="35"/>
      <c r="B14" s="577"/>
      <c r="C14" s="578"/>
      <c r="D14" s="578"/>
      <c r="E14" s="579"/>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row>
    <row r="15" spans="1:33" x14ac:dyDescent="0.2">
      <c r="A15" s="35"/>
      <c r="B15" s="577"/>
      <c r="C15" s="578"/>
      <c r="D15" s="578"/>
      <c r="E15" s="579"/>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row>
    <row r="16" spans="1:33" x14ac:dyDescent="0.2">
      <c r="A16" s="35"/>
      <c r="B16" s="577"/>
      <c r="C16" s="578"/>
      <c r="D16" s="578"/>
      <c r="E16" s="579"/>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row>
    <row r="17" spans="2:5" x14ac:dyDescent="0.2">
      <c r="B17" s="577"/>
      <c r="C17" s="578"/>
      <c r="D17" s="578"/>
      <c r="E17" s="579"/>
    </row>
    <row r="18" spans="2:5" x14ac:dyDescent="0.2">
      <c r="B18" s="577"/>
      <c r="C18" s="578"/>
      <c r="D18" s="578"/>
      <c r="E18" s="579"/>
    </row>
    <row r="19" spans="2:5" x14ac:dyDescent="0.2">
      <c r="B19" s="577"/>
      <c r="C19" s="578"/>
      <c r="D19" s="578"/>
      <c r="E19" s="579"/>
    </row>
    <row r="20" spans="2:5" x14ac:dyDescent="0.2">
      <c r="B20" s="577"/>
      <c r="C20" s="578"/>
      <c r="D20" s="578"/>
      <c r="E20" s="579"/>
    </row>
    <row r="21" spans="2:5" x14ac:dyDescent="0.2">
      <c r="B21" s="577"/>
      <c r="C21" s="578"/>
      <c r="D21" s="578"/>
      <c r="E21" s="579"/>
    </row>
    <row r="22" spans="2:5" x14ac:dyDescent="0.2">
      <c r="B22" s="577"/>
      <c r="C22" s="578"/>
      <c r="D22" s="578"/>
      <c r="E22" s="579"/>
    </row>
    <row r="23" spans="2:5" x14ac:dyDescent="0.2">
      <c r="B23" s="577"/>
      <c r="C23" s="578"/>
      <c r="D23" s="578"/>
      <c r="E23" s="579"/>
    </row>
    <row r="24" spans="2:5" ht="11.25" customHeight="1" thickBot="1" x14ac:dyDescent="0.25">
      <c r="B24" s="580"/>
      <c r="C24" s="581"/>
      <c r="D24" s="581"/>
      <c r="E24" s="582"/>
    </row>
    <row r="25" spans="2:5" ht="8.25" hidden="1" customHeight="1" thickTop="1" x14ac:dyDescent="0.2"/>
    <row r="26" spans="2:5" ht="1.5" customHeight="1" thickTop="1" x14ac:dyDescent="0.2">
      <c r="B26" t="s">
        <v>33823</v>
      </c>
      <c r="C26" s="35" t="s">
        <v>37201</v>
      </c>
    </row>
  </sheetData>
  <sheetProtection algorithmName="SHA-512" hashValue="TBocxIg6ZlueosJcHKTe8eF6b5h+S/SAB20LgtocOnUQ+HW0i8Qwrjz37p1/DAY502zWIMmqKFQkVmI8v8C3UA==" saltValue="epE0Ntt3R83eMAS+l7MPrQ==" spinCount="100000" sheet="1" formatCells="0" formatColumns="0" formatRows="0" selectLockedCells="1"/>
  <mergeCells count="3">
    <mergeCell ref="B5:C5"/>
    <mergeCell ref="B8:E8"/>
    <mergeCell ref="E5:K6"/>
  </mergeCells>
  <conditionalFormatting sqref="H2">
    <cfRule type="expression" dxfId="48" priority="3">
      <formula>OBK_STATUS="Empty"</formula>
    </cfRule>
    <cfRule type="expression" dxfId="47" priority="4">
      <formula>OBK_STATUS="VALID"</formula>
    </cfRule>
    <cfRule type="expression" dxfId="46" priority="5">
      <formula>OBK_STATUS="Invalid"</formula>
    </cfRule>
  </conditionalFormatting>
  <conditionalFormatting sqref="B9">
    <cfRule type="expression" dxfId="45" priority="1">
      <formula>IHZ_DET_HAZONBOARD="Yes"</formula>
    </cfRule>
  </conditionalFormatting>
  <dataValidations count="5">
    <dataValidation type="list" allowBlank="1" showInputMessage="1" showErrorMessage="1" sqref="C6">
      <formula1>REF_YES_NO</formula1>
    </dataValidation>
    <dataValidation type="custom" allowBlank="1" showInputMessage="1" showErrorMessage="1" error="Must be a positive number, less than 9,999,999 and have max of 3 decimal places." prompt="Must be a positive number, less than 9,999,999 and have max of 3 decimal places." sqref="D10:D24">
      <formula1>OR(ISBLANK(D10),AND(ISNUMBER(D10),LEN(D10)-(IF(ISNUMBER(SEARCH(".",D10)),SEARCH(".",D10),LEN(D10)))&lt;=3,D10&lt;=9999999,D10&gt;=0))</formula1>
    </dataValidation>
    <dataValidation type="textLength" operator="lessThanOrEqual" allowBlank="1" showInputMessage="1" showErrorMessage="1" promptTitle="Bunker oil Description" prompt="Max 25 characters " sqref="C10:C24">
      <formula1>25</formula1>
    </dataValidation>
    <dataValidation type="list" allowBlank="1" showInputMessage="1" showErrorMessage="1" error="Select from dropdown" promptTitle="Type of bunker fuel" prompt="Type of bunker fuel_x000a_Select from dropdown" sqref="B10:B24">
      <formula1>REF_BUNKERTYPE</formula1>
    </dataValidation>
    <dataValidation type="list" allowBlank="1" showInputMessage="1" showErrorMessage="1" error="Select from dropdown_x000a_" prompt="M3 or TNE, select from dropdown" sqref="E10:E24">
      <formula1>REF_BUNKERUNIT</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00B0F0"/>
    <pageSetUpPr fitToPage="1"/>
  </sheetPr>
  <dimension ref="A1:AM278"/>
  <sheetViews>
    <sheetView zoomScale="80" zoomScaleNormal="80" workbookViewId="0">
      <pane ySplit="3" topLeftCell="A4" activePane="bottomLeft" state="frozen"/>
      <selection pane="bottomLeft" activeCell="D6" sqref="D6"/>
    </sheetView>
  </sheetViews>
  <sheetFormatPr defaultColWidth="9.140625" defaultRowHeight="12.75" x14ac:dyDescent="0.2"/>
  <cols>
    <col min="1" max="1" width="2.42578125" style="36" customWidth="1"/>
    <col min="2" max="2" width="9.140625" style="171" customWidth="1"/>
    <col min="3" max="3" width="14.28515625" style="171" customWidth="1"/>
    <col min="4" max="4" width="11.140625" style="171" customWidth="1"/>
    <col min="5" max="5" width="9.28515625" style="171" customWidth="1"/>
    <col min="6" max="6" width="9.7109375" style="171" customWidth="1"/>
    <col min="7" max="7" width="11.7109375" style="171" customWidth="1"/>
    <col min="8" max="8" width="10.85546875" style="171" customWidth="1"/>
    <col min="9" max="9" width="11" style="171" customWidth="1"/>
    <col min="10" max="10" width="13.7109375" style="171" customWidth="1"/>
    <col min="11" max="11" width="16.42578125" style="171" customWidth="1"/>
    <col min="12" max="12" width="8" style="171" customWidth="1"/>
    <col min="13" max="13" width="9" style="171" customWidth="1"/>
    <col min="14" max="14" width="9" style="261" customWidth="1"/>
    <col min="15" max="15" width="7.5703125" style="261" customWidth="1"/>
    <col min="16" max="16" width="5.5703125" style="261" customWidth="1"/>
    <col min="17" max="17" width="8.85546875" style="261" customWidth="1"/>
    <col min="18" max="18" width="6.5703125" style="261" customWidth="1"/>
    <col min="19" max="19" width="7.85546875" style="261" customWidth="1"/>
    <col min="20" max="20" width="16.42578125" style="261" customWidth="1"/>
    <col min="21" max="21" width="10.42578125" style="261" customWidth="1"/>
    <col min="22" max="22" width="11.28515625" style="261" customWidth="1"/>
    <col min="23" max="23" width="11.42578125" style="261" customWidth="1"/>
    <col min="24" max="24" width="9.140625" style="261" customWidth="1"/>
    <col min="25" max="25" width="11.28515625" style="7" customWidth="1"/>
    <col min="26" max="26" width="9.28515625" style="7" customWidth="1"/>
    <col min="27" max="27" width="8.85546875" style="7" customWidth="1"/>
    <col min="28" max="28" width="10.42578125" style="7" customWidth="1"/>
    <col min="29" max="30" width="10.5703125" style="7" customWidth="1"/>
    <col min="31" max="31" width="7.140625" style="7" customWidth="1"/>
    <col min="32" max="32" width="6.28515625" style="7" customWidth="1"/>
    <col min="33" max="33" width="4" style="7" customWidth="1"/>
    <col min="34" max="16384" width="9.140625" style="36"/>
  </cols>
  <sheetData>
    <row r="1" spans="1:39" s="34" customFormat="1" ht="4.5" customHeight="1" x14ac:dyDescent="0.2"/>
    <row r="2" spans="1:39" s="78" customFormat="1" ht="20.25" x14ac:dyDescent="0.2">
      <c r="A2" s="75"/>
      <c r="B2" s="75" t="s">
        <v>33330</v>
      </c>
      <c r="C2" s="75"/>
      <c r="D2" s="75"/>
      <c r="E2" s="75"/>
      <c r="F2" s="75"/>
      <c r="G2" s="75"/>
      <c r="J2" s="275" t="s">
        <v>33411</v>
      </c>
      <c r="K2" s="503" t="str">
        <f>OHZ_STATUS</f>
        <v>Empty</v>
      </c>
      <c r="L2" s="277" t="str">
        <f>IFERROR(OHZ_VALID_RES,"")</f>
        <v>‘Hazmat on board‘ is required</v>
      </c>
      <c r="M2" s="277"/>
      <c r="N2" s="277"/>
      <c r="O2" s="277"/>
      <c r="P2" s="277"/>
      <c r="Q2" s="277"/>
      <c r="R2" s="277"/>
      <c r="S2" s="277"/>
      <c r="T2" s="277"/>
      <c r="U2" s="277"/>
      <c r="V2" s="277"/>
      <c r="W2" s="277"/>
      <c r="X2" s="277"/>
      <c r="Y2" s="277"/>
      <c r="Z2" s="277"/>
      <c r="AA2" s="277"/>
      <c r="AB2" s="277"/>
      <c r="AC2" s="277"/>
      <c r="AD2" s="277"/>
      <c r="AE2" s="277"/>
      <c r="AF2" s="277"/>
      <c r="AG2" s="277"/>
    </row>
    <row r="3" spans="1:39" s="78" customFormat="1" ht="4.5" customHeight="1" x14ac:dyDescent="0.2"/>
    <row r="4" spans="1:39" s="262" customFormat="1" ht="12.75" customHeight="1" thickBot="1" x14ac:dyDescent="0.25"/>
    <row r="5" spans="1:39" ht="21" customHeight="1" thickTop="1" x14ac:dyDescent="0.2">
      <c r="B5" s="635" t="s">
        <v>33797</v>
      </c>
      <c r="C5" s="636"/>
      <c r="D5" s="637"/>
      <c r="E5" s="617" t="s">
        <v>33510</v>
      </c>
      <c r="F5" s="618"/>
      <c r="G5" s="618"/>
      <c r="H5" s="618"/>
      <c r="I5" s="618"/>
      <c r="J5" s="618"/>
      <c r="K5" s="618"/>
      <c r="L5" s="618"/>
      <c r="M5" s="618"/>
      <c r="N5" s="618"/>
      <c r="O5" s="618"/>
      <c r="P5" s="618"/>
      <c r="Q5" s="618"/>
      <c r="R5" s="618"/>
      <c r="S5" s="619"/>
      <c r="U5" s="726" t="s">
        <v>32884</v>
      </c>
      <c r="V5" s="727"/>
      <c r="W5" s="727"/>
      <c r="X5" s="727"/>
      <c r="Y5" s="727"/>
      <c r="Z5" s="727"/>
      <c r="AA5" s="728"/>
      <c r="AC5" s="643" t="s">
        <v>35104</v>
      </c>
      <c r="AD5" s="644"/>
      <c r="AE5" s="644"/>
      <c r="AF5" s="644"/>
      <c r="AG5" s="644"/>
      <c r="AH5" s="644"/>
      <c r="AI5" s="644"/>
      <c r="AJ5" s="645"/>
    </row>
    <row r="6" spans="1:39" ht="12.75" customHeight="1" x14ac:dyDescent="0.2">
      <c r="B6" s="318" t="s">
        <v>33798</v>
      </c>
      <c r="C6" s="319"/>
      <c r="D6" s="169"/>
      <c r="E6" s="904" t="s">
        <v>33413</v>
      </c>
      <c r="F6" s="902"/>
      <c r="G6" s="902"/>
      <c r="H6" s="902"/>
      <c r="I6" s="902"/>
      <c r="J6" s="902"/>
      <c r="K6" s="905"/>
      <c r="L6" s="901" t="s">
        <v>33414</v>
      </c>
      <c r="M6" s="902"/>
      <c r="N6" s="902"/>
      <c r="O6" s="902"/>
      <c r="P6" s="902"/>
      <c r="Q6" s="902"/>
      <c r="R6" s="902"/>
      <c r="S6" s="903"/>
      <c r="U6" s="745" t="s">
        <v>32885</v>
      </c>
      <c r="V6" s="916"/>
      <c r="W6" s="170"/>
      <c r="X6" s="247"/>
      <c r="Y6" s="247"/>
      <c r="Z6" s="259"/>
      <c r="AA6" s="259"/>
      <c r="AC6" s="646" t="str">
        <f>IF(SUM_SRC_EMAIL&lt;&gt;"",SUM_SRC_EMAIL,"Please set voyage contact email on the summary tab")</f>
        <v>Please set voyage contact email on the summary tab</v>
      </c>
      <c r="AD6" s="647"/>
      <c r="AE6" s="647"/>
      <c r="AF6" s="647"/>
      <c r="AG6" s="647"/>
      <c r="AH6" s="647"/>
      <c r="AI6" s="647"/>
      <c r="AJ6" s="648"/>
    </row>
    <row r="7" spans="1:39" ht="12.75" customHeight="1" thickBot="1" x14ac:dyDescent="0.25">
      <c r="B7" s="256" t="s">
        <v>71</v>
      </c>
      <c r="C7" s="257"/>
      <c r="D7" s="392"/>
      <c r="E7" s="212" t="s">
        <v>63</v>
      </c>
      <c r="F7" s="213"/>
      <c r="G7" s="908"/>
      <c r="H7" s="909"/>
      <c r="I7" s="236" t="s">
        <v>60</v>
      </c>
      <c r="J7" s="918"/>
      <c r="K7" s="919"/>
      <c r="L7" s="906" t="s">
        <v>33418</v>
      </c>
      <c r="M7" s="907"/>
      <c r="N7" s="923"/>
      <c r="O7" s="924"/>
      <c r="P7" s="924"/>
      <c r="Q7" s="924"/>
      <c r="R7" s="924"/>
      <c r="S7" s="925"/>
      <c r="U7" s="745"/>
      <c r="V7" s="916"/>
      <c r="W7" s="170"/>
      <c r="X7" s="247"/>
      <c r="Y7" s="247"/>
      <c r="Z7" s="247"/>
      <c r="AA7" s="259"/>
      <c r="AC7" s="649"/>
      <c r="AD7" s="650"/>
      <c r="AE7" s="650"/>
      <c r="AF7" s="650"/>
      <c r="AG7" s="650"/>
      <c r="AH7" s="650"/>
      <c r="AI7" s="650"/>
      <c r="AJ7" s="651"/>
    </row>
    <row r="8" spans="1:39" ht="12.75" customHeight="1" thickTop="1" thickBot="1" x14ac:dyDescent="0.25">
      <c r="E8" s="212" t="s">
        <v>64</v>
      </c>
      <c r="F8" s="213"/>
      <c r="G8" s="910"/>
      <c r="H8" s="911"/>
      <c r="I8" s="236" t="s">
        <v>61</v>
      </c>
      <c r="J8" s="920"/>
      <c r="K8" s="921"/>
      <c r="L8" s="898" t="s">
        <v>33419</v>
      </c>
      <c r="M8" s="899"/>
      <c r="N8" s="926"/>
      <c r="O8" s="927"/>
      <c r="P8" s="927"/>
      <c r="Q8" s="927"/>
      <c r="R8" s="927"/>
      <c r="S8" s="928"/>
      <c r="U8" s="732" t="s">
        <v>33062</v>
      </c>
      <c r="V8" s="917"/>
      <c r="W8" s="739" t="e">
        <f>VLOOKUP(LEFT(OHZ_LOCODE_LOOKUP,2),REF_COUNTRIES_CODES[], 2,FALSE)</f>
        <v>#N/A</v>
      </c>
      <c r="X8" s="740"/>
      <c r="Y8" s="740"/>
      <c r="Z8" s="740"/>
      <c r="AA8" s="741"/>
      <c r="AC8" s="653" t="s">
        <v>35105</v>
      </c>
      <c r="AD8" s="653"/>
      <c r="AE8" s="653"/>
      <c r="AF8" s="653"/>
      <c r="AG8" s="653"/>
      <c r="AH8" s="653"/>
      <c r="AI8" s="653"/>
      <c r="AJ8" s="653"/>
    </row>
    <row r="9" spans="1:39" ht="12.75" customHeight="1" thickTop="1" thickBot="1" x14ac:dyDescent="0.25">
      <c r="E9" s="212" t="s">
        <v>33063</v>
      </c>
      <c r="F9" s="213"/>
      <c r="G9" s="912"/>
      <c r="H9" s="913"/>
      <c r="I9" s="237" t="s">
        <v>11</v>
      </c>
      <c r="J9" s="922"/>
      <c r="K9" s="895"/>
      <c r="L9" s="35"/>
      <c r="M9" s="35"/>
      <c r="N9" s="31"/>
      <c r="O9" s="31"/>
      <c r="P9" s="31"/>
      <c r="Q9" s="31"/>
      <c r="R9" s="31"/>
      <c r="S9" s="499"/>
      <c r="U9" s="734" t="s">
        <v>32886</v>
      </c>
      <c r="V9" s="900"/>
      <c r="W9" s="742" t="e">
        <v>#N/A</v>
      </c>
      <c r="X9" s="743"/>
      <c r="Y9" s="743"/>
      <c r="Z9" s="743"/>
      <c r="AA9" s="744"/>
    </row>
    <row r="10" spans="1:39" ht="12.75" customHeight="1" thickTop="1" thickBot="1" x14ac:dyDescent="0.25">
      <c r="B10" s="890" t="s">
        <v>34870</v>
      </c>
      <c r="C10" s="890"/>
      <c r="D10" s="890"/>
      <c r="E10" s="214" t="s">
        <v>33065</v>
      </c>
      <c r="F10" s="215"/>
      <c r="G10" s="914" t="str">
        <f>IF(ISERROR(VLOOKUP(OHZ_CON_LOCODE,REF_LOCODE_PORTNAME_COUNTRY, 2,FALSE)),"-",VLOOKUP(OHZ_CON_LOCODE,REF_LOCODE_PORTNAME_COUNTRY, 2,FALSE))</f>
        <v>-</v>
      </c>
      <c r="H10" s="915"/>
      <c r="I10" s="31"/>
      <c r="J10" s="31"/>
      <c r="K10" s="31"/>
      <c r="L10" s="31"/>
      <c r="M10" s="31"/>
      <c r="N10" s="31"/>
      <c r="O10" s="31"/>
      <c r="P10" s="31"/>
      <c r="Q10" s="31"/>
      <c r="R10" s="31"/>
      <c r="S10" s="31"/>
      <c r="U10" s="219" t="s">
        <v>33073</v>
      </c>
      <c r="V10" s="8"/>
      <c r="W10" s="8"/>
      <c r="X10" s="8"/>
      <c r="Y10" s="260"/>
      <c r="Z10" s="260"/>
      <c r="AA10" s="260"/>
      <c r="AD10" s="217"/>
      <c r="AE10" s="217"/>
      <c r="AF10" s="217"/>
      <c r="AG10" s="217"/>
    </row>
    <row r="11" spans="1:39" ht="6.75" customHeight="1" thickTop="1" thickBot="1" x14ac:dyDescent="0.25">
      <c r="B11" s="891"/>
      <c r="C11" s="891"/>
      <c r="D11" s="891"/>
      <c r="E11" s="261"/>
      <c r="F11" s="261"/>
      <c r="G11" s="261"/>
      <c r="H11" s="261"/>
      <c r="I11" s="261"/>
      <c r="J11" s="261"/>
      <c r="K11" s="261"/>
      <c r="L11" s="261"/>
      <c r="M11" s="261"/>
      <c r="X11" s="217"/>
      <c r="Y11" s="217"/>
      <c r="Z11" s="217"/>
    </row>
    <row r="12" spans="1:39" ht="21" customHeight="1" thickTop="1" x14ac:dyDescent="0.2">
      <c r="B12" s="220"/>
      <c r="C12" s="617" t="s">
        <v>33322</v>
      </c>
      <c r="D12" s="618"/>
      <c r="E12" s="618"/>
      <c r="F12" s="618"/>
      <c r="G12" s="618"/>
      <c r="H12" s="619"/>
      <c r="I12" s="617" t="s">
        <v>33328</v>
      </c>
      <c r="J12" s="618"/>
      <c r="K12" s="618"/>
      <c r="L12" s="618"/>
      <c r="M12" s="618"/>
      <c r="N12" s="618"/>
      <c r="O12" s="618"/>
      <c r="P12" s="618"/>
      <c r="Q12" s="618"/>
      <c r="R12" s="618"/>
      <c r="S12" s="618"/>
      <c r="T12" s="618"/>
      <c r="U12" s="618"/>
      <c r="V12" s="618"/>
      <c r="W12" s="618"/>
      <c r="X12" s="618"/>
      <c r="Y12" s="619"/>
      <c r="Z12" s="617" t="s">
        <v>33329</v>
      </c>
      <c r="AA12" s="618"/>
      <c r="AB12" s="618"/>
      <c r="AC12" s="618"/>
      <c r="AD12" s="618"/>
      <c r="AE12" s="618"/>
      <c r="AF12" s="619"/>
    </row>
    <row r="13" spans="1:39" s="211" customFormat="1" ht="45" customHeight="1" x14ac:dyDescent="0.2">
      <c r="B13" s="194" t="s">
        <v>33415</v>
      </c>
      <c r="C13" s="190" t="s">
        <v>33774</v>
      </c>
      <c r="D13" s="258" t="s">
        <v>621</v>
      </c>
      <c r="E13" s="191" t="s">
        <v>33067</v>
      </c>
      <c r="F13" s="191" t="s">
        <v>33324</v>
      </c>
      <c r="G13" s="191" t="s">
        <v>33066</v>
      </c>
      <c r="H13" s="205" t="s">
        <v>33323</v>
      </c>
      <c r="I13" s="204" t="s">
        <v>33775</v>
      </c>
      <c r="J13" s="205" t="s">
        <v>33776</v>
      </c>
      <c r="K13" s="191" t="s">
        <v>33777</v>
      </c>
      <c r="L13" s="205" t="s">
        <v>110</v>
      </c>
      <c r="M13" s="191" t="s">
        <v>620</v>
      </c>
      <c r="N13" s="205" t="s">
        <v>33785</v>
      </c>
      <c r="O13" s="191" t="s">
        <v>33326</v>
      </c>
      <c r="P13" s="205" t="s">
        <v>33421</v>
      </c>
      <c r="Q13" s="205" t="s">
        <v>1</v>
      </c>
      <c r="R13" s="191" t="s">
        <v>66</v>
      </c>
      <c r="S13" s="191" t="s">
        <v>67</v>
      </c>
      <c r="T13" s="191" t="s">
        <v>0</v>
      </c>
      <c r="U13" s="191" t="s">
        <v>389</v>
      </c>
      <c r="V13" s="191" t="s">
        <v>68</v>
      </c>
      <c r="W13" s="191" t="s">
        <v>69</v>
      </c>
      <c r="X13" s="191" t="s">
        <v>70</v>
      </c>
      <c r="Y13" s="192" t="s">
        <v>32873</v>
      </c>
      <c r="Z13" s="190" t="s">
        <v>33781</v>
      </c>
      <c r="AA13" s="191" t="s">
        <v>33327</v>
      </c>
      <c r="AB13" s="191" t="s">
        <v>33779</v>
      </c>
      <c r="AC13" s="191" t="s">
        <v>637</v>
      </c>
      <c r="AD13" s="193" t="s">
        <v>33780</v>
      </c>
      <c r="AE13" s="191" t="s">
        <v>33325</v>
      </c>
      <c r="AF13" s="192" t="s">
        <v>33421</v>
      </c>
      <c r="AH13" s="881" t="s">
        <v>33778</v>
      </c>
      <c r="AI13" s="881"/>
      <c r="AJ13" s="881"/>
      <c r="AK13" s="881"/>
      <c r="AL13" s="881"/>
      <c r="AM13" s="881"/>
    </row>
    <row r="14" spans="1:39" ht="12.75" customHeight="1" x14ac:dyDescent="0.2">
      <c r="B14" s="356" t="str" cm="1">
        <f t="array" ref="B14">IF(C14="","Skip",IF(AND(Validator!J8=TRUE,Validator!J258=TRUE,Validator!J508=TRUE,Validator!J758=TRUE,Validator!J1008=TRUE,Validator!J1258=TRUE,OR(ISBLANK($R14),ISNUMBER(VALUE(SUBSTITUTE(SUBSTITUTE(SUBSTITUTE(SUBSTITUTE($R14," ",""),"c",""),"C",""),"-","")))),OR(SUMPRODUCT(--($U14=Package_type_code))&gt;0,$U14="",$U14="-")),"Valid","Invalid"))</f>
        <v>Skip</v>
      </c>
      <c r="C14" s="70"/>
      <c r="D14" s="410"/>
      <c r="E14" s="411"/>
      <c r="F14" s="218" t="str">
        <f t="shared" ref="F14:F77" si="0">IF(ISERROR(VLOOKUP($E14,REF_LOCODE_PORTNAME_COUNTRY, 2,FALSE)),"-",VLOOKUP($E14,REF_LOCODE_PORTNAME_COUNTRY, 2,FALSE))</f>
        <v>-</v>
      </c>
      <c r="G14" s="218"/>
      <c r="H14" s="178" t="str">
        <f t="shared" ref="H14:H77" si="1">IF(ISERROR(VLOOKUP($G14,REF_LOCODE_PORTNAME_COUNTRY, 2,FALSE)),"-",VLOOKUP($G14,REF_LOCODE_PORTNAME_COUNTRY, 2,FALSE))</f>
        <v>-</v>
      </c>
      <c r="I14" s="203"/>
      <c r="J14" s="414"/>
      <c r="K14" s="400"/>
      <c r="L14" s="415"/>
      <c r="M14" s="322"/>
      <c r="N14" s="586"/>
      <c r="O14" s="403" t="s">
        <v>278</v>
      </c>
      <c r="P14" s="404" t="s">
        <v>77</v>
      </c>
      <c r="Q14" s="358"/>
      <c r="R14" s="320"/>
      <c r="S14" s="359"/>
      <c r="T14" s="359"/>
      <c r="U14" s="94" t="str">
        <f>IF(ISERROR(VLOOKUP($T14, 'Reference data'!$J$2:$K$139, 2, FALSE)),"-",VLOOKUP($T14, 'Reference data'!$J$2:$K$139, 2, FALSE))</f>
        <v>-</v>
      </c>
      <c r="V14" s="320"/>
      <c r="W14" s="320"/>
      <c r="X14" s="324"/>
      <c r="Y14" s="325"/>
      <c r="Z14" s="241"/>
      <c r="AA14" s="362"/>
      <c r="AB14" s="86"/>
      <c r="AC14" s="72"/>
      <c r="AD14" s="71"/>
      <c r="AE14" s="239" t="s">
        <v>278</v>
      </c>
      <c r="AF14" s="243" t="s">
        <v>77</v>
      </c>
      <c r="AH14" s="881"/>
      <c r="AI14" s="881"/>
      <c r="AJ14" s="881"/>
      <c r="AK14" s="881"/>
      <c r="AL14" s="881"/>
      <c r="AM14" s="881"/>
    </row>
    <row r="15" spans="1:39" ht="12.75" customHeight="1" x14ac:dyDescent="0.2">
      <c r="B15" s="356" t="str" cm="1">
        <f t="array" ref="B15">IF(C15="","Skip",IF(AND(Validator!J9=TRUE,Validator!J259=TRUE,Validator!J509=TRUE,Validator!J759=TRUE,Validator!J1009=TRUE,Validator!J1259=TRUE,OR(ISBLANK($R15),ISNUMBER(VALUE(SUBSTITUTE(SUBSTITUTE(SUBSTITUTE(SUBSTITUTE($R15," ",""),"c",""),"C",""),"-","")))),OR(SUMPRODUCT(--($U15=Package_type_code))&gt;0,$U15="",$U15="-")),"Valid","Invalid"))</f>
        <v>Skip</v>
      </c>
      <c r="C15" s="70"/>
      <c r="D15" s="410"/>
      <c r="E15" s="411"/>
      <c r="F15" s="218" t="str">
        <f t="shared" si="0"/>
        <v>-</v>
      </c>
      <c r="G15" s="218"/>
      <c r="H15" s="178" t="str">
        <f t="shared" si="1"/>
        <v>-</v>
      </c>
      <c r="I15" s="203"/>
      <c r="J15" s="414"/>
      <c r="K15" s="400"/>
      <c r="L15" s="415"/>
      <c r="M15" s="322"/>
      <c r="N15" s="587"/>
      <c r="O15" s="403" t="s">
        <v>278</v>
      </c>
      <c r="P15" s="404" t="s">
        <v>77</v>
      </c>
      <c r="Q15" s="358"/>
      <c r="R15" s="320"/>
      <c r="S15" s="359"/>
      <c r="T15" s="359"/>
      <c r="U15" s="94" t="str">
        <f>IF(ISERROR(VLOOKUP($T15, 'Reference data'!$J$2:$K$139, 2, FALSE)),"-",VLOOKUP($T15, 'Reference data'!$J$2:$K$139, 2, FALSE))</f>
        <v>-</v>
      </c>
      <c r="V15" s="320"/>
      <c r="W15" s="320"/>
      <c r="X15" s="324"/>
      <c r="Y15" s="325"/>
      <c r="Z15" s="241"/>
      <c r="AA15" s="362"/>
      <c r="AB15" s="86"/>
      <c r="AC15" s="72"/>
      <c r="AD15" s="71"/>
      <c r="AE15" s="239" t="s">
        <v>278</v>
      </c>
      <c r="AF15" s="243" t="s">
        <v>77</v>
      </c>
      <c r="AH15" s="881"/>
      <c r="AI15" s="881"/>
      <c r="AJ15" s="881"/>
      <c r="AK15" s="881"/>
      <c r="AL15" s="881"/>
      <c r="AM15" s="881"/>
    </row>
    <row r="16" spans="1:39" ht="12.75" customHeight="1" x14ac:dyDescent="0.2">
      <c r="B16" s="356" t="str" cm="1">
        <f t="array" ref="B16">IF(C16="","Skip",IF(AND(Validator!J10=TRUE,Validator!J260=TRUE,Validator!J510=TRUE,Validator!J760=TRUE,Validator!J1010=TRUE,Validator!J1260=TRUE,OR(ISBLANK($R16),ISNUMBER(VALUE(SUBSTITUTE(SUBSTITUTE(SUBSTITUTE(SUBSTITUTE($R16," ",""),"c",""),"C",""),"-","")))),OR(SUMPRODUCT(--($U16=Package_type_code))&gt;0,$U16="",$U16="-")),"Valid","Invalid"))</f>
        <v>Skip</v>
      </c>
      <c r="C16" s="70"/>
      <c r="D16" s="410"/>
      <c r="E16" s="411"/>
      <c r="F16" s="218" t="str">
        <f t="shared" si="0"/>
        <v>-</v>
      </c>
      <c r="G16" s="218"/>
      <c r="H16" s="178" t="str">
        <f t="shared" si="1"/>
        <v>-</v>
      </c>
      <c r="I16" s="203"/>
      <c r="J16" s="414"/>
      <c r="K16" s="400"/>
      <c r="L16" s="415"/>
      <c r="M16" s="322"/>
      <c r="N16" s="587"/>
      <c r="O16" s="403" t="s">
        <v>278</v>
      </c>
      <c r="P16" s="404" t="s">
        <v>77</v>
      </c>
      <c r="Q16" s="358"/>
      <c r="R16" s="320"/>
      <c r="S16" s="359"/>
      <c r="T16" s="359"/>
      <c r="U16" s="94" t="str">
        <f>IF(ISERROR(VLOOKUP($T16, 'Reference data'!$J$2:$K$139, 2, FALSE)),"-",VLOOKUP($T16, 'Reference data'!$J$2:$K$139, 2, FALSE))</f>
        <v>-</v>
      </c>
      <c r="V16" s="320"/>
      <c r="W16" s="320"/>
      <c r="X16" s="324"/>
      <c r="Y16" s="325"/>
      <c r="Z16" s="241"/>
      <c r="AA16" s="362"/>
      <c r="AB16" s="86"/>
      <c r="AC16" s="72"/>
      <c r="AD16" s="71"/>
      <c r="AE16" s="239" t="s">
        <v>278</v>
      </c>
      <c r="AF16" s="243" t="s">
        <v>77</v>
      </c>
      <c r="AH16" s="881"/>
      <c r="AI16" s="881"/>
      <c r="AJ16" s="881"/>
      <c r="AK16" s="881"/>
      <c r="AL16" s="881"/>
      <c r="AM16" s="881"/>
    </row>
    <row r="17" spans="2:39" ht="12.75" customHeight="1" x14ac:dyDescent="0.2">
      <c r="B17" s="356" t="str" cm="1">
        <f t="array" ref="B17">IF(C17="","Skip",IF(AND(Validator!J11=TRUE,Validator!J261=TRUE,Validator!J511=TRUE,Validator!J761=TRUE,Validator!J1011=TRUE,Validator!J1261=TRUE,OR(ISBLANK($R17),ISNUMBER(VALUE(SUBSTITUTE(SUBSTITUTE(SUBSTITUTE(SUBSTITUTE($R17," ",""),"c",""),"C",""),"-","")))),OR(SUMPRODUCT(--($U17=Package_type_code))&gt;0,$U17="",$U17="-")),"Valid","Invalid"))</f>
        <v>Skip</v>
      </c>
      <c r="C17" s="70"/>
      <c r="D17" s="410"/>
      <c r="E17" s="411"/>
      <c r="F17" s="218" t="str">
        <f t="shared" si="0"/>
        <v>-</v>
      </c>
      <c r="G17" s="218"/>
      <c r="H17" s="178" t="str">
        <f t="shared" si="1"/>
        <v>-</v>
      </c>
      <c r="I17" s="203"/>
      <c r="J17" s="414"/>
      <c r="K17" s="400"/>
      <c r="L17" s="415"/>
      <c r="M17" s="322"/>
      <c r="N17" s="587"/>
      <c r="O17" s="403" t="s">
        <v>278</v>
      </c>
      <c r="P17" s="404" t="s">
        <v>77</v>
      </c>
      <c r="Q17" s="358"/>
      <c r="R17" s="320"/>
      <c r="S17" s="359"/>
      <c r="T17" s="359"/>
      <c r="U17" s="94" t="str">
        <f>IF(ISERROR(VLOOKUP($T17, 'Reference data'!$J$2:$K$139, 2, FALSE)),"-",VLOOKUP($T17, 'Reference data'!$J$2:$K$139, 2, FALSE))</f>
        <v>-</v>
      </c>
      <c r="V17" s="320"/>
      <c r="W17" s="320"/>
      <c r="X17" s="324"/>
      <c r="Y17" s="325"/>
      <c r="Z17" s="241"/>
      <c r="AA17" s="362"/>
      <c r="AB17" s="86"/>
      <c r="AC17" s="72"/>
      <c r="AD17" s="71"/>
      <c r="AE17" s="239" t="s">
        <v>278</v>
      </c>
      <c r="AF17" s="243" t="s">
        <v>77</v>
      </c>
      <c r="AH17" s="881"/>
      <c r="AI17" s="881"/>
      <c r="AJ17" s="881"/>
      <c r="AK17" s="881"/>
      <c r="AL17" s="881"/>
      <c r="AM17" s="881"/>
    </row>
    <row r="18" spans="2:39" ht="12.75" customHeight="1" x14ac:dyDescent="0.2">
      <c r="B18" s="356" t="str" cm="1">
        <f t="array" ref="B18">IF(C18="","Skip",IF(AND(Validator!J12=TRUE,Validator!J262=TRUE,Validator!J512=TRUE,Validator!J762=TRUE,Validator!J1012=TRUE,Validator!J1262=TRUE,OR(ISBLANK($R18),ISNUMBER(VALUE(SUBSTITUTE(SUBSTITUTE(SUBSTITUTE(SUBSTITUTE($R18," ",""),"c",""),"C",""),"-","")))),OR(SUMPRODUCT(--($U18=Package_type_code))&gt;0,$U18="",$U18="-")),"Valid","Invalid"))</f>
        <v>Skip</v>
      </c>
      <c r="C18" s="70"/>
      <c r="D18" s="410"/>
      <c r="E18" s="411"/>
      <c r="F18" s="218" t="str">
        <f t="shared" si="0"/>
        <v>-</v>
      </c>
      <c r="G18" s="218"/>
      <c r="H18" s="178" t="str">
        <f t="shared" si="1"/>
        <v>-</v>
      </c>
      <c r="I18" s="203"/>
      <c r="J18" s="414"/>
      <c r="K18" s="400"/>
      <c r="L18" s="415"/>
      <c r="M18" s="322"/>
      <c r="N18" s="587"/>
      <c r="O18" s="403" t="s">
        <v>278</v>
      </c>
      <c r="P18" s="404" t="s">
        <v>77</v>
      </c>
      <c r="Q18" s="358"/>
      <c r="R18" s="320"/>
      <c r="S18" s="359"/>
      <c r="T18" s="359"/>
      <c r="U18" s="94" t="str">
        <f>IF(ISERROR(VLOOKUP($T18, 'Reference data'!$J$2:$K$139, 2, FALSE)),"-",VLOOKUP($T18, 'Reference data'!$J$2:$K$139, 2, FALSE))</f>
        <v>-</v>
      </c>
      <c r="V18" s="320"/>
      <c r="W18" s="320"/>
      <c r="X18" s="324"/>
      <c r="Y18" s="325"/>
      <c r="Z18" s="241"/>
      <c r="AA18" s="362"/>
      <c r="AB18" s="86"/>
      <c r="AC18" s="72"/>
      <c r="AD18" s="71"/>
      <c r="AE18" s="239" t="s">
        <v>278</v>
      </c>
      <c r="AF18" s="243" t="s">
        <v>77</v>
      </c>
    </row>
    <row r="19" spans="2:39" ht="12.75" customHeight="1" x14ac:dyDescent="0.2">
      <c r="B19" s="356" t="str" cm="1">
        <f t="array" ref="B19">IF(C19="","Skip",IF(AND(Validator!J13=TRUE,Validator!J263=TRUE,Validator!J513=TRUE,Validator!J763=TRUE,Validator!J1013=TRUE,Validator!J1263=TRUE,OR(ISBLANK($R19),ISNUMBER(VALUE(SUBSTITUTE(SUBSTITUTE(SUBSTITUTE(SUBSTITUTE($R19," ",""),"c",""),"C",""),"-","")))),OR(SUMPRODUCT(--($U19=Package_type_code))&gt;0,$U19="",$U19="-")),"Valid","Invalid"))</f>
        <v>Skip</v>
      </c>
      <c r="C19" s="70"/>
      <c r="D19" s="410"/>
      <c r="E19" s="411"/>
      <c r="F19" s="218" t="str">
        <f t="shared" si="0"/>
        <v>-</v>
      </c>
      <c r="G19" s="218"/>
      <c r="H19" s="178" t="str">
        <f t="shared" si="1"/>
        <v>-</v>
      </c>
      <c r="I19" s="203"/>
      <c r="J19" s="416"/>
      <c r="K19" s="400"/>
      <c r="L19" s="415"/>
      <c r="M19" s="322"/>
      <c r="N19" s="587"/>
      <c r="O19" s="403" t="s">
        <v>278</v>
      </c>
      <c r="P19" s="404" t="s">
        <v>77</v>
      </c>
      <c r="Q19" s="358"/>
      <c r="R19" s="320"/>
      <c r="S19" s="359"/>
      <c r="T19" s="359"/>
      <c r="U19" s="94" t="str">
        <f>IF(ISERROR(VLOOKUP($T19, 'Reference data'!$J$2:$K$139, 2, FALSE)),"-",VLOOKUP($T19, 'Reference data'!$J$2:$K$139, 2, FALSE))</f>
        <v>-</v>
      </c>
      <c r="V19" s="320"/>
      <c r="W19" s="320"/>
      <c r="X19" s="324"/>
      <c r="Y19" s="325"/>
      <c r="Z19" s="241"/>
      <c r="AA19" s="362"/>
      <c r="AB19" s="86"/>
      <c r="AC19" s="72"/>
      <c r="AD19" s="71"/>
      <c r="AE19" s="239" t="s">
        <v>278</v>
      </c>
      <c r="AF19" s="243" t="s">
        <v>77</v>
      </c>
    </row>
    <row r="20" spans="2:39" ht="12.75" customHeight="1" x14ac:dyDescent="0.2">
      <c r="B20" s="356" t="str" cm="1">
        <f t="array" ref="B20">IF(C20="","Skip",IF(AND(Validator!J14=TRUE,Validator!J264=TRUE,Validator!J514=TRUE,Validator!J764=TRUE,Validator!J1014=TRUE,Validator!J1264=TRUE,OR(ISBLANK($R20),ISNUMBER(VALUE(SUBSTITUTE(SUBSTITUTE(SUBSTITUTE(SUBSTITUTE($R20," ",""),"c",""),"C",""),"-","")))),OR(SUMPRODUCT(--($U20=Package_type_code))&gt;0,$U20="",$U20="-")),"Valid","Invalid"))</f>
        <v>Skip</v>
      </c>
      <c r="C20" s="70"/>
      <c r="D20" s="410"/>
      <c r="E20" s="411"/>
      <c r="F20" s="218" t="str">
        <f t="shared" si="0"/>
        <v>-</v>
      </c>
      <c r="G20" s="218"/>
      <c r="H20" s="178" t="str">
        <f t="shared" si="1"/>
        <v>-</v>
      </c>
      <c r="I20" s="203"/>
      <c r="J20" s="416"/>
      <c r="K20" s="400"/>
      <c r="L20" s="415"/>
      <c r="M20" s="322"/>
      <c r="N20" s="587"/>
      <c r="O20" s="403" t="s">
        <v>278</v>
      </c>
      <c r="P20" s="404" t="s">
        <v>77</v>
      </c>
      <c r="Q20" s="358"/>
      <c r="R20" s="320"/>
      <c r="S20" s="359"/>
      <c r="T20" s="359"/>
      <c r="U20" s="94" t="str">
        <f>IF(ISERROR(VLOOKUP($T20, 'Reference data'!$J$2:$K$139, 2, FALSE)),"-",VLOOKUP($T20, 'Reference data'!$J$2:$K$139, 2, FALSE))</f>
        <v>-</v>
      </c>
      <c r="V20" s="320"/>
      <c r="W20" s="320"/>
      <c r="X20" s="324"/>
      <c r="Y20" s="325"/>
      <c r="Z20" s="241"/>
      <c r="AA20" s="362"/>
      <c r="AB20" s="86"/>
      <c r="AC20" s="72"/>
      <c r="AD20" s="71"/>
      <c r="AE20" s="239" t="s">
        <v>278</v>
      </c>
      <c r="AF20" s="243" t="s">
        <v>77</v>
      </c>
    </row>
    <row r="21" spans="2:39" ht="12.75" customHeight="1" x14ac:dyDescent="0.2">
      <c r="B21" s="356" t="str" cm="1">
        <f t="array" ref="B21">IF(C21="","Skip",IF(AND(Validator!J15=TRUE,Validator!J265=TRUE,Validator!J515=TRUE,Validator!J765=TRUE,Validator!J1015=TRUE,Validator!J1265=TRUE,OR(ISBLANK($R21),ISNUMBER(VALUE(SUBSTITUTE(SUBSTITUTE(SUBSTITUTE(SUBSTITUTE($R21," ",""),"c",""),"C",""),"-","")))),OR(SUMPRODUCT(--($U21=Package_type_code))&gt;0,$U21="",$U21="-")),"Valid","Invalid"))</f>
        <v>Skip</v>
      </c>
      <c r="C21" s="70"/>
      <c r="D21" s="410"/>
      <c r="E21" s="411"/>
      <c r="F21" s="218" t="str">
        <f t="shared" si="0"/>
        <v>-</v>
      </c>
      <c r="G21" s="218"/>
      <c r="H21" s="178" t="str">
        <f t="shared" si="1"/>
        <v>-</v>
      </c>
      <c r="I21" s="203"/>
      <c r="J21" s="416"/>
      <c r="K21" s="400"/>
      <c r="L21" s="415"/>
      <c r="M21" s="322"/>
      <c r="N21" s="587"/>
      <c r="O21" s="403" t="s">
        <v>278</v>
      </c>
      <c r="P21" s="404" t="s">
        <v>77</v>
      </c>
      <c r="Q21" s="358"/>
      <c r="R21" s="320"/>
      <c r="S21" s="359"/>
      <c r="T21" s="359"/>
      <c r="U21" s="94" t="str">
        <f>IF(ISERROR(VLOOKUP($T21, 'Reference data'!$J$2:$K$139, 2, FALSE)),"-",VLOOKUP($T21, 'Reference data'!$J$2:$K$139, 2, FALSE))</f>
        <v>-</v>
      </c>
      <c r="V21" s="320"/>
      <c r="W21" s="320"/>
      <c r="X21" s="324"/>
      <c r="Y21" s="325"/>
      <c r="Z21" s="241"/>
      <c r="AA21" s="362"/>
      <c r="AB21" s="86"/>
      <c r="AC21" s="72"/>
      <c r="AD21" s="71"/>
      <c r="AE21" s="239" t="s">
        <v>278</v>
      </c>
      <c r="AF21" s="243" t="s">
        <v>77</v>
      </c>
    </row>
    <row r="22" spans="2:39" ht="12.75" customHeight="1" x14ac:dyDescent="0.2">
      <c r="B22" s="356" t="str" cm="1">
        <f t="array" ref="B22">IF(C22="","Skip",IF(AND(Validator!J16=TRUE,Validator!J266=TRUE,Validator!J516=TRUE,Validator!J766=TRUE,Validator!J1016=TRUE,Validator!J1266=TRUE,OR(ISBLANK($R22),ISNUMBER(VALUE(SUBSTITUTE(SUBSTITUTE(SUBSTITUTE(SUBSTITUTE($R22," ",""),"c",""),"C",""),"-","")))),OR(SUMPRODUCT(--($U22=Package_type_code))&gt;0,$U22="",$U22="-")),"Valid","Invalid"))</f>
        <v>Skip</v>
      </c>
      <c r="C22" s="70"/>
      <c r="D22" s="410"/>
      <c r="E22" s="411"/>
      <c r="F22" s="218" t="str">
        <f t="shared" si="0"/>
        <v>-</v>
      </c>
      <c r="G22" s="218"/>
      <c r="H22" s="178" t="str">
        <f t="shared" si="1"/>
        <v>-</v>
      </c>
      <c r="I22" s="203"/>
      <c r="J22" s="416"/>
      <c r="K22" s="400"/>
      <c r="L22" s="415"/>
      <c r="M22" s="322"/>
      <c r="N22" s="587"/>
      <c r="O22" s="403" t="s">
        <v>278</v>
      </c>
      <c r="P22" s="404" t="s">
        <v>77</v>
      </c>
      <c r="Q22" s="358"/>
      <c r="R22" s="320"/>
      <c r="S22" s="359"/>
      <c r="T22" s="359"/>
      <c r="U22" s="94" t="str">
        <f>IF(ISERROR(VLOOKUP($T22, 'Reference data'!$J$2:$K$139, 2, FALSE)),"-",VLOOKUP($T22, 'Reference data'!$J$2:$K$139, 2, FALSE))</f>
        <v>-</v>
      </c>
      <c r="V22" s="320"/>
      <c r="W22" s="320"/>
      <c r="X22" s="324"/>
      <c r="Y22" s="325"/>
      <c r="Z22" s="241"/>
      <c r="AA22" s="362"/>
      <c r="AB22" s="86"/>
      <c r="AC22" s="72"/>
      <c r="AD22" s="71"/>
      <c r="AE22" s="239" t="s">
        <v>278</v>
      </c>
      <c r="AF22" s="243" t="s">
        <v>77</v>
      </c>
    </row>
    <row r="23" spans="2:39" ht="12.75" customHeight="1" x14ac:dyDescent="0.2">
      <c r="B23" s="356" t="str" cm="1">
        <f t="array" ref="B23">IF(C23="","Skip",IF(AND(Validator!J17=TRUE,Validator!J267=TRUE,Validator!J517=TRUE,Validator!J767=TRUE,Validator!J1017=TRUE,Validator!J1267=TRUE,OR(ISBLANK($R23),ISNUMBER(VALUE(SUBSTITUTE(SUBSTITUTE(SUBSTITUTE(SUBSTITUTE($R23," ",""),"c",""),"C",""),"-","")))),OR(SUMPRODUCT(--($U23=Package_type_code))&gt;0,$U23="",$U23="-")),"Valid","Invalid"))</f>
        <v>Skip</v>
      </c>
      <c r="C23" s="70"/>
      <c r="D23" s="410"/>
      <c r="E23" s="411"/>
      <c r="F23" s="218" t="str">
        <f t="shared" si="0"/>
        <v>-</v>
      </c>
      <c r="G23" s="218"/>
      <c r="H23" s="178" t="str">
        <f t="shared" si="1"/>
        <v>-</v>
      </c>
      <c r="I23" s="203"/>
      <c r="J23" s="416"/>
      <c r="K23" s="400"/>
      <c r="L23" s="415"/>
      <c r="M23" s="322"/>
      <c r="N23" s="587"/>
      <c r="O23" s="403" t="s">
        <v>278</v>
      </c>
      <c r="P23" s="404" t="s">
        <v>77</v>
      </c>
      <c r="Q23" s="358"/>
      <c r="R23" s="320"/>
      <c r="S23" s="359"/>
      <c r="T23" s="359"/>
      <c r="U23" s="94" t="str">
        <f>IF(ISERROR(VLOOKUP($T23, 'Reference data'!$J$2:$K$139, 2, FALSE)),"-",VLOOKUP($T23, 'Reference data'!$J$2:$K$139, 2, FALSE))</f>
        <v>-</v>
      </c>
      <c r="V23" s="320"/>
      <c r="W23" s="320"/>
      <c r="X23" s="324"/>
      <c r="Y23" s="325"/>
      <c r="Z23" s="241"/>
      <c r="AA23" s="362"/>
      <c r="AB23" s="86"/>
      <c r="AC23" s="72"/>
      <c r="AD23" s="71"/>
      <c r="AE23" s="239" t="s">
        <v>278</v>
      </c>
      <c r="AF23" s="243" t="s">
        <v>77</v>
      </c>
    </row>
    <row r="24" spans="2:39" ht="12.75" customHeight="1" x14ac:dyDescent="0.2">
      <c r="B24" s="356" t="str" cm="1">
        <f t="array" ref="B24">IF(C24="","Skip",IF(AND(Validator!J18=TRUE,Validator!J268=TRUE,Validator!J518=TRUE,Validator!J768=TRUE,Validator!J1018=TRUE,Validator!J1268=TRUE,OR(ISBLANK($R24),ISNUMBER(VALUE(SUBSTITUTE(SUBSTITUTE(SUBSTITUTE(SUBSTITUTE($R24," ",""),"c",""),"C",""),"-","")))),OR(SUMPRODUCT(--($U24=Package_type_code))&gt;0,$U24="",$U24="-")),"Valid","Invalid"))</f>
        <v>Skip</v>
      </c>
      <c r="C24" s="70"/>
      <c r="D24" s="410"/>
      <c r="E24" s="411"/>
      <c r="F24" s="218" t="str">
        <f t="shared" si="0"/>
        <v>-</v>
      </c>
      <c r="G24" s="218"/>
      <c r="H24" s="178" t="str">
        <f t="shared" si="1"/>
        <v>-</v>
      </c>
      <c r="I24" s="203"/>
      <c r="J24" s="416"/>
      <c r="K24" s="400"/>
      <c r="L24" s="415"/>
      <c r="M24" s="322"/>
      <c r="N24" s="587"/>
      <c r="O24" s="403" t="s">
        <v>278</v>
      </c>
      <c r="P24" s="404" t="s">
        <v>77</v>
      </c>
      <c r="Q24" s="358"/>
      <c r="R24" s="320"/>
      <c r="S24" s="359"/>
      <c r="T24" s="359"/>
      <c r="U24" s="94" t="str">
        <f>IF(ISERROR(VLOOKUP($T24, 'Reference data'!$J$2:$K$139, 2, FALSE)),"-",VLOOKUP($T24, 'Reference data'!$J$2:$K$139, 2, FALSE))</f>
        <v>-</v>
      </c>
      <c r="V24" s="320"/>
      <c r="W24" s="320"/>
      <c r="X24" s="324"/>
      <c r="Y24" s="325"/>
      <c r="Z24" s="241"/>
      <c r="AA24" s="362"/>
      <c r="AB24" s="86"/>
      <c r="AC24" s="72"/>
      <c r="AD24" s="71"/>
      <c r="AE24" s="239" t="s">
        <v>278</v>
      </c>
      <c r="AF24" s="243" t="s">
        <v>77</v>
      </c>
    </row>
    <row r="25" spans="2:39" ht="12.75" customHeight="1" x14ac:dyDescent="0.2">
      <c r="B25" s="356" t="str" cm="1">
        <f t="array" ref="B25">IF(C25="","Skip",IF(AND(Validator!J19=TRUE,Validator!J269=TRUE,Validator!J519=TRUE,Validator!J769=TRUE,Validator!J1019=TRUE,Validator!J1269=TRUE,OR(ISBLANK($R25),ISNUMBER(VALUE(SUBSTITUTE(SUBSTITUTE(SUBSTITUTE(SUBSTITUTE($R25," ",""),"c",""),"C",""),"-","")))),OR(SUMPRODUCT(--($U25=Package_type_code))&gt;0,$U25="",$U25="-")),"Valid","Invalid"))</f>
        <v>Skip</v>
      </c>
      <c r="C25" s="70"/>
      <c r="D25" s="410"/>
      <c r="E25" s="411"/>
      <c r="F25" s="218" t="str">
        <f t="shared" si="0"/>
        <v>-</v>
      </c>
      <c r="G25" s="218"/>
      <c r="H25" s="178" t="str">
        <f t="shared" si="1"/>
        <v>-</v>
      </c>
      <c r="I25" s="203"/>
      <c r="J25" s="416"/>
      <c r="K25" s="400"/>
      <c r="L25" s="415"/>
      <c r="M25" s="322"/>
      <c r="N25" s="587"/>
      <c r="O25" s="403" t="s">
        <v>278</v>
      </c>
      <c r="P25" s="404" t="s">
        <v>77</v>
      </c>
      <c r="Q25" s="358"/>
      <c r="R25" s="320"/>
      <c r="S25" s="359"/>
      <c r="T25" s="359"/>
      <c r="U25" s="94" t="str">
        <f>IF(ISERROR(VLOOKUP($T25, 'Reference data'!$J$2:$K$139, 2, FALSE)),"-",VLOOKUP($T25, 'Reference data'!$J$2:$K$139, 2, FALSE))</f>
        <v>-</v>
      </c>
      <c r="V25" s="320"/>
      <c r="W25" s="320"/>
      <c r="X25" s="324"/>
      <c r="Y25" s="325"/>
      <c r="Z25" s="241"/>
      <c r="AA25" s="362"/>
      <c r="AB25" s="86"/>
      <c r="AC25" s="72"/>
      <c r="AD25" s="71"/>
      <c r="AE25" s="239" t="s">
        <v>278</v>
      </c>
      <c r="AF25" s="243" t="s">
        <v>77</v>
      </c>
    </row>
    <row r="26" spans="2:39" ht="12.75" customHeight="1" x14ac:dyDescent="0.2">
      <c r="B26" s="356" t="str" cm="1">
        <f t="array" ref="B26">IF(C26="","Skip",IF(AND(Validator!J20=TRUE,Validator!J270=TRUE,Validator!J520=TRUE,Validator!J770=TRUE,Validator!J1020=TRUE,Validator!J1270=TRUE,OR(ISBLANK($R26),ISNUMBER(VALUE(SUBSTITUTE(SUBSTITUTE(SUBSTITUTE(SUBSTITUTE($R26," ",""),"c",""),"C",""),"-","")))),OR(SUMPRODUCT(--($U26=Package_type_code))&gt;0,$U26="",$U26="-")),"Valid","Invalid"))</f>
        <v>Skip</v>
      </c>
      <c r="C26" s="70"/>
      <c r="D26" s="410"/>
      <c r="E26" s="411"/>
      <c r="F26" s="218" t="str">
        <f t="shared" si="0"/>
        <v>-</v>
      </c>
      <c r="G26" s="218"/>
      <c r="H26" s="178" t="str">
        <f t="shared" si="1"/>
        <v>-</v>
      </c>
      <c r="I26" s="203"/>
      <c r="J26" s="416"/>
      <c r="K26" s="400"/>
      <c r="L26" s="415"/>
      <c r="M26" s="322"/>
      <c r="N26" s="587"/>
      <c r="O26" s="403" t="s">
        <v>278</v>
      </c>
      <c r="P26" s="404" t="s">
        <v>77</v>
      </c>
      <c r="Q26" s="358"/>
      <c r="R26" s="320"/>
      <c r="S26" s="359"/>
      <c r="T26" s="359"/>
      <c r="U26" s="94" t="str">
        <f>IF(ISERROR(VLOOKUP($T26, 'Reference data'!$J$2:$K$139, 2, FALSE)),"-",VLOOKUP($T26, 'Reference data'!$J$2:$K$139, 2, FALSE))</f>
        <v>-</v>
      </c>
      <c r="V26" s="320"/>
      <c r="W26" s="320"/>
      <c r="X26" s="324"/>
      <c r="Y26" s="325"/>
      <c r="Z26" s="241"/>
      <c r="AA26" s="362"/>
      <c r="AB26" s="86"/>
      <c r="AC26" s="72"/>
      <c r="AD26" s="71"/>
      <c r="AE26" s="239" t="s">
        <v>278</v>
      </c>
      <c r="AF26" s="243" t="s">
        <v>77</v>
      </c>
    </row>
    <row r="27" spans="2:39" ht="12.75" customHeight="1" x14ac:dyDescent="0.2">
      <c r="B27" s="356" t="str" cm="1">
        <f t="array" ref="B27">IF(C27="","Skip",IF(AND(Validator!J21=TRUE,Validator!J271=TRUE,Validator!J521=TRUE,Validator!J771=TRUE,Validator!J1021=TRUE,Validator!J1271=TRUE,OR(ISBLANK($R27),ISNUMBER(VALUE(SUBSTITUTE(SUBSTITUTE(SUBSTITUTE(SUBSTITUTE($R27," ",""),"c",""),"C",""),"-","")))),OR(SUMPRODUCT(--($U27=Package_type_code))&gt;0,$U27="",$U27="-")),"Valid","Invalid"))</f>
        <v>Skip</v>
      </c>
      <c r="C27" s="70"/>
      <c r="D27" s="410"/>
      <c r="E27" s="411"/>
      <c r="F27" s="218" t="str">
        <f t="shared" si="0"/>
        <v>-</v>
      </c>
      <c r="G27" s="218"/>
      <c r="H27" s="178" t="str">
        <f>IF(ISERROR(VLOOKUP($G27,REF_LOCODE_PORTNAME_COUNTRY, 2,FALSE)),"-",VLOOKUP($G27,REF_LOCODE_PORTNAME_COUNTRY, 2,FALSE))</f>
        <v>-</v>
      </c>
      <c r="I27" s="203"/>
      <c r="J27" s="416"/>
      <c r="K27" s="400"/>
      <c r="L27" s="415"/>
      <c r="M27" s="322"/>
      <c r="N27" s="587"/>
      <c r="O27" s="403" t="s">
        <v>278</v>
      </c>
      <c r="P27" s="404" t="s">
        <v>77</v>
      </c>
      <c r="Q27" s="358"/>
      <c r="R27" s="320"/>
      <c r="S27" s="359"/>
      <c r="T27" s="359"/>
      <c r="U27" s="94" t="str">
        <f>IF(ISERROR(VLOOKUP($T27, 'Reference data'!$J$2:$K$139, 2, FALSE)),"-",VLOOKUP($T27, 'Reference data'!$J$2:$K$139, 2, FALSE))</f>
        <v>-</v>
      </c>
      <c r="V27" s="320"/>
      <c r="W27" s="320"/>
      <c r="X27" s="324"/>
      <c r="Y27" s="325"/>
      <c r="Z27" s="241"/>
      <c r="AA27" s="362"/>
      <c r="AB27" s="86"/>
      <c r="AC27" s="72"/>
      <c r="AD27" s="71"/>
      <c r="AE27" s="239" t="s">
        <v>278</v>
      </c>
      <c r="AF27" s="243" t="s">
        <v>77</v>
      </c>
    </row>
    <row r="28" spans="2:39" ht="12.75" customHeight="1" x14ac:dyDescent="0.2">
      <c r="B28" s="356" t="str" cm="1">
        <f t="array" ref="B28">IF(C28="","Skip",IF(AND(Validator!J22=TRUE,Validator!J272=TRUE,Validator!J522=TRUE,Validator!J772=TRUE,Validator!J1022=TRUE,Validator!J1272=TRUE,OR(ISBLANK($R28),ISNUMBER(VALUE(SUBSTITUTE(SUBSTITUTE(SUBSTITUTE(SUBSTITUTE($R28," ",""),"c",""),"C",""),"-","")))),OR(SUMPRODUCT(--($U28=Package_type_code))&gt;0,$U28="",$U28="-")),"Valid","Invalid"))</f>
        <v>Skip</v>
      </c>
      <c r="C28" s="70"/>
      <c r="D28" s="410"/>
      <c r="E28" s="411"/>
      <c r="F28" s="218" t="str">
        <f t="shared" si="0"/>
        <v>-</v>
      </c>
      <c r="G28" s="218"/>
      <c r="H28" s="178" t="str">
        <f t="shared" si="1"/>
        <v>-</v>
      </c>
      <c r="I28" s="203"/>
      <c r="J28" s="416"/>
      <c r="K28" s="400"/>
      <c r="L28" s="415"/>
      <c r="M28" s="322"/>
      <c r="N28" s="587"/>
      <c r="O28" s="403" t="s">
        <v>278</v>
      </c>
      <c r="P28" s="404" t="s">
        <v>77</v>
      </c>
      <c r="Q28" s="358"/>
      <c r="R28" s="320"/>
      <c r="S28" s="359"/>
      <c r="T28" s="359"/>
      <c r="U28" s="94" t="str">
        <f>IF(ISERROR(VLOOKUP($T28, 'Reference data'!$J$2:$K$139, 2, FALSE)),"-",VLOOKUP($T28, 'Reference data'!$J$2:$K$139, 2, FALSE))</f>
        <v>-</v>
      </c>
      <c r="V28" s="320"/>
      <c r="W28" s="320"/>
      <c r="X28" s="324"/>
      <c r="Y28" s="325"/>
      <c r="Z28" s="241"/>
      <c r="AA28" s="362"/>
      <c r="AB28" s="86"/>
      <c r="AC28" s="72"/>
      <c r="AD28" s="71"/>
      <c r="AE28" s="239" t="s">
        <v>278</v>
      </c>
      <c r="AF28" s="243" t="s">
        <v>77</v>
      </c>
    </row>
    <row r="29" spans="2:39" ht="12.75" customHeight="1" x14ac:dyDescent="0.2">
      <c r="B29" s="356" t="str" cm="1">
        <f t="array" ref="B29">IF(C29="","Skip",IF(AND(Validator!J23=TRUE,Validator!J273=TRUE,Validator!J523=TRUE,Validator!J773=TRUE,Validator!J1023=TRUE,Validator!J1273=TRUE,OR(ISBLANK($R29),ISNUMBER(VALUE(SUBSTITUTE(SUBSTITUTE(SUBSTITUTE(SUBSTITUTE($R29," ",""),"c",""),"C",""),"-","")))),OR(SUMPRODUCT(--($U29=Package_type_code))&gt;0,$U29="",$U29="-")),"Valid","Invalid"))</f>
        <v>Skip</v>
      </c>
      <c r="C29" s="70"/>
      <c r="D29" s="410"/>
      <c r="E29" s="411"/>
      <c r="F29" s="218" t="str">
        <f t="shared" si="0"/>
        <v>-</v>
      </c>
      <c r="G29" s="218"/>
      <c r="H29" s="178" t="str">
        <f t="shared" si="1"/>
        <v>-</v>
      </c>
      <c r="I29" s="203"/>
      <c r="J29" s="416"/>
      <c r="K29" s="400"/>
      <c r="L29" s="415"/>
      <c r="M29" s="322"/>
      <c r="N29" s="587"/>
      <c r="O29" s="403" t="s">
        <v>278</v>
      </c>
      <c r="P29" s="404" t="s">
        <v>77</v>
      </c>
      <c r="Q29" s="358"/>
      <c r="R29" s="320"/>
      <c r="S29" s="359"/>
      <c r="T29" s="359"/>
      <c r="U29" s="94" t="str">
        <f>IF(ISERROR(VLOOKUP($T29, 'Reference data'!$J$2:$K$139, 2, FALSE)),"-",VLOOKUP($T29, 'Reference data'!$J$2:$K$139, 2, FALSE))</f>
        <v>-</v>
      </c>
      <c r="V29" s="320"/>
      <c r="W29" s="320"/>
      <c r="X29" s="324"/>
      <c r="Y29" s="325"/>
      <c r="Z29" s="241"/>
      <c r="AA29" s="362"/>
      <c r="AB29" s="86"/>
      <c r="AC29" s="72"/>
      <c r="AD29" s="71"/>
      <c r="AE29" s="239" t="s">
        <v>278</v>
      </c>
      <c r="AF29" s="243" t="s">
        <v>77</v>
      </c>
    </row>
    <row r="30" spans="2:39" ht="12.75" customHeight="1" x14ac:dyDescent="0.2">
      <c r="B30" s="356" t="str" cm="1">
        <f t="array" ref="B30">IF(C30="","Skip",IF(AND(Validator!J24=TRUE,Validator!J274=TRUE,Validator!J524=TRUE,Validator!J774=TRUE,Validator!J1024=TRUE,Validator!J1274=TRUE,OR(ISBLANK($R30),ISNUMBER(VALUE(SUBSTITUTE(SUBSTITUTE(SUBSTITUTE(SUBSTITUTE($R30," ",""),"c",""),"C",""),"-","")))),OR(SUMPRODUCT(--($U30=Package_type_code))&gt;0,$U30="",$U30="-")),"Valid","Invalid"))</f>
        <v>Skip</v>
      </c>
      <c r="C30" s="70"/>
      <c r="D30" s="410"/>
      <c r="E30" s="411"/>
      <c r="F30" s="218" t="str">
        <f t="shared" si="0"/>
        <v>-</v>
      </c>
      <c r="G30" s="218"/>
      <c r="H30" s="178" t="str">
        <f t="shared" si="1"/>
        <v>-</v>
      </c>
      <c r="I30" s="203"/>
      <c r="J30" s="416"/>
      <c r="K30" s="400"/>
      <c r="L30" s="415"/>
      <c r="M30" s="322"/>
      <c r="N30" s="587"/>
      <c r="O30" s="403" t="s">
        <v>278</v>
      </c>
      <c r="P30" s="404" t="s">
        <v>77</v>
      </c>
      <c r="Q30" s="358"/>
      <c r="R30" s="320"/>
      <c r="S30" s="359"/>
      <c r="T30" s="359"/>
      <c r="U30" s="94" t="str">
        <f>IF(ISERROR(VLOOKUP($T30, 'Reference data'!$J$2:$K$139, 2, FALSE)),"-",VLOOKUP($T30, 'Reference data'!$J$2:$K$139, 2, FALSE))</f>
        <v>-</v>
      </c>
      <c r="V30" s="320"/>
      <c r="W30" s="320"/>
      <c r="X30" s="324"/>
      <c r="Y30" s="325"/>
      <c r="Z30" s="241"/>
      <c r="AA30" s="362"/>
      <c r="AB30" s="86"/>
      <c r="AC30" s="72"/>
      <c r="AD30" s="71"/>
      <c r="AE30" s="239" t="s">
        <v>278</v>
      </c>
      <c r="AF30" s="243" t="s">
        <v>77</v>
      </c>
    </row>
    <row r="31" spans="2:39" ht="12.75" customHeight="1" x14ac:dyDescent="0.2">
      <c r="B31" s="356" t="str" cm="1">
        <f t="array" ref="B31">IF(C31="","Skip",IF(AND(Validator!J25=TRUE,Validator!J275=TRUE,Validator!J525=TRUE,Validator!J775=TRUE,Validator!J1025=TRUE,Validator!J1275=TRUE,OR(ISBLANK($R31),ISNUMBER(VALUE(SUBSTITUTE(SUBSTITUTE(SUBSTITUTE(SUBSTITUTE($R31," ",""),"c",""),"C",""),"-","")))),OR(SUMPRODUCT(--($U31=Package_type_code))&gt;0,$U31="",$U31="-")),"Valid","Invalid"))</f>
        <v>Skip</v>
      </c>
      <c r="C31" s="70"/>
      <c r="D31" s="410"/>
      <c r="E31" s="411"/>
      <c r="F31" s="218" t="str">
        <f t="shared" si="0"/>
        <v>-</v>
      </c>
      <c r="G31" s="218"/>
      <c r="H31" s="178" t="str">
        <f t="shared" si="1"/>
        <v>-</v>
      </c>
      <c r="I31" s="203"/>
      <c r="J31" s="416"/>
      <c r="K31" s="400"/>
      <c r="L31" s="415"/>
      <c r="M31" s="322"/>
      <c r="N31" s="587"/>
      <c r="O31" s="403" t="s">
        <v>278</v>
      </c>
      <c r="P31" s="404" t="s">
        <v>77</v>
      </c>
      <c r="Q31" s="358"/>
      <c r="R31" s="320"/>
      <c r="S31" s="359"/>
      <c r="T31" s="359"/>
      <c r="U31" s="94" t="str">
        <f>IF(ISERROR(VLOOKUP($T31, 'Reference data'!$J$2:$K$139, 2, FALSE)),"-",VLOOKUP($T31, 'Reference data'!$J$2:$K$139, 2, FALSE))</f>
        <v>-</v>
      </c>
      <c r="V31" s="320"/>
      <c r="W31" s="320"/>
      <c r="X31" s="324"/>
      <c r="Y31" s="325"/>
      <c r="Z31" s="241"/>
      <c r="AA31" s="362"/>
      <c r="AB31" s="86"/>
      <c r="AC31" s="72"/>
      <c r="AD31" s="71"/>
      <c r="AE31" s="239" t="s">
        <v>278</v>
      </c>
      <c r="AF31" s="243" t="s">
        <v>77</v>
      </c>
    </row>
    <row r="32" spans="2:39" ht="12.75" customHeight="1" x14ac:dyDescent="0.2">
      <c r="B32" s="356" t="str" cm="1">
        <f t="array" ref="B32">IF(C32="","Skip",IF(AND(Validator!J26=TRUE,Validator!J276=TRUE,Validator!J526=TRUE,Validator!J776=TRUE,Validator!J1026=TRUE,Validator!J1276=TRUE,OR(ISBLANK($R32),ISNUMBER(VALUE(SUBSTITUTE(SUBSTITUTE(SUBSTITUTE(SUBSTITUTE($R32," ",""),"c",""),"C",""),"-","")))),OR(SUMPRODUCT(--($U32=Package_type_code))&gt;0,$U32="",$U32="-")),"Valid","Invalid"))</f>
        <v>Skip</v>
      </c>
      <c r="C32" s="70"/>
      <c r="D32" s="410"/>
      <c r="E32" s="411"/>
      <c r="F32" s="218" t="str">
        <f t="shared" si="0"/>
        <v>-</v>
      </c>
      <c r="G32" s="218"/>
      <c r="H32" s="178" t="str">
        <f t="shared" si="1"/>
        <v>-</v>
      </c>
      <c r="I32" s="203"/>
      <c r="J32" s="416"/>
      <c r="K32" s="400"/>
      <c r="L32" s="415"/>
      <c r="M32" s="322"/>
      <c r="N32" s="587"/>
      <c r="O32" s="403" t="s">
        <v>278</v>
      </c>
      <c r="P32" s="404" t="s">
        <v>77</v>
      </c>
      <c r="Q32" s="358"/>
      <c r="R32" s="320"/>
      <c r="S32" s="359"/>
      <c r="T32" s="359"/>
      <c r="U32" s="94" t="str">
        <f>IF(ISERROR(VLOOKUP($T32, 'Reference data'!$J$2:$K$139, 2, FALSE)),"-",VLOOKUP($T32, 'Reference data'!$J$2:$K$139, 2, FALSE))</f>
        <v>-</v>
      </c>
      <c r="V32" s="320"/>
      <c r="W32" s="320"/>
      <c r="X32" s="324"/>
      <c r="Y32" s="325"/>
      <c r="Z32" s="241"/>
      <c r="AA32" s="362"/>
      <c r="AB32" s="86"/>
      <c r="AC32" s="72"/>
      <c r="AD32" s="71"/>
      <c r="AE32" s="239" t="s">
        <v>278</v>
      </c>
      <c r="AF32" s="243" t="s">
        <v>77</v>
      </c>
    </row>
    <row r="33" spans="2:32" ht="12.75" customHeight="1" x14ac:dyDescent="0.2">
      <c r="B33" s="356" t="str" cm="1">
        <f t="array" ref="B33">IF(C33="","Skip",IF(AND(Validator!J27=TRUE,Validator!J277=TRUE,Validator!J527=TRUE,Validator!J777=TRUE,Validator!J1027=TRUE,Validator!J1277=TRUE,OR(ISBLANK($R33),ISNUMBER(VALUE(SUBSTITUTE(SUBSTITUTE(SUBSTITUTE(SUBSTITUTE($R33," ",""),"c",""),"C",""),"-","")))),OR(SUMPRODUCT(--($U33=Package_type_code))&gt;0,$U33="",$U33="-")),"Valid","Invalid"))</f>
        <v>Skip</v>
      </c>
      <c r="C33" s="70"/>
      <c r="D33" s="410"/>
      <c r="E33" s="411"/>
      <c r="F33" s="218" t="str">
        <f t="shared" si="0"/>
        <v>-</v>
      </c>
      <c r="G33" s="218"/>
      <c r="H33" s="178" t="str">
        <f t="shared" si="1"/>
        <v>-</v>
      </c>
      <c r="I33" s="203"/>
      <c r="J33" s="416"/>
      <c r="K33" s="400"/>
      <c r="L33" s="415"/>
      <c r="M33" s="322"/>
      <c r="N33" s="587"/>
      <c r="O33" s="403" t="s">
        <v>278</v>
      </c>
      <c r="P33" s="404" t="s">
        <v>77</v>
      </c>
      <c r="Q33" s="358"/>
      <c r="R33" s="320"/>
      <c r="S33" s="359"/>
      <c r="T33" s="359"/>
      <c r="U33" s="94" t="str">
        <f>IF(ISERROR(VLOOKUP($T33, 'Reference data'!$J$2:$K$139, 2, FALSE)),"-",VLOOKUP($T33, 'Reference data'!$J$2:$K$139, 2, FALSE))</f>
        <v>-</v>
      </c>
      <c r="V33" s="320"/>
      <c r="W33" s="320"/>
      <c r="X33" s="324"/>
      <c r="Y33" s="325"/>
      <c r="Z33" s="241"/>
      <c r="AA33" s="362"/>
      <c r="AB33" s="86"/>
      <c r="AC33" s="72"/>
      <c r="AD33" s="71"/>
      <c r="AE33" s="239" t="s">
        <v>278</v>
      </c>
      <c r="AF33" s="243" t="s">
        <v>77</v>
      </c>
    </row>
    <row r="34" spans="2:32" ht="12.75" customHeight="1" x14ac:dyDescent="0.2">
      <c r="B34" s="356" t="str" cm="1">
        <f t="array" ref="B34">IF(C34="","Skip",IF(AND(Validator!J28=TRUE,Validator!J278=TRUE,Validator!J528=TRUE,Validator!J778=TRUE,Validator!J1028=TRUE,Validator!J1278=TRUE,OR(ISBLANK($R34),ISNUMBER(VALUE(SUBSTITUTE(SUBSTITUTE(SUBSTITUTE(SUBSTITUTE($R34," ",""),"c",""),"C",""),"-","")))),OR(SUMPRODUCT(--($U34=Package_type_code))&gt;0,$U34="",$U34="-")),"Valid","Invalid"))</f>
        <v>Skip</v>
      </c>
      <c r="C34" s="70"/>
      <c r="D34" s="410"/>
      <c r="E34" s="411"/>
      <c r="F34" s="218" t="str">
        <f t="shared" si="0"/>
        <v>-</v>
      </c>
      <c r="G34" s="218"/>
      <c r="H34" s="178" t="str">
        <f t="shared" si="1"/>
        <v>-</v>
      </c>
      <c r="I34" s="203"/>
      <c r="J34" s="416"/>
      <c r="K34" s="400"/>
      <c r="L34" s="415"/>
      <c r="M34" s="322"/>
      <c r="N34" s="587"/>
      <c r="O34" s="403" t="s">
        <v>278</v>
      </c>
      <c r="P34" s="404" t="s">
        <v>77</v>
      </c>
      <c r="Q34" s="358"/>
      <c r="R34" s="320"/>
      <c r="S34" s="359"/>
      <c r="T34" s="359"/>
      <c r="U34" s="94" t="str">
        <f>IF(ISERROR(VLOOKUP($T34, 'Reference data'!$J$2:$K$139, 2, FALSE)),"-",VLOOKUP($T34, 'Reference data'!$J$2:$K$139, 2, FALSE))</f>
        <v>-</v>
      </c>
      <c r="V34" s="320"/>
      <c r="W34" s="320"/>
      <c r="X34" s="324"/>
      <c r="Y34" s="325"/>
      <c r="Z34" s="241"/>
      <c r="AA34" s="362"/>
      <c r="AB34" s="86"/>
      <c r="AC34" s="72"/>
      <c r="AD34" s="71"/>
      <c r="AE34" s="239" t="s">
        <v>278</v>
      </c>
      <c r="AF34" s="243" t="s">
        <v>77</v>
      </c>
    </row>
    <row r="35" spans="2:32" ht="12.75" customHeight="1" x14ac:dyDescent="0.2">
      <c r="B35" s="356" t="str" cm="1">
        <f t="array" ref="B35">IF(C35="","Skip",IF(AND(Validator!J29=TRUE,Validator!J279=TRUE,Validator!J529=TRUE,Validator!J779=TRUE,Validator!J1029=TRUE,Validator!J1279=TRUE,OR(ISBLANK($R35),ISNUMBER(VALUE(SUBSTITUTE(SUBSTITUTE(SUBSTITUTE(SUBSTITUTE($R35," ",""),"c",""),"C",""),"-","")))),OR(SUMPRODUCT(--($U35=Package_type_code))&gt;0,$U35="",$U35="-")),"Valid","Invalid"))</f>
        <v>Skip</v>
      </c>
      <c r="C35" s="70"/>
      <c r="D35" s="410"/>
      <c r="E35" s="411"/>
      <c r="F35" s="218" t="str">
        <f t="shared" si="0"/>
        <v>-</v>
      </c>
      <c r="G35" s="218"/>
      <c r="H35" s="178" t="str">
        <f t="shared" si="1"/>
        <v>-</v>
      </c>
      <c r="I35" s="203"/>
      <c r="J35" s="416"/>
      <c r="K35" s="400"/>
      <c r="L35" s="415"/>
      <c r="M35" s="322"/>
      <c r="N35" s="587"/>
      <c r="O35" s="403" t="s">
        <v>278</v>
      </c>
      <c r="P35" s="404" t="s">
        <v>77</v>
      </c>
      <c r="Q35" s="358"/>
      <c r="R35" s="320"/>
      <c r="S35" s="359"/>
      <c r="T35" s="359"/>
      <c r="U35" s="94" t="str">
        <f>IF(ISERROR(VLOOKUP($T35, 'Reference data'!$J$2:$K$139, 2, FALSE)),"-",VLOOKUP($T35, 'Reference data'!$J$2:$K$139, 2, FALSE))</f>
        <v>-</v>
      </c>
      <c r="V35" s="320"/>
      <c r="W35" s="320"/>
      <c r="X35" s="324"/>
      <c r="Y35" s="325"/>
      <c r="Z35" s="241"/>
      <c r="AA35" s="362"/>
      <c r="AB35" s="86"/>
      <c r="AC35" s="72"/>
      <c r="AD35" s="71"/>
      <c r="AE35" s="239" t="s">
        <v>278</v>
      </c>
      <c r="AF35" s="243" t="s">
        <v>77</v>
      </c>
    </row>
    <row r="36" spans="2:32" ht="12.75" customHeight="1" x14ac:dyDescent="0.2">
      <c r="B36" s="356" t="str" cm="1">
        <f t="array" ref="B36">IF(C36="","Skip",IF(AND(Validator!J30=TRUE,Validator!J280=TRUE,Validator!J530=TRUE,Validator!J780=TRUE,Validator!J1030=TRUE,Validator!J1280=TRUE,OR(ISBLANK($R36),ISNUMBER(VALUE(SUBSTITUTE(SUBSTITUTE(SUBSTITUTE(SUBSTITUTE($R36," ",""),"c",""),"C",""),"-","")))),OR(SUMPRODUCT(--($U36=Package_type_code))&gt;0,$U36="",$U36="-")),"Valid","Invalid"))</f>
        <v>Skip</v>
      </c>
      <c r="C36" s="70"/>
      <c r="D36" s="410"/>
      <c r="E36" s="411"/>
      <c r="F36" s="218" t="str">
        <f t="shared" si="0"/>
        <v>-</v>
      </c>
      <c r="G36" s="218"/>
      <c r="H36" s="178" t="str">
        <f t="shared" si="1"/>
        <v>-</v>
      </c>
      <c r="I36" s="203"/>
      <c r="J36" s="416"/>
      <c r="K36" s="400"/>
      <c r="L36" s="415"/>
      <c r="M36" s="322"/>
      <c r="N36" s="587"/>
      <c r="O36" s="403" t="s">
        <v>278</v>
      </c>
      <c r="P36" s="404" t="s">
        <v>77</v>
      </c>
      <c r="Q36" s="358"/>
      <c r="R36" s="320"/>
      <c r="S36" s="359"/>
      <c r="T36" s="359"/>
      <c r="U36" s="94" t="str">
        <f>IF(ISERROR(VLOOKUP($T36, 'Reference data'!$J$2:$K$139, 2, FALSE)),"-",VLOOKUP($T36, 'Reference data'!$J$2:$K$139, 2, FALSE))</f>
        <v>-</v>
      </c>
      <c r="V36" s="320"/>
      <c r="W36" s="320"/>
      <c r="X36" s="324"/>
      <c r="Y36" s="325"/>
      <c r="Z36" s="241"/>
      <c r="AA36" s="362"/>
      <c r="AB36" s="86"/>
      <c r="AC36" s="72"/>
      <c r="AD36" s="71"/>
      <c r="AE36" s="239" t="s">
        <v>278</v>
      </c>
      <c r="AF36" s="243" t="s">
        <v>77</v>
      </c>
    </row>
    <row r="37" spans="2:32" ht="12.75" customHeight="1" x14ac:dyDescent="0.2">
      <c r="B37" s="356" t="str" cm="1">
        <f t="array" ref="B37">IF(C37="","Skip",IF(AND(Validator!J31=TRUE,Validator!J281=TRUE,Validator!J531=TRUE,Validator!J781=TRUE,Validator!J1031=TRUE,Validator!J1281=TRUE,OR(ISBLANK($R37),ISNUMBER(VALUE(SUBSTITUTE(SUBSTITUTE(SUBSTITUTE(SUBSTITUTE($R37," ",""),"c",""),"C",""),"-","")))),OR(SUMPRODUCT(--($U37=Package_type_code))&gt;0,$U37="",$U37="-")),"Valid","Invalid"))</f>
        <v>Skip</v>
      </c>
      <c r="C37" s="70"/>
      <c r="D37" s="410"/>
      <c r="E37" s="411"/>
      <c r="F37" s="218" t="str">
        <f t="shared" si="0"/>
        <v>-</v>
      </c>
      <c r="G37" s="218"/>
      <c r="H37" s="178" t="str">
        <f t="shared" si="1"/>
        <v>-</v>
      </c>
      <c r="I37" s="203"/>
      <c r="J37" s="416"/>
      <c r="K37" s="400"/>
      <c r="L37" s="415"/>
      <c r="M37" s="322"/>
      <c r="N37" s="587"/>
      <c r="O37" s="403" t="s">
        <v>278</v>
      </c>
      <c r="P37" s="404" t="s">
        <v>77</v>
      </c>
      <c r="Q37" s="358"/>
      <c r="R37" s="320"/>
      <c r="S37" s="359"/>
      <c r="T37" s="359"/>
      <c r="U37" s="94" t="str">
        <f>IF(ISERROR(VLOOKUP($T37, 'Reference data'!$J$2:$K$139, 2, FALSE)),"-",VLOOKUP($T37, 'Reference data'!$J$2:$K$139, 2, FALSE))</f>
        <v>-</v>
      </c>
      <c r="V37" s="320"/>
      <c r="W37" s="320"/>
      <c r="X37" s="324"/>
      <c r="Y37" s="325"/>
      <c r="Z37" s="241"/>
      <c r="AA37" s="362"/>
      <c r="AB37" s="86"/>
      <c r="AC37" s="72"/>
      <c r="AD37" s="71"/>
      <c r="AE37" s="239" t="s">
        <v>278</v>
      </c>
      <c r="AF37" s="243" t="s">
        <v>77</v>
      </c>
    </row>
    <row r="38" spans="2:32" ht="12.75" customHeight="1" x14ac:dyDescent="0.2">
      <c r="B38" s="356" t="str" cm="1">
        <f t="array" ref="B38">IF(C38="","Skip",IF(AND(Validator!J32=TRUE,Validator!J282=TRUE,Validator!J532=TRUE,Validator!J782=TRUE,Validator!J1032=TRUE,Validator!J1282=TRUE,OR(ISBLANK($R38),ISNUMBER(VALUE(SUBSTITUTE(SUBSTITUTE(SUBSTITUTE(SUBSTITUTE($R38," ",""),"c",""),"C",""),"-","")))),OR(SUMPRODUCT(--($U38=Package_type_code))&gt;0,$U38="",$U38="-")),"Valid","Invalid"))</f>
        <v>Skip</v>
      </c>
      <c r="C38" s="70"/>
      <c r="D38" s="410"/>
      <c r="E38" s="411"/>
      <c r="F38" s="218" t="str">
        <f t="shared" si="0"/>
        <v>-</v>
      </c>
      <c r="G38" s="218"/>
      <c r="H38" s="178" t="str">
        <f t="shared" si="1"/>
        <v>-</v>
      </c>
      <c r="I38" s="203"/>
      <c r="J38" s="416"/>
      <c r="K38" s="400"/>
      <c r="L38" s="415"/>
      <c r="M38" s="322"/>
      <c r="N38" s="587"/>
      <c r="O38" s="403" t="s">
        <v>278</v>
      </c>
      <c r="P38" s="404" t="s">
        <v>77</v>
      </c>
      <c r="Q38" s="358"/>
      <c r="R38" s="320"/>
      <c r="S38" s="359"/>
      <c r="T38" s="359"/>
      <c r="U38" s="94" t="str">
        <f>IF(ISERROR(VLOOKUP($T38, 'Reference data'!$J$2:$K$139, 2, FALSE)),"-",VLOOKUP($T38, 'Reference data'!$J$2:$K$139, 2, FALSE))</f>
        <v>-</v>
      </c>
      <c r="V38" s="320"/>
      <c r="W38" s="320"/>
      <c r="X38" s="324"/>
      <c r="Y38" s="325"/>
      <c r="Z38" s="241"/>
      <c r="AA38" s="362"/>
      <c r="AB38" s="86"/>
      <c r="AC38" s="72"/>
      <c r="AD38" s="71"/>
      <c r="AE38" s="239" t="s">
        <v>278</v>
      </c>
      <c r="AF38" s="243" t="s">
        <v>77</v>
      </c>
    </row>
    <row r="39" spans="2:32" ht="12.75" customHeight="1" x14ac:dyDescent="0.2">
      <c r="B39" s="356" t="str" cm="1">
        <f t="array" ref="B39">IF(C39="","Skip",IF(AND(Validator!J33=TRUE,Validator!J283=TRUE,Validator!J533=TRUE,Validator!J783=TRUE,Validator!J1033=TRUE,Validator!J1283=TRUE,OR(ISBLANK($R39),ISNUMBER(VALUE(SUBSTITUTE(SUBSTITUTE(SUBSTITUTE(SUBSTITUTE($R39," ",""),"c",""),"C",""),"-","")))),OR(SUMPRODUCT(--($U39=Package_type_code))&gt;0,$U39="",$U39="-")),"Valid","Invalid"))</f>
        <v>Skip</v>
      </c>
      <c r="C39" s="70"/>
      <c r="D39" s="410"/>
      <c r="E39" s="411"/>
      <c r="F39" s="218" t="str">
        <f t="shared" si="0"/>
        <v>-</v>
      </c>
      <c r="G39" s="218"/>
      <c r="H39" s="178" t="str">
        <f t="shared" si="1"/>
        <v>-</v>
      </c>
      <c r="I39" s="203"/>
      <c r="J39" s="416"/>
      <c r="K39" s="400"/>
      <c r="L39" s="415"/>
      <c r="M39" s="322"/>
      <c r="N39" s="587"/>
      <c r="O39" s="403" t="s">
        <v>278</v>
      </c>
      <c r="P39" s="404" t="s">
        <v>77</v>
      </c>
      <c r="Q39" s="358"/>
      <c r="R39" s="320"/>
      <c r="S39" s="359"/>
      <c r="T39" s="359"/>
      <c r="U39" s="94" t="str">
        <f>IF(ISERROR(VLOOKUP($T39, 'Reference data'!$J$2:$K$139, 2, FALSE)),"-",VLOOKUP($T39, 'Reference data'!$J$2:$K$139, 2, FALSE))</f>
        <v>-</v>
      </c>
      <c r="V39" s="320"/>
      <c r="W39" s="320"/>
      <c r="X39" s="324"/>
      <c r="Y39" s="325"/>
      <c r="Z39" s="241"/>
      <c r="AA39" s="362"/>
      <c r="AB39" s="86"/>
      <c r="AC39" s="72"/>
      <c r="AD39" s="71"/>
      <c r="AE39" s="239" t="s">
        <v>278</v>
      </c>
      <c r="AF39" s="243" t="s">
        <v>77</v>
      </c>
    </row>
    <row r="40" spans="2:32" ht="12.75" customHeight="1" x14ac:dyDescent="0.2">
      <c r="B40" s="356" t="str" cm="1">
        <f t="array" ref="B40">IF(C40="","Skip",IF(AND(Validator!J34=TRUE,Validator!J284=TRUE,Validator!J534=TRUE,Validator!J784=TRUE,Validator!J1034=TRUE,Validator!J1284=TRUE,OR(ISBLANK($R40),ISNUMBER(VALUE(SUBSTITUTE(SUBSTITUTE(SUBSTITUTE(SUBSTITUTE($R40," ",""),"c",""),"C",""),"-","")))),OR(SUMPRODUCT(--($U40=Package_type_code))&gt;0,$U40="",$U40="-")),"Valid","Invalid"))</f>
        <v>Skip</v>
      </c>
      <c r="C40" s="70"/>
      <c r="D40" s="410"/>
      <c r="E40" s="411"/>
      <c r="F40" s="218" t="str">
        <f t="shared" si="0"/>
        <v>-</v>
      </c>
      <c r="G40" s="218"/>
      <c r="H40" s="178" t="str">
        <f t="shared" si="1"/>
        <v>-</v>
      </c>
      <c r="I40" s="203"/>
      <c r="J40" s="416"/>
      <c r="K40" s="400"/>
      <c r="L40" s="415"/>
      <c r="M40" s="322"/>
      <c r="N40" s="587"/>
      <c r="O40" s="403" t="s">
        <v>278</v>
      </c>
      <c r="P40" s="404" t="s">
        <v>77</v>
      </c>
      <c r="Q40" s="358"/>
      <c r="R40" s="320"/>
      <c r="S40" s="359"/>
      <c r="T40" s="359"/>
      <c r="U40" s="94" t="str">
        <f>IF(ISERROR(VLOOKUP($T40, 'Reference data'!$J$2:$K$139, 2, FALSE)),"-",VLOOKUP($T40, 'Reference data'!$J$2:$K$139, 2, FALSE))</f>
        <v>-</v>
      </c>
      <c r="V40" s="320"/>
      <c r="W40" s="320"/>
      <c r="X40" s="324"/>
      <c r="Y40" s="325"/>
      <c r="Z40" s="241"/>
      <c r="AA40" s="362"/>
      <c r="AB40" s="86"/>
      <c r="AC40" s="72"/>
      <c r="AD40" s="71"/>
      <c r="AE40" s="239" t="s">
        <v>278</v>
      </c>
      <c r="AF40" s="243" t="s">
        <v>77</v>
      </c>
    </row>
    <row r="41" spans="2:32" ht="12.75" customHeight="1" x14ac:dyDescent="0.2">
      <c r="B41" s="356" t="str" cm="1">
        <f t="array" ref="B41">IF(C41="","Skip",IF(AND(Validator!J35=TRUE,Validator!J285=TRUE,Validator!J535=TRUE,Validator!J785=TRUE,Validator!J1035=TRUE,Validator!J1285=TRUE,OR(ISBLANK($R41),ISNUMBER(VALUE(SUBSTITUTE(SUBSTITUTE(SUBSTITUTE(SUBSTITUTE($R41," ",""),"c",""),"C",""),"-","")))),OR(SUMPRODUCT(--($U41=Package_type_code))&gt;0,$U41="",$U41="-")),"Valid","Invalid"))</f>
        <v>Skip</v>
      </c>
      <c r="C41" s="70"/>
      <c r="D41" s="410"/>
      <c r="E41" s="411"/>
      <c r="F41" s="218" t="str">
        <f t="shared" si="0"/>
        <v>-</v>
      </c>
      <c r="G41" s="218"/>
      <c r="H41" s="178" t="str">
        <f t="shared" si="1"/>
        <v>-</v>
      </c>
      <c r="I41" s="203"/>
      <c r="J41" s="416"/>
      <c r="K41" s="400"/>
      <c r="L41" s="415"/>
      <c r="M41" s="322"/>
      <c r="N41" s="587"/>
      <c r="O41" s="403" t="s">
        <v>278</v>
      </c>
      <c r="P41" s="404" t="s">
        <v>77</v>
      </c>
      <c r="Q41" s="358"/>
      <c r="R41" s="320"/>
      <c r="S41" s="359"/>
      <c r="T41" s="359"/>
      <c r="U41" s="94" t="str">
        <f>IF(ISERROR(VLOOKUP($T41, 'Reference data'!$J$2:$K$139, 2, FALSE)),"-",VLOOKUP($T41, 'Reference data'!$J$2:$K$139, 2, FALSE))</f>
        <v>-</v>
      </c>
      <c r="V41" s="320"/>
      <c r="W41" s="320"/>
      <c r="X41" s="324"/>
      <c r="Y41" s="325"/>
      <c r="Z41" s="241"/>
      <c r="AA41" s="362"/>
      <c r="AB41" s="86"/>
      <c r="AC41" s="72"/>
      <c r="AD41" s="71"/>
      <c r="AE41" s="239" t="s">
        <v>278</v>
      </c>
      <c r="AF41" s="243" t="s">
        <v>77</v>
      </c>
    </row>
    <row r="42" spans="2:32" ht="12.75" customHeight="1" x14ac:dyDescent="0.2">
      <c r="B42" s="356" t="str" cm="1">
        <f t="array" ref="B42">IF(C42="","Skip",IF(AND(Validator!J36=TRUE,Validator!J286=TRUE,Validator!J536=TRUE,Validator!J786=TRUE,Validator!J1036=TRUE,Validator!J1286=TRUE,OR(ISBLANK($R42),ISNUMBER(VALUE(SUBSTITUTE(SUBSTITUTE(SUBSTITUTE(SUBSTITUTE($R42," ",""),"c",""),"C",""),"-","")))),OR(SUMPRODUCT(--($U42=Package_type_code))&gt;0,$U42="",$U42="-")),"Valid","Invalid"))</f>
        <v>Skip</v>
      </c>
      <c r="C42" s="70"/>
      <c r="D42" s="410"/>
      <c r="E42" s="411"/>
      <c r="F42" s="218" t="str">
        <f t="shared" si="0"/>
        <v>-</v>
      </c>
      <c r="G42" s="218"/>
      <c r="H42" s="178" t="str">
        <f t="shared" si="1"/>
        <v>-</v>
      </c>
      <c r="I42" s="203"/>
      <c r="J42" s="416"/>
      <c r="K42" s="400"/>
      <c r="L42" s="415"/>
      <c r="M42" s="322"/>
      <c r="N42" s="587"/>
      <c r="O42" s="403" t="s">
        <v>278</v>
      </c>
      <c r="P42" s="404" t="s">
        <v>77</v>
      </c>
      <c r="Q42" s="358"/>
      <c r="R42" s="320"/>
      <c r="S42" s="359"/>
      <c r="T42" s="359"/>
      <c r="U42" s="94" t="str">
        <f>IF(ISERROR(VLOOKUP($T42, 'Reference data'!$J$2:$K$139, 2, FALSE)),"-",VLOOKUP($T42, 'Reference data'!$J$2:$K$139, 2, FALSE))</f>
        <v>-</v>
      </c>
      <c r="V42" s="320"/>
      <c r="W42" s="320"/>
      <c r="X42" s="324"/>
      <c r="Y42" s="325"/>
      <c r="Z42" s="241"/>
      <c r="AA42" s="362"/>
      <c r="AB42" s="86"/>
      <c r="AC42" s="72"/>
      <c r="AD42" s="71"/>
      <c r="AE42" s="239" t="s">
        <v>278</v>
      </c>
      <c r="AF42" s="243" t="s">
        <v>77</v>
      </c>
    </row>
    <row r="43" spans="2:32" ht="12.75" customHeight="1" x14ac:dyDescent="0.2">
      <c r="B43" s="356" t="str" cm="1">
        <f t="array" ref="B43">IF(C43="","Skip",IF(AND(Validator!J37=TRUE,Validator!J287=TRUE,Validator!J537=TRUE,Validator!J787=TRUE,Validator!J1037=TRUE,Validator!J1287=TRUE,OR(ISBLANK($R43),ISNUMBER(VALUE(SUBSTITUTE(SUBSTITUTE(SUBSTITUTE(SUBSTITUTE($R43," ",""),"c",""),"C",""),"-","")))),OR(SUMPRODUCT(--($U43=Package_type_code))&gt;0,$U43="",$U43="-")),"Valid","Invalid"))</f>
        <v>Skip</v>
      </c>
      <c r="C43" s="70"/>
      <c r="D43" s="410"/>
      <c r="E43" s="411"/>
      <c r="F43" s="218" t="str">
        <f t="shared" si="0"/>
        <v>-</v>
      </c>
      <c r="G43" s="218"/>
      <c r="H43" s="178" t="str">
        <f t="shared" si="1"/>
        <v>-</v>
      </c>
      <c r="I43" s="203"/>
      <c r="J43" s="416"/>
      <c r="K43" s="400"/>
      <c r="L43" s="415"/>
      <c r="M43" s="322"/>
      <c r="N43" s="587"/>
      <c r="O43" s="403" t="s">
        <v>278</v>
      </c>
      <c r="P43" s="404" t="s">
        <v>77</v>
      </c>
      <c r="Q43" s="358"/>
      <c r="R43" s="320"/>
      <c r="S43" s="359"/>
      <c r="T43" s="359"/>
      <c r="U43" s="94" t="str">
        <f>IF(ISERROR(VLOOKUP($T43, 'Reference data'!$J$2:$K$139, 2, FALSE)),"-",VLOOKUP($T43, 'Reference data'!$J$2:$K$139, 2, FALSE))</f>
        <v>-</v>
      </c>
      <c r="V43" s="320"/>
      <c r="W43" s="320"/>
      <c r="X43" s="324"/>
      <c r="Y43" s="325"/>
      <c r="Z43" s="241"/>
      <c r="AA43" s="362"/>
      <c r="AB43" s="86"/>
      <c r="AC43" s="72"/>
      <c r="AD43" s="71"/>
      <c r="AE43" s="239" t="s">
        <v>278</v>
      </c>
      <c r="AF43" s="243" t="s">
        <v>77</v>
      </c>
    </row>
    <row r="44" spans="2:32" ht="12.75" customHeight="1" x14ac:dyDescent="0.2">
      <c r="B44" s="356" t="str" cm="1">
        <f t="array" ref="B44">IF(C44="","Skip",IF(AND(Validator!J38=TRUE,Validator!J288=TRUE,Validator!J538=TRUE,Validator!J788=TRUE,Validator!J1038=TRUE,Validator!J1288=TRUE,OR(ISBLANK($R44),ISNUMBER(VALUE(SUBSTITUTE(SUBSTITUTE(SUBSTITUTE(SUBSTITUTE($R44," ",""),"c",""),"C",""),"-","")))),OR(SUMPRODUCT(--($U44=Package_type_code))&gt;0,$U44="",$U44="-")),"Valid","Invalid"))</f>
        <v>Skip</v>
      </c>
      <c r="C44" s="70"/>
      <c r="D44" s="410"/>
      <c r="E44" s="411"/>
      <c r="F44" s="218" t="str">
        <f t="shared" si="0"/>
        <v>-</v>
      </c>
      <c r="G44" s="218"/>
      <c r="H44" s="178" t="str">
        <f t="shared" si="1"/>
        <v>-</v>
      </c>
      <c r="I44" s="203"/>
      <c r="J44" s="416"/>
      <c r="K44" s="400"/>
      <c r="L44" s="415"/>
      <c r="M44" s="322"/>
      <c r="N44" s="587"/>
      <c r="O44" s="403" t="s">
        <v>278</v>
      </c>
      <c r="P44" s="404" t="s">
        <v>77</v>
      </c>
      <c r="Q44" s="358"/>
      <c r="R44" s="320"/>
      <c r="S44" s="359"/>
      <c r="T44" s="359"/>
      <c r="U44" s="94" t="str">
        <f>IF(ISERROR(VLOOKUP($T44, 'Reference data'!$J$2:$K$139, 2, FALSE)),"-",VLOOKUP($T44, 'Reference data'!$J$2:$K$139, 2, FALSE))</f>
        <v>-</v>
      </c>
      <c r="V44" s="320"/>
      <c r="W44" s="320"/>
      <c r="X44" s="324"/>
      <c r="Y44" s="325"/>
      <c r="Z44" s="241"/>
      <c r="AA44" s="362"/>
      <c r="AB44" s="86"/>
      <c r="AC44" s="72"/>
      <c r="AD44" s="71"/>
      <c r="AE44" s="239" t="s">
        <v>278</v>
      </c>
      <c r="AF44" s="243" t="s">
        <v>77</v>
      </c>
    </row>
    <row r="45" spans="2:32" ht="12.75" customHeight="1" x14ac:dyDescent="0.2">
      <c r="B45" s="356" t="str" cm="1">
        <f t="array" ref="B45">IF(C45="","Skip",IF(AND(Validator!J39=TRUE,Validator!J289=TRUE,Validator!J539=TRUE,Validator!J789=TRUE,Validator!J1039=TRUE,Validator!J1289=TRUE,OR(ISBLANK($R45),ISNUMBER(VALUE(SUBSTITUTE(SUBSTITUTE(SUBSTITUTE(SUBSTITUTE($R45," ",""),"c",""),"C",""),"-","")))),OR(SUMPRODUCT(--($U45=Package_type_code))&gt;0,$U45="",$U45="-")),"Valid","Invalid"))</f>
        <v>Skip</v>
      </c>
      <c r="C45" s="70"/>
      <c r="D45" s="410"/>
      <c r="E45" s="411"/>
      <c r="F45" s="218" t="str">
        <f t="shared" si="0"/>
        <v>-</v>
      </c>
      <c r="G45" s="218"/>
      <c r="H45" s="178" t="str">
        <f t="shared" si="1"/>
        <v>-</v>
      </c>
      <c r="I45" s="203"/>
      <c r="J45" s="416"/>
      <c r="K45" s="400"/>
      <c r="L45" s="415"/>
      <c r="M45" s="322"/>
      <c r="N45" s="587"/>
      <c r="O45" s="403" t="s">
        <v>278</v>
      </c>
      <c r="P45" s="404" t="s">
        <v>77</v>
      </c>
      <c r="Q45" s="358"/>
      <c r="R45" s="320"/>
      <c r="S45" s="359"/>
      <c r="T45" s="359"/>
      <c r="U45" s="94" t="str">
        <f>IF(ISERROR(VLOOKUP($T45, 'Reference data'!$J$2:$K$139, 2, FALSE)),"-",VLOOKUP($T45, 'Reference data'!$J$2:$K$139, 2, FALSE))</f>
        <v>-</v>
      </c>
      <c r="V45" s="320"/>
      <c r="W45" s="320"/>
      <c r="X45" s="324"/>
      <c r="Y45" s="325"/>
      <c r="Z45" s="241"/>
      <c r="AA45" s="362"/>
      <c r="AB45" s="86"/>
      <c r="AC45" s="72"/>
      <c r="AD45" s="71"/>
      <c r="AE45" s="239" t="s">
        <v>278</v>
      </c>
      <c r="AF45" s="243" t="s">
        <v>77</v>
      </c>
    </row>
    <row r="46" spans="2:32" ht="12.75" customHeight="1" x14ac:dyDescent="0.2">
      <c r="B46" s="356" t="str" cm="1">
        <f t="array" ref="B46">IF(C46="","Skip",IF(AND(Validator!J40=TRUE,Validator!J290=TRUE,Validator!J540=TRUE,Validator!J790=TRUE,Validator!J1040=TRUE,Validator!J1290=TRUE,OR(ISBLANK($R46),ISNUMBER(VALUE(SUBSTITUTE(SUBSTITUTE(SUBSTITUTE(SUBSTITUTE($R46," ",""),"c",""),"C",""),"-","")))),OR(SUMPRODUCT(--($U46=Package_type_code))&gt;0,$U46="",$U46="-")),"Valid","Invalid"))</f>
        <v>Skip</v>
      </c>
      <c r="C46" s="70"/>
      <c r="D46" s="410"/>
      <c r="E46" s="411"/>
      <c r="F46" s="218" t="str">
        <f t="shared" si="0"/>
        <v>-</v>
      </c>
      <c r="G46" s="218"/>
      <c r="H46" s="178" t="str">
        <f t="shared" si="1"/>
        <v>-</v>
      </c>
      <c r="I46" s="203"/>
      <c r="J46" s="416"/>
      <c r="K46" s="400"/>
      <c r="L46" s="415"/>
      <c r="M46" s="322"/>
      <c r="N46" s="587"/>
      <c r="O46" s="403" t="s">
        <v>278</v>
      </c>
      <c r="P46" s="404" t="s">
        <v>77</v>
      </c>
      <c r="Q46" s="358"/>
      <c r="R46" s="320"/>
      <c r="S46" s="359"/>
      <c r="T46" s="359"/>
      <c r="U46" s="94" t="str">
        <f>IF(ISERROR(VLOOKUP($T46, 'Reference data'!$J$2:$K$139, 2, FALSE)),"-",VLOOKUP($T46, 'Reference data'!$J$2:$K$139, 2, FALSE))</f>
        <v>-</v>
      </c>
      <c r="V46" s="320"/>
      <c r="W46" s="320"/>
      <c r="X46" s="324"/>
      <c r="Y46" s="325"/>
      <c r="Z46" s="241"/>
      <c r="AA46" s="362"/>
      <c r="AB46" s="86"/>
      <c r="AC46" s="72"/>
      <c r="AD46" s="71"/>
      <c r="AE46" s="239" t="s">
        <v>278</v>
      </c>
      <c r="AF46" s="243" t="s">
        <v>77</v>
      </c>
    </row>
    <row r="47" spans="2:32" ht="12.75" customHeight="1" x14ac:dyDescent="0.2">
      <c r="B47" s="356" t="str" cm="1">
        <f t="array" ref="B47">IF(C47="","Skip",IF(AND(Validator!J41=TRUE,Validator!J291=TRUE,Validator!J541=TRUE,Validator!J791=TRUE,Validator!J1041=TRUE,Validator!J1291=TRUE,OR(ISBLANK($R47),ISNUMBER(VALUE(SUBSTITUTE(SUBSTITUTE(SUBSTITUTE(SUBSTITUTE($R47," ",""),"c",""),"C",""),"-","")))),OR(SUMPRODUCT(--($U47=Package_type_code))&gt;0,$U47="",$U47="-")),"Valid","Invalid"))</f>
        <v>Skip</v>
      </c>
      <c r="C47" s="70"/>
      <c r="D47" s="410"/>
      <c r="E47" s="411"/>
      <c r="F47" s="218" t="str">
        <f t="shared" si="0"/>
        <v>-</v>
      </c>
      <c r="G47" s="218"/>
      <c r="H47" s="178" t="str">
        <f t="shared" si="1"/>
        <v>-</v>
      </c>
      <c r="I47" s="203"/>
      <c r="J47" s="416"/>
      <c r="K47" s="400"/>
      <c r="L47" s="415"/>
      <c r="M47" s="322"/>
      <c r="N47" s="587"/>
      <c r="O47" s="403" t="s">
        <v>278</v>
      </c>
      <c r="P47" s="404" t="s">
        <v>77</v>
      </c>
      <c r="Q47" s="358"/>
      <c r="R47" s="320"/>
      <c r="S47" s="359"/>
      <c r="T47" s="359"/>
      <c r="U47" s="94" t="str">
        <f>IF(ISERROR(VLOOKUP($T47, 'Reference data'!$J$2:$K$139, 2, FALSE)),"-",VLOOKUP($T47, 'Reference data'!$J$2:$K$139, 2, FALSE))</f>
        <v>-</v>
      </c>
      <c r="V47" s="320"/>
      <c r="W47" s="320"/>
      <c r="X47" s="324"/>
      <c r="Y47" s="325"/>
      <c r="Z47" s="241"/>
      <c r="AA47" s="362"/>
      <c r="AB47" s="86"/>
      <c r="AC47" s="72"/>
      <c r="AD47" s="71"/>
      <c r="AE47" s="239" t="s">
        <v>278</v>
      </c>
      <c r="AF47" s="243" t="s">
        <v>77</v>
      </c>
    </row>
    <row r="48" spans="2:32" ht="12.75" customHeight="1" x14ac:dyDescent="0.2">
      <c r="B48" s="356" t="str" cm="1">
        <f t="array" ref="B48">IF(C48="","Skip",IF(AND(Validator!J42=TRUE,Validator!J292=TRUE,Validator!J542=TRUE,Validator!J792=TRUE,Validator!J1042=TRUE,Validator!J1292=TRUE,OR(ISBLANK($R48),ISNUMBER(VALUE(SUBSTITUTE(SUBSTITUTE(SUBSTITUTE(SUBSTITUTE($R48," ",""),"c",""),"C",""),"-","")))),OR(SUMPRODUCT(--($U48=Package_type_code))&gt;0,$U48="",$U48="-")),"Valid","Invalid"))</f>
        <v>Skip</v>
      </c>
      <c r="C48" s="70"/>
      <c r="D48" s="410"/>
      <c r="E48" s="411"/>
      <c r="F48" s="218" t="str">
        <f t="shared" si="0"/>
        <v>-</v>
      </c>
      <c r="G48" s="218"/>
      <c r="H48" s="178" t="str">
        <f t="shared" si="1"/>
        <v>-</v>
      </c>
      <c r="I48" s="203"/>
      <c r="J48" s="416"/>
      <c r="K48" s="400"/>
      <c r="L48" s="415"/>
      <c r="M48" s="322"/>
      <c r="N48" s="587"/>
      <c r="O48" s="403" t="s">
        <v>278</v>
      </c>
      <c r="P48" s="404" t="s">
        <v>77</v>
      </c>
      <c r="Q48" s="358"/>
      <c r="R48" s="320"/>
      <c r="S48" s="359"/>
      <c r="T48" s="359"/>
      <c r="U48" s="94" t="str">
        <f>IF(ISERROR(VLOOKUP($T48, 'Reference data'!$J$2:$K$139, 2, FALSE)),"-",VLOOKUP($T48, 'Reference data'!$J$2:$K$139, 2, FALSE))</f>
        <v>-</v>
      </c>
      <c r="V48" s="320"/>
      <c r="W48" s="320"/>
      <c r="X48" s="324"/>
      <c r="Y48" s="325"/>
      <c r="Z48" s="241"/>
      <c r="AA48" s="362"/>
      <c r="AB48" s="86"/>
      <c r="AC48" s="72"/>
      <c r="AD48" s="71"/>
      <c r="AE48" s="239" t="s">
        <v>278</v>
      </c>
      <c r="AF48" s="243" t="s">
        <v>77</v>
      </c>
    </row>
    <row r="49" spans="2:32" ht="12.75" customHeight="1" x14ac:dyDescent="0.2">
      <c r="B49" s="356" t="str" cm="1">
        <f t="array" ref="B49">IF(C49="","Skip",IF(AND(Validator!J43=TRUE,Validator!J293=TRUE,Validator!J543=TRUE,Validator!J793=TRUE,Validator!J1043=TRUE,Validator!J1293=TRUE,OR(ISBLANK($R49),ISNUMBER(VALUE(SUBSTITUTE(SUBSTITUTE(SUBSTITUTE(SUBSTITUTE($R49," ",""),"c",""),"C",""),"-","")))),OR(SUMPRODUCT(--($U49=Package_type_code))&gt;0,$U49="",$U49="-")),"Valid","Invalid"))</f>
        <v>Skip</v>
      </c>
      <c r="C49" s="70"/>
      <c r="D49" s="410"/>
      <c r="E49" s="411"/>
      <c r="F49" s="218" t="str">
        <f t="shared" si="0"/>
        <v>-</v>
      </c>
      <c r="G49" s="218"/>
      <c r="H49" s="178" t="str">
        <f t="shared" si="1"/>
        <v>-</v>
      </c>
      <c r="I49" s="203"/>
      <c r="J49" s="416"/>
      <c r="K49" s="400"/>
      <c r="L49" s="415"/>
      <c r="M49" s="322"/>
      <c r="N49" s="587"/>
      <c r="O49" s="403" t="s">
        <v>278</v>
      </c>
      <c r="P49" s="404" t="s">
        <v>77</v>
      </c>
      <c r="Q49" s="358"/>
      <c r="R49" s="320"/>
      <c r="S49" s="359"/>
      <c r="T49" s="359"/>
      <c r="U49" s="94" t="str">
        <f>IF(ISERROR(VLOOKUP($T49, 'Reference data'!$J$2:$K$139, 2, FALSE)),"-",VLOOKUP($T49, 'Reference data'!$J$2:$K$139, 2, FALSE))</f>
        <v>-</v>
      </c>
      <c r="V49" s="320"/>
      <c r="W49" s="320"/>
      <c r="X49" s="324"/>
      <c r="Y49" s="325"/>
      <c r="Z49" s="241"/>
      <c r="AA49" s="362"/>
      <c r="AB49" s="86"/>
      <c r="AC49" s="72"/>
      <c r="AD49" s="71"/>
      <c r="AE49" s="239" t="s">
        <v>278</v>
      </c>
      <c r="AF49" s="243" t="s">
        <v>77</v>
      </c>
    </row>
    <row r="50" spans="2:32" ht="12.75" customHeight="1" x14ac:dyDescent="0.2">
      <c r="B50" s="356" t="str" cm="1">
        <f t="array" ref="B50">IF(C50="","Skip",IF(AND(Validator!J44=TRUE,Validator!J294=TRUE,Validator!J544=TRUE,Validator!J794=TRUE,Validator!J1044=TRUE,Validator!J1294=TRUE,OR(ISBLANK($R50),ISNUMBER(VALUE(SUBSTITUTE(SUBSTITUTE(SUBSTITUTE(SUBSTITUTE($R50," ",""),"c",""),"C",""),"-","")))),OR(SUMPRODUCT(--($U50=Package_type_code))&gt;0,$U50="",$U50="-")),"Valid","Invalid"))</f>
        <v>Skip</v>
      </c>
      <c r="C50" s="70"/>
      <c r="D50" s="410"/>
      <c r="E50" s="411"/>
      <c r="F50" s="218" t="str">
        <f t="shared" si="0"/>
        <v>-</v>
      </c>
      <c r="G50" s="218"/>
      <c r="H50" s="178" t="str">
        <f t="shared" si="1"/>
        <v>-</v>
      </c>
      <c r="I50" s="203"/>
      <c r="J50" s="416"/>
      <c r="K50" s="400"/>
      <c r="L50" s="415"/>
      <c r="M50" s="322"/>
      <c r="N50" s="587"/>
      <c r="O50" s="403" t="s">
        <v>278</v>
      </c>
      <c r="P50" s="404" t="s">
        <v>77</v>
      </c>
      <c r="Q50" s="358"/>
      <c r="R50" s="320"/>
      <c r="S50" s="359"/>
      <c r="T50" s="359"/>
      <c r="U50" s="94" t="str">
        <f>IF(ISERROR(VLOOKUP($T50, 'Reference data'!$J$2:$K$139, 2, FALSE)),"-",VLOOKUP($T50, 'Reference data'!$J$2:$K$139, 2, FALSE))</f>
        <v>-</v>
      </c>
      <c r="V50" s="320"/>
      <c r="W50" s="320"/>
      <c r="X50" s="324"/>
      <c r="Y50" s="325"/>
      <c r="Z50" s="241"/>
      <c r="AA50" s="362"/>
      <c r="AB50" s="86"/>
      <c r="AC50" s="72"/>
      <c r="AD50" s="71"/>
      <c r="AE50" s="239" t="s">
        <v>278</v>
      </c>
      <c r="AF50" s="243" t="s">
        <v>77</v>
      </c>
    </row>
    <row r="51" spans="2:32" ht="12.75" customHeight="1" x14ac:dyDescent="0.2">
      <c r="B51" s="356" t="str" cm="1">
        <f t="array" ref="B51">IF(C51="","Skip",IF(AND(Validator!J45=TRUE,Validator!J295=TRUE,Validator!J545=TRUE,Validator!J795=TRUE,Validator!J1045=TRUE,Validator!J1295=TRUE,OR(ISBLANK($R51),ISNUMBER(VALUE(SUBSTITUTE(SUBSTITUTE(SUBSTITUTE(SUBSTITUTE($R51," ",""),"c",""),"C",""),"-","")))),OR(SUMPRODUCT(--($U51=Package_type_code))&gt;0,$U51="",$U51="-")),"Valid","Invalid"))</f>
        <v>Skip</v>
      </c>
      <c r="C51" s="70"/>
      <c r="D51" s="410"/>
      <c r="E51" s="411"/>
      <c r="F51" s="218" t="str">
        <f t="shared" si="0"/>
        <v>-</v>
      </c>
      <c r="G51" s="218"/>
      <c r="H51" s="178" t="str">
        <f t="shared" si="1"/>
        <v>-</v>
      </c>
      <c r="I51" s="203"/>
      <c r="J51" s="416"/>
      <c r="K51" s="400"/>
      <c r="L51" s="415"/>
      <c r="M51" s="322"/>
      <c r="N51" s="587"/>
      <c r="O51" s="403" t="s">
        <v>278</v>
      </c>
      <c r="P51" s="404" t="s">
        <v>77</v>
      </c>
      <c r="Q51" s="358"/>
      <c r="R51" s="320"/>
      <c r="S51" s="359"/>
      <c r="T51" s="359"/>
      <c r="U51" s="94" t="str">
        <f>IF(ISERROR(VLOOKUP($T51, 'Reference data'!$J$2:$K$139, 2, FALSE)),"-",VLOOKUP($T51, 'Reference data'!$J$2:$K$139, 2, FALSE))</f>
        <v>-</v>
      </c>
      <c r="V51" s="320"/>
      <c r="W51" s="320"/>
      <c r="X51" s="324"/>
      <c r="Y51" s="325"/>
      <c r="Z51" s="241"/>
      <c r="AA51" s="362"/>
      <c r="AB51" s="86"/>
      <c r="AC51" s="72"/>
      <c r="AD51" s="71"/>
      <c r="AE51" s="239" t="s">
        <v>278</v>
      </c>
      <c r="AF51" s="243" t="s">
        <v>77</v>
      </c>
    </row>
    <row r="52" spans="2:32" ht="12.75" customHeight="1" x14ac:dyDescent="0.2">
      <c r="B52" s="356" t="str" cm="1">
        <f t="array" ref="B52">IF(C52="","Skip",IF(AND(Validator!J46=TRUE,Validator!J296=TRUE,Validator!J546=TRUE,Validator!J796=TRUE,Validator!J1046=TRUE,Validator!J1296=TRUE,OR(ISBLANK($R52),ISNUMBER(VALUE(SUBSTITUTE(SUBSTITUTE(SUBSTITUTE(SUBSTITUTE($R52," ",""),"c",""),"C",""),"-","")))),OR(SUMPRODUCT(--($U52=Package_type_code))&gt;0,$U52="",$U52="-")),"Valid","Invalid"))</f>
        <v>Skip</v>
      </c>
      <c r="C52" s="70"/>
      <c r="D52" s="410"/>
      <c r="E52" s="411"/>
      <c r="F52" s="218" t="str">
        <f t="shared" si="0"/>
        <v>-</v>
      </c>
      <c r="G52" s="218"/>
      <c r="H52" s="178" t="str">
        <f t="shared" si="1"/>
        <v>-</v>
      </c>
      <c r="I52" s="203"/>
      <c r="J52" s="416"/>
      <c r="K52" s="400"/>
      <c r="L52" s="415"/>
      <c r="M52" s="322"/>
      <c r="N52" s="587"/>
      <c r="O52" s="403" t="s">
        <v>278</v>
      </c>
      <c r="P52" s="404" t="s">
        <v>77</v>
      </c>
      <c r="Q52" s="358"/>
      <c r="R52" s="320"/>
      <c r="S52" s="359"/>
      <c r="T52" s="359"/>
      <c r="U52" s="94" t="str">
        <f>IF(ISERROR(VLOOKUP($T52, 'Reference data'!$J$2:$K$139, 2, FALSE)),"-",VLOOKUP($T52, 'Reference data'!$J$2:$K$139, 2, FALSE))</f>
        <v>-</v>
      </c>
      <c r="V52" s="320"/>
      <c r="W52" s="320"/>
      <c r="X52" s="324"/>
      <c r="Y52" s="325"/>
      <c r="Z52" s="241"/>
      <c r="AA52" s="362"/>
      <c r="AB52" s="86"/>
      <c r="AC52" s="72"/>
      <c r="AD52" s="71"/>
      <c r="AE52" s="239" t="s">
        <v>278</v>
      </c>
      <c r="AF52" s="243" t="s">
        <v>77</v>
      </c>
    </row>
    <row r="53" spans="2:32" ht="12.75" customHeight="1" x14ac:dyDescent="0.2">
      <c r="B53" s="356" t="str" cm="1">
        <f t="array" ref="B53">IF(C53="","Skip",IF(AND(Validator!J47=TRUE,Validator!J297=TRUE,Validator!J547=TRUE,Validator!J797=TRUE,Validator!J1047=TRUE,Validator!J1297=TRUE,OR(ISBLANK($R53),ISNUMBER(VALUE(SUBSTITUTE(SUBSTITUTE(SUBSTITUTE(SUBSTITUTE($R53," ",""),"c",""),"C",""),"-","")))),OR(SUMPRODUCT(--($U53=Package_type_code))&gt;0,$U53="",$U53="-")),"Valid","Invalid"))</f>
        <v>Skip</v>
      </c>
      <c r="C53" s="70"/>
      <c r="D53" s="410"/>
      <c r="E53" s="411"/>
      <c r="F53" s="218" t="str">
        <f t="shared" si="0"/>
        <v>-</v>
      </c>
      <c r="G53" s="218"/>
      <c r="H53" s="178" t="str">
        <f t="shared" si="1"/>
        <v>-</v>
      </c>
      <c r="I53" s="203"/>
      <c r="J53" s="416"/>
      <c r="K53" s="400"/>
      <c r="L53" s="415"/>
      <c r="M53" s="322"/>
      <c r="N53" s="587"/>
      <c r="O53" s="403" t="s">
        <v>278</v>
      </c>
      <c r="P53" s="404" t="s">
        <v>77</v>
      </c>
      <c r="Q53" s="358"/>
      <c r="R53" s="320"/>
      <c r="S53" s="359"/>
      <c r="T53" s="359"/>
      <c r="U53" s="94" t="str">
        <f>IF(ISERROR(VLOOKUP($T53, 'Reference data'!$J$2:$K$139, 2, FALSE)),"-",VLOOKUP($T53, 'Reference data'!$J$2:$K$139, 2, FALSE))</f>
        <v>-</v>
      </c>
      <c r="V53" s="320"/>
      <c r="W53" s="320"/>
      <c r="X53" s="324"/>
      <c r="Y53" s="325"/>
      <c r="Z53" s="241"/>
      <c r="AA53" s="362"/>
      <c r="AB53" s="86"/>
      <c r="AC53" s="72"/>
      <c r="AD53" s="71"/>
      <c r="AE53" s="239" t="s">
        <v>278</v>
      </c>
      <c r="AF53" s="243" t="s">
        <v>77</v>
      </c>
    </row>
    <row r="54" spans="2:32" ht="12.75" customHeight="1" x14ac:dyDescent="0.2">
      <c r="B54" s="356" t="str" cm="1">
        <f t="array" ref="B54">IF(C54="","Skip",IF(AND(Validator!J48=TRUE,Validator!J298=TRUE,Validator!J548=TRUE,Validator!J798=TRUE,Validator!J1048=TRUE,Validator!J1298=TRUE,OR(ISBLANK($R54),ISNUMBER(VALUE(SUBSTITUTE(SUBSTITUTE(SUBSTITUTE(SUBSTITUTE($R54," ",""),"c",""),"C",""),"-","")))),OR(SUMPRODUCT(--($U54=Package_type_code))&gt;0,$U54="",$U54="-")),"Valid","Invalid"))</f>
        <v>Skip</v>
      </c>
      <c r="C54" s="70"/>
      <c r="D54" s="410"/>
      <c r="E54" s="411"/>
      <c r="F54" s="218" t="str">
        <f t="shared" si="0"/>
        <v>-</v>
      </c>
      <c r="G54" s="218"/>
      <c r="H54" s="178" t="str">
        <f t="shared" si="1"/>
        <v>-</v>
      </c>
      <c r="I54" s="203"/>
      <c r="J54" s="416"/>
      <c r="K54" s="400"/>
      <c r="L54" s="415"/>
      <c r="M54" s="322"/>
      <c r="N54" s="587"/>
      <c r="O54" s="403" t="s">
        <v>278</v>
      </c>
      <c r="P54" s="404" t="s">
        <v>77</v>
      </c>
      <c r="Q54" s="358"/>
      <c r="R54" s="320"/>
      <c r="S54" s="359"/>
      <c r="T54" s="359"/>
      <c r="U54" s="94" t="str">
        <f>IF(ISERROR(VLOOKUP($T54, 'Reference data'!$J$2:$K$139, 2, FALSE)),"-",VLOOKUP($T54, 'Reference data'!$J$2:$K$139, 2, FALSE))</f>
        <v>-</v>
      </c>
      <c r="V54" s="320"/>
      <c r="W54" s="320"/>
      <c r="X54" s="324"/>
      <c r="Y54" s="325"/>
      <c r="Z54" s="241"/>
      <c r="AA54" s="362"/>
      <c r="AB54" s="86"/>
      <c r="AC54" s="72"/>
      <c r="AD54" s="71"/>
      <c r="AE54" s="239" t="s">
        <v>278</v>
      </c>
      <c r="AF54" s="243" t="s">
        <v>77</v>
      </c>
    </row>
    <row r="55" spans="2:32" ht="12.75" customHeight="1" x14ac:dyDescent="0.2">
      <c r="B55" s="356" t="str" cm="1">
        <f t="array" ref="B55">IF(C55="","Skip",IF(AND(Validator!J49=TRUE,Validator!J299=TRUE,Validator!J549=TRUE,Validator!J799=TRUE,Validator!J1049=TRUE,Validator!J1299=TRUE,OR(ISBLANK($R55),ISNUMBER(VALUE(SUBSTITUTE(SUBSTITUTE(SUBSTITUTE(SUBSTITUTE($R55," ",""),"c",""),"C",""),"-","")))),OR(SUMPRODUCT(--($U55=Package_type_code))&gt;0,$U55="",$U55="-")),"Valid","Invalid"))</f>
        <v>Skip</v>
      </c>
      <c r="C55" s="70"/>
      <c r="D55" s="410"/>
      <c r="E55" s="411"/>
      <c r="F55" s="218" t="str">
        <f t="shared" si="0"/>
        <v>-</v>
      </c>
      <c r="G55" s="218"/>
      <c r="H55" s="178" t="str">
        <f t="shared" si="1"/>
        <v>-</v>
      </c>
      <c r="I55" s="203"/>
      <c r="J55" s="416"/>
      <c r="K55" s="400"/>
      <c r="L55" s="415"/>
      <c r="M55" s="322"/>
      <c r="N55" s="587"/>
      <c r="O55" s="403" t="s">
        <v>278</v>
      </c>
      <c r="P55" s="404" t="s">
        <v>77</v>
      </c>
      <c r="Q55" s="358"/>
      <c r="R55" s="320"/>
      <c r="S55" s="359"/>
      <c r="T55" s="359"/>
      <c r="U55" s="94" t="str">
        <f>IF(ISERROR(VLOOKUP($T55, 'Reference data'!$J$2:$K$139, 2, FALSE)),"-",VLOOKUP($T55, 'Reference data'!$J$2:$K$139, 2, FALSE))</f>
        <v>-</v>
      </c>
      <c r="V55" s="320"/>
      <c r="W55" s="320"/>
      <c r="X55" s="324"/>
      <c r="Y55" s="325"/>
      <c r="Z55" s="241"/>
      <c r="AA55" s="362"/>
      <c r="AB55" s="86"/>
      <c r="AC55" s="72"/>
      <c r="AD55" s="71"/>
      <c r="AE55" s="239" t="s">
        <v>278</v>
      </c>
      <c r="AF55" s="243" t="s">
        <v>77</v>
      </c>
    </row>
    <row r="56" spans="2:32" ht="12.75" customHeight="1" x14ac:dyDescent="0.2">
      <c r="B56" s="356" t="str" cm="1">
        <f t="array" ref="B56">IF(C56="","Skip",IF(AND(Validator!J50=TRUE,Validator!J300=TRUE,Validator!J550=TRUE,Validator!J800=TRUE,Validator!J1050=TRUE,Validator!J1300=TRUE,OR(ISBLANK($R56),ISNUMBER(VALUE(SUBSTITUTE(SUBSTITUTE(SUBSTITUTE(SUBSTITUTE($R56," ",""),"c",""),"C",""),"-","")))),OR(SUMPRODUCT(--($U56=Package_type_code))&gt;0,$U56="",$U56="-")),"Valid","Invalid"))</f>
        <v>Skip</v>
      </c>
      <c r="C56" s="70"/>
      <c r="D56" s="410"/>
      <c r="E56" s="411"/>
      <c r="F56" s="218" t="str">
        <f t="shared" si="0"/>
        <v>-</v>
      </c>
      <c r="G56" s="218"/>
      <c r="H56" s="178" t="str">
        <f t="shared" si="1"/>
        <v>-</v>
      </c>
      <c r="I56" s="203"/>
      <c r="J56" s="416"/>
      <c r="K56" s="400"/>
      <c r="L56" s="415"/>
      <c r="M56" s="322"/>
      <c r="N56" s="587"/>
      <c r="O56" s="403" t="s">
        <v>278</v>
      </c>
      <c r="P56" s="404" t="s">
        <v>77</v>
      </c>
      <c r="Q56" s="358"/>
      <c r="R56" s="320"/>
      <c r="S56" s="359"/>
      <c r="T56" s="359"/>
      <c r="U56" s="94" t="str">
        <f>IF(ISERROR(VLOOKUP($T56, 'Reference data'!$J$2:$K$139, 2, FALSE)),"-",VLOOKUP($T56, 'Reference data'!$J$2:$K$139, 2, FALSE))</f>
        <v>-</v>
      </c>
      <c r="V56" s="320"/>
      <c r="W56" s="320"/>
      <c r="X56" s="324"/>
      <c r="Y56" s="325"/>
      <c r="Z56" s="241"/>
      <c r="AA56" s="362"/>
      <c r="AB56" s="86"/>
      <c r="AC56" s="72"/>
      <c r="AD56" s="71"/>
      <c r="AE56" s="239" t="s">
        <v>278</v>
      </c>
      <c r="AF56" s="243" t="s">
        <v>77</v>
      </c>
    </row>
    <row r="57" spans="2:32" ht="12.75" customHeight="1" x14ac:dyDescent="0.2">
      <c r="B57" s="356" t="str" cm="1">
        <f t="array" ref="B57">IF(C57="","Skip",IF(AND(Validator!J51=TRUE,Validator!J301=TRUE,Validator!J551=TRUE,Validator!J801=TRUE,Validator!J1051=TRUE,Validator!J1301=TRUE,OR(ISBLANK($R57),ISNUMBER(VALUE(SUBSTITUTE(SUBSTITUTE(SUBSTITUTE(SUBSTITUTE($R57," ",""),"c",""),"C",""),"-","")))),OR(SUMPRODUCT(--($U57=Package_type_code))&gt;0,$U57="",$U57="-")),"Valid","Invalid"))</f>
        <v>Skip</v>
      </c>
      <c r="C57" s="70"/>
      <c r="D57" s="410"/>
      <c r="E57" s="411"/>
      <c r="F57" s="218" t="str">
        <f t="shared" si="0"/>
        <v>-</v>
      </c>
      <c r="G57" s="218"/>
      <c r="H57" s="178" t="str">
        <f t="shared" si="1"/>
        <v>-</v>
      </c>
      <c r="I57" s="203"/>
      <c r="J57" s="416"/>
      <c r="K57" s="400"/>
      <c r="L57" s="415"/>
      <c r="M57" s="322"/>
      <c r="N57" s="587"/>
      <c r="O57" s="403" t="s">
        <v>278</v>
      </c>
      <c r="P57" s="404" t="s">
        <v>77</v>
      </c>
      <c r="Q57" s="358"/>
      <c r="R57" s="320"/>
      <c r="S57" s="359"/>
      <c r="T57" s="359"/>
      <c r="U57" s="94" t="str">
        <f>IF(ISERROR(VLOOKUP($T57, 'Reference data'!$J$2:$K$139, 2, FALSE)),"-",VLOOKUP($T57, 'Reference data'!$J$2:$K$139, 2, FALSE))</f>
        <v>-</v>
      </c>
      <c r="V57" s="320"/>
      <c r="W57" s="320"/>
      <c r="X57" s="324"/>
      <c r="Y57" s="325"/>
      <c r="Z57" s="241"/>
      <c r="AA57" s="362"/>
      <c r="AB57" s="86"/>
      <c r="AC57" s="72"/>
      <c r="AD57" s="71"/>
      <c r="AE57" s="239" t="s">
        <v>278</v>
      </c>
      <c r="AF57" s="243" t="s">
        <v>77</v>
      </c>
    </row>
    <row r="58" spans="2:32" ht="12.75" customHeight="1" x14ac:dyDescent="0.2">
      <c r="B58" s="356" t="str" cm="1">
        <f t="array" ref="B58">IF(C58="","Skip",IF(AND(Validator!J52=TRUE,Validator!J302=TRUE,Validator!J552=TRUE,Validator!J802=TRUE,Validator!J1052=TRUE,Validator!J1302=TRUE,OR(ISBLANK($R58),ISNUMBER(VALUE(SUBSTITUTE(SUBSTITUTE(SUBSTITUTE(SUBSTITUTE($R58," ",""),"c",""),"C",""),"-","")))),OR(SUMPRODUCT(--($U58=Package_type_code))&gt;0,$U58="",$U58="-")),"Valid","Invalid"))</f>
        <v>Skip</v>
      </c>
      <c r="C58" s="70"/>
      <c r="D58" s="410"/>
      <c r="E58" s="411"/>
      <c r="F58" s="218" t="str">
        <f t="shared" si="0"/>
        <v>-</v>
      </c>
      <c r="G58" s="218"/>
      <c r="H58" s="178" t="str">
        <f t="shared" si="1"/>
        <v>-</v>
      </c>
      <c r="I58" s="203"/>
      <c r="J58" s="416"/>
      <c r="K58" s="400"/>
      <c r="L58" s="415"/>
      <c r="M58" s="322"/>
      <c r="N58" s="587"/>
      <c r="O58" s="403" t="s">
        <v>278</v>
      </c>
      <c r="P58" s="404" t="s">
        <v>77</v>
      </c>
      <c r="Q58" s="358"/>
      <c r="R58" s="320"/>
      <c r="S58" s="359"/>
      <c r="T58" s="359"/>
      <c r="U58" s="94" t="str">
        <f>IF(ISERROR(VLOOKUP($T58, 'Reference data'!$J$2:$K$139, 2, FALSE)),"-",VLOOKUP($T58, 'Reference data'!$J$2:$K$139, 2, FALSE))</f>
        <v>-</v>
      </c>
      <c r="V58" s="320"/>
      <c r="W58" s="320"/>
      <c r="X58" s="324"/>
      <c r="Y58" s="325"/>
      <c r="Z58" s="241"/>
      <c r="AA58" s="362"/>
      <c r="AB58" s="86"/>
      <c r="AC58" s="72"/>
      <c r="AD58" s="71"/>
      <c r="AE58" s="239" t="s">
        <v>278</v>
      </c>
      <c r="AF58" s="243" t="s">
        <v>77</v>
      </c>
    </row>
    <row r="59" spans="2:32" ht="12.75" customHeight="1" x14ac:dyDescent="0.2">
      <c r="B59" s="356" t="str" cm="1">
        <f t="array" ref="B59">IF(C59="","Skip",IF(AND(Validator!J53=TRUE,Validator!J303=TRUE,Validator!J553=TRUE,Validator!J803=TRUE,Validator!J1053=TRUE,Validator!J1303=TRUE,OR(ISBLANK($R59),ISNUMBER(VALUE(SUBSTITUTE(SUBSTITUTE(SUBSTITUTE(SUBSTITUTE($R59," ",""),"c",""),"C",""),"-","")))),OR(SUMPRODUCT(--($U59=Package_type_code))&gt;0,$U59="",$U59="-")),"Valid","Invalid"))</f>
        <v>Skip</v>
      </c>
      <c r="C59" s="70"/>
      <c r="D59" s="410"/>
      <c r="E59" s="411"/>
      <c r="F59" s="218" t="str">
        <f t="shared" si="0"/>
        <v>-</v>
      </c>
      <c r="G59" s="218"/>
      <c r="H59" s="178" t="str">
        <f t="shared" si="1"/>
        <v>-</v>
      </c>
      <c r="I59" s="203"/>
      <c r="J59" s="416"/>
      <c r="K59" s="400"/>
      <c r="L59" s="415"/>
      <c r="M59" s="322"/>
      <c r="N59" s="587"/>
      <c r="O59" s="403" t="s">
        <v>278</v>
      </c>
      <c r="P59" s="404" t="s">
        <v>77</v>
      </c>
      <c r="Q59" s="358"/>
      <c r="R59" s="320"/>
      <c r="S59" s="359"/>
      <c r="T59" s="359"/>
      <c r="U59" s="94" t="str">
        <f>IF(ISERROR(VLOOKUP($T59, 'Reference data'!$J$2:$K$139, 2, FALSE)),"-",VLOOKUP($T59, 'Reference data'!$J$2:$K$139, 2, FALSE))</f>
        <v>-</v>
      </c>
      <c r="V59" s="320"/>
      <c r="W59" s="320"/>
      <c r="X59" s="324"/>
      <c r="Y59" s="325"/>
      <c r="Z59" s="241"/>
      <c r="AA59" s="362"/>
      <c r="AB59" s="86"/>
      <c r="AC59" s="72"/>
      <c r="AD59" s="71"/>
      <c r="AE59" s="239" t="s">
        <v>278</v>
      </c>
      <c r="AF59" s="243" t="s">
        <v>77</v>
      </c>
    </row>
    <row r="60" spans="2:32" ht="12.75" customHeight="1" x14ac:dyDescent="0.2">
      <c r="B60" s="356" t="str" cm="1">
        <f t="array" ref="B60">IF(C60="","Skip",IF(AND(Validator!J54=TRUE,Validator!J304=TRUE,Validator!J554=TRUE,Validator!J804=TRUE,Validator!J1054=TRUE,Validator!J1304=TRUE,OR(ISBLANK($R60),ISNUMBER(VALUE(SUBSTITUTE(SUBSTITUTE(SUBSTITUTE(SUBSTITUTE($R60," ",""),"c",""),"C",""),"-","")))),OR(SUMPRODUCT(--($U60=Package_type_code))&gt;0,$U60="",$U60="-")),"Valid","Invalid"))</f>
        <v>Skip</v>
      </c>
      <c r="C60" s="70"/>
      <c r="D60" s="410"/>
      <c r="E60" s="411"/>
      <c r="F60" s="218" t="str">
        <f t="shared" si="0"/>
        <v>-</v>
      </c>
      <c r="G60" s="218"/>
      <c r="H60" s="178" t="str">
        <f t="shared" si="1"/>
        <v>-</v>
      </c>
      <c r="I60" s="203"/>
      <c r="J60" s="416"/>
      <c r="K60" s="400"/>
      <c r="L60" s="415"/>
      <c r="M60" s="322"/>
      <c r="N60" s="587"/>
      <c r="O60" s="403" t="s">
        <v>278</v>
      </c>
      <c r="P60" s="404" t="s">
        <v>77</v>
      </c>
      <c r="Q60" s="358"/>
      <c r="R60" s="320"/>
      <c r="S60" s="359"/>
      <c r="T60" s="359"/>
      <c r="U60" s="94" t="str">
        <f>IF(ISERROR(VLOOKUP($T60, 'Reference data'!$J$2:$K$139, 2, FALSE)),"-",VLOOKUP($T60, 'Reference data'!$J$2:$K$139, 2, FALSE))</f>
        <v>-</v>
      </c>
      <c r="V60" s="320"/>
      <c r="W60" s="320"/>
      <c r="X60" s="324"/>
      <c r="Y60" s="325"/>
      <c r="Z60" s="241"/>
      <c r="AA60" s="362"/>
      <c r="AB60" s="86"/>
      <c r="AC60" s="72"/>
      <c r="AD60" s="71"/>
      <c r="AE60" s="239" t="s">
        <v>278</v>
      </c>
      <c r="AF60" s="243" t="s">
        <v>77</v>
      </c>
    </row>
    <row r="61" spans="2:32" ht="12.75" customHeight="1" x14ac:dyDescent="0.2">
      <c r="B61" s="356" t="str" cm="1">
        <f t="array" ref="B61">IF(C61="","Skip",IF(AND(Validator!J55=TRUE,Validator!J305=TRUE,Validator!J555=TRUE,Validator!J805=TRUE,Validator!J1055=TRUE,Validator!J1305=TRUE,OR(ISBLANK($R61),ISNUMBER(VALUE(SUBSTITUTE(SUBSTITUTE(SUBSTITUTE(SUBSTITUTE($R61," ",""),"c",""),"C",""),"-","")))),OR(SUMPRODUCT(--($U61=Package_type_code))&gt;0,$U61="",$U61="-")),"Valid","Invalid"))</f>
        <v>Skip</v>
      </c>
      <c r="C61" s="70"/>
      <c r="D61" s="410"/>
      <c r="E61" s="411"/>
      <c r="F61" s="218" t="str">
        <f t="shared" si="0"/>
        <v>-</v>
      </c>
      <c r="G61" s="218"/>
      <c r="H61" s="178" t="str">
        <f t="shared" si="1"/>
        <v>-</v>
      </c>
      <c r="I61" s="203"/>
      <c r="J61" s="416"/>
      <c r="K61" s="400"/>
      <c r="L61" s="415"/>
      <c r="M61" s="322"/>
      <c r="N61" s="587"/>
      <c r="O61" s="403" t="s">
        <v>278</v>
      </c>
      <c r="P61" s="404" t="s">
        <v>77</v>
      </c>
      <c r="Q61" s="358"/>
      <c r="R61" s="320"/>
      <c r="S61" s="359"/>
      <c r="T61" s="359"/>
      <c r="U61" s="94" t="str">
        <f>IF(ISERROR(VLOOKUP($T61, 'Reference data'!$J$2:$K$139, 2, FALSE)),"-",VLOOKUP($T61, 'Reference data'!$J$2:$K$139, 2, FALSE))</f>
        <v>-</v>
      </c>
      <c r="V61" s="320"/>
      <c r="W61" s="320"/>
      <c r="X61" s="324"/>
      <c r="Y61" s="325"/>
      <c r="Z61" s="241"/>
      <c r="AA61" s="362"/>
      <c r="AB61" s="86"/>
      <c r="AC61" s="72"/>
      <c r="AD61" s="71"/>
      <c r="AE61" s="239" t="s">
        <v>278</v>
      </c>
      <c r="AF61" s="243" t="s">
        <v>77</v>
      </c>
    </row>
    <row r="62" spans="2:32" ht="12.75" customHeight="1" x14ac:dyDescent="0.2">
      <c r="B62" s="356" t="str" cm="1">
        <f t="array" ref="B62">IF(C62="","Skip",IF(AND(Validator!J56=TRUE,Validator!J306=TRUE,Validator!J556=TRUE,Validator!J806=TRUE,Validator!J1056=TRUE,Validator!J1306=TRUE,OR(ISBLANK($R62),ISNUMBER(VALUE(SUBSTITUTE(SUBSTITUTE(SUBSTITUTE(SUBSTITUTE($R62," ",""),"c",""),"C",""),"-","")))),OR(SUMPRODUCT(--($U62=Package_type_code))&gt;0,$U62="",$U62="-")),"Valid","Invalid"))</f>
        <v>Skip</v>
      </c>
      <c r="C62" s="70"/>
      <c r="D62" s="410"/>
      <c r="E62" s="411"/>
      <c r="F62" s="218" t="str">
        <f t="shared" si="0"/>
        <v>-</v>
      </c>
      <c r="G62" s="218"/>
      <c r="H62" s="178" t="str">
        <f t="shared" si="1"/>
        <v>-</v>
      </c>
      <c r="I62" s="203"/>
      <c r="J62" s="416"/>
      <c r="K62" s="400"/>
      <c r="L62" s="415"/>
      <c r="M62" s="322"/>
      <c r="N62" s="587"/>
      <c r="O62" s="403" t="s">
        <v>278</v>
      </c>
      <c r="P62" s="404" t="s">
        <v>77</v>
      </c>
      <c r="Q62" s="358"/>
      <c r="R62" s="320"/>
      <c r="S62" s="359"/>
      <c r="T62" s="359"/>
      <c r="U62" s="94" t="str">
        <f>IF(ISERROR(VLOOKUP($T62, 'Reference data'!$J$2:$K$139, 2, FALSE)),"-",VLOOKUP($T62, 'Reference data'!$J$2:$K$139, 2, FALSE))</f>
        <v>-</v>
      </c>
      <c r="V62" s="320"/>
      <c r="W62" s="320"/>
      <c r="X62" s="324"/>
      <c r="Y62" s="325"/>
      <c r="Z62" s="241"/>
      <c r="AA62" s="362"/>
      <c r="AB62" s="86"/>
      <c r="AC62" s="72"/>
      <c r="AD62" s="71"/>
      <c r="AE62" s="239" t="s">
        <v>278</v>
      </c>
      <c r="AF62" s="243" t="s">
        <v>77</v>
      </c>
    </row>
    <row r="63" spans="2:32" ht="12.75" customHeight="1" x14ac:dyDescent="0.2">
      <c r="B63" s="356" t="str" cm="1">
        <f t="array" ref="B63">IF(C63="","Skip",IF(AND(Validator!J57=TRUE,Validator!J307=TRUE,Validator!J557=TRUE,Validator!J807=TRUE,Validator!J1057=TRUE,Validator!J1307=TRUE,OR(ISBLANK($R63),ISNUMBER(VALUE(SUBSTITUTE(SUBSTITUTE(SUBSTITUTE(SUBSTITUTE($R63," ",""),"c",""),"C",""),"-","")))),OR(SUMPRODUCT(--($U63=Package_type_code))&gt;0,$U63="",$U63="-")),"Valid","Invalid"))</f>
        <v>Skip</v>
      </c>
      <c r="C63" s="70"/>
      <c r="D63" s="410"/>
      <c r="E63" s="411"/>
      <c r="F63" s="218" t="str">
        <f t="shared" si="0"/>
        <v>-</v>
      </c>
      <c r="G63" s="218"/>
      <c r="H63" s="178" t="str">
        <f t="shared" si="1"/>
        <v>-</v>
      </c>
      <c r="I63" s="203"/>
      <c r="J63" s="416"/>
      <c r="K63" s="400"/>
      <c r="L63" s="415"/>
      <c r="M63" s="322"/>
      <c r="N63" s="587"/>
      <c r="O63" s="403" t="s">
        <v>278</v>
      </c>
      <c r="P63" s="404" t="s">
        <v>77</v>
      </c>
      <c r="Q63" s="358"/>
      <c r="R63" s="320"/>
      <c r="S63" s="359"/>
      <c r="T63" s="359"/>
      <c r="U63" s="94" t="str">
        <f>IF(ISERROR(VLOOKUP($T63, 'Reference data'!$J$2:$K$139, 2, FALSE)),"-",VLOOKUP($T63, 'Reference data'!$J$2:$K$139, 2, FALSE))</f>
        <v>-</v>
      </c>
      <c r="V63" s="320"/>
      <c r="W63" s="320"/>
      <c r="X63" s="324"/>
      <c r="Y63" s="325"/>
      <c r="Z63" s="241"/>
      <c r="AA63" s="362"/>
      <c r="AB63" s="86"/>
      <c r="AC63" s="72"/>
      <c r="AD63" s="71"/>
      <c r="AE63" s="239" t="s">
        <v>278</v>
      </c>
      <c r="AF63" s="243" t="s">
        <v>77</v>
      </c>
    </row>
    <row r="64" spans="2:32" ht="12.75" customHeight="1" x14ac:dyDescent="0.2">
      <c r="B64" s="356" t="str" cm="1">
        <f t="array" ref="B64">IF(C64="","Skip",IF(AND(Validator!J58=TRUE,Validator!J308=TRUE,Validator!J558=TRUE,Validator!J808=TRUE,Validator!J1058=TRUE,Validator!J1308=TRUE,OR(ISBLANK($R64),ISNUMBER(VALUE(SUBSTITUTE(SUBSTITUTE(SUBSTITUTE(SUBSTITUTE($R64," ",""),"c",""),"C",""),"-","")))),OR(SUMPRODUCT(--($U64=Package_type_code))&gt;0,$U64="",$U64="-")),"Valid","Invalid"))</f>
        <v>Skip</v>
      </c>
      <c r="C64" s="70"/>
      <c r="D64" s="410"/>
      <c r="E64" s="411"/>
      <c r="F64" s="218" t="str">
        <f t="shared" si="0"/>
        <v>-</v>
      </c>
      <c r="G64" s="218"/>
      <c r="H64" s="178" t="str">
        <f t="shared" si="1"/>
        <v>-</v>
      </c>
      <c r="I64" s="203"/>
      <c r="J64" s="416"/>
      <c r="K64" s="400"/>
      <c r="L64" s="415"/>
      <c r="M64" s="322"/>
      <c r="N64" s="587"/>
      <c r="O64" s="403" t="s">
        <v>278</v>
      </c>
      <c r="P64" s="404" t="s">
        <v>77</v>
      </c>
      <c r="Q64" s="358"/>
      <c r="R64" s="320"/>
      <c r="S64" s="359"/>
      <c r="T64" s="359"/>
      <c r="U64" s="94" t="str">
        <f>IF(ISERROR(VLOOKUP($T64, 'Reference data'!$J$2:$K$139, 2, FALSE)),"-",VLOOKUP($T64, 'Reference data'!$J$2:$K$139, 2, FALSE))</f>
        <v>-</v>
      </c>
      <c r="V64" s="320"/>
      <c r="W64" s="320"/>
      <c r="X64" s="324"/>
      <c r="Y64" s="325"/>
      <c r="Z64" s="241"/>
      <c r="AA64" s="362"/>
      <c r="AB64" s="86"/>
      <c r="AC64" s="72"/>
      <c r="AD64" s="71"/>
      <c r="AE64" s="239" t="s">
        <v>278</v>
      </c>
      <c r="AF64" s="243" t="s">
        <v>77</v>
      </c>
    </row>
    <row r="65" spans="2:32" ht="12.75" customHeight="1" x14ac:dyDescent="0.2">
      <c r="B65" s="356" t="str" cm="1">
        <f t="array" ref="B65">IF(C65="","Skip",IF(AND(Validator!J59=TRUE,Validator!J309=TRUE,Validator!J559=TRUE,Validator!J809=TRUE,Validator!J1059=TRUE,Validator!J1309=TRUE,OR(ISBLANK($R65),ISNUMBER(VALUE(SUBSTITUTE(SUBSTITUTE(SUBSTITUTE(SUBSTITUTE($R65," ",""),"c",""),"C",""),"-","")))),OR(SUMPRODUCT(--($U65=Package_type_code))&gt;0,$U65="",$U65="-")),"Valid","Invalid"))</f>
        <v>Skip</v>
      </c>
      <c r="C65" s="70"/>
      <c r="D65" s="410"/>
      <c r="E65" s="411"/>
      <c r="F65" s="218" t="str">
        <f t="shared" si="0"/>
        <v>-</v>
      </c>
      <c r="G65" s="218"/>
      <c r="H65" s="178" t="str">
        <f t="shared" si="1"/>
        <v>-</v>
      </c>
      <c r="I65" s="203"/>
      <c r="J65" s="416"/>
      <c r="K65" s="400"/>
      <c r="L65" s="415"/>
      <c r="M65" s="322"/>
      <c r="N65" s="587"/>
      <c r="O65" s="403" t="s">
        <v>278</v>
      </c>
      <c r="P65" s="404" t="s">
        <v>77</v>
      </c>
      <c r="Q65" s="358"/>
      <c r="R65" s="320"/>
      <c r="S65" s="359"/>
      <c r="T65" s="359"/>
      <c r="U65" s="94" t="str">
        <f>IF(ISERROR(VLOOKUP($T65, 'Reference data'!$J$2:$K$139, 2, FALSE)),"-",VLOOKUP($T65, 'Reference data'!$J$2:$K$139, 2, FALSE))</f>
        <v>-</v>
      </c>
      <c r="V65" s="320"/>
      <c r="W65" s="320"/>
      <c r="X65" s="324"/>
      <c r="Y65" s="325"/>
      <c r="Z65" s="241"/>
      <c r="AA65" s="362"/>
      <c r="AB65" s="86"/>
      <c r="AC65" s="72"/>
      <c r="AD65" s="71"/>
      <c r="AE65" s="239" t="s">
        <v>278</v>
      </c>
      <c r="AF65" s="243" t="s">
        <v>77</v>
      </c>
    </row>
    <row r="66" spans="2:32" ht="12.75" customHeight="1" x14ac:dyDescent="0.2">
      <c r="B66" s="356" t="str" cm="1">
        <f t="array" ref="B66">IF(C66="","Skip",IF(AND(Validator!J60=TRUE,Validator!J310=TRUE,Validator!J560=TRUE,Validator!J810=TRUE,Validator!J1060=TRUE,Validator!J1310=TRUE,OR(ISBLANK($R66),ISNUMBER(VALUE(SUBSTITUTE(SUBSTITUTE(SUBSTITUTE(SUBSTITUTE($R66," ",""),"c",""),"C",""),"-","")))),OR(SUMPRODUCT(--($U66=Package_type_code))&gt;0,$U66="",$U66="-")),"Valid","Invalid"))</f>
        <v>Skip</v>
      </c>
      <c r="C66" s="70"/>
      <c r="D66" s="410"/>
      <c r="E66" s="411"/>
      <c r="F66" s="218" t="str">
        <f t="shared" si="0"/>
        <v>-</v>
      </c>
      <c r="G66" s="218"/>
      <c r="H66" s="178" t="str">
        <f t="shared" si="1"/>
        <v>-</v>
      </c>
      <c r="I66" s="203"/>
      <c r="J66" s="416"/>
      <c r="K66" s="400"/>
      <c r="L66" s="415"/>
      <c r="M66" s="322"/>
      <c r="N66" s="587"/>
      <c r="O66" s="403" t="s">
        <v>278</v>
      </c>
      <c r="P66" s="404" t="s">
        <v>77</v>
      </c>
      <c r="Q66" s="358"/>
      <c r="R66" s="320"/>
      <c r="S66" s="359"/>
      <c r="T66" s="359"/>
      <c r="U66" s="94" t="str">
        <f>IF(ISERROR(VLOOKUP($T66, 'Reference data'!$J$2:$K$139, 2, FALSE)),"-",VLOOKUP($T66, 'Reference data'!$J$2:$K$139, 2, FALSE))</f>
        <v>-</v>
      </c>
      <c r="V66" s="320"/>
      <c r="W66" s="320"/>
      <c r="X66" s="324"/>
      <c r="Y66" s="325"/>
      <c r="Z66" s="241"/>
      <c r="AA66" s="362"/>
      <c r="AB66" s="86"/>
      <c r="AC66" s="72"/>
      <c r="AD66" s="71"/>
      <c r="AE66" s="239" t="s">
        <v>278</v>
      </c>
      <c r="AF66" s="243" t="s">
        <v>77</v>
      </c>
    </row>
    <row r="67" spans="2:32" ht="12.75" customHeight="1" x14ac:dyDescent="0.2">
      <c r="B67" s="356" t="str" cm="1">
        <f t="array" ref="B67">IF(C67="","Skip",IF(AND(Validator!J61=TRUE,Validator!J311=TRUE,Validator!J561=TRUE,Validator!J811=TRUE,Validator!J1061=TRUE,Validator!J1311=TRUE,OR(ISBLANK($R67),ISNUMBER(VALUE(SUBSTITUTE(SUBSTITUTE(SUBSTITUTE(SUBSTITUTE($R67," ",""),"c",""),"C",""),"-","")))),OR(SUMPRODUCT(--($U67=Package_type_code))&gt;0,$U67="",$U67="-")),"Valid","Invalid"))</f>
        <v>Skip</v>
      </c>
      <c r="C67" s="70"/>
      <c r="D67" s="410"/>
      <c r="E67" s="411"/>
      <c r="F67" s="218" t="str">
        <f t="shared" si="0"/>
        <v>-</v>
      </c>
      <c r="G67" s="218"/>
      <c r="H67" s="178" t="str">
        <f t="shared" si="1"/>
        <v>-</v>
      </c>
      <c r="I67" s="203"/>
      <c r="J67" s="416"/>
      <c r="K67" s="400"/>
      <c r="L67" s="415"/>
      <c r="M67" s="322"/>
      <c r="N67" s="587"/>
      <c r="O67" s="403" t="s">
        <v>278</v>
      </c>
      <c r="P67" s="404" t="s">
        <v>77</v>
      </c>
      <c r="Q67" s="358"/>
      <c r="R67" s="320"/>
      <c r="S67" s="359"/>
      <c r="T67" s="359"/>
      <c r="U67" s="94" t="str">
        <f>IF(ISERROR(VLOOKUP($T67, 'Reference data'!$J$2:$K$139, 2, FALSE)),"-",VLOOKUP($T67, 'Reference data'!$J$2:$K$139, 2, FALSE))</f>
        <v>-</v>
      </c>
      <c r="V67" s="320"/>
      <c r="W67" s="320"/>
      <c r="X67" s="324"/>
      <c r="Y67" s="325"/>
      <c r="Z67" s="241"/>
      <c r="AA67" s="362"/>
      <c r="AB67" s="86"/>
      <c r="AC67" s="72"/>
      <c r="AD67" s="71"/>
      <c r="AE67" s="239" t="s">
        <v>278</v>
      </c>
      <c r="AF67" s="243" t="s">
        <v>77</v>
      </c>
    </row>
    <row r="68" spans="2:32" ht="12.75" customHeight="1" x14ac:dyDescent="0.2">
      <c r="B68" s="356" t="str" cm="1">
        <f t="array" ref="B68">IF(C68="","Skip",IF(AND(Validator!J62=TRUE,Validator!J312=TRUE,Validator!J562=TRUE,Validator!J812=TRUE,Validator!J1062=TRUE,Validator!J1312=TRUE,OR(ISBLANK($R68),ISNUMBER(VALUE(SUBSTITUTE(SUBSTITUTE(SUBSTITUTE(SUBSTITUTE($R68," ",""),"c",""),"C",""),"-","")))),OR(SUMPRODUCT(--($U68=Package_type_code))&gt;0,$U68="",$U68="-")),"Valid","Invalid"))</f>
        <v>Skip</v>
      </c>
      <c r="C68" s="70"/>
      <c r="D68" s="410"/>
      <c r="E68" s="411"/>
      <c r="F68" s="218" t="str">
        <f t="shared" si="0"/>
        <v>-</v>
      </c>
      <c r="G68" s="218"/>
      <c r="H68" s="178" t="str">
        <f t="shared" si="1"/>
        <v>-</v>
      </c>
      <c r="I68" s="203"/>
      <c r="J68" s="416"/>
      <c r="K68" s="400"/>
      <c r="L68" s="415"/>
      <c r="M68" s="322"/>
      <c r="N68" s="587"/>
      <c r="O68" s="403" t="s">
        <v>278</v>
      </c>
      <c r="P68" s="404" t="s">
        <v>77</v>
      </c>
      <c r="Q68" s="358"/>
      <c r="R68" s="320"/>
      <c r="S68" s="359"/>
      <c r="T68" s="359"/>
      <c r="U68" s="94" t="str">
        <f>IF(ISERROR(VLOOKUP($T68, 'Reference data'!$J$2:$K$139, 2, FALSE)),"-",VLOOKUP($T68, 'Reference data'!$J$2:$K$139, 2, FALSE))</f>
        <v>-</v>
      </c>
      <c r="V68" s="320"/>
      <c r="W68" s="320"/>
      <c r="X68" s="324"/>
      <c r="Y68" s="325"/>
      <c r="Z68" s="241"/>
      <c r="AA68" s="362"/>
      <c r="AB68" s="86"/>
      <c r="AC68" s="72"/>
      <c r="AD68" s="71"/>
      <c r="AE68" s="239" t="s">
        <v>278</v>
      </c>
      <c r="AF68" s="243" t="s">
        <v>77</v>
      </c>
    </row>
    <row r="69" spans="2:32" ht="12.75" customHeight="1" x14ac:dyDescent="0.2">
      <c r="B69" s="356" t="str" cm="1">
        <f t="array" ref="B69">IF(C69="","Skip",IF(AND(Validator!J63=TRUE,Validator!J313=TRUE,Validator!J563=TRUE,Validator!J813=TRUE,Validator!J1063=TRUE,Validator!J1313=TRUE,OR(ISBLANK($R69),ISNUMBER(VALUE(SUBSTITUTE(SUBSTITUTE(SUBSTITUTE(SUBSTITUTE($R69," ",""),"c",""),"C",""),"-","")))),OR(SUMPRODUCT(--($U69=Package_type_code))&gt;0,$U69="",$U69="-")),"Valid","Invalid"))</f>
        <v>Skip</v>
      </c>
      <c r="C69" s="70"/>
      <c r="D69" s="410"/>
      <c r="E69" s="411"/>
      <c r="F69" s="218" t="str">
        <f t="shared" si="0"/>
        <v>-</v>
      </c>
      <c r="G69" s="218"/>
      <c r="H69" s="178" t="str">
        <f t="shared" si="1"/>
        <v>-</v>
      </c>
      <c r="I69" s="203"/>
      <c r="J69" s="416"/>
      <c r="K69" s="400"/>
      <c r="L69" s="415"/>
      <c r="M69" s="322"/>
      <c r="N69" s="587"/>
      <c r="O69" s="403" t="s">
        <v>278</v>
      </c>
      <c r="P69" s="404" t="s">
        <v>77</v>
      </c>
      <c r="Q69" s="358"/>
      <c r="R69" s="320"/>
      <c r="S69" s="359"/>
      <c r="T69" s="359"/>
      <c r="U69" s="94" t="str">
        <f>IF(ISERROR(VLOOKUP($T69, 'Reference data'!$J$2:$K$139, 2, FALSE)),"-",VLOOKUP($T69, 'Reference data'!$J$2:$K$139, 2, FALSE))</f>
        <v>-</v>
      </c>
      <c r="V69" s="320"/>
      <c r="W69" s="320"/>
      <c r="X69" s="324"/>
      <c r="Y69" s="325"/>
      <c r="Z69" s="241"/>
      <c r="AA69" s="362"/>
      <c r="AB69" s="86"/>
      <c r="AC69" s="72"/>
      <c r="AD69" s="71"/>
      <c r="AE69" s="239" t="s">
        <v>278</v>
      </c>
      <c r="AF69" s="243" t="s">
        <v>77</v>
      </c>
    </row>
    <row r="70" spans="2:32" ht="12.75" customHeight="1" x14ac:dyDescent="0.2">
      <c r="B70" s="356" t="str" cm="1">
        <f t="array" ref="B70">IF(C70="","Skip",IF(AND(Validator!J64=TRUE,Validator!J314=TRUE,Validator!J564=TRUE,Validator!J814=TRUE,Validator!J1064=TRUE,Validator!J1314=TRUE,OR(ISBLANK($R70),ISNUMBER(VALUE(SUBSTITUTE(SUBSTITUTE(SUBSTITUTE(SUBSTITUTE($R70," ",""),"c",""),"C",""),"-","")))),OR(SUMPRODUCT(--($U70=Package_type_code))&gt;0,$U70="",$U70="-")),"Valid","Invalid"))</f>
        <v>Skip</v>
      </c>
      <c r="C70" s="70"/>
      <c r="D70" s="410"/>
      <c r="E70" s="411"/>
      <c r="F70" s="218" t="str">
        <f t="shared" si="0"/>
        <v>-</v>
      </c>
      <c r="G70" s="218"/>
      <c r="H70" s="178" t="str">
        <f t="shared" si="1"/>
        <v>-</v>
      </c>
      <c r="I70" s="203"/>
      <c r="J70" s="416"/>
      <c r="K70" s="400"/>
      <c r="L70" s="415"/>
      <c r="M70" s="322"/>
      <c r="N70" s="587"/>
      <c r="O70" s="403" t="s">
        <v>278</v>
      </c>
      <c r="P70" s="404" t="s">
        <v>77</v>
      </c>
      <c r="Q70" s="358"/>
      <c r="R70" s="320"/>
      <c r="S70" s="359"/>
      <c r="T70" s="359"/>
      <c r="U70" s="94" t="str">
        <f>IF(ISERROR(VLOOKUP($T70, 'Reference data'!$J$2:$K$139, 2, FALSE)),"-",VLOOKUP($T70, 'Reference data'!$J$2:$K$139, 2, FALSE))</f>
        <v>-</v>
      </c>
      <c r="V70" s="320"/>
      <c r="W70" s="320"/>
      <c r="X70" s="324"/>
      <c r="Y70" s="325"/>
      <c r="Z70" s="241"/>
      <c r="AA70" s="362"/>
      <c r="AB70" s="86"/>
      <c r="AC70" s="72"/>
      <c r="AD70" s="71"/>
      <c r="AE70" s="239" t="s">
        <v>278</v>
      </c>
      <c r="AF70" s="243" t="s">
        <v>77</v>
      </c>
    </row>
    <row r="71" spans="2:32" ht="12.75" customHeight="1" x14ac:dyDescent="0.2">
      <c r="B71" s="356" t="str" cm="1">
        <f t="array" ref="B71">IF(C71="","Skip",IF(AND(Validator!J65=TRUE,Validator!J315=TRUE,Validator!J565=TRUE,Validator!J815=TRUE,Validator!J1065=TRUE,Validator!J1315=TRUE,OR(ISBLANK($R71),ISNUMBER(VALUE(SUBSTITUTE(SUBSTITUTE(SUBSTITUTE(SUBSTITUTE($R71," ",""),"c",""),"C",""),"-","")))),OR(SUMPRODUCT(--($U71=Package_type_code))&gt;0,$U71="",$U71="-")),"Valid","Invalid"))</f>
        <v>Skip</v>
      </c>
      <c r="C71" s="70"/>
      <c r="D71" s="410"/>
      <c r="E71" s="411"/>
      <c r="F71" s="218" t="str">
        <f t="shared" si="0"/>
        <v>-</v>
      </c>
      <c r="G71" s="218"/>
      <c r="H71" s="178" t="str">
        <f t="shared" si="1"/>
        <v>-</v>
      </c>
      <c r="I71" s="203"/>
      <c r="J71" s="416"/>
      <c r="K71" s="400"/>
      <c r="L71" s="415"/>
      <c r="M71" s="322"/>
      <c r="N71" s="587"/>
      <c r="O71" s="403" t="s">
        <v>278</v>
      </c>
      <c r="P71" s="404" t="s">
        <v>77</v>
      </c>
      <c r="Q71" s="358"/>
      <c r="R71" s="320"/>
      <c r="S71" s="359"/>
      <c r="T71" s="359"/>
      <c r="U71" s="94" t="str">
        <f>IF(ISERROR(VLOOKUP($T71, 'Reference data'!$J$2:$K$139, 2, FALSE)),"-",VLOOKUP($T71, 'Reference data'!$J$2:$K$139, 2, FALSE))</f>
        <v>-</v>
      </c>
      <c r="V71" s="320"/>
      <c r="W71" s="320"/>
      <c r="X71" s="324"/>
      <c r="Y71" s="325"/>
      <c r="Z71" s="241"/>
      <c r="AA71" s="362"/>
      <c r="AB71" s="86"/>
      <c r="AC71" s="72"/>
      <c r="AD71" s="71"/>
      <c r="AE71" s="239" t="s">
        <v>278</v>
      </c>
      <c r="AF71" s="243" t="s">
        <v>77</v>
      </c>
    </row>
    <row r="72" spans="2:32" ht="12.75" customHeight="1" x14ac:dyDescent="0.2">
      <c r="B72" s="356" t="str" cm="1">
        <f t="array" ref="B72">IF(C72="","Skip",IF(AND(Validator!J66=TRUE,Validator!J316=TRUE,Validator!J566=TRUE,Validator!J816=TRUE,Validator!J1066=TRUE,Validator!J1316=TRUE,OR(ISBLANK($R72),ISNUMBER(VALUE(SUBSTITUTE(SUBSTITUTE(SUBSTITUTE(SUBSTITUTE($R72," ",""),"c",""),"C",""),"-","")))),OR(SUMPRODUCT(--($U72=Package_type_code))&gt;0,$U72="",$U72="-")),"Valid","Invalid"))</f>
        <v>Skip</v>
      </c>
      <c r="C72" s="70"/>
      <c r="D72" s="410"/>
      <c r="E72" s="411"/>
      <c r="F72" s="218" t="str">
        <f t="shared" si="0"/>
        <v>-</v>
      </c>
      <c r="G72" s="218"/>
      <c r="H72" s="178" t="str">
        <f t="shared" si="1"/>
        <v>-</v>
      </c>
      <c r="I72" s="203"/>
      <c r="J72" s="416"/>
      <c r="K72" s="400"/>
      <c r="L72" s="415"/>
      <c r="M72" s="322"/>
      <c r="N72" s="587"/>
      <c r="O72" s="403" t="s">
        <v>278</v>
      </c>
      <c r="P72" s="404" t="s">
        <v>77</v>
      </c>
      <c r="Q72" s="358"/>
      <c r="R72" s="320"/>
      <c r="S72" s="359"/>
      <c r="T72" s="359"/>
      <c r="U72" s="94" t="str">
        <f>IF(ISERROR(VLOOKUP($T72, 'Reference data'!$J$2:$K$139, 2, FALSE)),"-",VLOOKUP($T72, 'Reference data'!$J$2:$K$139, 2, FALSE))</f>
        <v>-</v>
      </c>
      <c r="V72" s="320"/>
      <c r="W72" s="320"/>
      <c r="X72" s="324"/>
      <c r="Y72" s="325"/>
      <c r="Z72" s="241"/>
      <c r="AA72" s="362"/>
      <c r="AB72" s="86"/>
      <c r="AC72" s="72"/>
      <c r="AD72" s="71"/>
      <c r="AE72" s="239" t="s">
        <v>278</v>
      </c>
      <c r="AF72" s="243" t="s">
        <v>77</v>
      </c>
    </row>
    <row r="73" spans="2:32" ht="12.75" customHeight="1" x14ac:dyDescent="0.2">
      <c r="B73" s="356" t="str" cm="1">
        <f t="array" ref="B73">IF(C73="","Skip",IF(AND(Validator!J67=TRUE,Validator!J317=TRUE,Validator!J567=TRUE,Validator!J817=TRUE,Validator!J1067=TRUE,Validator!J1317=TRUE,OR(ISBLANK($R73),ISNUMBER(VALUE(SUBSTITUTE(SUBSTITUTE(SUBSTITUTE(SUBSTITUTE($R73," ",""),"c",""),"C",""),"-","")))),OR(SUMPRODUCT(--($U73=Package_type_code))&gt;0,$U73="",$U73="-")),"Valid","Invalid"))</f>
        <v>Skip</v>
      </c>
      <c r="C73" s="70"/>
      <c r="D73" s="410"/>
      <c r="E73" s="411"/>
      <c r="F73" s="218" t="str">
        <f t="shared" si="0"/>
        <v>-</v>
      </c>
      <c r="G73" s="218"/>
      <c r="H73" s="178" t="str">
        <f t="shared" si="1"/>
        <v>-</v>
      </c>
      <c r="I73" s="203"/>
      <c r="J73" s="416"/>
      <c r="K73" s="400"/>
      <c r="L73" s="415"/>
      <c r="M73" s="322"/>
      <c r="N73" s="587"/>
      <c r="O73" s="403" t="s">
        <v>278</v>
      </c>
      <c r="P73" s="404" t="s">
        <v>77</v>
      </c>
      <c r="Q73" s="358"/>
      <c r="R73" s="320"/>
      <c r="S73" s="359"/>
      <c r="T73" s="359"/>
      <c r="U73" s="94" t="str">
        <f>IF(ISERROR(VLOOKUP($T73, 'Reference data'!$J$2:$K$139, 2, FALSE)),"-",VLOOKUP($T73, 'Reference data'!$J$2:$K$139, 2, FALSE))</f>
        <v>-</v>
      </c>
      <c r="V73" s="320"/>
      <c r="W73" s="320"/>
      <c r="X73" s="324"/>
      <c r="Y73" s="325"/>
      <c r="Z73" s="241"/>
      <c r="AA73" s="362"/>
      <c r="AB73" s="86"/>
      <c r="AC73" s="72"/>
      <c r="AD73" s="71"/>
      <c r="AE73" s="239" t="s">
        <v>278</v>
      </c>
      <c r="AF73" s="243" t="s">
        <v>77</v>
      </c>
    </row>
    <row r="74" spans="2:32" ht="12.75" customHeight="1" x14ac:dyDescent="0.2">
      <c r="B74" s="356" t="str" cm="1">
        <f t="array" ref="B74">IF(C74="","Skip",IF(AND(Validator!J68=TRUE,Validator!J318=TRUE,Validator!J568=TRUE,Validator!J818=TRUE,Validator!J1068=TRUE,Validator!J1318=TRUE,OR(ISBLANK($R74),ISNUMBER(VALUE(SUBSTITUTE(SUBSTITUTE(SUBSTITUTE(SUBSTITUTE($R74," ",""),"c",""),"C",""),"-","")))),OR(SUMPRODUCT(--($U74=Package_type_code))&gt;0,$U74="",$U74="-")),"Valid","Invalid"))</f>
        <v>Skip</v>
      </c>
      <c r="C74" s="70"/>
      <c r="D74" s="410"/>
      <c r="E74" s="411"/>
      <c r="F74" s="218" t="str">
        <f t="shared" si="0"/>
        <v>-</v>
      </c>
      <c r="G74" s="218"/>
      <c r="H74" s="178" t="str">
        <f t="shared" si="1"/>
        <v>-</v>
      </c>
      <c r="I74" s="203"/>
      <c r="J74" s="416"/>
      <c r="K74" s="400"/>
      <c r="L74" s="415"/>
      <c r="M74" s="322"/>
      <c r="N74" s="587"/>
      <c r="O74" s="403" t="s">
        <v>278</v>
      </c>
      <c r="P74" s="404" t="s">
        <v>77</v>
      </c>
      <c r="Q74" s="358"/>
      <c r="R74" s="320"/>
      <c r="S74" s="359"/>
      <c r="T74" s="359"/>
      <c r="U74" s="94" t="str">
        <f>IF(ISERROR(VLOOKUP($T74, 'Reference data'!$J$2:$K$139, 2, FALSE)),"-",VLOOKUP($T74, 'Reference data'!$J$2:$K$139, 2, FALSE))</f>
        <v>-</v>
      </c>
      <c r="V74" s="320"/>
      <c r="W74" s="320"/>
      <c r="X74" s="324"/>
      <c r="Y74" s="325"/>
      <c r="Z74" s="241"/>
      <c r="AA74" s="362"/>
      <c r="AB74" s="86"/>
      <c r="AC74" s="72"/>
      <c r="AD74" s="71"/>
      <c r="AE74" s="239" t="s">
        <v>278</v>
      </c>
      <c r="AF74" s="243" t="s">
        <v>77</v>
      </c>
    </row>
    <row r="75" spans="2:32" ht="12.75" customHeight="1" x14ac:dyDescent="0.2">
      <c r="B75" s="356" t="str" cm="1">
        <f t="array" ref="B75">IF(C75="","Skip",IF(AND(Validator!J69=TRUE,Validator!J319=TRUE,Validator!J569=TRUE,Validator!J819=TRUE,Validator!J1069=TRUE,Validator!J1319=TRUE,OR(ISBLANK($R75),ISNUMBER(VALUE(SUBSTITUTE(SUBSTITUTE(SUBSTITUTE(SUBSTITUTE($R75," ",""),"c",""),"C",""),"-","")))),OR(SUMPRODUCT(--($U75=Package_type_code))&gt;0,$U75="",$U75="-")),"Valid","Invalid"))</f>
        <v>Skip</v>
      </c>
      <c r="C75" s="70"/>
      <c r="D75" s="410"/>
      <c r="E75" s="411"/>
      <c r="F75" s="218" t="str">
        <f t="shared" si="0"/>
        <v>-</v>
      </c>
      <c r="G75" s="218"/>
      <c r="H75" s="178" t="str">
        <f t="shared" si="1"/>
        <v>-</v>
      </c>
      <c r="I75" s="203"/>
      <c r="J75" s="416"/>
      <c r="K75" s="400"/>
      <c r="L75" s="415"/>
      <c r="M75" s="322"/>
      <c r="N75" s="587"/>
      <c r="O75" s="403" t="s">
        <v>278</v>
      </c>
      <c r="P75" s="404" t="s">
        <v>77</v>
      </c>
      <c r="Q75" s="358"/>
      <c r="R75" s="320"/>
      <c r="S75" s="359"/>
      <c r="T75" s="359"/>
      <c r="U75" s="94" t="str">
        <f>IF(ISERROR(VLOOKUP($T75, 'Reference data'!$J$2:$K$139, 2, FALSE)),"-",VLOOKUP($T75, 'Reference data'!$J$2:$K$139, 2, FALSE))</f>
        <v>-</v>
      </c>
      <c r="V75" s="320"/>
      <c r="W75" s="320"/>
      <c r="X75" s="324"/>
      <c r="Y75" s="325"/>
      <c r="Z75" s="241"/>
      <c r="AA75" s="362"/>
      <c r="AB75" s="86"/>
      <c r="AC75" s="72"/>
      <c r="AD75" s="71"/>
      <c r="AE75" s="239" t="s">
        <v>278</v>
      </c>
      <c r="AF75" s="243" t="s">
        <v>77</v>
      </c>
    </row>
    <row r="76" spans="2:32" ht="12.75" customHeight="1" x14ac:dyDescent="0.2">
      <c r="B76" s="356" t="str" cm="1">
        <f t="array" ref="B76">IF(C76="","Skip",IF(AND(Validator!J70=TRUE,Validator!J320=TRUE,Validator!J570=TRUE,Validator!J820=TRUE,Validator!J1070=TRUE,Validator!J1320=TRUE,OR(ISBLANK($R76),ISNUMBER(VALUE(SUBSTITUTE(SUBSTITUTE(SUBSTITUTE(SUBSTITUTE($R76," ",""),"c",""),"C",""),"-","")))),OR(SUMPRODUCT(--($U76=Package_type_code))&gt;0,$U76="",$U76="-")),"Valid","Invalid"))</f>
        <v>Skip</v>
      </c>
      <c r="C76" s="70"/>
      <c r="D76" s="410"/>
      <c r="E76" s="411"/>
      <c r="F76" s="218" t="str">
        <f t="shared" si="0"/>
        <v>-</v>
      </c>
      <c r="G76" s="218"/>
      <c r="H76" s="178" t="str">
        <f t="shared" si="1"/>
        <v>-</v>
      </c>
      <c r="I76" s="203"/>
      <c r="J76" s="416"/>
      <c r="K76" s="400"/>
      <c r="L76" s="415"/>
      <c r="M76" s="322"/>
      <c r="N76" s="587"/>
      <c r="O76" s="403" t="s">
        <v>278</v>
      </c>
      <c r="P76" s="404" t="s">
        <v>77</v>
      </c>
      <c r="Q76" s="358"/>
      <c r="R76" s="320"/>
      <c r="S76" s="359"/>
      <c r="T76" s="359"/>
      <c r="U76" s="94" t="str">
        <f>IF(ISERROR(VLOOKUP($T76, 'Reference data'!$J$2:$K$139, 2, FALSE)),"-",VLOOKUP($T76, 'Reference data'!$J$2:$K$139, 2, FALSE))</f>
        <v>-</v>
      </c>
      <c r="V76" s="320"/>
      <c r="W76" s="320"/>
      <c r="X76" s="324"/>
      <c r="Y76" s="325"/>
      <c r="Z76" s="241"/>
      <c r="AA76" s="362"/>
      <c r="AB76" s="86"/>
      <c r="AC76" s="72"/>
      <c r="AD76" s="71"/>
      <c r="AE76" s="239" t="s">
        <v>278</v>
      </c>
      <c r="AF76" s="243" t="s">
        <v>77</v>
      </c>
    </row>
    <row r="77" spans="2:32" ht="12.75" customHeight="1" x14ac:dyDescent="0.2">
      <c r="B77" s="356" t="str" cm="1">
        <f t="array" ref="B77">IF(C77="","Skip",IF(AND(Validator!J71=TRUE,Validator!J321=TRUE,Validator!J571=TRUE,Validator!J821=TRUE,Validator!J1071=TRUE,Validator!J1321=TRUE,OR(ISBLANK($R77),ISNUMBER(VALUE(SUBSTITUTE(SUBSTITUTE(SUBSTITUTE(SUBSTITUTE($R77," ",""),"c",""),"C",""),"-","")))),OR(SUMPRODUCT(--($U77=Package_type_code))&gt;0,$U77="",$U77="-")),"Valid","Invalid"))</f>
        <v>Skip</v>
      </c>
      <c r="C77" s="70"/>
      <c r="D77" s="410"/>
      <c r="E77" s="411"/>
      <c r="F77" s="218" t="str">
        <f t="shared" si="0"/>
        <v>-</v>
      </c>
      <c r="G77" s="218"/>
      <c r="H77" s="178" t="str">
        <f t="shared" si="1"/>
        <v>-</v>
      </c>
      <c r="I77" s="203"/>
      <c r="J77" s="416"/>
      <c r="K77" s="400"/>
      <c r="L77" s="415"/>
      <c r="M77" s="322"/>
      <c r="N77" s="587"/>
      <c r="O77" s="403" t="s">
        <v>278</v>
      </c>
      <c r="P77" s="404" t="s">
        <v>77</v>
      </c>
      <c r="Q77" s="358"/>
      <c r="R77" s="320"/>
      <c r="S77" s="359"/>
      <c r="T77" s="359"/>
      <c r="U77" s="94" t="str">
        <f>IF(ISERROR(VLOOKUP($T77, 'Reference data'!$J$2:$K$139, 2, FALSE)),"-",VLOOKUP($T77, 'Reference data'!$J$2:$K$139, 2, FALSE))</f>
        <v>-</v>
      </c>
      <c r="V77" s="320"/>
      <c r="W77" s="320"/>
      <c r="X77" s="324"/>
      <c r="Y77" s="325"/>
      <c r="Z77" s="241"/>
      <c r="AA77" s="362"/>
      <c r="AB77" s="86"/>
      <c r="AC77" s="72"/>
      <c r="AD77" s="71"/>
      <c r="AE77" s="239" t="s">
        <v>278</v>
      </c>
      <c r="AF77" s="243" t="s">
        <v>77</v>
      </c>
    </row>
    <row r="78" spans="2:32" ht="12.75" customHeight="1" x14ac:dyDescent="0.2">
      <c r="B78" s="356" t="str" cm="1">
        <f t="array" ref="B78">IF(C78="","Skip",IF(AND(Validator!J72=TRUE,Validator!J322=TRUE,Validator!J572=TRUE,Validator!J822=TRUE,Validator!J1072=TRUE,Validator!J1322=TRUE,OR(ISBLANK($R78),ISNUMBER(VALUE(SUBSTITUTE(SUBSTITUTE(SUBSTITUTE(SUBSTITUTE($R78," ",""),"c",""),"C",""),"-","")))),OR(SUMPRODUCT(--($U78=Package_type_code))&gt;0,$U78="",$U78="-")),"Valid","Invalid"))</f>
        <v>Skip</v>
      </c>
      <c r="C78" s="70"/>
      <c r="D78" s="410"/>
      <c r="E78" s="411"/>
      <c r="F78" s="218" t="str">
        <f t="shared" ref="F78:F141" si="2">IF(ISERROR(VLOOKUP($E78,REF_LOCODE_PORTNAME_COUNTRY, 2,FALSE)),"-",VLOOKUP($E78,REF_LOCODE_PORTNAME_COUNTRY, 2,FALSE))</f>
        <v>-</v>
      </c>
      <c r="G78" s="218"/>
      <c r="H78" s="178" t="str">
        <f t="shared" ref="H78:H141" si="3">IF(ISERROR(VLOOKUP($G78,REF_LOCODE_PORTNAME_COUNTRY, 2,FALSE)),"-",VLOOKUP($G78,REF_LOCODE_PORTNAME_COUNTRY, 2,FALSE))</f>
        <v>-</v>
      </c>
      <c r="I78" s="203"/>
      <c r="J78" s="416"/>
      <c r="K78" s="400"/>
      <c r="L78" s="415"/>
      <c r="M78" s="322"/>
      <c r="N78" s="587"/>
      <c r="O78" s="403" t="s">
        <v>278</v>
      </c>
      <c r="P78" s="404" t="s">
        <v>77</v>
      </c>
      <c r="Q78" s="358"/>
      <c r="R78" s="320"/>
      <c r="S78" s="359"/>
      <c r="T78" s="359"/>
      <c r="U78" s="94" t="str">
        <f>IF(ISERROR(VLOOKUP($T78, 'Reference data'!$J$2:$K$139, 2, FALSE)),"-",VLOOKUP($T78, 'Reference data'!$J$2:$K$139, 2, FALSE))</f>
        <v>-</v>
      </c>
      <c r="V78" s="320"/>
      <c r="W78" s="320"/>
      <c r="X78" s="324"/>
      <c r="Y78" s="325"/>
      <c r="Z78" s="241"/>
      <c r="AA78" s="362"/>
      <c r="AB78" s="86"/>
      <c r="AC78" s="72"/>
      <c r="AD78" s="71"/>
      <c r="AE78" s="239" t="s">
        <v>278</v>
      </c>
      <c r="AF78" s="243" t="s">
        <v>77</v>
      </c>
    </row>
    <row r="79" spans="2:32" ht="12.75" customHeight="1" x14ac:dyDescent="0.2">
      <c r="B79" s="356" t="str" cm="1">
        <f t="array" ref="B79">IF(C79="","Skip",IF(AND(Validator!J73=TRUE,Validator!J323=TRUE,Validator!J573=TRUE,Validator!J823=TRUE,Validator!J1073=TRUE,Validator!J1323=TRUE,OR(ISBLANK($R79),ISNUMBER(VALUE(SUBSTITUTE(SUBSTITUTE(SUBSTITUTE(SUBSTITUTE($R79," ",""),"c",""),"C",""),"-","")))),OR(SUMPRODUCT(--($U79=Package_type_code))&gt;0,$U79="",$U79="-")),"Valid","Invalid"))</f>
        <v>Skip</v>
      </c>
      <c r="C79" s="70"/>
      <c r="D79" s="410"/>
      <c r="E79" s="411"/>
      <c r="F79" s="218" t="str">
        <f t="shared" si="2"/>
        <v>-</v>
      </c>
      <c r="G79" s="218"/>
      <c r="H79" s="178" t="str">
        <f t="shared" si="3"/>
        <v>-</v>
      </c>
      <c r="I79" s="203"/>
      <c r="J79" s="416"/>
      <c r="K79" s="400"/>
      <c r="L79" s="415"/>
      <c r="M79" s="322"/>
      <c r="N79" s="587"/>
      <c r="O79" s="403" t="s">
        <v>278</v>
      </c>
      <c r="P79" s="404" t="s">
        <v>77</v>
      </c>
      <c r="Q79" s="358"/>
      <c r="R79" s="320"/>
      <c r="S79" s="359"/>
      <c r="T79" s="359"/>
      <c r="U79" s="94" t="str">
        <f>IF(ISERROR(VLOOKUP($T79, 'Reference data'!$J$2:$K$139, 2, FALSE)),"-",VLOOKUP($T79, 'Reference data'!$J$2:$K$139, 2, FALSE))</f>
        <v>-</v>
      </c>
      <c r="V79" s="320"/>
      <c r="W79" s="320"/>
      <c r="X79" s="324"/>
      <c r="Y79" s="325"/>
      <c r="Z79" s="241"/>
      <c r="AA79" s="362"/>
      <c r="AB79" s="86"/>
      <c r="AC79" s="72"/>
      <c r="AD79" s="71"/>
      <c r="AE79" s="239" t="s">
        <v>278</v>
      </c>
      <c r="AF79" s="243" t="s">
        <v>77</v>
      </c>
    </row>
    <row r="80" spans="2:32" ht="12.75" customHeight="1" x14ac:dyDescent="0.2">
      <c r="B80" s="356" t="str" cm="1">
        <f t="array" ref="B80">IF(C80="","Skip",IF(AND(Validator!J74=TRUE,Validator!J324=TRUE,Validator!J574=TRUE,Validator!J824=TRUE,Validator!J1074=TRUE,Validator!J1324=TRUE,OR(ISBLANK($R80),ISNUMBER(VALUE(SUBSTITUTE(SUBSTITUTE(SUBSTITUTE(SUBSTITUTE($R80," ",""),"c",""),"C",""),"-","")))),OR(SUMPRODUCT(--($U80=Package_type_code))&gt;0,$U80="",$U80="-")),"Valid","Invalid"))</f>
        <v>Skip</v>
      </c>
      <c r="C80" s="70"/>
      <c r="D80" s="410"/>
      <c r="E80" s="411"/>
      <c r="F80" s="218" t="str">
        <f t="shared" si="2"/>
        <v>-</v>
      </c>
      <c r="G80" s="218"/>
      <c r="H80" s="178" t="str">
        <f t="shared" si="3"/>
        <v>-</v>
      </c>
      <c r="I80" s="203"/>
      <c r="J80" s="416"/>
      <c r="K80" s="400"/>
      <c r="L80" s="415"/>
      <c r="M80" s="322"/>
      <c r="N80" s="587"/>
      <c r="O80" s="403" t="s">
        <v>278</v>
      </c>
      <c r="P80" s="404" t="s">
        <v>77</v>
      </c>
      <c r="Q80" s="358"/>
      <c r="R80" s="320"/>
      <c r="S80" s="359"/>
      <c r="T80" s="359"/>
      <c r="U80" s="94" t="str">
        <f>IF(ISERROR(VLOOKUP($T80, 'Reference data'!$J$2:$K$139, 2, FALSE)),"-",VLOOKUP($T80, 'Reference data'!$J$2:$K$139, 2, FALSE))</f>
        <v>-</v>
      </c>
      <c r="V80" s="320"/>
      <c r="W80" s="320"/>
      <c r="X80" s="324"/>
      <c r="Y80" s="325"/>
      <c r="Z80" s="241"/>
      <c r="AA80" s="362"/>
      <c r="AB80" s="86"/>
      <c r="AC80" s="72"/>
      <c r="AD80" s="71"/>
      <c r="AE80" s="239" t="s">
        <v>278</v>
      </c>
      <c r="AF80" s="243" t="s">
        <v>77</v>
      </c>
    </row>
    <row r="81" spans="2:32" ht="12.75" customHeight="1" x14ac:dyDescent="0.2">
      <c r="B81" s="356" t="str" cm="1">
        <f t="array" ref="B81">IF(C81="","Skip",IF(AND(Validator!J75=TRUE,Validator!J325=TRUE,Validator!J575=TRUE,Validator!J825=TRUE,Validator!J1075=TRUE,Validator!J1325=TRUE,OR(ISBLANK($R81),ISNUMBER(VALUE(SUBSTITUTE(SUBSTITUTE(SUBSTITUTE(SUBSTITUTE($R81," ",""),"c",""),"C",""),"-","")))),OR(SUMPRODUCT(--($U81=Package_type_code))&gt;0,$U81="",$U81="-")),"Valid","Invalid"))</f>
        <v>Skip</v>
      </c>
      <c r="C81" s="70"/>
      <c r="D81" s="410"/>
      <c r="E81" s="411"/>
      <c r="F81" s="218" t="str">
        <f t="shared" si="2"/>
        <v>-</v>
      </c>
      <c r="G81" s="218"/>
      <c r="H81" s="178" t="str">
        <f t="shared" si="3"/>
        <v>-</v>
      </c>
      <c r="I81" s="203"/>
      <c r="J81" s="416"/>
      <c r="K81" s="400"/>
      <c r="L81" s="415"/>
      <c r="M81" s="322"/>
      <c r="N81" s="587"/>
      <c r="O81" s="403" t="s">
        <v>278</v>
      </c>
      <c r="P81" s="404" t="s">
        <v>77</v>
      </c>
      <c r="Q81" s="358"/>
      <c r="R81" s="320"/>
      <c r="S81" s="359"/>
      <c r="T81" s="359"/>
      <c r="U81" s="94" t="str">
        <f>IF(ISERROR(VLOOKUP($T81, 'Reference data'!$J$2:$K$139, 2, FALSE)),"-",VLOOKUP($T81, 'Reference data'!$J$2:$K$139, 2, FALSE))</f>
        <v>-</v>
      </c>
      <c r="V81" s="320"/>
      <c r="W81" s="320"/>
      <c r="X81" s="324"/>
      <c r="Y81" s="325"/>
      <c r="Z81" s="241"/>
      <c r="AA81" s="362"/>
      <c r="AB81" s="86"/>
      <c r="AC81" s="72"/>
      <c r="AD81" s="71"/>
      <c r="AE81" s="239" t="s">
        <v>278</v>
      </c>
      <c r="AF81" s="243" t="s">
        <v>77</v>
      </c>
    </row>
    <row r="82" spans="2:32" ht="12.75" customHeight="1" x14ac:dyDescent="0.2">
      <c r="B82" s="356" t="str" cm="1">
        <f t="array" ref="B82">IF(C82="","Skip",IF(AND(Validator!J76=TRUE,Validator!J326=TRUE,Validator!J576=TRUE,Validator!J826=TRUE,Validator!J1076=TRUE,Validator!J1326=TRUE,OR(ISBLANK($R82),ISNUMBER(VALUE(SUBSTITUTE(SUBSTITUTE(SUBSTITUTE(SUBSTITUTE($R82," ",""),"c",""),"C",""),"-","")))),OR(SUMPRODUCT(--($U82=Package_type_code))&gt;0,$U82="",$U82="-")),"Valid","Invalid"))</f>
        <v>Skip</v>
      </c>
      <c r="C82" s="70"/>
      <c r="D82" s="410"/>
      <c r="E82" s="411"/>
      <c r="F82" s="218" t="str">
        <f t="shared" si="2"/>
        <v>-</v>
      </c>
      <c r="G82" s="218"/>
      <c r="H82" s="178" t="str">
        <f t="shared" si="3"/>
        <v>-</v>
      </c>
      <c r="I82" s="203"/>
      <c r="J82" s="416"/>
      <c r="K82" s="400"/>
      <c r="L82" s="415"/>
      <c r="M82" s="322"/>
      <c r="N82" s="587"/>
      <c r="O82" s="403" t="s">
        <v>278</v>
      </c>
      <c r="P82" s="404" t="s">
        <v>77</v>
      </c>
      <c r="Q82" s="358"/>
      <c r="R82" s="320"/>
      <c r="S82" s="359"/>
      <c r="T82" s="359"/>
      <c r="U82" s="94" t="str">
        <f>IF(ISERROR(VLOOKUP($T82, 'Reference data'!$J$2:$K$139, 2, FALSE)),"-",VLOOKUP($T82, 'Reference data'!$J$2:$K$139, 2, FALSE))</f>
        <v>-</v>
      </c>
      <c r="V82" s="320"/>
      <c r="W82" s="320"/>
      <c r="X82" s="324"/>
      <c r="Y82" s="325"/>
      <c r="Z82" s="241"/>
      <c r="AA82" s="362"/>
      <c r="AB82" s="86"/>
      <c r="AC82" s="72"/>
      <c r="AD82" s="71"/>
      <c r="AE82" s="239" t="s">
        <v>278</v>
      </c>
      <c r="AF82" s="243" t="s">
        <v>77</v>
      </c>
    </row>
    <row r="83" spans="2:32" ht="12.75" customHeight="1" x14ac:dyDescent="0.2">
      <c r="B83" s="356" t="str" cm="1">
        <f t="array" ref="B83">IF(C83="","Skip",IF(AND(Validator!J77=TRUE,Validator!J327=TRUE,Validator!J577=TRUE,Validator!J827=TRUE,Validator!J1077=TRUE,Validator!J1327=TRUE,OR(ISBLANK($R83),ISNUMBER(VALUE(SUBSTITUTE(SUBSTITUTE(SUBSTITUTE(SUBSTITUTE($R83," ",""),"c",""),"C",""),"-","")))),OR(SUMPRODUCT(--($U83=Package_type_code))&gt;0,$U83="",$U83="-")),"Valid","Invalid"))</f>
        <v>Skip</v>
      </c>
      <c r="C83" s="70"/>
      <c r="D83" s="410"/>
      <c r="E83" s="411"/>
      <c r="F83" s="218" t="str">
        <f t="shared" si="2"/>
        <v>-</v>
      </c>
      <c r="G83" s="218"/>
      <c r="H83" s="178" t="str">
        <f t="shared" si="3"/>
        <v>-</v>
      </c>
      <c r="I83" s="203"/>
      <c r="J83" s="416"/>
      <c r="K83" s="400"/>
      <c r="L83" s="415"/>
      <c r="M83" s="322"/>
      <c r="N83" s="587"/>
      <c r="O83" s="403" t="s">
        <v>278</v>
      </c>
      <c r="P83" s="404" t="s">
        <v>77</v>
      </c>
      <c r="Q83" s="358"/>
      <c r="R83" s="320"/>
      <c r="S83" s="359"/>
      <c r="T83" s="359"/>
      <c r="U83" s="94" t="str">
        <f>IF(ISERROR(VLOOKUP($T83, 'Reference data'!$J$2:$K$139, 2, FALSE)),"-",VLOOKUP($T83, 'Reference data'!$J$2:$K$139, 2, FALSE))</f>
        <v>-</v>
      </c>
      <c r="V83" s="320"/>
      <c r="W83" s="320"/>
      <c r="X83" s="324"/>
      <c r="Y83" s="325"/>
      <c r="Z83" s="241"/>
      <c r="AA83" s="362"/>
      <c r="AB83" s="86"/>
      <c r="AC83" s="72"/>
      <c r="AD83" s="71"/>
      <c r="AE83" s="239" t="s">
        <v>278</v>
      </c>
      <c r="AF83" s="243" t="s">
        <v>77</v>
      </c>
    </row>
    <row r="84" spans="2:32" ht="12.75" customHeight="1" x14ac:dyDescent="0.2">
      <c r="B84" s="356" t="str" cm="1">
        <f t="array" ref="B84">IF(C84="","Skip",IF(AND(Validator!J78=TRUE,Validator!J328=TRUE,Validator!J578=TRUE,Validator!J828=TRUE,Validator!J1078=TRUE,Validator!J1328=TRUE,OR(ISBLANK($R84),ISNUMBER(VALUE(SUBSTITUTE(SUBSTITUTE(SUBSTITUTE(SUBSTITUTE($R84," ",""),"c",""),"C",""),"-","")))),OR(SUMPRODUCT(--($U84=Package_type_code))&gt;0,$U84="",$U84="-")),"Valid","Invalid"))</f>
        <v>Skip</v>
      </c>
      <c r="C84" s="70"/>
      <c r="D84" s="410"/>
      <c r="E84" s="411"/>
      <c r="F84" s="218" t="str">
        <f t="shared" si="2"/>
        <v>-</v>
      </c>
      <c r="G84" s="218"/>
      <c r="H84" s="178" t="str">
        <f t="shared" si="3"/>
        <v>-</v>
      </c>
      <c r="I84" s="203"/>
      <c r="J84" s="416"/>
      <c r="K84" s="400"/>
      <c r="L84" s="415"/>
      <c r="M84" s="322"/>
      <c r="N84" s="587"/>
      <c r="O84" s="403" t="s">
        <v>278</v>
      </c>
      <c r="P84" s="404" t="s">
        <v>77</v>
      </c>
      <c r="Q84" s="358"/>
      <c r="R84" s="320"/>
      <c r="S84" s="359"/>
      <c r="T84" s="359"/>
      <c r="U84" s="94" t="str">
        <f>IF(ISERROR(VLOOKUP($T84, 'Reference data'!$J$2:$K$139, 2, FALSE)),"-",VLOOKUP($T84, 'Reference data'!$J$2:$K$139, 2, FALSE))</f>
        <v>-</v>
      </c>
      <c r="V84" s="320"/>
      <c r="W84" s="320"/>
      <c r="X84" s="324"/>
      <c r="Y84" s="325"/>
      <c r="Z84" s="241"/>
      <c r="AA84" s="362"/>
      <c r="AB84" s="86"/>
      <c r="AC84" s="72"/>
      <c r="AD84" s="71"/>
      <c r="AE84" s="239" t="s">
        <v>278</v>
      </c>
      <c r="AF84" s="243" t="s">
        <v>77</v>
      </c>
    </row>
    <row r="85" spans="2:32" ht="12.75" customHeight="1" x14ac:dyDescent="0.2">
      <c r="B85" s="356" t="str" cm="1">
        <f t="array" ref="B85">IF(C85="","Skip",IF(AND(Validator!J79=TRUE,Validator!J329=TRUE,Validator!J579=TRUE,Validator!J829=TRUE,Validator!J1079=TRUE,Validator!J1329=TRUE,OR(ISBLANK($R85),ISNUMBER(VALUE(SUBSTITUTE(SUBSTITUTE(SUBSTITUTE(SUBSTITUTE($R85," ",""),"c",""),"C",""),"-","")))),OR(SUMPRODUCT(--($U85=Package_type_code))&gt;0,$U85="",$U85="-")),"Valid","Invalid"))</f>
        <v>Skip</v>
      </c>
      <c r="C85" s="70"/>
      <c r="D85" s="410"/>
      <c r="E85" s="411"/>
      <c r="F85" s="218" t="str">
        <f t="shared" si="2"/>
        <v>-</v>
      </c>
      <c r="G85" s="218"/>
      <c r="H85" s="178" t="str">
        <f t="shared" si="3"/>
        <v>-</v>
      </c>
      <c r="I85" s="203"/>
      <c r="J85" s="416"/>
      <c r="K85" s="400"/>
      <c r="L85" s="415"/>
      <c r="M85" s="322"/>
      <c r="N85" s="587"/>
      <c r="O85" s="403" t="s">
        <v>278</v>
      </c>
      <c r="P85" s="404" t="s">
        <v>77</v>
      </c>
      <c r="Q85" s="358"/>
      <c r="R85" s="320"/>
      <c r="S85" s="359"/>
      <c r="T85" s="359"/>
      <c r="U85" s="94" t="str">
        <f>IF(ISERROR(VLOOKUP($T85, 'Reference data'!$J$2:$K$139, 2, FALSE)),"-",VLOOKUP($T85, 'Reference data'!$J$2:$K$139, 2, FALSE))</f>
        <v>-</v>
      </c>
      <c r="V85" s="320"/>
      <c r="W85" s="320"/>
      <c r="X85" s="324"/>
      <c r="Y85" s="325"/>
      <c r="Z85" s="241"/>
      <c r="AA85" s="362"/>
      <c r="AB85" s="86"/>
      <c r="AC85" s="72"/>
      <c r="AD85" s="71"/>
      <c r="AE85" s="239" t="s">
        <v>278</v>
      </c>
      <c r="AF85" s="243" t="s">
        <v>77</v>
      </c>
    </row>
    <row r="86" spans="2:32" ht="12.75" customHeight="1" x14ac:dyDescent="0.2">
      <c r="B86" s="356" t="str" cm="1">
        <f t="array" ref="B86">IF(C86="","Skip",IF(AND(Validator!J80=TRUE,Validator!J330=TRUE,Validator!J580=TRUE,Validator!J830=TRUE,Validator!J1080=TRUE,Validator!J1330=TRUE,OR(ISBLANK($R86),ISNUMBER(VALUE(SUBSTITUTE(SUBSTITUTE(SUBSTITUTE(SUBSTITUTE($R86," ",""),"c",""),"C",""),"-","")))),OR(SUMPRODUCT(--($U86=Package_type_code))&gt;0,$U86="",$U86="-")),"Valid","Invalid"))</f>
        <v>Skip</v>
      </c>
      <c r="C86" s="70"/>
      <c r="D86" s="410"/>
      <c r="E86" s="411"/>
      <c r="F86" s="218" t="str">
        <f t="shared" si="2"/>
        <v>-</v>
      </c>
      <c r="G86" s="218"/>
      <c r="H86" s="178" t="str">
        <f t="shared" si="3"/>
        <v>-</v>
      </c>
      <c r="I86" s="203"/>
      <c r="J86" s="416"/>
      <c r="K86" s="400"/>
      <c r="L86" s="415"/>
      <c r="M86" s="322"/>
      <c r="N86" s="587"/>
      <c r="O86" s="403" t="s">
        <v>278</v>
      </c>
      <c r="P86" s="404" t="s">
        <v>77</v>
      </c>
      <c r="Q86" s="358"/>
      <c r="R86" s="320"/>
      <c r="S86" s="359"/>
      <c r="T86" s="359"/>
      <c r="U86" s="94" t="str">
        <f>IF(ISERROR(VLOOKUP($T86, 'Reference data'!$J$2:$K$139, 2, FALSE)),"-",VLOOKUP($T86, 'Reference data'!$J$2:$K$139, 2, FALSE))</f>
        <v>-</v>
      </c>
      <c r="V86" s="320"/>
      <c r="W86" s="320"/>
      <c r="X86" s="324"/>
      <c r="Y86" s="325"/>
      <c r="Z86" s="241"/>
      <c r="AA86" s="362"/>
      <c r="AB86" s="86"/>
      <c r="AC86" s="72"/>
      <c r="AD86" s="71"/>
      <c r="AE86" s="239" t="s">
        <v>278</v>
      </c>
      <c r="AF86" s="243" t="s">
        <v>77</v>
      </c>
    </row>
    <row r="87" spans="2:32" ht="12.75" customHeight="1" x14ac:dyDescent="0.2">
      <c r="B87" s="356" t="str" cm="1">
        <f t="array" ref="B87">IF(C87="","Skip",IF(AND(Validator!J81=TRUE,Validator!J331=TRUE,Validator!J581=TRUE,Validator!J831=TRUE,Validator!J1081=TRUE,Validator!J1331=TRUE,OR(ISBLANK($R87),ISNUMBER(VALUE(SUBSTITUTE(SUBSTITUTE(SUBSTITUTE(SUBSTITUTE($R87," ",""),"c",""),"C",""),"-","")))),OR(SUMPRODUCT(--($U87=Package_type_code))&gt;0,$U87="",$U87="-")),"Valid","Invalid"))</f>
        <v>Skip</v>
      </c>
      <c r="C87" s="70"/>
      <c r="D87" s="410"/>
      <c r="E87" s="411"/>
      <c r="F87" s="218" t="str">
        <f t="shared" si="2"/>
        <v>-</v>
      </c>
      <c r="G87" s="218"/>
      <c r="H87" s="178" t="str">
        <f t="shared" si="3"/>
        <v>-</v>
      </c>
      <c r="I87" s="203"/>
      <c r="J87" s="416"/>
      <c r="K87" s="400"/>
      <c r="L87" s="415"/>
      <c r="M87" s="322"/>
      <c r="N87" s="587"/>
      <c r="O87" s="403" t="s">
        <v>278</v>
      </c>
      <c r="P87" s="404" t="s">
        <v>77</v>
      </c>
      <c r="Q87" s="358"/>
      <c r="R87" s="320"/>
      <c r="S87" s="359"/>
      <c r="T87" s="359"/>
      <c r="U87" s="94" t="str">
        <f>IF(ISERROR(VLOOKUP($T87, 'Reference data'!$J$2:$K$139, 2, FALSE)),"-",VLOOKUP($T87, 'Reference data'!$J$2:$K$139, 2, FALSE))</f>
        <v>-</v>
      </c>
      <c r="V87" s="320"/>
      <c r="W87" s="320"/>
      <c r="X87" s="324"/>
      <c r="Y87" s="325"/>
      <c r="Z87" s="241"/>
      <c r="AA87" s="362"/>
      <c r="AB87" s="86"/>
      <c r="AC87" s="72"/>
      <c r="AD87" s="71"/>
      <c r="AE87" s="239" t="s">
        <v>278</v>
      </c>
      <c r="AF87" s="243" t="s">
        <v>77</v>
      </c>
    </row>
    <row r="88" spans="2:32" ht="12.75" customHeight="1" x14ac:dyDescent="0.2">
      <c r="B88" s="356" t="str" cm="1">
        <f t="array" ref="B88">IF(C88="","Skip",IF(AND(Validator!J82=TRUE,Validator!J332=TRUE,Validator!J582=TRUE,Validator!J832=TRUE,Validator!J1082=TRUE,Validator!J1332=TRUE,OR(ISBLANK($R88),ISNUMBER(VALUE(SUBSTITUTE(SUBSTITUTE(SUBSTITUTE(SUBSTITUTE($R88," ",""),"c",""),"C",""),"-","")))),OR(SUMPRODUCT(--($U88=Package_type_code))&gt;0,$U88="",$U88="-")),"Valid","Invalid"))</f>
        <v>Skip</v>
      </c>
      <c r="C88" s="70"/>
      <c r="D88" s="410"/>
      <c r="E88" s="411"/>
      <c r="F88" s="218" t="str">
        <f t="shared" si="2"/>
        <v>-</v>
      </c>
      <c r="G88" s="218"/>
      <c r="H88" s="178" t="str">
        <f t="shared" si="3"/>
        <v>-</v>
      </c>
      <c r="I88" s="203"/>
      <c r="J88" s="416"/>
      <c r="K88" s="400"/>
      <c r="L88" s="415"/>
      <c r="M88" s="322"/>
      <c r="N88" s="587"/>
      <c r="O88" s="403" t="s">
        <v>278</v>
      </c>
      <c r="P88" s="404" t="s">
        <v>77</v>
      </c>
      <c r="Q88" s="358"/>
      <c r="R88" s="320"/>
      <c r="S88" s="359"/>
      <c r="T88" s="359"/>
      <c r="U88" s="94" t="str">
        <f>IF(ISERROR(VLOOKUP($T88, 'Reference data'!$J$2:$K$139, 2, FALSE)),"-",VLOOKUP($T88, 'Reference data'!$J$2:$K$139, 2, FALSE))</f>
        <v>-</v>
      </c>
      <c r="V88" s="320"/>
      <c r="W88" s="320"/>
      <c r="X88" s="324"/>
      <c r="Y88" s="325"/>
      <c r="Z88" s="241"/>
      <c r="AA88" s="362"/>
      <c r="AB88" s="86"/>
      <c r="AC88" s="72"/>
      <c r="AD88" s="71"/>
      <c r="AE88" s="239" t="s">
        <v>278</v>
      </c>
      <c r="AF88" s="243" t="s">
        <v>77</v>
      </c>
    </row>
    <row r="89" spans="2:32" ht="12.75" customHeight="1" x14ac:dyDescent="0.2">
      <c r="B89" s="356" t="str" cm="1">
        <f t="array" ref="B89">IF(C89="","Skip",IF(AND(Validator!J83=TRUE,Validator!J333=TRUE,Validator!J583=TRUE,Validator!J833=TRUE,Validator!J1083=TRUE,Validator!J1333=TRUE,OR(ISBLANK($R89),ISNUMBER(VALUE(SUBSTITUTE(SUBSTITUTE(SUBSTITUTE(SUBSTITUTE($R89," ",""),"c",""),"C",""),"-","")))),OR(SUMPRODUCT(--($U89=Package_type_code))&gt;0,$U89="",$U89="-")),"Valid","Invalid"))</f>
        <v>Skip</v>
      </c>
      <c r="C89" s="70"/>
      <c r="D89" s="410"/>
      <c r="E89" s="411"/>
      <c r="F89" s="218" t="str">
        <f t="shared" si="2"/>
        <v>-</v>
      </c>
      <c r="G89" s="218"/>
      <c r="H89" s="178" t="str">
        <f t="shared" si="3"/>
        <v>-</v>
      </c>
      <c r="I89" s="203"/>
      <c r="J89" s="416"/>
      <c r="K89" s="400"/>
      <c r="L89" s="415"/>
      <c r="M89" s="322"/>
      <c r="N89" s="587"/>
      <c r="O89" s="403" t="s">
        <v>278</v>
      </c>
      <c r="P89" s="404" t="s">
        <v>77</v>
      </c>
      <c r="Q89" s="358"/>
      <c r="R89" s="320"/>
      <c r="S89" s="359"/>
      <c r="T89" s="359"/>
      <c r="U89" s="94" t="str">
        <f>IF(ISERROR(VLOOKUP($T89, 'Reference data'!$J$2:$K$139, 2, FALSE)),"-",VLOOKUP($T89, 'Reference data'!$J$2:$K$139, 2, FALSE))</f>
        <v>-</v>
      </c>
      <c r="V89" s="320"/>
      <c r="W89" s="320"/>
      <c r="X89" s="324"/>
      <c r="Y89" s="325"/>
      <c r="Z89" s="241"/>
      <c r="AA89" s="362"/>
      <c r="AB89" s="86"/>
      <c r="AC89" s="72"/>
      <c r="AD89" s="71"/>
      <c r="AE89" s="239" t="s">
        <v>278</v>
      </c>
      <c r="AF89" s="243" t="s">
        <v>77</v>
      </c>
    </row>
    <row r="90" spans="2:32" ht="12.75" customHeight="1" x14ac:dyDescent="0.2">
      <c r="B90" s="356" t="str" cm="1">
        <f t="array" ref="B90">IF(C90="","Skip",IF(AND(Validator!J84=TRUE,Validator!J334=TRUE,Validator!J584=TRUE,Validator!J834=TRUE,Validator!J1084=TRUE,Validator!J1334=TRUE,OR(ISBLANK($R90),ISNUMBER(VALUE(SUBSTITUTE(SUBSTITUTE(SUBSTITUTE(SUBSTITUTE($R90," ",""),"c",""),"C",""),"-","")))),OR(SUMPRODUCT(--($U90=Package_type_code))&gt;0,$U90="",$U90="-")),"Valid","Invalid"))</f>
        <v>Skip</v>
      </c>
      <c r="C90" s="70"/>
      <c r="D90" s="410"/>
      <c r="E90" s="411"/>
      <c r="F90" s="218" t="str">
        <f t="shared" si="2"/>
        <v>-</v>
      </c>
      <c r="G90" s="218"/>
      <c r="H90" s="178" t="str">
        <f t="shared" si="3"/>
        <v>-</v>
      </c>
      <c r="I90" s="203"/>
      <c r="J90" s="416"/>
      <c r="K90" s="400"/>
      <c r="L90" s="415"/>
      <c r="M90" s="322"/>
      <c r="N90" s="587"/>
      <c r="O90" s="403" t="s">
        <v>278</v>
      </c>
      <c r="P90" s="404" t="s">
        <v>77</v>
      </c>
      <c r="Q90" s="358"/>
      <c r="R90" s="320"/>
      <c r="S90" s="359"/>
      <c r="T90" s="359"/>
      <c r="U90" s="94" t="str">
        <f>IF(ISERROR(VLOOKUP($T90, 'Reference data'!$J$2:$K$139, 2, FALSE)),"-",VLOOKUP($T90, 'Reference data'!$J$2:$K$139, 2, FALSE))</f>
        <v>-</v>
      </c>
      <c r="V90" s="320"/>
      <c r="W90" s="320"/>
      <c r="X90" s="324"/>
      <c r="Y90" s="325"/>
      <c r="Z90" s="241"/>
      <c r="AA90" s="362"/>
      <c r="AB90" s="86"/>
      <c r="AC90" s="72"/>
      <c r="AD90" s="71"/>
      <c r="AE90" s="239" t="s">
        <v>278</v>
      </c>
      <c r="AF90" s="243" t="s">
        <v>77</v>
      </c>
    </row>
    <row r="91" spans="2:32" ht="12.75" customHeight="1" x14ac:dyDescent="0.2">
      <c r="B91" s="356" t="str" cm="1">
        <f t="array" ref="B91">IF(C91="","Skip",IF(AND(Validator!J85=TRUE,Validator!J335=TRUE,Validator!J585=TRUE,Validator!J835=TRUE,Validator!J1085=TRUE,Validator!J1335=TRUE,OR(ISBLANK($R91),ISNUMBER(VALUE(SUBSTITUTE(SUBSTITUTE(SUBSTITUTE(SUBSTITUTE($R91," ",""),"c",""),"C",""),"-","")))),OR(SUMPRODUCT(--($U91=Package_type_code))&gt;0,$U91="",$U91="-")),"Valid","Invalid"))</f>
        <v>Skip</v>
      </c>
      <c r="C91" s="70"/>
      <c r="D91" s="410"/>
      <c r="E91" s="411"/>
      <c r="F91" s="218" t="str">
        <f t="shared" si="2"/>
        <v>-</v>
      </c>
      <c r="G91" s="218"/>
      <c r="H91" s="178" t="str">
        <f t="shared" si="3"/>
        <v>-</v>
      </c>
      <c r="I91" s="203"/>
      <c r="J91" s="416"/>
      <c r="K91" s="400"/>
      <c r="L91" s="415"/>
      <c r="M91" s="322"/>
      <c r="N91" s="587"/>
      <c r="O91" s="403" t="s">
        <v>278</v>
      </c>
      <c r="P91" s="404" t="s">
        <v>77</v>
      </c>
      <c r="Q91" s="358"/>
      <c r="R91" s="320"/>
      <c r="S91" s="359"/>
      <c r="T91" s="359"/>
      <c r="U91" s="94" t="str">
        <f>IF(ISERROR(VLOOKUP($T91, 'Reference data'!$J$2:$K$139, 2, FALSE)),"-",VLOOKUP($T91, 'Reference data'!$J$2:$K$139, 2, FALSE))</f>
        <v>-</v>
      </c>
      <c r="V91" s="320"/>
      <c r="W91" s="320"/>
      <c r="X91" s="324"/>
      <c r="Y91" s="325"/>
      <c r="Z91" s="241"/>
      <c r="AA91" s="362"/>
      <c r="AB91" s="86"/>
      <c r="AC91" s="72"/>
      <c r="AD91" s="71"/>
      <c r="AE91" s="239" t="s">
        <v>278</v>
      </c>
      <c r="AF91" s="243" t="s">
        <v>77</v>
      </c>
    </row>
    <row r="92" spans="2:32" ht="12.75" customHeight="1" x14ac:dyDescent="0.2">
      <c r="B92" s="356" t="str" cm="1">
        <f t="array" ref="B92">IF(C92="","Skip",IF(AND(Validator!J86=TRUE,Validator!J336=TRUE,Validator!J586=TRUE,Validator!J836=TRUE,Validator!J1086=TRUE,Validator!J1336=TRUE,OR(ISBLANK($R92),ISNUMBER(VALUE(SUBSTITUTE(SUBSTITUTE(SUBSTITUTE(SUBSTITUTE($R92," ",""),"c",""),"C",""),"-","")))),OR(SUMPRODUCT(--($U92=Package_type_code))&gt;0,$U92="",$U92="-")),"Valid","Invalid"))</f>
        <v>Skip</v>
      </c>
      <c r="C92" s="70"/>
      <c r="D92" s="410"/>
      <c r="E92" s="411"/>
      <c r="F92" s="218" t="str">
        <f t="shared" si="2"/>
        <v>-</v>
      </c>
      <c r="G92" s="218"/>
      <c r="H92" s="178" t="str">
        <f t="shared" si="3"/>
        <v>-</v>
      </c>
      <c r="I92" s="203"/>
      <c r="J92" s="416"/>
      <c r="K92" s="400"/>
      <c r="L92" s="415"/>
      <c r="M92" s="322"/>
      <c r="N92" s="587"/>
      <c r="O92" s="403" t="s">
        <v>278</v>
      </c>
      <c r="P92" s="404" t="s">
        <v>77</v>
      </c>
      <c r="Q92" s="358"/>
      <c r="R92" s="320"/>
      <c r="S92" s="359"/>
      <c r="T92" s="359"/>
      <c r="U92" s="94" t="str">
        <f>IF(ISERROR(VLOOKUP($T92, 'Reference data'!$J$2:$K$139, 2, FALSE)),"-",VLOOKUP($T92, 'Reference data'!$J$2:$K$139, 2, FALSE))</f>
        <v>-</v>
      </c>
      <c r="V92" s="320"/>
      <c r="W92" s="320"/>
      <c r="X92" s="324"/>
      <c r="Y92" s="325"/>
      <c r="Z92" s="241"/>
      <c r="AA92" s="362"/>
      <c r="AB92" s="86"/>
      <c r="AC92" s="72"/>
      <c r="AD92" s="71"/>
      <c r="AE92" s="239" t="s">
        <v>278</v>
      </c>
      <c r="AF92" s="243" t="s">
        <v>77</v>
      </c>
    </row>
    <row r="93" spans="2:32" ht="12.75" customHeight="1" x14ac:dyDescent="0.2">
      <c r="B93" s="356" t="str" cm="1">
        <f t="array" ref="B93">IF(C93="","Skip",IF(AND(Validator!J87=TRUE,Validator!J337=TRUE,Validator!J587=TRUE,Validator!J837=TRUE,Validator!J1087=TRUE,Validator!J1337=TRUE,OR(ISBLANK($R93),ISNUMBER(VALUE(SUBSTITUTE(SUBSTITUTE(SUBSTITUTE(SUBSTITUTE($R93," ",""),"c",""),"C",""),"-","")))),OR(SUMPRODUCT(--($U93=Package_type_code))&gt;0,$U93="",$U93="-")),"Valid","Invalid"))</f>
        <v>Skip</v>
      </c>
      <c r="C93" s="70"/>
      <c r="D93" s="410"/>
      <c r="E93" s="411"/>
      <c r="F93" s="218" t="str">
        <f t="shared" si="2"/>
        <v>-</v>
      </c>
      <c r="G93" s="218"/>
      <c r="H93" s="178" t="str">
        <f t="shared" si="3"/>
        <v>-</v>
      </c>
      <c r="I93" s="203"/>
      <c r="J93" s="416"/>
      <c r="K93" s="400"/>
      <c r="L93" s="415"/>
      <c r="M93" s="322"/>
      <c r="N93" s="587"/>
      <c r="O93" s="403" t="s">
        <v>278</v>
      </c>
      <c r="P93" s="404" t="s">
        <v>77</v>
      </c>
      <c r="Q93" s="358"/>
      <c r="R93" s="320"/>
      <c r="S93" s="359"/>
      <c r="T93" s="359"/>
      <c r="U93" s="94" t="str">
        <f>IF(ISERROR(VLOOKUP($T93, 'Reference data'!$J$2:$K$139, 2, FALSE)),"-",VLOOKUP($T93, 'Reference data'!$J$2:$K$139, 2, FALSE))</f>
        <v>-</v>
      </c>
      <c r="V93" s="320"/>
      <c r="W93" s="320"/>
      <c r="X93" s="324"/>
      <c r="Y93" s="325"/>
      <c r="Z93" s="241"/>
      <c r="AA93" s="362"/>
      <c r="AB93" s="86"/>
      <c r="AC93" s="72"/>
      <c r="AD93" s="71"/>
      <c r="AE93" s="239" t="s">
        <v>278</v>
      </c>
      <c r="AF93" s="243" t="s">
        <v>77</v>
      </c>
    </row>
    <row r="94" spans="2:32" ht="12.75" customHeight="1" x14ac:dyDescent="0.2">
      <c r="B94" s="356" t="str" cm="1">
        <f t="array" ref="B94">IF(C94="","Skip",IF(AND(Validator!J88=TRUE,Validator!J338=TRUE,Validator!J588=TRUE,Validator!J838=TRUE,Validator!J1088=TRUE,Validator!J1338=TRUE,OR(ISBLANK($R94),ISNUMBER(VALUE(SUBSTITUTE(SUBSTITUTE(SUBSTITUTE(SUBSTITUTE($R94," ",""),"c",""),"C",""),"-","")))),OR(SUMPRODUCT(--($U94=Package_type_code))&gt;0,$U94="",$U94="-")),"Valid","Invalid"))</f>
        <v>Skip</v>
      </c>
      <c r="C94" s="70"/>
      <c r="D94" s="410"/>
      <c r="E94" s="411"/>
      <c r="F94" s="218" t="str">
        <f t="shared" si="2"/>
        <v>-</v>
      </c>
      <c r="G94" s="218"/>
      <c r="H94" s="178" t="str">
        <f t="shared" si="3"/>
        <v>-</v>
      </c>
      <c r="I94" s="203"/>
      <c r="J94" s="416"/>
      <c r="K94" s="400"/>
      <c r="L94" s="415"/>
      <c r="M94" s="322"/>
      <c r="N94" s="587"/>
      <c r="O94" s="403" t="s">
        <v>278</v>
      </c>
      <c r="P94" s="404" t="s">
        <v>77</v>
      </c>
      <c r="Q94" s="358"/>
      <c r="R94" s="320"/>
      <c r="S94" s="359"/>
      <c r="T94" s="359"/>
      <c r="U94" s="94" t="str">
        <f>IF(ISERROR(VLOOKUP($T94, 'Reference data'!$J$2:$K$139, 2, FALSE)),"-",VLOOKUP($T94, 'Reference data'!$J$2:$K$139, 2, FALSE))</f>
        <v>-</v>
      </c>
      <c r="V94" s="320"/>
      <c r="W94" s="320"/>
      <c r="X94" s="324"/>
      <c r="Y94" s="325"/>
      <c r="Z94" s="241"/>
      <c r="AA94" s="362"/>
      <c r="AB94" s="86"/>
      <c r="AC94" s="72"/>
      <c r="AD94" s="71"/>
      <c r="AE94" s="239" t="s">
        <v>278</v>
      </c>
      <c r="AF94" s="243" t="s">
        <v>77</v>
      </c>
    </row>
    <row r="95" spans="2:32" ht="12.75" customHeight="1" x14ac:dyDescent="0.2">
      <c r="B95" s="356" t="str" cm="1">
        <f t="array" ref="B95">IF(C95="","Skip",IF(AND(Validator!J89=TRUE,Validator!J339=TRUE,Validator!J589=TRUE,Validator!J839=TRUE,Validator!J1089=TRUE,Validator!J1339=TRUE,OR(ISBLANK($R95),ISNUMBER(VALUE(SUBSTITUTE(SUBSTITUTE(SUBSTITUTE(SUBSTITUTE($R95," ",""),"c",""),"C",""),"-","")))),OR(SUMPRODUCT(--($U95=Package_type_code))&gt;0,$U95="",$U95="-")),"Valid","Invalid"))</f>
        <v>Skip</v>
      </c>
      <c r="C95" s="70"/>
      <c r="D95" s="410"/>
      <c r="E95" s="411"/>
      <c r="F95" s="218" t="str">
        <f t="shared" si="2"/>
        <v>-</v>
      </c>
      <c r="G95" s="218"/>
      <c r="H95" s="178" t="str">
        <f t="shared" si="3"/>
        <v>-</v>
      </c>
      <c r="I95" s="203"/>
      <c r="J95" s="416"/>
      <c r="K95" s="400"/>
      <c r="L95" s="415"/>
      <c r="M95" s="322"/>
      <c r="N95" s="587"/>
      <c r="O95" s="403" t="s">
        <v>278</v>
      </c>
      <c r="P95" s="404" t="s">
        <v>77</v>
      </c>
      <c r="Q95" s="358"/>
      <c r="R95" s="320"/>
      <c r="S95" s="359"/>
      <c r="T95" s="359"/>
      <c r="U95" s="94" t="str">
        <f>IF(ISERROR(VLOOKUP($T95, 'Reference data'!$J$2:$K$139, 2, FALSE)),"-",VLOOKUP($T95, 'Reference data'!$J$2:$K$139, 2, FALSE))</f>
        <v>-</v>
      </c>
      <c r="V95" s="320"/>
      <c r="W95" s="320"/>
      <c r="X95" s="324"/>
      <c r="Y95" s="325"/>
      <c r="Z95" s="241"/>
      <c r="AA95" s="362"/>
      <c r="AB95" s="86"/>
      <c r="AC95" s="72"/>
      <c r="AD95" s="71"/>
      <c r="AE95" s="239" t="s">
        <v>278</v>
      </c>
      <c r="AF95" s="243" t="s">
        <v>77</v>
      </c>
    </row>
    <row r="96" spans="2:32" ht="12.75" customHeight="1" x14ac:dyDescent="0.2">
      <c r="B96" s="356" t="str" cm="1">
        <f t="array" ref="B96">IF(C96="","Skip",IF(AND(Validator!J90=TRUE,Validator!J340=TRUE,Validator!J590=TRUE,Validator!J840=TRUE,Validator!J1090=TRUE,Validator!J1340=TRUE,OR(ISBLANK($R96),ISNUMBER(VALUE(SUBSTITUTE(SUBSTITUTE(SUBSTITUTE(SUBSTITUTE($R96," ",""),"c",""),"C",""),"-","")))),OR(SUMPRODUCT(--($U96=Package_type_code))&gt;0,$U96="",$U96="-")),"Valid","Invalid"))</f>
        <v>Skip</v>
      </c>
      <c r="C96" s="70"/>
      <c r="D96" s="410"/>
      <c r="E96" s="411"/>
      <c r="F96" s="218" t="str">
        <f t="shared" si="2"/>
        <v>-</v>
      </c>
      <c r="G96" s="218"/>
      <c r="H96" s="178" t="str">
        <f t="shared" si="3"/>
        <v>-</v>
      </c>
      <c r="I96" s="203"/>
      <c r="J96" s="416"/>
      <c r="K96" s="400"/>
      <c r="L96" s="415"/>
      <c r="M96" s="322"/>
      <c r="N96" s="587"/>
      <c r="O96" s="403" t="s">
        <v>278</v>
      </c>
      <c r="P96" s="404" t="s">
        <v>77</v>
      </c>
      <c r="Q96" s="358"/>
      <c r="R96" s="320"/>
      <c r="S96" s="359"/>
      <c r="T96" s="359"/>
      <c r="U96" s="94" t="str">
        <f>IF(ISERROR(VLOOKUP($T96, 'Reference data'!$J$2:$K$139, 2, FALSE)),"-",VLOOKUP($T96, 'Reference data'!$J$2:$K$139, 2, FALSE))</f>
        <v>-</v>
      </c>
      <c r="V96" s="320"/>
      <c r="W96" s="320"/>
      <c r="X96" s="324"/>
      <c r="Y96" s="325"/>
      <c r="Z96" s="241"/>
      <c r="AA96" s="362"/>
      <c r="AB96" s="86"/>
      <c r="AC96" s="72"/>
      <c r="AD96" s="71"/>
      <c r="AE96" s="239" t="s">
        <v>278</v>
      </c>
      <c r="AF96" s="243" t="s">
        <v>77</v>
      </c>
    </row>
    <row r="97" spans="2:32" ht="12.75" customHeight="1" x14ac:dyDescent="0.2">
      <c r="B97" s="356" t="str" cm="1">
        <f t="array" ref="B97">IF(C97="","Skip",IF(AND(Validator!J91=TRUE,Validator!J341=TRUE,Validator!J591=TRUE,Validator!J841=TRUE,Validator!J1091=TRUE,Validator!J1341=TRUE,OR(ISBLANK($R97),ISNUMBER(VALUE(SUBSTITUTE(SUBSTITUTE(SUBSTITUTE(SUBSTITUTE($R97," ",""),"c",""),"C",""),"-","")))),OR(SUMPRODUCT(--($U97=Package_type_code))&gt;0,$U97="",$U97="-")),"Valid","Invalid"))</f>
        <v>Skip</v>
      </c>
      <c r="C97" s="70"/>
      <c r="D97" s="410"/>
      <c r="E97" s="411"/>
      <c r="F97" s="218" t="str">
        <f t="shared" si="2"/>
        <v>-</v>
      </c>
      <c r="G97" s="218"/>
      <c r="H97" s="178" t="str">
        <f t="shared" si="3"/>
        <v>-</v>
      </c>
      <c r="I97" s="203"/>
      <c r="J97" s="416"/>
      <c r="K97" s="400"/>
      <c r="L97" s="415"/>
      <c r="M97" s="322"/>
      <c r="N97" s="587"/>
      <c r="O97" s="403" t="s">
        <v>278</v>
      </c>
      <c r="P97" s="404" t="s">
        <v>77</v>
      </c>
      <c r="Q97" s="358"/>
      <c r="R97" s="320"/>
      <c r="S97" s="359"/>
      <c r="T97" s="359"/>
      <c r="U97" s="94" t="str">
        <f>IF(ISERROR(VLOOKUP($T97, 'Reference data'!$J$2:$K$139, 2, FALSE)),"-",VLOOKUP($T97, 'Reference data'!$J$2:$K$139, 2, FALSE))</f>
        <v>-</v>
      </c>
      <c r="V97" s="320"/>
      <c r="W97" s="320"/>
      <c r="X97" s="324"/>
      <c r="Y97" s="325"/>
      <c r="Z97" s="241"/>
      <c r="AA97" s="362"/>
      <c r="AB97" s="86"/>
      <c r="AC97" s="72"/>
      <c r="AD97" s="71"/>
      <c r="AE97" s="239" t="s">
        <v>278</v>
      </c>
      <c r="AF97" s="243" t="s">
        <v>77</v>
      </c>
    </row>
    <row r="98" spans="2:32" ht="12.75" customHeight="1" x14ac:dyDescent="0.2">
      <c r="B98" s="356" t="str" cm="1">
        <f t="array" ref="B98">IF(C98="","Skip",IF(AND(Validator!J92=TRUE,Validator!J342=TRUE,Validator!J592=TRUE,Validator!J842=TRUE,Validator!J1092=TRUE,Validator!J1342=TRUE,OR(ISBLANK($R98),ISNUMBER(VALUE(SUBSTITUTE(SUBSTITUTE(SUBSTITUTE(SUBSTITUTE($R98," ",""),"c",""),"C",""),"-","")))),OR(SUMPRODUCT(--($U98=Package_type_code))&gt;0,$U98="",$U98="-")),"Valid","Invalid"))</f>
        <v>Skip</v>
      </c>
      <c r="C98" s="70"/>
      <c r="D98" s="410"/>
      <c r="E98" s="411"/>
      <c r="F98" s="218" t="str">
        <f t="shared" si="2"/>
        <v>-</v>
      </c>
      <c r="G98" s="218"/>
      <c r="H98" s="178" t="str">
        <f t="shared" si="3"/>
        <v>-</v>
      </c>
      <c r="I98" s="203"/>
      <c r="J98" s="416"/>
      <c r="K98" s="400"/>
      <c r="L98" s="415"/>
      <c r="M98" s="322"/>
      <c r="N98" s="587"/>
      <c r="O98" s="403" t="s">
        <v>278</v>
      </c>
      <c r="P98" s="404" t="s">
        <v>77</v>
      </c>
      <c r="Q98" s="358"/>
      <c r="R98" s="320"/>
      <c r="S98" s="359"/>
      <c r="T98" s="359"/>
      <c r="U98" s="94" t="str">
        <f>IF(ISERROR(VLOOKUP($T98, 'Reference data'!$J$2:$K$139, 2, FALSE)),"-",VLOOKUP($T98, 'Reference data'!$J$2:$K$139, 2, FALSE))</f>
        <v>-</v>
      </c>
      <c r="V98" s="320"/>
      <c r="W98" s="320"/>
      <c r="X98" s="324"/>
      <c r="Y98" s="325"/>
      <c r="Z98" s="241"/>
      <c r="AA98" s="362"/>
      <c r="AB98" s="86"/>
      <c r="AC98" s="72"/>
      <c r="AD98" s="71"/>
      <c r="AE98" s="239" t="s">
        <v>278</v>
      </c>
      <c r="AF98" s="243" t="s">
        <v>77</v>
      </c>
    </row>
    <row r="99" spans="2:32" ht="12.75" customHeight="1" x14ac:dyDescent="0.2">
      <c r="B99" s="356" t="str" cm="1">
        <f t="array" ref="B99">IF(C99="","Skip",IF(AND(Validator!J93=TRUE,Validator!J343=TRUE,Validator!J593=TRUE,Validator!J843=TRUE,Validator!J1093=TRUE,Validator!J1343=TRUE,OR(ISBLANK($R99),ISNUMBER(VALUE(SUBSTITUTE(SUBSTITUTE(SUBSTITUTE(SUBSTITUTE($R99," ",""),"c",""),"C",""),"-","")))),OR(SUMPRODUCT(--($U99=Package_type_code))&gt;0,$U99="",$U99="-")),"Valid","Invalid"))</f>
        <v>Skip</v>
      </c>
      <c r="C99" s="70"/>
      <c r="D99" s="410"/>
      <c r="E99" s="411"/>
      <c r="F99" s="218" t="str">
        <f t="shared" si="2"/>
        <v>-</v>
      </c>
      <c r="G99" s="218"/>
      <c r="H99" s="178" t="str">
        <f t="shared" si="3"/>
        <v>-</v>
      </c>
      <c r="I99" s="203"/>
      <c r="J99" s="416"/>
      <c r="K99" s="400"/>
      <c r="L99" s="415"/>
      <c r="M99" s="322"/>
      <c r="N99" s="587"/>
      <c r="O99" s="403" t="s">
        <v>278</v>
      </c>
      <c r="P99" s="404" t="s">
        <v>77</v>
      </c>
      <c r="Q99" s="358"/>
      <c r="R99" s="320"/>
      <c r="S99" s="359"/>
      <c r="T99" s="359"/>
      <c r="U99" s="94" t="str">
        <f>IF(ISERROR(VLOOKUP($T99, 'Reference data'!$J$2:$K$139, 2, FALSE)),"-",VLOOKUP($T99, 'Reference data'!$J$2:$K$139, 2, FALSE))</f>
        <v>-</v>
      </c>
      <c r="V99" s="320"/>
      <c r="W99" s="320"/>
      <c r="X99" s="324"/>
      <c r="Y99" s="325"/>
      <c r="Z99" s="241"/>
      <c r="AA99" s="362"/>
      <c r="AB99" s="86"/>
      <c r="AC99" s="72"/>
      <c r="AD99" s="71"/>
      <c r="AE99" s="239" t="s">
        <v>278</v>
      </c>
      <c r="AF99" s="243" t="s">
        <v>77</v>
      </c>
    </row>
    <row r="100" spans="2:32" ht="12.75" customHeight="1" x14ac:dyDescent="0.2">
      <c r="B100" s="356" t="str" cm="1">
        <f t="array" ref="B100">IF(C100="","Skip",IF(AND(Validator!J94=TRUE,Validator!J344=TRUE,Validator!J594=TRUE,Validator!J844=TRUE,Validator!J1094=TRUE,Validator!J1344=TRUE,OR(ISBLANK($R100),ISNUMBER(VALUE(SUBSTITUTE(SUBSTITUTE(SUBSTITUTE(SUBSTITUTE($R100," ",""),"c",""),"C",""),"-","")))),OR(SUMPRODUCT(--($U100=Package_type_code))&gt;0,$U100="",$U100="-")),"Valid","Invalid"))</f>
        <v>Skip</v>
      </c>
      <c r="C100" s="70"/>
      <c r="D100" s="410"/>
      <c r="E100" s="411"/>
      <c r="F100" s="218" t="str">
        <f t="shared" si="2"/>
        <v>-</v>
      </c>
      <c r="G100" s="218"/>
      <c r="H100" s="178" t="str">
        <f t="shared" si="3"/>
        <v>-</v>
      </c>
      <c r="I100" s="203"/>
      <c r="J100" s="416"/>
      <c r="K100" s="400"/>
      <c r="L100" s="415"/>
      <c r="M100" s="322"/>
      <c r="N100" s="587"/>
      <c r="O100" s="403" t="s">
        <v>278</v>
      </c>
      <c r="P100" s="404" t="s">
        <v>77</v>
      </c>
      <c r="Q100" s="358"/>
      <c r="R100" s="320"/>
      <c r="S100" s="359"/>
      <c r="T100" s="359"/>
      <c r="U100" s="94" t="str">
        <f>IF(ISERROR(VLOOKUP($T100, 'Reference data'!$J$2:$K$139, 2, FALSE)),"-",VLOOKUP($T100, 'Reference data'!$J$2:$K$139, 2, FALSE))</f>
        <v>-</v>
      </c>
      <c r="V100" s="320"/>
      <c r="W100" s="320"/>
      <c r="X100" s="324"/>
      <c r="Y100" s="325"/>
      <c r="Z100" s="241"/>
      <c r="AA100" s="362"/>
      <c r="AB100" s="86"/>
      <c r="AC100" s="72"/>
      <c r="AD100" s="71"/>
      <c r="AE100" s="239" t="s">
        <v>278</v>
      </c>
      <c r="AF100" s="243" t="s">
        <v>77</v>
      </c>
    </row>
    <row r="101" spans="2:32" ht="12.75" customHeight="1" x14ac:dyDescent="0.2">
      <c r="B101" s="356" t="str" cm="1">
        <f t="array" ref="B101">IF(C101="","Skip",IF(AND(Validator!J95=TRUE,Validator!J345=TRUE,Validator!J595=TRUE,Validator!J845=TRUE,Validator!J1095=TRUE,Validator!J1345=TRUE,OR(ISBLANK($R101),ISNUMBER(VALUE(SUBSTITUTE(SUBSTITUTE(SUBSTITUTE(SUBSTITUTE($R101," ",""),"c",""),"C",""),"-","")))),OR(SUMPRODUCT(--($U101=Package_type_code))&gt;0,$U101="",$U101="-")),"Valid","Invalid"))</f>
        <v>Skip</v>
      </c>
      <c r="C101" s="70"/>
      <c r="D101" s="410"/>
      <c r="E101" s="411"/>
      <c r="F101" s="218" t="str">
        <f t="shared" si="2"/>
        <v>-</v>
      </c>
      <c r="G101" s="218"/>
      <c r="H101" s="178" t="str">
        <f t="shared" si="3"/>
        <v>-</v>
      </c>
      <c r="I101" s="203"/>
      <c r="J101" s="416"/>
      <c r="K101" s="400"/>
      <c r="L101" s="415"/>
      <c r="M101" s="322"/>
      <c r="N101" s="587"/>
      <c r="O101" s="403" t="s">
        <v>278</v>
      </c>
      <c r="P101" s="404" t="s">
        <v>77</v>
      </c>
      <c r="Q101" s="358"/>
      <c r="R101" s="320"/>
      <c r="S101" s="359"/>
      <c r="T101" s="359"/>
      <c r="U101" s="94" t="str">
        <f>IF(ISERROR(VLOOKUP($T101, 'Reference data'!$J$2:$K$139, 2, FALSE)),"-",VLOOKUP($T101, 'Reference data'!$J$2:$K$139, 2, FALSE))</f>
        <v>-</v>
      </c>
      <c r="V101" s="320"/>
      <c r="W101" s="320"/>
      <c r="X101" s="324"/>
      <c r="Y101" s="325"/>
      <c r="Z101" s="241"/>
      <c r="AA101" s="362"/>
      <c r="AB101" s="86"/>
      <c r="AC101" s="72"/>
      <c r="AD101" s="71"/>
      <c r="AE101" s="239" t="s">
        <v>278</v>
      </c>
      <c r="AF101" s="243" t="s">
        <v>77</v>
      </c>
    </row>
    <row r="102" spans="2:32" ht="12.75" customHeight="1" x14ac:dyDescent="0.2">
      <c r="B102" s="356" t="str" cm="1">
        <f t="array" ref="B102">IF(C102="","Skip",IF(AND(Validator!J96=TRUE,Validator!J346=TRUE,Validator!J596=TRUE,Validator!J846=TRUE,Validator!J1096=TRUE,Validator!J1346=TRUE,OR(ISBLANK($R102),ISNUMBER(VALUE(SUBSTITUTE(SUBSTITUTE(SUBSTITUTE(SUBSTITUTE($R102," ",""),"c",""),"C",""),"-","")))),OR(SUMPRODUCT(--($U102=Package_type_code))&gt;0,$U102="",$U102="-")),"Valid","Invalid"))</f>
        <v>Skip</v>
      </c>
      <c r="C102" s="70"/>
      <c r="D102" s="410"/>
      <c r="E102" s="411"/>
      <c r="F102" s="218" t="str">
        <f t="shared" si="2"/>
        <v>-</v>
      </c>
      <c r="G102" s="218"/>
      <c r="H102" s="178" t="str">
        <f t="shared" si="3"/>
        <v>-</v>
      </c>
      <c r="I102" s="203"/>
      <c r="J102" s="416"/>
      <c r="K102" s="400"/>
      <c r="L102" s="415"/>
      <c r="M102" s="322"/>
      <c r="N102" s="587"/>
      <c r="O102" s="403" t="s">
        <v>278</v>
      </c>
      <c r="P102" s="404" t="s">
        <v>77</v>
      </c>
      <c r="Q102" s="358"/>
      <c r="R102" s="320"/>
      <c r="S102" s="359"/>
      <c r="T102" s="359"/>
      <c r="U102" s="94" t="str">
        <f>IF(ISERROR(VLOOKUP($T102, 'Reference data'!$J$2:$K$139, 2, FALSE)),"-",VLOOKUP($T102, 'Reference data'!$J$2:$K$139, 2, FALSE))</f>
        <v>-</v>
      </c>
      <c r="V102" s="320"/>
      <c r="W102" s="320"/>
      <c r="X102" s="324"/>
      <c r="Y102" s="325"/>
      <c r="Z102" s="241"/>
      <c r="AA102" s="362"/>
      <c r="AB102" s="86"/>
      <c r="AC102" s="72"/>
      <c r="AD102" s="71"/>
      <c r="AE102" s="239" t="s">
        <v>278</v>
      </c>
      <c r="AF102" s="243" t="s">
        <v>77</v>
      </c>
    </row>
    <row r="103" spans="2:32" ht="12.75" customHeight="1" x14ac:dyDescent="0.2">
      <c r="B103" s="356" t="str" cm="1">
        <f t="array" ref="B103">IF(C103="","Skip",IF(AND(Validator!J97=TRUE,Validator!J347=TRUE,Validator!J597=TRUE,Validator!J847=TRUE,Validator!J1097=TRUE,Validator!J1347=TRUE,OR(ISBLANK($R103),ISNUMBER(VALUE(SUBSTITUTE(SUBSTITUTE(SUBSTITUTE(SUBSTITUTE($R103," ",""),"c",""),"C",""),"-","")))),OR(SUMPRODUCT(--($U103=Package_type_code))&gt;0,$U103="",$U103="-")),"Valid","Invalid"))</f>
        <v>Skip</v>
      </c>
      <c r="C103" s="70"/>
      <c r="D103" s="410"/>
      <c r="E103" s="411"/>
      <c r="F103" s="218" t="str">
        <f t="shared" si="2"/>
        <v>-</v>
      </c>
      <c r="G103" s="218"/>
      <c r="H103" s="178" t="str">
        <f t="shared" si="3"/>
        <v>-</v>
      </c>
      <c r="I103" s="203"/>
      <c r="J103" s="416"/>
      <c r="K103" s="400"/>
      <c r="L103" s="415"/>
      <c r="M103" s="322"/>
      <c r="N103" s="587"/>
      <c r="O103" s="403" t="s">
        <v>278</v>
      </c>
      <c r="P103" s="404" t="s">
        <v>77</v>
      </c>
      <c r="Q103" s="358"/>
      <c r="R103" s="320"/>
      <c r="S103" s="359"/>
      <c r="T103" s="359"/>
      <c r="U103" s="94" t="str">
        <f>IF(ISERROR(VLOOKUP($T103, 'Reference data'!$J$2:$K$139, 2, FALSE)),"-",VLOOKUP($T103, 'Reference data'!$J$2:$K$139, 2, FALSE))</f>
        <v>-</v>
      </c>
      <c r="V103" s="320"/>
      <c r="W103" s="320"/>
      <c r="X103" s="324"/>
      <c r="Y103" s="325"/>
      <c r="Z103" s="241"/>
      <c r="AA103" s="362"/>
      <c r="AB103" s="86"/>
      <c r="AC103" s="72"/>
      <c r="AD103" s="71"/>
      <c r="AE103" s="239" t="s">
        <v>278</v>
      </c>
      <c r="AF103" s="243" t="s">
        <v>77</v>
      </c>
    </row>
    <row r="104" spans="2:32" ht="12.75" customHeight="1" x14ac:dyDescent="0.2">
      <c r="B104" s="356" t="str" cm="1">
        <f t="array" ref="B104">IF(C104="","Skip",IF(AND(Validator!J98=TRUE,Validator!J348=TRUE,Validator!J598=TRUE,Validator!J848=TRUE,Validator!J1098=TRUE,Validator!J1348=TRUE,OR(ISBLANK($R104),ISNUMBER(VALUE(SUBSTITUTE(SUBSTITUTE(SUBSTITUTE(SUBSTITUTE($R104," ",""),"c",""),"C",""),"-","")))),OR(SUMPRODUCT(--($U104=Package_type_code))&gt;0,$U104="",$U104="-")),"Valid","Invalid"))</f>
        <v>Skip</v>
      </c>
      <c r="C104" s="70"/>
      <c r="D104" s="410"/>
      <c r="E104" s="411"/>
      <c r="F104" s="218" t="str">
        <f t="shared" si="2"/>
        <v>-</v>
      </c>
      <c r="G104" s="218"/>
      <c r="H104" s="178" t="str">
        <f t="shared" si="3"/>
        <v>-</v>
      </c>
      <c r="I104" s="203"/>
      <c r="J104" s="416"/>
      <c r="K104" s="400"/>
      <c r="L104" s="415"/>
      <c r="M104" s="322"/>
      <c r="N104" s="587"/>
      <c r="O104" s="403" t="s">
        <v>278</v>
      </c>
      <c r="P104" s="404" t="s">
        <v>77</v>
      </c>
      <c r="Q104" s="358"/>
      <c r="R104" s="320"/>
      <c r="S104" s="359"/>
      <c r="T104" s="359"/>
      <c r="U104" s="94" t="str">
        <f>IF(ISERROR(VLOOKUP($T104, 'Reference data'!$J$2:$K$139, 2, FALSE)),"-",VLOOKUP($T104, 'Reference data'!$J$2:$K$139, 2, FALSE))</f>
        <v>-</v>
      </c>
      <c r="V104" s="320"/>
      <c r="W104" s="320"/>
      <c r="X104" s="324"/>
      <c r="Y104" s="325"/>
      <c r="Z104" s="241"/>
      <c r="AA104" s="362"/>
      <c r="AB104" s="86"/>
      <c r="AC104" s="72"/>
      <c r="AD104" s="71"/>
      <c r="AE104" s="239" t="s">
        <v>278</v>
      </c>
      <c r="AF104" s="243" t="s">
        <v>77</v>
      </c>
    </row>
    <row r="105" spans="2:32" ht="12.75" customHeight="1" x14ac:dyDescent="0.2">
      <c r="B105" s="356" t="str" cm="1">
        <f t="array" ref="B105">IF(C105="","Skip",IF(AND(Validator!J99=TRUE,Validator!J349=TRUE,Validator!J599=TRUE,Validator!J849=TRUE,Validator!J1099=TRUE,Validator!J1349=TRUE,OR(ISBLANK($R105),ISNUMBER(VALUE(SUBSTITUTE(SUBSTITUTE(SUBSTITUTE(SUBSTITUTE($R105," ",""),"c",""),"C",""),"-","")))),OR(SUMPRODUCT(--($U105=Package_type_code))&gt;0,$U105="",$U105="-")),"Valid","Invalid"))</f>
        <v>Skip</v>
      </c>
      <c r="C105" s="70"/>
      <c r="D105" s="410"/>
      <c r="E105" s="411"/>
      <c r="F105" s="218" t="str">
        <f t="shared" si="2"/>
        <v>-</v>
      </c>
      <c r="G105" s="218"/>
      <c r="H105" s="178" t="str">
        <f t="shared" si="3"/>
        <v>-</v>
      </c>
      <c r="I105" s="203"/>
      <c r="J105" s="416"/>
      <c r="K105" s="400"/>
      <c r="L105" s="415"/>
      <c r="M105" s="322"/>
      <c r="N105" s="587"/>
      <c r="O105" s="403" t="s">
        <v>278</v>
      </c>
      <c r="P105" s="404" t="s">
        <v>77</v>
      </c>
      <c r="Q105" s="358"/>
      <c r="R105" s="320"/>
      <c r="S105" s="359"/>
      <c r="T105" s="359"/>
      <c r="U105" s="94" t="str">
        <f>IF(ISERROR(VLOOKUP($T105, 'Reference data'!$J$2:$K$139, 2, FALSE)),"-",VLOOKUP($T105, 'Reference data'!$J$2:$K$139, 2, FALSE))</f>
        <v>-</v>
      </c>
      <c r="V105" s="320"/>
      <c r="W105" s="320"/>
      <c r="X105" s="324"/>
      <c r="Y105" s="325"/>
      <c r="Z105" s="241"/>
      <c r="AA105" s="362"/>
      <c r="AB105" s="86"/>
      <c r="AC105" s="72"/>
      <c r="AD105" s="71"/>
      <c r="AE105" s="239" t="s">
        <v>278</v>
      </c>
      <c r="AF105" s="243" t="s">
        <v>77</v>
      </c>
    </row>
    <row r="106" spans="2:32" ht="12.75" customHeight="1" x14ac:dyDescent="0.2">
      <c r="B106" s="356" t="str" cm="1">
        <f t="array" ref="B106">IF(C106="","Skip",IF(AND(Validator!J100=TRUE,Validator!J350=TRUE,Validator!J600=TRUE,Validator!J850=TRUE,Validator!J1100=TRUE,Validator!J1350=TRUE,OR(ISBLANK($R106),ISNUMBER(VALUE(SUBSTITUTE(SUBSTITUTE(SUBSTITUTE(SUBSTITUTE($R106," ",""),"c",""),"C",""),"-","")))),OR(SUMPRODUCT(--($U106=Package_type_code))&gt;0,$U106="",$U106="-")),"Valid","Invalid"))</f>
        <v>Skip</v>
      </c>
      <c r="C106" s="70"/>
      <c r="D106" s="410"/>
      <c r="E106" s="411"/>
      <c r="F106" s="218" t="str">
        <f t="shared" si="2"/>
        <v>-</v>
      </c>
      <c r="G106" s="218"/>
      <c r="H106" s="178" t="str">
        <f t="shared" si="3"/>
        <v>-</v>
      </c>
      <c r="I106" s="203"/>
      <c r="J106" s="416"/>
      <c r="K106" s="400"/>
      <c r="L106" s="415"/>
      <c r="M106" s="322"/>
      <c r="N106" s="587"/>
      <c r="O106" s="403" t="s">
        <v>278</v>
      </c>
      <c r="P106" s="404" t="s">
        <v>77</v>
      </c>
      <c r="Q106" s="358"/>
      <c r="R106" s="320"/>
      <c r="S106" s="359"/>
      <c r="T106" s="359"/>
      <c r="U106" s="94" t="str">
        <f>IF(ISERROR(VLOOKUP($T106, 'Reference data'!$J$2:$K$139, 2, FALSE)),"-",VLOOKUP($T106, 'Reference data'!$J$2:$K$139, 2, FALSE))</f>
        <v>-</v>
      </c>
      <c r="V106" s="320"/>
      <c r="W106" s="320"/>
      <c r="X106" s="324"/>
      <c r="Y106" s="325"/>
      <c r="Z106" s="241"/>
      <c r="AA106" s="362"/>
      <c r="AB106" s="86"/>
      <c r="AC106" s="72"/>
      <c r="AD106" s="71"/>
      <c r="AE106" s="239" t="s">
        <v>278</v>
      </c>
      <c r="AF106" s="243" t="s">
        <v>77</v>
      </c>
    </row>
    <row r="107" spans="2:32" ht="12.75" customHeight="1" x14ac:dyDescent="0.2">
      <c r="B107" s="356" t="str" cm="1">
        <f t="array" ref="B107">IF(C107="","Skip",IF(AND(Validator!J101=TRUE,Validator!J351=TRUE,Validator!J601=TRUE,Validator!J851=TRUE,Validator!J1101=TRUE,Validator!J1351=TRUE,OR(ISBLANK($R107),ISNUMBER(VALUE(SUBSTITUTE(SUBSTITUTE(SUBSTITUTE(SUBSTITUTE($R107," ",""),"c",""),"C",""),"-","")))),OR(SUMPRODUCT(--($U107=Package_type_code))&gt;0,$U107="",$U107="-")),"Valid","Invalid"))</f>
        <v>Skip</v>
      </c>
      <c r="C107" s="70"/>
      <c r="D107" s="410"/>
      <c r="E107" s="411"/>
      <c r="F107" s="218" t="str">
        <f t="shared" si="2"/>
        <v>-</v>
      </c>
      <c r="G107" s="218"/>
      <c r="H107" s="178" t="str">
        <f t="shared" si="3"/>
        <v>-</v>
      </c>
      <c r="I107" s="203"/>
      <c r="J107" s="416"/>
      <c r="K107" s="400"/>
      <c r="L107" s="415"/>
      <c r="M107" s="322"/>
      <c r="N107" s="587"/>
      <c r="O107" s="403" t="s">
        <v>278</v>
      </c>
      <c r="P107" s="404" t="s">
        <v>77</v>
      </c>
      <c r="Q107" s="358"/>
      <c r="R107" s="320"/>
      <c r="S107" s="359"/>
      <c r="T107" s="359"/>
      <c r="U107" s="94" t="str">
        <f>IF(ISERROR(VLOOKUP($T107, 'Reference data'!$J$2:$K$139, 2, FALSE)),"-",VLOOKUP($T107, 'Reference data'!$J$2:$K$139, 2, FALSE))</f>
        <v>-</v>
      </c>
      <c r="V107" s="320"/>
      <c r="W107" s="320"/>
      <c r="X107" s="324"/>
      <c r="Y107" s="325"/>
      <c r="Z107" s="241"/>
      <c r="AA107" s="362"/>
      <c r="AB107" s="86"/>
      <c r="AC107" s="72"/>
      <c r="AD107" s="71"/>
      <c r="AE107" s="239" t="s">
        <v>278</v>
      </c>
      <c r="AF107" s="243" t="s">
        <v>77</v>
      </c>
    </row>
    <row r="108" spans="2:32" ht="12.75" customHeight="1" x14ac:dyDescent="0.2">
      <c r="B108" s="356" t="str" cm="1">
        <f t="array" ref="B108">IF(C108="","Skip",IF(AND(Validator!J102=TRUE,Validator!J352=TRUE,Validator!J602=TRUE,Validator!J852=TRUE,Validator!J1102=TRUE,Validator!J1352=TRUE,OR(ISBLANK($R108),ISNUMBER(VALUE(SUBSTITUTE(SUBSTITUTE(SUBSTITUTE(SUBSTITUTE($R108," ",""),"c",""),"C",""),"-","")))),OR(SUMPRODUCT(--($U108=Package_type_code))&gt;0,$U108="",$U108="-")),"Valid","Invalid"))</f>
        <v>Skip</v>
      </c>
      <c r="C108" s="70"/>
      <c r="D108" s="410"/>
      <c r="E108" s="411"/>
      <c r="F108" s="218" t="str">
        <f t="shared" si="2"/>
        <v>-</v>
      </c>
      <c r="G108" s="218"/>
      <c r="H108" s="178" t="str">
        <f t="shared" si="3"/>
        <v>-</v>
      </c>
      <c r="I108" s="203"/>
      <c r="J108" s="416"/>
      <c r="K108" s="400"/>
      <c r="L108" s="415"/>
      <c r="M108" s="322"/>
      <c r="N108" s="587"/>
      <c r="O108" s="403" t="s">
        <v>278</v>
      </c>
      <c r="P108" s="404" t="s">
        <v>77</v>
      </c>
      <c r="Q108" s="358"/>
      <c r="R108" s="320"/>
      <c r="S108" s="359"/>
      <c r="T108" s="359"/>
      <c r="U108" s="94" t="str">
        <f>IF(ISERROR(VLOOKUP($T108, 'Reference data'!$J$2:$K$139, 2, FALSE)),"-",VLOOKUP($T108, 'Reference data'!$J$2:$K$139, 2, FALSE))</f>
        <v>-</v>
      </c>
      <c r="V108" s="320"/>
      <c r="W108" s="320"/>
      <c r="X108" s="324"/>
      <c r="Y108" s="325"/>
      <c r="Z108" s="241"/>
      <c r="AA108" s="362"/>
      <c r="AB108" s="86"/>
      <c r="AC108" s="72"/>
      <c r="AD108" s="71"/>
      <c r="AE108" s="239" t="s">
        <v>278</v>
      </c>
      <c r="AF108" s="243" t="s">
        <v>77</v>
      </c>
    </row>
    <row r="109" spans="2:32" ht="12.75" customHeight="1" x14ac:dyDescent="0.2">
      <c r="B109" s="356" t="str" cm="1">
        <f t="array" ref="B109">IF(C109="","Skip",IF(AND(Validator!J103=TRUE,Validator!J353=TRUE,Validator!J603=TRUE,Validator!J853=TRUE,Validator!J1103=TRUE,Validator!J1353=TRUE,OR(ISBLANK($R109),ISNUMBER(VALUE(SUBSTITUTE(SUBSTITUTE(SUBSTITUTE(SUBSTITUTE($R109," ",""),"c",""),"C",""),"-","")))),OR(SUMPRODUCT(--($U109=Package_type_code))&gt;0,$U109="",$U109="-")),"Valid","Invalid"))</f>
        <v>Skip</v>
      </c>
      <c r="C109" s="70"/>
      <c r="D109" s="410"/>
      <c r="E109" s="411"/>
      <c r="F109" s="218" t="str">
        <f t="shared" si="2"/>
        <v>-</v>
      </c>
      <c r="G109" s="218"/>
      <c r="H109" s="178" t="str">
        <f t="shared" si="3"/>
        <v>-</v>
      </c>
      <c r="I109" s="203"/>
      <c r="J109" s="416"/>
      <c r="K109" s="400"/>
      <c r="L109" s="415"/>
      <c r="M109" s="322"/>
      <c r="N109" s="587"/>
      <c r="O109" s="403" t="s">
        <v>278</v>
      </c>
      <c r="P109" s="404" t="s">
        <v>77</v>
      </c>
      <c r="Q109" s="358"/>
      <c r="R109" s="320"/>
      <c r="S109" s="359"/>
      <c r="T109" s="359"/>
      <c r="U109" s="94" t="str">
        <f>IF(ISERROR(VLOOKUP($T109, 'Reference data'!$J$2:$K$139, 2, FALSE)),"-",VLOOKUP($T109, 'Reference data'!$J$2:$K$139, 2, FALSE))</f>
        <v>-</v>
      </c>
      <c r="V109" s="320"/>
      <c r="W109" s="320"/>
      <c r="X109" s="324"/>
      <c r="Y109" s="325"/>
      <c r="Z109" s="241"/>
      <c r="AA109" s="362"/>
      <c r="AB109" s="86"/>
      <c r="AC109" s="72"/>
      <c r="AD109" s="71"/>
      <c r="AE109" s="239" t="s">
        <v>278</v>
      </c>
      <c r="AF109" s="243" t="s">
        <v>77</v>
      </c>
    </row>
    <row r="110" spans="2:32" ht="12.75" customHeight="1" x14ac:dyDescent="0.2">
      <c r="B110" s="356" t="str" cm="1">
        <f t="array" ref="B110">IF(C110="","Skip",IF(AND(Validator!J104=TRUE,Validator!J354=TRUE,Validator!J604=TRUE,Validator!J854=TRUE,Validator!J1104=TRUE,Validator!J1354=TRUE,OR(ISBLANK($R110),ISNUMBER(VALUE(SUBSTITUTE(SUBSTITUTE(SUBSTITUTE(SUBSTITUTE($R110," ",""),"c",""),"C",""),"-","")))),OR(SUMPRODUCT(--($U110=Package_type_code))&gt;0,$U110="",$U110="-")),"Valid","Invalid"))</f>
        <v>Skip</v>
      </c>
      <c r="C110" s="70"/>
      <c r="D110" s="410"/>
      <c r="E110" s="411"/>
      <c r="F110" s="218" t="str">
        <f t="shared" si="2"/>
        <v>-</v>
      </c>
      <c r="G110" s="218"/>
      <c r="H110" s="178" t="str">
        <f t="shared" si="3"/>
        <v>-</v>
      </c>
      <c r="I110" s="203"/>
      <c r="J110" s="416"/>
      <c r="K110" s="400"/>
      <c r="L110" s="415"/>
      <c r="M110" s="322"/>
      <c r="N110" s="587"/>
      <c r="O110" s="403" t="s">
        <v>278</v>
      </c>
      <c r="P110" s="404" t="s">
        <v>77</v>
      </c>
      <c r="Q110" s="358"/>
      <c r="R110" s="320"/>
      <c r="S110" s="359"/>
      <c r="T110" s="359"/>
      <c r="U110" s="94" t="str">
        <f>IF(ISERROR(VLOOKUP($T110, 'Reference data'!$J$2:$K$139, 2, FALSE)),"-",VLOOKUP($T110, 'Reference data'!$J$2:$K$139, 2, FALSE))</f>
        <v>-</v>
      </c>
      <c r="V110" s="320"/>
      <c r="W110" s="320"/>
      <c r="X110" s="324"/>
      <c r="Y110" s="325"/>
      <c r="Z110" s="241"/>
      <c r="AA110" s="362"/>
      <c r="AB110" s="86"/>
      <c r="AC110" s="72"/>
      <c r="AD110" s="71"/>
      <c r="AE110" s="239" t="s">
        <v>278</v>
      </c>
      <c r="AF110" s="243" t="s">
        <v>77</v>
      </c>
    </row>
    <row r="111" spans="2:32" ht="12.75" customHeight="1" x14ac:dyDescent="0.2">
      <c r="B111" s="356" t="str" cm="1">
        <f t="array" ref="B111">IF(C111="","Skip",IF(AND(Validator!J105=TRUE,Validator!J355=TRUE,Validator!J605=TRUE,Validator!J855=TRUE,Validator!J1105=TRUE,Validator!J1355=TRUE,OR(ISBLANK($R111),ISNUMBER(VALUE(SUBSTITUTE(SUBSTITUTE(SUBSTITUTE(SUBSTITUTE($R111," ",""),"c",""),"C",""),"-","")))),OR(SUMPRODUCT(--($U111=Package_type_code))&gt;0,$U111="",$U111="-")),"Valid","Invalid"))</f>
        <v>Skip</v>
      </c>
      <c r="C111" s="70"/>
      <c r="D111" s="410"/>
      <c r="E111" s="411"/>
      <c r="F111" s="218" t="str">
        <f t="shared" si="2"/>
        <v>-</v>
      </c>
      <c r="G111" s="218"/>
      <c r="H111" s="178" t="str">
        <f t="shared" si="3"/>
        <v>-</v>
      </c>
      <c r="I111" s="203"/>
      <c r="J111" s="416"/>
      <c r="K111" s="400"/>
      <c r="L111" s="415"/>
      <c r="M111" s="322"/>
      <c r="N111" s="587"/>
      <c r="O111" s="403" t="s">
        <v>278</v>
      </c>
      <c r="P111" s="404" t="s">
        <v>77</v>
      </c>
      <c r="Q111" s="358"/>
      <c r="R111" s="320"/>
      <c r="S111" s="359"/>
      <c r="T111" s="359"/>
      <c r="U111" s="94" t="str">
        <f>IF(ISERROR(VLOOKUP($T111, 'Reference data'!$J$2:$K$139, 2, FALSE)),"-",VLOOKUP($T111, 'Reference data'!$J$2:$K$139, 2, FALSE))</f>
        <v>-</v>
      </c>
      <c r="V111" s="320"/>
      <c r="W111" s="320"/>
      <c r="X111" s="324"/>
      <c r="Y111" s="325"/>
      <c r="Z111" s="241"/>
      <c r="AA111" s="362"/>
      <c r="AB111" s="86"/>
      <c r="AC111" s="72"/>
      <c r="AD111" s="71"/>
      <c r="AE111" s="239" t="s">
        <v>278</v>
      </c>
      <c r="AF111" s="243" t="s">
        <v>77</v>
      </c>
    </row>
    <row r="112" spans="2:32" ht="12.75" customHeight="1" x14ac:dyDescent="0.2">
      <c r="B112" s="356" t="str" cm="1">
        <f t="array" ref="B112">IF(C112="","Skip",IF(AND(Validator!J106=TRUE,Validator!J356=TRUE,Validator!J606=TRUE,Validator!J856=TRUE,Validator!J1106=TRUE,Validator!J1356=TRUE,OR(ISBLANK($R112),ISNUMBER(VALUE(SUBSTITUTE(SUBSTITUTE(SUBSTITUTE(SUBSTITUTE($R112," ",""),"c",""),"C",""),"-","")))),OR(SUMPRODUCT(--($U112=Package_type_code))&gt;0,$U112="",$U112="-")),"Valid","Invalid"))</f>
        <v>Skip</v>
      </c>
      <c r="C112" s="70"/>
      <c r="D112" s="410"/>
      <c r="E112" s="411"/>
      <c r="F112" s="218" t="str">
        <f t="shared" si="2"/>
        <v>-</v>
      </c>
      <c r="G112" s="218"/>
      <c r="H112" s="178" t="str">
        <f t="shared" si="3"/>
        <v>-</v>
      </c>
      <c r="I112" s="203"/>
      <c r="J112" s="416"/>
      <c r="K112" s="400"/>
      <c r="L112" s="415"/>
      <c r="M112" s="322"/>
      <c r="N112" s="587"/>
      <c r="O112" s="403" t="s">
        <v>278</v>
      </c>
      <c r="P112" s="404" t="s">
        <v>77</v>
      </c>
      <c r="Q112" s="358"/>
      <c r="R112" s="320"/>
      <c r="S112" s="359"/>
      <c r="T112" s="359"/>
      <c r="U112" s="94" t="str">
        <f>IF(ISERROR(VLOOKUP($T112, 'Reference data'!$J$2:$K$139, 2, FALSE)),"-",VLOOKUP($T112, 'Reference data'!$J$2:$K$139, 2, FALSE))</f>
        <v>-</v>
      </c>
      <c r="V112" s="320"/>
      <c r="W112" s="320"/>
      <c r="X112" s="324"/>
      <c r="Y112" s="325"/>
      <c r="Z112" s="241"/>
      <c r="AA112" s="362"/>
      <c r="AB112" s="86"/>
      <c r="AC112" s="72"/>
      <c r="AD112" s="71"/>
      <c r="AE112" s="239" t="s">
        <v>278</v>
      </c>
      <c r="AF112" s="243" t="s">
        <v>77</v>
      </c>
    </row>
    <row r="113" spans="2:32" ht="12.75" customHeight="1" x14ac:dyDescent="0.2">
      <c r="B113" s="356" t="str" cm="1">
        <f t="array" ref="B113">IF(C113="","Skip",IF(AND(Validator!J107=TRUE,Validator!J357=TRUE,Validator!J607=TRUE,Validator!J857=TRUE,Validator!J1107=TRUE,Validator!J1357=TRUE,OR(ISBLANK($R113),ISNUMBER(VALUE(SUBSTITUTE(SUBSTITUTE(SUBSTITUTE(SUBSTITUTE($R113," ",""),"c",""),"C",""),"-","")))),OR(SUMPRODUCT(--($U113=Package_type_code))&gt;0,$U113="",$U113="-")),"Valid","Invalid"))</f>
        <v>Skip</v>
      </c>
      <c r="C113" s="70"/>
      <c r="D113" s="410"/>
      <c r="E113" s="411"/>
      <c r="F113" s="218" t="str">
        <f t="shared" si="2"/>
        <v>-</v>
      </c>
      <c r="G113" s="218"/>
      <c r="H113" s="178" t="str">
        <f t="shared" si="3"/>
        <v>-</v>
      </c>
      <c r="I113" s="203"/>
      <c r="J113" s="416"/>
      <c r="K113" s="400"/>
      <c r="L113" s="415"/>
      <c r="M113" s="322"/>
      <c r="N113" s="587"/>
      <c r="O113" s="403" t="s">
        <v>278</v>
      </c>
      <c r="P113" s="404" t="s">
        <v>77</v>
      </c>
      <c r="Q113" s="358"/>
      <c r="R113" s="320"/>
      <c r="S113" s="359"/>
      <c r="T113" s="359"/>
      <c r="U113" s="94" t="str">
        <f>IF(ISERROR(VLOOKUP($T113, 'Reference data'!$J$2:$K$139, 2, FALSE)),"-",VLOOKUP($T113, 'Reference data'!$J$2:$K$139, 2, FALSE))</f>
        <v>-</v>
      </c>
      <c r="V113" s="320"/>
      <c r="W113" s="320"/>
      <c r="X113" s="324"/>
      <c r="Y113" s="325"/>
      <c r="Z113" s="241"/>
      <c r="AA113" s="362"/>
      <c r="AB113" s="86"/>
      <c r="AC113" s="72"/>
      <c r="AD113" s="71"/>
      <c r="AE113" s="239" t="s">
        <v>278</v>
      </c>
      <c r="AF113" s="243" t="s">
        <v>77</v>
      </c>
    </row>
    <row r="114" spans="2:32" ht="12.75" customHeight="1" x14ac:dyDescent="0.2">
      <c r="B114" s="356" t="str" cm="1">
        <f t="array" ref="B114">IF(C114="","Skip",IF(AND(Validator!J108=TRUE,Validator!J358=TRUE,Validator!J608=TRUE,Validator!J858=TRUE,Validator!J1108=TRUE,Validator!J1358=TRUE,OR(ISBLANK($R114),ISNUMBER(VALUE(SUBSTITUTE(SUBSTITUTE(SUBSTITUTE(SUBSTITUTE($R114," ",""),"c",""),"C",""),"-","")))),OR(SUMPRODUCT(--($U114=Package_type_code))&gt;0,$U114="",$U114="-")),"Valid","Invalid"))</f>
        <v>Skip</v>
      </c>
      <c r="C114" s="70"/>
      <c r="D114" s="410"/>
      <c r="E114" s="411"/>
      <c r="F114" s="218" t="str">
        <f t="shared" si="2"/>
        <v>-</v>
      </c>
      <c r="G114" s="218"/>
      <c r="H114" s="178" t="str">
        <f t="shared" si="3"/>
        <v>-</v>
      </c>
      <c r="I114" s="203"/>
      <c r="J114" s="416"/>
      <c r="K114" s="400"/>
      <c r="L114" s="415"/>
      <c r="M114" s="322"/>
      <c r="N114" s="587"/>
      <c r="O114" s="403" t="s">
        <v>278</v>
      </c>
      <c r="P114" s="404" t="s">
        <v>77</v>
      </c>
      <c r="Q114" s="358"/>
      <c r="R114" s="320"/>
      <c r="S114" s="359"/>
      <c r="T114" s="359"/>
      <c r="U114" s="94" t="str">
        <f>IF(ISERROR(VLOOKUP($T114, 'Reference data'!$J$2:$K$139, 2, FALSE)),"-",VLOOKUP($T114, 'Reference data'!$J$2:$K$139, 2, FALSE))</f>
        <v>-</v>
      </c>
      <c r="V114" s="320"/>
      <c r="W114" s="320"/>
      <c r="X114" s="324"/>
      <c r="Y114" s="325"/>
      <c r="Z114" s="241"/>
      <c r="AA114" s="362"/>
      <c r="AB114" s="86"/>
      <c r="AC114" s="72"/>
      <c r="AD114" s="71"/>
      <c r="AE114" s="239" t="s">
        <v>278</v>
      </c>
      <c r="AF114" s="243" t="s">
        <v>77</v>
      </c>
    </row>
    <row r="115" spans="2:32" ht="12.75" customHeight="1" x14ac:dyDescent="0.2">
      <c r="B115" s="356" t="str" cm="1">
        <f t="array" ref="B115">IF(C115="","Skip",IF(AND(Validator!J109=TRUE,Validator!J359=TRUE,Validator!J609=TRUE,Validator!J859=TRUE,Validator!J1109=TRUE,Validator!J1359=TRUE,OR(ISBLANK($R115),ISNUMBER(VALUE(SUBSTITUTE(SUBSTITUTE(SUBSTITUTE(SUBSTITUTE($R115," ",""),"c",""),"C",""),"-","")))),OR(SUMPRODUCT(--($U115=Package_type_code))&gt;0,$U115="",$U115="-")),"Valid","Invalid"))</f>
        <v>Skip</v>
      </c>
      <c r="C115" s="70"/>
      <c r="D115" s="410"/>
      <c r="E115" s="411"/>
      <c r="F115" s="218" t="str">
        <f t="shared" si="2"/>
        <v>-</v>
      </c>
      <c r="G115" s="218"/>
      <c r="H115" s="178" t="str">
        <f t="shared" si="3"/>
        <v>-</v>
      </c>
      <c r="I115" s="203"/>
      <c r="J115" s="416"/>
      <c r="K115" s="400"/>
      <c r="L115" s="415"/>
      <c r="M115" s="322"/>
      <c r="N115" s="587"/>
      <c r="O115" s="403" t="s">
        <v>278</v>
      </c>
      <c r="P115" s="404" t="s">
        <v>77</v>
      </c>
      <c r="Q115" s="358"/>
      <c r="R115" s="320"/>
      <c r="S115" s="359"/>
      <c r="T115" s="359"/>
      <c r="U115" s="94" t="str">
        <f>IF(ISERROR(VLOOKUP($T115, 'Reference data'!$J$2:$K$139, 2, FALSE)),"-",VLOOKUP($T115, 'Reference data'!$J$2:$K$139, 2, FALSE))</f>
        <v>-</v>
      </c>
      <c r="V115" s="320"/>
      <c r="W115" s="320"/>
      <c r="X115" s="324"/>
      <c r="Y115" s="325"/>
      <c r="Z115" s="241"/>
      <c r="AA115" s="362"/>
      <c r="AB115" s="86"/>
      <c r="AC115" s="72"/>
      <c r="AD115" s="71"/>
      <c r="AE115" s="239" t="s">
        <v>278</v>
      </c>
      <c r="AF115" s="243" t="s">
        <v>77</v>
      </c>
    </row>
    <row r="116" spans="2:32" ht="12.75" customHeight="1" x14ac:dyDescent="0.2">
      <c r="B116" s="356" t="str" cm="1">
        <f t="array" ref="B116">IF(C116="","Skip",IF(AND(Validator!J110=TRUE,Validator!J360=TRUE,Validator!J610=TRUE,Validator!J860=TRUE,Validator!J1110=TRUE,Validator!J1360=TRUE,OR(ISBLANK($R116),ISNUMBER(VALUE(SUBSTITUTE(SUBSTITUTE(SUBSTITUTE(SUBSTITUTE($R116," ",""),"c",""),"C",""),"-","")))),OR(SUMPRODUCT(--($U116=Package_type_code))&gt;0,$U116="",$U116="-")),"Valid","Invalid"))</f>
        <v>Skip</v>
      </c>
      <c r="C116" s="70"/>
      <c r="D116" s="410"/>
      <c r="E116" s="411"/>
      <c r="F116" s="218" t="str">
        <f t="shared" si="2"/>
        <v>-</v>
      </c>
      <c r="G116" s="218"/>
      <c r="H116" s="178" t="str">
        <f t="shared" si="3"/>
        <v>-</v>
      </c>
      <c r="I116" s="203"/>
      <c r="J116" s="416"/>
      <c r="K116" s="400"/>
      <c r="L116" s="415"/>
      <c r="M116" s="322"/>
      <c r="N116" s="587"/>
      <c r="O116" s="403" t="s">
        <v>278</v>
      </c>
      <c r="P116" s="404" t="s">
        <v>77</v>
      </c>
      <c r="Q116" s="358"/>
      <c r="R116" s="320"/>
      <c r="S116" s="359"/>
      <c r="T116" s="359"/>
      <c r="U116" s="94" t="str">
        <f>IF(ISERROR(VLOOKUP($T116, 'Reference data'!$J$2:$K$139, 2, FALSE)),"-",VLOOKUP($T116, 'Reference data'!$J$2:$K$139, 2, FALSE))</f>
        <v>-</v>
      </c>
      <c r="V116" s="320"/>
      <c r="W116" s="320"/>
      <c r="X116" s="324"/>
      <c r="Y116" s="325"/>
      <c r="Z116" s="241"/>
      <c r="AA116" s="362"/>
      <c r="AB116" s="86"/>
      <c r="AC116" s="72"/>
      <c r="AD116" s="71"/>
      <c r="AE116" s="239" t="s">
        <v>278</v>
      </c>
      <c r="AF116" s="243" t="s">
        <v>77</v>
      </c>
    </row>
    <row r="117" spans="2:32" ht="12.75" customHeight="1" x14ac:dyDescent="0.2">
      <c r="B117" s="356" t="str" cm="1">
        <f t="array" ref="B117">IF(C117="","Skip",IF(AND(Validator!J111=TRUE,Validator!J361=TRUE,Validator!J611=TRUE,Validator!J861=TRUE,Validator!J1111=TRUE,Validator!J1361=TRUE,OR(ISBLANK($R117),ISNUMBER(VALUE(SUBSTITUTE(SUBSTITUTE(SUBSTITUTE(SUBSTITUTE($R117," ",""),"c",""),"C",""),"-","")))),OR(SUMPRODUCT(--($U117=Package_type_code))&gt;0,$U117="",$U117="-")),"Valid","Invalid"))</f>
        <v>Skip</v>
      </c>
      <c r="C117" s="70"/>
      <c r="D117" s="410"/>
      <c r="E117" s="411"/>
      <c r="F117" s="218" t="str">
        <f t="shared" si="2"/>
        <v>-</v>
      </c>
      <c r="G117" s="218"/>
      <c r="H117" s="178" t="str">
        <f t="shared" si="3"/>
        <v>-</v>
      </c>
      <c r="I117" s="203"/>
      <c r="J117" s="416"/>
      <c r="K117" s="400"/>
      <c r="L117" s="415"/>
      <c r="M117" s="322"/>
      <c r="N117" s="587"/>
      <c r="O117" s="403" t="s">
        <v>278</v>
      </c>
      <c r="P117" s="404" t="s">
        <v>77</v>
      </c>
      <c r="Q117" s="358"/>
      <c r="R117" s="320"/>
      <c r="S117" s="359"/>
      <c r="T117" s="359"/>
      <c r="U117" s="94" t="str">
        <f>IF(ISERROR(VLOOKUP($T117, 'Reference data'!$J$2:$K$139, 2, FALSE)),"-",VLOOKUP($T117, 'Reference data'!$J$2:$K$139, 2, FALSE))</f>
        <v>-</v>
      </c>
      <c r="V117" s="320"/>
      <c r="W117" s="320"/>
      <c r="X117" s="324"/>
      <c r="Y117" s="325"/>
      <c r="Z117" s="241"/>
      <c r="AA117" s="362"/>
      <c r="AB117" s="86"/>
      <c r="AC117" s="72"/>
      <c r="AD117" s="71"/>
      <c r="AE117" s="239" t="s">
        <v>278</v>
      </c>
      <c r="AF117" s="243" t="s">
        <v>77</v>
      </c>
    </row>
    <row r="118" spans="2:32" ht="12.75" customHeight="1" x14ac:dyDescent="0.2">
      <c r="B118" s="356" t="str" cm="1">
        <f t="array" ref="B118">IF(C118="","Skip",IF(AND(Validator!J112=TRUE,Validator!J362=TRUE,Validator!J612=TRUE,Validator!J862=TRUE,Validator!J1112=TRUE,Validator!J1362=TRUE,OR(ISBLANK($R118),ISNUMBER(VALUE(SUBSTITUTE(SUBSTITUTE(SUBSTITUTE(SUBSTITUTE($R118," ",""),"c",""),"C",""),"-","")))),OR(SUMPRODUCT(--($U118=Package_type_code))&gt;0,$U118="",$U118="-")),"Valid","Invalid"))</f>
        <v>Skip</v>
      </c>
      <c r="C118" s="70"/>
      <c r="D118" s="410"/>
      <c r="E118" s="411"/>
      <c r="F118" s="218" t="str">
        <f t="shared" si="2"/>
        <v>-</v>
      </c>
      <c r="G118" s="218"/>
      <c r="H118" s="178" t="str">
        <f t="shared" si="3"/>
        <v>-</v>
      </c>
      <c r="I118" s="203"/>
      <c r="J118" s="416"/>
      <c r="K118" s="400"/>
      <c r="L118" s="415"/>
      <c r="M118" s="322"/>
      <c r="N118" s="587"/>
      <c r="O118" s="403" t="s">
        <v>278</v>
      </c>
      <c r="P118" s="404" t="s">
        <v>77</v>
      </c>
      <c r="Q118" s="358"/>
      <c r="R118" s="320"/>
      <c r="S118" s="359"/>
      <c r="T118" s="359"/>
      <c r="U118" s="94" t="str">
        <f>IF(ISERROR(VLOOKUP($T118, 'Reference data'!$J$2:$K$139, 2, FALSE)),"-",VLOOKUP($T118, 'Reference data'!$J$2:$K$139, 2, FALSE))</f>
        <v>-</v>
      </c>
      <c r="V118" s="320"/>
      <c r="W118" s="320"/>
      <c r="X118" s="324"/>
      <c r="Y118" s="325"/>
      <c r="Z118" s="241"/>
      <c r="AA118" s="362"/>
      <c r="AB118" s="86"/>
      <c r="AC118" s="72"/>
      <c r="AD118" s="71"/>
      <c r="AE118" s="239" t="s">
        <v>278</v>
      </c>
      <c r="AF118" s="243" t="s">
        <v>77</v>
      </c>
    </row>
    <row r="119" spans="2:32" ht="12.75" customHeight="1" x14ac:dyDescent="0.2">
      <c r="B119" s="356" t="str" cm="1">
        <f t="array" ref="B119">IF(C119="","Skip",IF(AND(Validator!J113=TRUE,Validator!J363=TRUE,Validator!J613=TRUE,Validator!J863=TRUE,Validator!J1113=TRUE,Validator!J1363=TRUE,OR(ISBLANK($R119),ISNUMBER(VALUE(SUBSTITUTE(SUBSTITUTE(SUBSTITUTE(SUBSTITUTE($R119," ",""),"c",""),"C",""),"-","")))),OR(SUMPRODUCT(--($U119=Package_type_code))&gt;0,$U119="",$U119="-")),"Valid","Invalid"))</f>
        <v>Skip</v>
      </c>
      <c r="C119" s="70"/>
      <c r="D119" s="410"/>
      <c r="E119" s="411"/>
      <c r="F119" s="218" t="str">
        <f t="shared" si="2"/>
        <v>-</v>
      </c>
      <c r="G119" s="218"/>
      <c r="H119" s="178" t="str">
        <f t="shared" si="3"/>
        <v>-</v>
      </c>
      <c r="I119" s="203"/>
      <c r="J119" s="416"/>
      <c r="K119" s="400"/>
      <c r="L119" s="415"/>
      <c r="M119" s="322"/>
      <c r="N119" s="587"/>
      <c r="O119" s="403" t="s">
        <v>278</v>
      </c>
      <c r="P119" s="404" t="s">
        <v>77</v>
      </c>
      <c r="Q119" s="358"/>
      <c r="R119" s="320"/>
      <c r="S119" s="359"/>
      <c r="T119" s="359"/>
      <c r="U119" s="94" t="str">
        <f>IF(ISERROR(VLOOKUP($T119, 'Reference data'!$J$2:$K$139, 2, FALSE)),"-",VLOOKUP($T119, 'Reference data'!$J$2:$K$139, 2, FALSE))</f>
        <v>-</v>
      </c>
      <c r="V119" s="320"/>
      <c r="W119" s="320"/>
      <c r="X119" s="324"/>
      <c r="Y119" s="325"/>
      <c r="Z119" s="241"/>
      <c r="AA119" s="362"/>
      <c r="AB119" s="86"/>
      <c r="AC119" s="72"/>
      <c r="AD119" s="71"/>
      <c r="AE119" s="239" t="s">
        <v>278</v>
      </c>
      <c r="AF119" s="243" t="s">
        <v>77</v>
      </c>
    </row>
    <row r="120" spans="2:32" ht="12.75" customHeight="1" x14ac:dyDescent="0.2">
      <c r="B120" s="356" t="str" cm="1">
        <f t="array" ref="B120">IF(C120="","Skip",IF(AND(Validator!J114=TRUE,Validator!J364=TRUE,Validator!J614=TRUE,Validator!J864=TRUE,Validator!J1114=TRUE,Validator!J1364=TRUE,OR(ISBLANK($R120),ISNUMBER(VALUE(SUBSTITUTE(SUBSTITUTE(SUBSTITUTE(SUBSTITUTE($R120," ",""),"c",""),"C",""),"-","")))),OR(SUMPRODUCT(--($U120=Package_type_code))&gt;0,$U120="",$U120="-")),"Valid","Invalid"))</f>
        <v>Skip</v>
      </c>
      <c r="C120" s="70"/>
      <c r="D120" s="410"/>
      <c r="E120" s="411"/>
      <c r="F120" s="218" t="str">
        <f t="shared" si="2"/>
        <v>-</v>
      </c>
      <c r="G120" s="218"/>
      <c r="H120" s="178" t="str">
        <f t="shared" si="3"/>
        <v>-</v>
      </c>
      <c r="I120" s="203"/>
      <c r="J120" s="416"/>
      <c r="K120" s="400"/>
      <c r="L120" s="415"/>
      <c r="M120" s="322"/>
      <c r="N120" s="587"/>
      <c r="O120" s="403" t="s">
        <v>278</v>
      </c>
      <c r="P120" s="404" t="s">
        <v>77</v>
      </c>
      <c r="Q120" s="358"/>
      <c r="R120" s="320"/>
      <c r="S120" s="359"/>
      <c r="T120" s="359"/>
      <c r="U120" s="94" t="str">
        <f>IF(ISERROR(VLOOKUP($T120, 'Reference data'!$J$2:$K$139, 2, FALSE)),"-",VLOOKUP($T120, 'Reference data'!$J$2:$K$139, 2, FALSE))</f>
        <v>-</v>
      </c>
      <c r="V120" s="320"/>
      <c r="W120" s="320"/>
      <c r="X120" s="324"/>
      <c r="Y120" s="325"/>
      <c r="Z120" s="241"/>
      <c r="AA120" s="362"/>
      <c r="AB120" s="86"/>
      <c r="AC120" s="72"/>
      <c r="AD120" s="71"/>
      <c r="AE120" s="239" t="s">
        <v>278</v>
      </c>
      <c r="AF120" s="243" t="s">
        <v>77</v>
      </c>
    </row>
    <row r="121" spans="2:32" ht="12.75" customHeight="1" x14ac:dyDescent="0.2">
      <c r="B121" s="356" t="str" cm="1">
        <f t="array" ref="B121">IF(C121="","Skip",IF(AND(Validator!J115=TRUE,Validator!J365=TRUE,Validator!J615=TRUE,Validator!J865=TRUE,Validator!J1115=TRUE,Validator!J1365=TRUE,OR(ISBLANK($R121),ISNUMBER(VALUE(SUBSTITUTE(SUBSTITUTE(SUBSTITUTE(SUBSTITUTE($R121," ",""),"c",""),"C",""),"-","")))),OR(SUMPRODUCT(--($U121=Package_type_code))&gt;0,$U121="",$U121="-")),"Valid","Invalid"))</f>
        <v>Skip</v>
      </c>
      <c r="C121" s="70"/>
      <c r="D121" s="410"/>
      <c r="E121" s="411"/>
      <c r="F121" s="218" t="str">
        <f t="shared" si="2"/>
        <v>-</v>
      </c>
      <c r="G121" s="218"/>
      <c r="H121" s="178" t="str">
        <f t="shared" si="3"/>
        <v>-</v>
      </c>
      <c r="I121" s="203"/>
      <c r="J121" s="416"/>
      <c r="K121" s="400"/>
      <c r="L121" s="415"/>
      <c r="M121" s="322"/>
      <c r="N121" s="587"/>
      <c r="O121" s="403" t="s">
        <v>278</v>
      </c>
      <c r="P121" s="404" t="s">
        <v>77</v>
      </c>
      <c r="Q121" s="358"/>
      <c r="R121" s="320"/>
      <c r="S121" s="359"/>
      <c r="T121" s="359"/>
      <c r="U121" s="94" t="str">
        <f>IF(ISERROR(VLOOKUP($T121, 'Reference data'!$J$2:$K$139, 2, FALSE)),"-",VLOOKUP($T121, 'Reference data'!$J$2:$K$139, 2, FALSE))</f>
        <v>-</v>
      </c>
      <c r="V121" s="320"/>
      <c r="W121" s="320"/>
      <c r="X121" s="324"/>
      <c r="Y121" s="325"/>
      <c r="Z121" s="241"/>
      <c r="AA121" s="362"/>
      <c r="AB121" s="86"/>
      <c r="AC121" s="72"/>
      <c r="AD121" s="71"/>
      <c r="AE121" s="239" t="s">
        <v>278</v>
      </c>
      <c r="AF121" s="243" t="s">
        <v>77</v>
      </c>
    </row>
    <row r="122" spans="2:32" ht="12.75" customHeight="1" x14ac:dyDescent="0.2">
      <c r="B122" s="356" t="str" cm="1">
        <f t="array" ref="B122">IF(C122="","Skip",IF(AND(Validator!J116=TRUE,Validator!J366=TRUE,Validator!J616=TRUE,Validator!J866=TRUE,Validator!J1116=TRUE,Validator!J1366=TRUE,OR(ISBLANK($R122),ISNUMBER(VALUE(SUBSTITUTE(SUBSTITUTE(SUBSTITUTE(SUBSTITUTE($R122," ",""),"c",""),"C",""),"-","")))),OR(SUMPRODUCT(--($U122=Package_type_code))&gt;0,$U122="",$U122="-")),"Valid","Invalid"))</f>
        <v>Skip</v>
      </c>
      <c r="C122" s="70"/>
      <c r="D122" s="410"/>
      <c r="E122" s="411"/>
      <c r="F122" s="218" t="str">
        <f t="shared" si="2"/>
        <v>-</v>
      </c>
      <c r="G122" s="218"/>
      <c r="H122" s="178" t="str">
        <f t="shared" si="3"/>
        <v>-</v>
      </c>
      <c r="I122" s="203"/>
      <c r="J122" s="416"/>
      <c r="K122" s="400"/>
      <c r="L122" s="415"/>
      <c r="M122" s="322"/>
      <c r="N122" s="587"/>
      <c r="O122" s="403" t="s">
        <v>278</v>
      </c>
      <c r="P122" s="404" t="s">
        <v>77</v>
      </c>
      <c r="Q122" s="358"/>
      <c r="R122" s="320"/>
      <c r="S122" s="359"/>
      <c r="T122" s="359"/>
      <c r="U122" s="94" t="str">
        <f>IF(ISERROR(VLOOKUP($T122, 'Reference data'!$J$2:$K$139, 2, FALSE)),"-",VLOOKUP($T122, 'Reference data'!$J$2:$K$139, 2, FALSE))</f>
        <v>-</v>
      </c>
      <c r="V122" s="320"/>
      <c r="W122" s="320"/>
      <c r="X122" s="324"/>
      <c r="Y122" s="325"/>
      <c r="Z122" s="241"/>
      <c r="AA122" s="362"/>
      <c r="AB122" s="86"/>
      <c r="AC122" s="72"/>
      <c r="AD122" s="71"/>
      <c r="AE122" s="239" t="s">
        <v>278</v>
      </c>
      <c r="AF122" s="243" t="s">
        <v>77</v>
      </c>
    </row>
    <row r="123" spans="2:32" ht="12.75" customHeight="1" x14ac:dyDescent="0.2">
      <c r="B123" s="356" t="str" cm="1">
        <f t="array" ref="B123">IF(C123="","Skip",IF(AND(Validator!J117=TRUE,Validator!J367=TRUE,Validator!J617=TRUE,Validator!J867=TRUE,Validator!J1117=TRUE,Validator!J1367=TRUE,OR(ISBLANK($R123),ISNUMBER(VALUE(SUBSTITUTE(SUBSTITUTE(SUBSTITUTE(SUBSTITUTE($R123," ",""),"c",""),"C",""),"-","")))),OR(SUMPRODUCT(--($U123=Package_type_code))&gt;0,$U123="",$U123="-")),"Valid","Invalid"))</f>
        <v>Skip</v>
      </c>
      <c r="C123" s="70"/>
      <c r="D123" s="410"/>
      <c r="E123" s="411"/>
      <c r="F123" s="218" t="str">
        <f t="shared" si="2"/>
        <v>-</v>
      </c>
      <c r="G123" s="218"/>
      <c r="H123" s="178" t="str">
        <f t="shared" si="3"/>
        <v>-</v>
      </c>
      <c r="I123" s="203"/>
      <c r="J123" s="416"/>
      <c r="K123" s="400"/>
      <c r="L123" s="415"/>
      <c r="M123" s="322"/>
      <c r="N123" s="587"/>
      <c r="O123" s="403" t="s">
        <v>278</v>
      </c>
      <c r="P123" s="404" t="s">
        <v>77</v>
      </c>
      <c r="Q123" s="358"/>
      <c r="R123" s="320"/>
      <c r="S123" s="359"/>
      <c r="T123" s="359"/>
      <c r="U123" s="94" t="str">
        <f>IF(ISERROR(VLOOKUP($T123, 'Reference data'!$J$2:$K$139, 2, FALSE)),"-",VLOOKUP($T123, 'Reference data'!$J$2:$K$139, 2, FALSE))</f>
        <v>-</v>
      </c>
      <c r="V123" s="320"/>
      <c r="W123" s="320"/>
      <c r="X123" s="324"/>
      <c r="Y123" s="325"/>
      <c r="Z123" s="241"/>
      <c r="AA123" s="362"/>
      <c r="AB123" s="86"/>
      <c r="AC123" s="72"/>
      <c r="AD123" s="71"/>
      <c r="AE123" s="239" t="s">
        <v>278</v>
      </c>
      <c r="AF123" s="243" t="s">
        <v>77</v>
      </c>
    </row>
    <row r="124" spans="2:32" ht="12.75" customHeight="1" x14ac:dyDescent="0.2">
      <c r="B124" s="356" t="str" cm="1">
        <f t="array" ref="B124">IF(C124="","Skip",IF(AND(Validator!J118=TRUE,Validator!J368=TRUE,Validator!J618=TRUE,Validator!J868=TRUE,Validator!J1118=TRUE,Validator!J1368=TRUE,OR(ISBLANK($R124),ISNUMBER(VALUE(SUBSTITUTE(SUBSTITUTE(SUBSTITUTE(SUBSTITUTE($R124," ",""),"c",""),"C",""),"-","")))),OR(SUMPRODUCT(--($U124=Package_type_code))&gt;0,$U124="",$U124="-")),"Valid","Invalid"))</f>
        <v>Skip</v>
      </c>
      <c r="C124" s="70"/>
      <c r="D124" s="410"/>
      <c r="E124" s="411"/>
      <c r="F124" s="218" t="str">
        <f t="shared" si="2"/>
        <v>-</v>
      </c>
      <c r="G124" s="218"/>
      <c r="H124" s="178" t="str">
        <f t="shared" si="3"/>
        <v>-</v>
      </c>
      <c r="I124" s="203"/>
      <c r="J124" s="416"/>
      <c r="K124" s="400"/>
      <c r="L124" s="415"/>
      <c r="M124" s="322"/>
      <c r="N124" s="587"/>
      <c r="O124" s="403" t="s">
        <v>278</v>
      </c>
      <c r="P124" s="404" t="s">
        <v>77</v>
      </c>
      <c r="Q124" s="358"/>
      <c r="R124" s="320"/>
      <c r="S124" s="359"/>
      <c r="T124" s="359"/>
      <c r="U124" s="94" t="str">
        <f>IF(ISERROR(VLOOKUP($T124, 'Reference data'!$J$2:$K$139, 2, FALSE)),"-",VLOOKUP($T124, 'Reference data'!$J$2:$K$139, 2, FALSE))</f>
        <v>-</v>
      </c>
      <c r="V124" s="320"/>
      <c r="W124" s="320"/>
      <c r="X124" s="324"/>
      <c r="Y124" s="325"/>
      <c r="Z124" s="241"/>
      <c r="AA124" s="362"/>
      <c r="AB124" s="86"/>
      <c r="AC124" s="72"/>
      <c r="AD124" s="71"/>
      <c r="AE124" s="239" t="s">
        <v>278</v>
      </c>
      <c r="AF124" s="243" t="s">
        <v>77</v>
      </c>
    </row>
    <row r="125" spans="2:32" ht="12.75" customHeight="1" x14ac:dyDescent="0.2">
      <c r="B125" s="356" t="str" cm="1">
        <f t="array" ref="B125">IF(C125="","Skip",IF(AND(Validator!J119=TRUE,Validator!J369=TRUE,Validator!J619=TRUE,Validator!J869=TRUE,Validator!J1119=TRUE,Validator!J1369=TRUE,OR(ISBLANK($R125),ISNUMBER(VALUE(SUBSTITUTE(SUBSTITUTE(SUBSTITUTE(SUBSTITUTE($R125," ",""),"c",""),"C",""),"-","")))),OR(SUMPRODUCT(--($U125=Package_type_code))&gt;0,$U125="",$U125="-")),"Valid","Invalid"))</f>
        <v>Skip</v>
      </c>
      <c r="C125" s="70"/>
      <c r="D125" s="410"/>
      <c r="E125" s="411"/>
      <c r="F125" s="218" t="str">
        <f t="shared" si="2"/>
        <v>-</v>
      </c>
      <c r="G125" s="218"/>
      <c r="H125" s="178" t="str">
        <f t="shared" si="3"/>
        <v>-</v>
      </c>
      <c r="I125" s="203"/>
      <c r="J125" s="416"/>
      <c r="K125" s="400"/>
      <c r="L125" s="415"/>
      <c r="M125" s="322"/>
      <c r="N125" s="587"/>
      <c r="O125" s="403" t="s">
        <v>278</v>
      </c>
      <c r="P125" s="404" t="s">
        <v>77</v>
      </c>
      <c r="Q125" s="358"/>
      <c r="R125" s="320"/>
      <c r="S125" s="359"/>
      <c r="T125" s="359"/>
      <c r="U125" s="94" t="str">
        <f>IF(ISERROR(VLOOKUP($T125, 'Reference data'!$J$2:$K$139, 2, FALSE)),"-",VLOOKUP($T125, 'Reference data'!$J$2:$K$139, 2, FALSE))</f>
        <v>-</v>
      </c>
      <c r="V125" s="320"/>
      <c r="W125" s="320"/>
      <c r="X125" s="324"/>
      <c r="Y125" s="325"/>
      <c r="Z125" s="241"/>
      <c r="AA125" s="362"/>
      <c r="AB125" s="86"/>
      <c r="AC125" s="72"/>
      <c r="AD125" s="71"/>
      <c r="AE125" s="239" t="s">
        <v>278</v>
      </c>
      <c r="AF125" s="243" t="s">
        <v>77</v>
      </c>
    </row>
    <row r="126" spans="2:32" ht="12.75" customHeight="1" x14ac:dyDescent="0.2">
      <c r="B126" s="356" t="str" cm="1">
        <f t="array" ref="B126">IF(C126="","Skip",IF(AND(Validator!J120=TRUE,Validator!J370=TRUE,Validator!J620=TRUE,Validator!J870=TRUE,Validator!J1120=TRUE,Validator!J1370=TRUE,OR(ISBLANK($R126),ISNUMBER(VALUE(SUBSTITUTE(SUBSTITUTE(SUBSTITUTE(SUBSTITUTE($R126," ",""),"c",""),"C",""),"-","")))),OR(SUMPRODUCT(--($U126=Package_type_code))&gt;0,$U126="",$U126="-")),"Valid","Invalid"))</f>
        <v>Skip</v>
      </c>
      <c r="C126" s="70"/>
      <c r="D126" s="410"/>
      <c r="E126" s="411"/>
      <c r="F126" s="218" t="str">
        <f t="shared" si="2"/>
        <v>-</v>
      </c>
      <c r="G126" s="218"/>
      <c r="H126" s="178" t="str">
        <f t="shared" si="3"/>
        <v>-</v>
      </c>
      <c r="I126" s="203"/>
      <c r="J126" s="416"/>
      <c r="K126" s="400"/>
      <c r="L126" s="415"/>
      <c r="M126" s="322"/>
      <c r="N126" s="587"/>
      <c r="O126" s="403" t="s">
        <v>278</v>
      </c>
      <c r="P126" s="404" t="s">
        <v>77</v>
      </c>
      <c r="Q126" s="358"/>
      <c r="R126" s="320"/>
      <c r="S126" s="359"/>
      <c r="T126" s="359"/>
      <c r="U126" s="94" t="str">
        <f>IF(ISERROR(VLOOKUP($T126, 'Reference data'!$J$2:$K$139, 2, FALSE)),"-",VLOOKUP($T126, 'Reference data'!$J$2:$K$139, 2, FALSE))</f>
        <v>-</v>
      </c>
      <c r="V126" s="320"/>
      <c r="W126" s="320"/>
      <c r="X126" s="324"/>
      <c r="Y126" s="325"/>
      <c r="Z126" s="241"/>
      <c r="AA126" s="362"/>
      <c r="AB126" s="86"/>
      <c r="AC126" s="72"/>
      <c r="AD126" s="71"/>
      <c r="AE126" s="239" t="s">
        <v>278</v>
      </c>
      <c r="AF126" s="243" t="s">
        <v>77</v>
      </c>
    </row>
    <row r="127" spans="2:32" ht="12.75" customHeight="1" x14ac:dyDescent="0.2">
      <c r="B127" s="356" t="str" cm="1">
        <f t="array" ref="B127">IF(C127="","Skip",IF(AND(Validator!J121=TRUE,Validator!J371=TRUE,Validator!J621=TRUE,Validator!J871=TRUE,Validator!J1121=TRUE,Validator!J1371=TRUE,OR(ISBLANK($R127),ISNUMBER(VALUE(SUBSTITUTE(SUBSTITUTE(SUBSTITUTE(SUBSTITUTE($R127," ",""),"c",""),"C",""),"-","")))),OR(SUMPRODUCT(--($U127=Package_type_code))&gt;0,$U127="",$U127="-")),"Valid","Invalid"))</f>
        <v>Skip</v>
      </c>
      <c r="C127" s="70"/>
      <c r="D127" s="410"/>
      <c r="E127" s="411"/>
      <c r="F127" s="218" t="str">
        <f t="shared" si="2"/>
        <v>-</v>
      </c>
      <c r="G127" s="218"/>
      <c r="H127" s="178" t="str">
        <f t="shared" si="3"/>
        <v>-</v>
      </c>
      <c r="I127" s="203"/>
      <c r="J127" s="416"/>
      <c r="K127" s="400"/>
      <c r="L127" s="415"/>
      <c r="M127" s="322"/>
      <c r="N127" s="587"/>
      <c r="O127" s="403" t="s">
        <v>278</v>
      </c>
      <c r="P127" s="404" t="s">
        <v>77</v>
      </c>
      <c r="Q127" s="358"/>
      <c r="R127" s="320"/>
      <c r="S127" s="359"/>
      <c r="T127" s="359"/>
      <c r="U127" s="94" t="str">
        <f>IF(ISERROR(VLOOKUP($T127, 'Reference data'!$J$2:$K$139, 2, FALSE)),"-",VLOOKUP($T127, 'Reference data'!$J$2:$K$139, 2, FALSE))</f>
        <v>-</v>
      </c>
      <c r="V127" s="320"/>
      <c r="W127" s="320"/>
      <c r="X127" s="324"/>
      <c r="Y127" s="325"/>
      <c r="Z127" s="241"/>
      <c r="AA127" s="362"/>
      <c r="AB127" s="86"/>
      <c r="AC127" s="72"/>
      <c r="AD127" s="71"/>
      <c r="AE127" s="239" t="s">
        <v>278</v>
      </c>
      <c r="AF127" s="243" t="s">
        <v>77</v>
      </c>
    </row>
    <row r="128" spans="2:32" ht="12.75" customHeight="1" x14ac:dyDescent="0.2">
      <c r="B128" s="356" t="str" cm="1">
        <f t="array" ref="B128">IF(C128="","Skip",IF(AND(Validator!J122=TRUE,Validator!J372=TRUE,Validator!J622=TRUE,Validator!J872=TRUE,Validator!J1122=TRUE,Validator!J1372=TRUE,OR(ISBLANK($R128),ISNUMBER(VALUE(SUBSTITUTE(SUBSTITUTE(SUBSTITUTE(SUBSTITUTE($R128," ",""),"c",""),"C",""),"-","")))),OR(SUMPRODUCT(--($U128=Package_type_code))&gt;0,$U128="",$U128="-")),"Valid","Invalid"))</f>
        <v>Skip</v>
      </c>
      <c r="C128" s="70"/>
      <c r="D128" s="410"/>
      <c r="E128" s="411"/>
      <c r="F128" s="218" t="str">
        <f t="shared" si="2"/>
        <v>-</v>
      </c>
      <c r="G128" s="218"/>
      <c r="H128" s="178" t="str">
        <f t="shared" si="3"/>
        <v>-</v>
      </c>
      <c r="I128" s="203"/>
      <c r="J128" s="416"/>
      <c r="K128" s="400"/>
      <c r="L128" s="415"/>
      <c r="M128" s="322"/>
      <c r="N128" s="587"/>
      <c r="O128" s="403" t="s">
        <v>278</v>
      </c>
      <c r="P128" s="404" t="s">
        <v>77</v>
      </c>
      <c r="Q128" s="358"/>
      <c r="R128" s="320"/>
      <c r="S128" s="359"/>
      <c r="T128" s="359"/>
      <c r="U128" s="94" t="str">
        <f>IF(ISERROR(VLOOKUP($T128, 'Reference data'!$J$2:$K$139, 2, FALSE)),"-",VLOOKUP($T128, 'Reference data'!$J$2:$K$139, 2, FALSE))</f>
        <v>-</v>
      </c>
      <c r="V128" s="320"/>
      <c r="W128" s="320"/>
      <c r="X128" s="324"/>
      <c r="Y128" s="325"/>
      <c r="Z128" s="241"/>
      <c r="AA128" s="362"/>
      <c r="AB128" s="86"/>
      <c r="AC128" s="72"/>
      <c r="AD128" s="71"/>
      <c r="AE128" s="239" t="s">
        <v>278</v>
      </c>
      <c r="AF128" s="243" t="s">
        <v>77</v>
      </c>
    </row>
    <row r="129" spans="2:32" ht="12.75" customHeight="1" x14ac:dyDescent="0.2">
      <c r="B129" s="356" t="str" cm="1">
        <f t="array" ref="B129">IF(C129="","Skip",IF(AND(Validator!J123=TRUE,Validator!J373=TRUE,Validator!J623=TRUE,Validator!J873=TRUE,Validator!J1123=TRUE,Validator!J1373=TRUE,OR(ISBLANK($R129),ISNUMBER(VALUE(SUBSTITUTE(SUBSTITUTE(SUBSTITUTE(SUBSTITUTE($R129," ",""),"c",""),"C",""),"-","")))),OR(SUMPRODUCT(--($U129=Package_type_code))&gt;0,$U129="",$U129="-")),"Valid","Invalid"))</f>
        <v>Skip</v>
      </c>
      <c r="C129" s="70"/>
      <c r="D129" s="410"/>
      <c r="E129" s="411"/>
      <c r="F129" s="218" t="str">
        <f t="shared" si="2"/>
        <v>-</v>
      </c>
      <c r="G129" s="218"/>
      <c r="H129" s="178" t="str">
        <f t="shared" si="3"/>
        <v>-</v>
      </c>
      <c r="I129" s="203"/>
      <c r="J129" s="416"/>
      <c r="K129" s="400"/>
      <c r="L129" s="415"/>
      <c r="M129" s="322"/>
      <c r="N129" s="587"/>
      <c r="O129" s="403" t="s">
        <v>278</v>
      </c>
      <c r="P129" s="404" t="s">
        <v>77</v>
      </c>
      <c r="Q129" s="358"/>
      <c r="R129" s="320"/>
      <c r="S129" s="359"/>
      <c r="T129" s="359"/>
      <c r="U129" s="94" t="str">
        <f>IF(ISERROR(VLOOKUP($T129, 'Reference data'!$J$2:$K$139, 2, FALSE)),"-",VLOOKUP($T129, 'Reference data'!$J$2:$K$139, 2, FALSE))</f>
        <v>-</v>
      </c>
      <c r="V129" s="320"/>
      <c r="W129" s="320"/>
      <c r="X129" s="324"/>
      <c r="Y129" s="325"/>
      <c r="Z129" s="241"/>
      <c r="AA129" s="362"/>
      <c r="AB129" s="86"/>
      <c r="AC129" s="72"/>
      <c r="AD129" s="71"/>
      <c r="AE129" s="239" t="s">
        <v>278</v>
      </c>
      <c r="AF129" s="243" t="s">
        <v>77</v>
      </c>
    </row>
    <row r="130" spans="2:32" ht="12.75" customHeight="1" x14ac:dyDescent="0.2">
      <c r="B130" s="356" t="str" cm="1">
        <f t="array" ref="B130">IF(C130="","Skip",IF(AND(Validator!J124=TRUE,Validator!J374=TRUE,Validator!J624=TRUE,Validator!J874=TRUE,Validator!J1124=TRUE,Validator!J1374=TRUE,OR(ISBLANK($R130),ISNUMBER(VALUE(SUBSTITUTE(SUBSTITUTE(SUBSTITUTE(SUBSTITUTE($R130," ",""),"c",""),"C",""),"-","")))),OR(SUMPRODUCT(--($U130=Package_type_code))&gt;0,$U130="",$U130="-")),"Valid","Invalid"))</f>
        <v>Skip</v>
      </c>
      <c r="C130" s="70"/>
      <c r="D130" s="410"/>
      <c r="E130" s="411"/>
      <c r="F130" s="218" t="str">
        <f t="shared" si="2"/>
        <v>-</v>
      </c>
      <c r="G130" s="218"/>
      <c r="H130" s="178" t="str">
        <f t="shared" si="3"/>
        <v>-</v>
      </c>
      <c r="I130" s="203"/>
      <c r="J130" s="416"/>
      <c r="K130" s="400"/>
      <c r="L130" s="415"/>
      <c r="M130" s="322"/>
      <c r="N130" s="587"/>
      <c r="O130" s="403" t="s">
        <v>278</v>
      </c>
      <c r="P130" s="404" t="s">
        <v>77</v>
      </c>
      <c r="Q130" s="358"/>
      <c r="R130" s="320"/>
      <c r="S130" s="359"/>
      <c r="T130" s="359"/>
      <c r="U130" s="94" t="str">
        <f>IF(ISERROR(VLOOKUP($T130, 'Reference data'!$J$2:$K$139, 2, FALSE)),"-",VLOOKUP($T130, 'Reference data'!$J$2:$K$139, 2, FALSE))</f>
        <v>-</v>
      </c>
      <c r="V130" s="320"/>
      <c r="W130" s="320"/>
      <c r="X130" s="324"/>
      <c r="Y130" s="325"/>
      <c r="Z130" s="241"/>
      <c r="AA130" s="362"/>
      <c r="AB130" s="86"/>
      <c r="AC130" s="72"/>
      <c r="AD130" s="71"/>
      <c r="AE130" s="239" t="s">
        <v>278</v>
      </c>
      <c r="AF130" s="243" t="s">
        <v>77</v>
      </c>
    </row>
    <row r="131" spans="2:32" ht="12.75" customHeight="1" x14ac:dyDescent="0.2">
      <c r="B131" s="356" t="str" cm="1">
        <f t="array" ref="B131">IF(C131="","Skip",IF(AND(Validator!J125=TRUE,Validator!J375=TRUE,Validator!J625=TRUE,Validator!J875=TRUE,Validator!J1125=TRUE,Validator!J1375=TRUE,OR(ISBLANK($R131),ISNUMBER(VALUE(SUBSTITUTE(SUBSTITUTE(SUBSTITUTE(SUBSTITUTE($R131," ",""),"c",""),"C",""),"-","")))),OR(SUMPRODUCT(--($U131=Package_type_code))&gt;0,$U131="",$U131="-")),"Valid","Invalid"))</f>
        <v>Skip</v>
      </c>
      <c r="C131" s="70"/>
      <c r="D131" s="410"/>
      <c r="E131" s="411"/>
      <c r="F131" s="218" t="str">
        <f t="shared" si="2"/>
        <v>-</v>
      </c>
      <c r="G131" s="218"/>
      <c r="H131" s="178" t="str">
        <f t="shared" si="3"/>
        <v>-</v>
      </c>
      <c r="I131" s="203"/>
      <c r="J131" s="416"/>
      <c r="K131" s="400"/>
      <c r="L131" s="415"/>
      <c r="M131" s="322"/>
      <c r="N131" s="587"/>
      <c r="O131" s="403" t="s">
        <v>278</v>
      </c>
      <c r="P131" s="404" t="s">
        <v>77</v>
      </c>
      <c r="Q131" s="358"/>
      <c r="R131" s="320"/>
      <c r="S131" s="359"/>
      <c r="T131" s="359"/>
      <c r="U131" s="94" t="str">
        <f>IF(ISERROR(VLOOKUP($T131, 'Reference data'!$J$2:$K$139, 2, FALSE)),"-",VLOOKUP($T131, 'Reference data'!$J$2:$K$139, 2, FALSE))</f>
        <v>-</v>
      </c>
      <c r="V131" s="320"/>
      <c r="W131" s="320"/>
      <c r="X131" s="324"/>
      <c r="Y131" s="325"/>
      <c r="Z131" s="241"/>
      <c r="AA131" s="362"/>
      <c r="AB131" s="86"/>
      <c r="AC131" s="72"/>
      <c r="AD131" s="71"/>
      <c r="AE131" s="239" t="s">
        <v>278</v>
      </c>
      <c r="AF131" s="243" t="s">
        <v>77</v>
      </c>
    </row>
    <row r="132" spans="2:32" ht="12.75" customHeight="1" x14ac:dyDescent="0.2">
      <c r="B132" s="356" t="str" cm="1">
        <f t="array" ref="B132">IF(C132="","Skip",IF(AND(Validator!J126=TRUE,Validator!J376=TRUE,Validator!J626=TRUE,Validator!J876=TRUE,Validator!J1126=TRUE,Validator!J1376=TRUE,OR(ISBLANK($R132),ISNUMBER(VALUE(SUBSTITUTE(SUBSTITUTE(SUBSTITUTE(SUBSTITUTE($R132," ",""),"c",""),"C",""),"-","")))),OR(SUMPRODUCT(--($U132=Package_type_code))&gt;0,$U132="",$U132="-")),"Valid","Invalid"))</f>
        <v>Skip</v>
      </c>
      <c r="C132" s="70"/>
      <c r="D132" s="410"/>
      <c r="E132" s="411"/>
      <c r="F132" s="218" t="str">
        <f t="shared" si="2"/>
        <v>-</v>
      </c>
      <c r="G132" s="218"/>
      <c r="H132" s="178" t="str">
        <f t="shared" si="3"/>
        <v>-</v>
      </c>
      <c r="I132" s="203"/>
      <c r="J132" s="416"/>
      <c r="K132" s="400"/>
      <c r="L132" s="415"/>
      <c r="M132" s="322"/>
      <c r="N132" s="587"/>
      <c r="O132" s="403" t="s">
        <v>278</v>
      </c>
      <c r="P132" s="404" t="s">
        <v>77</v>
      </c>
      <c r="Q132" s="358"/>
      <c r="R132" s="320"/>
      <c r="S132" s="359"/>
      <c r="T132" s="359"/>
      <c r="U132" s="94" t="str">
        <f>IF(ISERROR(VLOOKUP($T132, 'Reference data'!$J$2:$K$139, 2, FALSE)),"-",VLOOKUP($T132, 'Reference data'!$J$2:$K$139, 2, FALSE))</f>
        <v>-</v>
      </c>
      <c r="V132" s="320"/>
      <c r="W132" s="320"/>
      <c r="X132" s="324"/>
      <c r="Y132" s="325"/>
      <c r="Z132" s="241"/>
      <c r="AA132" s="362"/>
      <c r="AB132" s="86"/>
      <c r="AC132" s="72"/>
      <c r="AD132" s="71"/>
      <c r="AE132" s="239" t="s">
        <v>278</v>
      </c>
      <c r="AF132" s="243" t="s">
        <v>77</v>
      </c>
    </row>
    <row r="133" spans="2:32" ht="12.75" customHeight="1" x14ac:dyDescent="0.2">
      <c r="B133" s="356" t="str" cm="1">
        <f t="array" ref="B133">IF(C133="","Skip",IF(AND(Validator!J127=TRUE,Validator!J377=TRUE,Validator!J627=TRUE,Validator!J877=TRUE,Validator!J1127=TRUE,Validator!J1377=TRUE,OR(ISBLANK($R133),ISNUMBER(VALUE(SUBSTITUTE(SUBSTITUTE(SUBSTITUTE(SUBSTITUTE($R133," ",""),"c",""),"C",""),"-","")))),OR(SUMPRODUCT(--($U133=Package_type_code))&gt;0,$U133="",$U133="-")),"Valid","Invalid"))</f>
        <v>Skip</v>
      </c>
      <c r="C133" s="70"/>
      <c r="D133" s="410"/>
      <c r="E133" s="411"/>
      <c r="F133" s="218" t="str">
        <f t="shared" si="2"/>
        <v>-</v>
      </c>
      <c r="G133" s="218"/>
      <c r="H133" s="178" t="str">
        <f t="shared" si="3"/>
        <v>-</v>
      </c>
      <c r="I133" s="203"/>
      <c r="J133" s="416"/>
      <c r="K133" s="400"/>
      <c r="L133" s="415"/>
      <c r="M133" s="322"/>
      <c r="N133" s="587"/>
      <c r="O133" s="403" t="s">
        <v>278</v>
      </c>
      <c r="P133" s="404" t="s">
        <v>77</v>
      </c>
      <c r="Q133" s="358"/>
      <c r="R133" s="320"/>
      <c r="S133" s="359"/>
      <c r="T133" s="359"/>
      <c r="U133" s="94" t="str">
        <f>IF(ISERROR(VLOOKUP($T133, 'Reference data'!$J$2:$K$139, 2, FALSE)),"-",VLOOKUP($T133, 'Reference data'!$J$2:$K$139, 2, FALSE))</f>
        <v>-</v>
      </c>
      <c r="V133" s="320"/>
      <c r="W133" s="320"/>
      <c r="X133" s="324"/>
      <c r="Y133" s="325"/>
      <c r="Z133" s="241"/>
      <c r="AA133" s="362"/>
      <c r="AB133" s="86"/>
      <c r="AC133" s="72"/>
      <c r="AD133" s="71"/>
      <c r="AE133" s="239" t="s">
        <v>278</v>
      </c>
      <c r="AF133" s="243" t="s">
        <v>77</v>
      </c>
    </row>
    <row r="134" spans="2:32" ht="12.75" customHeight="1" x14ac:dyDescent="0.2">
      <c r="B134" s="356" t="str" cm="1">
        <f t="array" ref="B134">IF(C134="","Skip",IF(AND(Validator!J128=TRUE,Validator!J378=TRUE,Validator!J628=TRUE,Validator!J878=TRUE,Validator!J1128=TRUE,Validator!J1378=TRUE,OR(ISBLANK($R134),ISNUMBER(VALUE(SUBSTITUTE(SUBSTITUTE(SUBSTITUTE(SUBSTITUTE($R134," ",""),"c",""),"C",""),"-","")))),OR(SUMPRODUCT(--($U134=Package_type_code))&gt;0,$U134="",$U134="-")),"Valid","Invalid"))</f>
        <v>Skip</v>
      </c>
      <c r="C134" s="70"/>
      <c r="D134" s="410"/>
      <c r="E134" s="411"/>
      <c r="F134" s="218" t="str">
        <f t="shared" si="2"/>
        <v>-</v>
      </c>
      <c r="G134" s="218"/>
      <c r="H134" s="178" t="str">
        <f t="shared" si="3"/>
        <v>-</v>
      </c>
      <c r="I134" s="203"/>
      <c r="J134" s="416"/>
      <c r="K134" s="400"/>
      <c r="L134" s="415"/>
      <c r="M134" s="322"/>
      <c r="N134" s="587"/>
      <c r="O134" s="403" t="s">
        <v>278</v>
      </c>
      <c r="P134" s="404" t="s">
        <v>77</v>
      </c>
      <c r="Q134" s="358"/>
      <c r="R134" s="320"/>
      <c r="S134" s="359"/>
      <c r="T134" s="359"/>
      <c r="U134" s="94" t="str">
        <f>IF(ISERROR(VLOOKUP($T134, 'Reference data'!$J$2:$K$139, 2, FALSE)),"-",VLOOKUP($T134, 'Reference data'!$J$2:$K$139, 2, FALSE))</f>
        <v>-</v>
      </c>
      <c r="V134" s="320"/>
      <c r="W134" s="320"/>
      <c r="X134" s="324"/>
      <c r="Y134" s="325"/>
      <c r="Z134" s="241"/>
      <c r="AA134" s="362"/>
      <c r="AB134" s="86"/>
      <c r="AC134" s="72"/>
      <c r="AD134" s="71"/>
      <c r="AE134" s="239" t="s">
        <v>278</v>
      </c>
      <c r="AF134" s="243" t="s">
        <v>77</v>
      </c>
    </row>
    <row r="135" spans="2:32" ht="12.75" customHeight="1" x14ac:dyDescent="0.2">
      <c r="B135" s="356" t="str" cm="1">
        <f t="array" ref="B135">IF(C135="","Skip",IF(AND(Validator!J129=TRUE,Validator!J379=TRUE,Validator!J629=TRUE,Validator!J879=TRUE,Validator!J1129=TRUE,Validator!J1379=TRUE,OR(ISBLANK($R135),ISNUMBER(VALUE(SUBSTITUTE(SUBSTITUTE(SUBSTITUTE(SUBSTITUTE($R135," ",""),"c",""),"C",""),"-","")))),OR(SUMPRODUCT(--($U135=Package_type_code))&gt;0,$U135="",$U135="-")),"Valid","Invalid"))</f>
        <v>Skip</v>
      </c>
      <c r="C135" s="70"/>
      <c r="D135" s="410"/>
      <c r="E135" s="411"/>
      <c r="F135" s="218" t="str">
        <f t="shared" si="2"/>
        <v>-</v>
      </c>
      <c r="G135" s="218"/>
      <c r="H135" s="178" t="str">
        <f t="shared" si="3"/>
        <v>-</v>
      </c>
      <c r="I135" s="203"/>
      <c r="J135" s="416"/>
      <c r="K135" s="400"/>
      <c r="L135" s="415"/>
      <c r="M135" s="322"/>
      <c r="N135" s="587"/>
      <c r="O135" s="403" t="s">
        <v>278</v>
      </c>
      <c r="P135" s="404" t="s">
        <v>77</v>
      </c>
      <c r="Q135" s="358"/>
      <c r="R135" s="320"/>
      <c r="S135" s="359"/>
      <c r="T135" s="359"/>
      <c r="U135" s="94" t="str">
        <f>IF(ISERROR(VLOOKUP($T135, 'Reference data'!$J$2:$K$139, 2, FALSE)),"-",VLOOKUP($T135, 'Reference data'!$J$2:$K$139, 2, FALSE))</f>
        <v>-</v>
      </c>
      <c r="V135" s="320"/>
      <c r="W135" s="320"/>
      <c r="X135" s="324"/>
      <c r="Y135" s="325"/>
      <c r="Z135" s="241"/>
      <c r="AA135" s="362"/>
      <c r="AB135" s="86"/>
      <c r="AC135" s="72"/>
      <c r="AD135" s="71"/>
      <c r="AE135" s="239" t="s">
        <v>278</v>
      </c>
      <c r="AF135" s="243" t="s">
        <v>77</v>
      </c>
    </row>
    <row r="136" spans="2:32" ht="12.75" customHeight="1" x14ac:dyDescent="0.2">
      <c r="B136" s="356" t="str" cm="1">
        <f t="array" ref="B136">IF(C136="","Skip",IF(AND(Validator!J130=TRUE,Validator!J380=TRUE,Validator!J630=TRUE,Validator!J880=TRUE,Validator!J1130=TRUE,Validator!J1380=TRUE,OR(ISBLANK($R136),ISNUMBER(VALUE(SUBSTITUTE(SUBSTITUTE(SUBSTITUTE(SUBSTITUTE($R136," ",""),"c",""),"C",""),"-","")))),OR(SUMPRODUCT(--($U136=Package_type_code))&gt;0,$U136="",$U136="-")),"Valid","Invalid"))</f>
        <v>Skip</v>
      </c>
      <c r="C136" s="70"/>
      <c r="D136" s="410"/>
      <c r="E136" s="411"/>
      <c r="F136" s="218" t="str">
        <f t="shared" si="2"/>
        <v>-</v>
      </c>
      <c r="G136" s="218"/>
      <c r="H136" s="178" t="str">
        <f t="shared" si="3"/>
        <v>-</v>
      </c>
      <c r="I136" s="203"/>
      <c r="J136" s="416"/>
      <c r="K136" s="400"/>
      <c r="L136" s="415"/>
      <c r="M136" s="322"/>
      <c r="N136" s="587"/>
      <c r="O136" s="403" t="s">
        <v>278</v>
      </c>
      <c r="P136" s="404" t="s">
        <v>77</v>
      </c>
      <c r="Q136" s="358"/>
      <c r="R136" s="320"/>
      <c r="S136" s="359"/>
      <c r="T136" s="359"/>
      <c r="U136" s="94" t="str">
        <f>IF(ISERROR(VLOOKUP($T136, 'Reference data'!$J$2:$K$139, 2, FALSE)),"-",VLOOKUP($T136, 'Reference data'!$J$2:$K$139, 2, FALSE))</f>
        <v>-</v>
      </c>
      <c r="V136" s="320"/>
      <c r="W136" s="320"/>
      <c r="X136" s="324"/>
      <c r="Y136" s="325"/>
      <c r="Z136" s="241"/>
      <c r="AA136" s="362"/>
      <c r="AB136" s="86"/>
      <c r="AC136" s="72"/>
      <c r="AD136" s="71"/>
      <c r="AE136" s="239" t="s">
        <v>278</v>
      </c>
      <c r="AF136" s="243" t="s">
        <v>77</v>
      </c>
    </row>
    <row r="137" spans="2:32" ht="12.75" customHeight="1" x14ac:dyDescent="0.2">
      <c r="B137" s="356" t="str" cm="1">
        <f t="array" ref="B137">IF(C137="","Skip",IF(AND(Validator!J131=TRUE,Validator!J381=TRUE,Validator!J631=TRUE,Validator!J881=TRUE,Validator!J1131=TRUE,Validator!J1381=TRUE,OR(ISBLANK($R137),ISNUMBER(VALUE(SUBSTITUTE(SUBSTITUTE(SUBSTITUTE(SUBSTITUTE($R137," ",""),"c",""),"C",""),"-","")))),OR(SUMPRODUCT(--($U137=Package_type_code))&gt;0,$U137="",$U137="-")),"Valid","Invalid"))</f>
        <v>Skip</v>
      </c>
      <c r="C137" s="70"/>
      <c r="D137" s="410"/>
      <c r="E137" s="411"/>
      <c r="F137" s="218" t="str">
        <f t="shared" si="2"/>
        <v>-</v>
      </c>
      <c r="G137" s="218"/>
      <c r="H137" s="178" t="str">
        <f t="shared" si="3"/>
        <v>-</v>
      </c>
      <c r="I137" s="203"/>
      <c r="J137" s="416"/>
      <c r="K137" s="400"/>
      <c r="L137" s="415"/>
      <c r="M137" s="322"/>
      <c r="N137" s="587"/>
      <c r="O137" s="403" t="s">
        <v>278</v>
      </c>
      <c r="P137" s="404" t="s">
        <v>77</v>
      </c>
      <c r="Q137" s="358"/>
      <c r="R137" s="320"/>
      <c r="S137" s="359"/>
      <c r="T137" s="359"/>
      <c r="U137" s="94" t="str">
        <f>IF(ISERROR(VLOOKUP($T137, 'Reference data'!$J$2:$K$139, 2, FALSE)),"-",VLOOKUP($T137, 'Reference data'!$J$2:$K$139, 2, FALSE))</f>
        <v>-</v>
      </c>
      <c r="V137" s="320"/>
      <c r="W137" s="320"/>
      <c r="X137" s="324"/>
      <c r="Y137" s="325"/>
      <c r="Z137" s="241"/>
      <c r="AA137" s="362"/>
      <c r="AB137" s="86"/>
      <c r="AC137" s="72"/>
      <c r="AD137" s="71"/>
      <c r="AE137" s="239" t="s">
        <v>278</v>
      </c>
      <c r="AF137" s="243" t="s">
        <v>77</v>
      </c>
    </row>
    <row r="138" spans="2:32" ht="12.75" customHeight="1" x14ac:dyDescent="0.2">
      <c r="B138" s="356" t="str" cm="1">
        <f t="array" ref="B138">IF(C138="","Skip",IF(AND(Validator!J132=TRUE,Validator!J382=TRUE,Validator!J632=TRUE,Validator!J882=TRUE,Validator!J1132=TRUE,Validator!J1382=TRUE,OR(ISBLANK($R138),ISNUMBER(VALUE(SUBSTITUTE(SUBSTITUTE(SUBSTITUTE(SUBSTITUTE($R138," ",""),"c",""),"C",""),"-","")))),OR(SUMPRODUCT(--($U138=Package_type_code))&gt;0,$U138="",$U138="-")),"Valid","Invalid"))</f>
        <v>Skip</v>
      </c>
      <c r="C138" s="70"/>
      <c r="D138" s="410"/>
      <c r="E138" s="411"/>
      <c r="F138" s="218" t="str">
        <f t="shared" si="2"/>
        <v>-</v>
      </c>
      <c r="G138" s="218"/>
      <c r="H138" s="178" t="str">
        <f t="shared" si="3"/>
        <v>-</v>
      </c>
      <c r="I138" s="203"/>
      <c r="J138" s="416"/>
      <c r="K138" s="400"/>
      <c r="L138" s="415"/>
      <c r="M138" s="322"/>
      <c r="N138" s="587"/>
      <c r="O138" s="403" t="s">
        <v>278</v>
      </c>
      <c r="P138" s="404" t="s">
        <v>77</v>
      </c>
      <c r="Q138" s="358"/>
      <c r="R138" s="320"/>
      <c r="S138" s="359"/>
      <c r="T138" s="359"/>
      <c r="U138" s="94" t="str">
        <f>IF(ISERROR(VLOOKUP($T138, 'Reference data'!$J$2:$K$139, 2, FALSE)),"-",VLOOKUP($T138, 'Reference data'!$J$2:$K$139, 2, FALSE))</f>
        <v>-</v>
      </c>
      <c r="V138" s="320"/>
      <c r="W138" s="320"/>
      <c r="X138" s="324"/>
      <c r="Y138" s="325"/>
      <c r="Z138" s="241"/>
      <c r="AA138" s="362"/>
      <c r="AB138" s="86"/>
      <c r="AC138" s="72"/>
      <c r="AD138" s="71"/>
      <c r="AE138" s="239" t="s">
        <v>278</v>
      </c>
      <c r="AF138" s="243" t="s">
        <v>77</v>
      </c>
    </row>
    <row r="139" spans="2:32" ht="12.75" customHeight="1" x14ac:dyDescent="0.2">
      <c r="B139" s="356" t="str" cm="1">
        <f t="array" ref="B139">IF(C139="","Skip",IF(AND(Validator!J133=TRUE,Validator!J383=TRUE,Validator!J633=TRUE,Validator!J883=TRUE,Validator!J1133=TRUE,Validator!J1383=TRUE,OR(ISBLANK($R139),ISNUMBER(VALUE(SUBSTITUTE(SUBSTITUTE(SUBSTITUTE(SUBSTITUTE($R139," ",""),"c",""),"C",""),"-","")))),OR(SUMPRODUCT(--($U139=Package_type_code))&gt;0,$U139="",$U139="-")),"Valid","Invalid"))</f>
        <v>Skip</v>
      </c>
      <c r="C139" s="70"/>
      <c r="D139" s="410"/>
      <c r="E139" s="411"/>
      <c r="F139" s="218" t="str">
        <f t="shared" si="2"/>
        <v>-</v>
      </c>
      <c r="G139" s="218"/>
      <c r="H139" s="178" t="str">
        <f t="shared" si="3"/>
        <v>-</v>
      </c>
      <c r="I139" s="203"/>
      <c r="J139" s="416"/>
      <c r="K139" s="400"/>
      <c r="L139" s="415"/>
      <c r="M139" s="322"/>
      <c r="N139" s="587"/>
      <c r="O139" s="403" t="s">
        <v>278</v>
      </c>
      <c r="P139" s="404" t="s">
        <v>77</v>
      </c>
      <c r="Q139" s="358"/>
      <c r="R139" s="320"/>
      <c r="S139" s="359"/>
      <c r="T139" s="359"/>
      <c r="U139" s="94" t="str">
        <f>IF(ISERROR(VLOOKUP($T139, 'Reference data'!$J$2:$K$139, 2, FALSE)),"-",VLOOKUP($T139, 'Reference data'!$J$2:$K$139, 2, FALSE))</f>
        <v>-</v>
      </c>
      <c r="V139" s="320"/>
      <c r="W139" s="320"/>
      <c r="X139" s="324"/>
      <c r="Y139" s="325"/>
      <c r="Z139" s="241"/>
      <c r="AA139" s="362"/>
      <c r="AB139" s="86"/>
      <c r="AC139" s="72"/>
      <c r="AD139" s="71"/>
      <c r="AE139" s="239" t="s">
        <v>278</v>
      </c>
      <c r="AF139" s="243" t="s">
        <v>77</v>
      </c>
    </row>
    <row r="140" spans="2:32" ht="12.75" customHeight="1" x14ac:dyDescent="0.2">
      <c r="B140" s="356" t="str" cm="1">
        <f t="array" ref="B140">IF(C140="","Skip",IF(AND(Validator!J134=TRUE,Validator!J384=TRUE,Validator!J634=TRUE,Validator!J884=TRUE,Validator!J1134=TRUE,Validator!J1384=TRUE,OR(ISBLANK($R140),ISNUMBER(VALUE(SUBSTITUTE(SUBSTITUTE(SUBSTITUTE(SUBSTITUTE($R140," ",""),"c",""),"C",""),"-","")))),OR(SUMPRODUCT(--($U140=Package_type_code))&gt;0,$U140="",$U140="-")),"Valid","Invalid"))</f>
        <v>Skip</v>
      </c>
      <c r="C140" s="70"/>
      <c r="D140" s="410"/>
      <c r="E140" s="411"/>
      <c r="F140" s="218" t="str">
        <f t="shared" si="2"/>
        <v>-</v>
      </c>
      <c r="G140" s="218"/>
      <c r="H140" s="178" t="str">
        <f t="shared" si="3"/>
        <v>-</v>
      </c>
      <c r="I140" s="203"/>
      <c r="J140" s="416"/>
      <c r="K140" s="400"/>
      <c r="L140" s="415"/>
      <c r="M140" s="322"/>
      <c r="N140" s="587"/>
      <c r="O140" s="403" t="s">
        <v>278</v>
      </c>
      <c r="P140" s="404" t="s">
        <v>77</v>
      </c>
      <c r="Q140" s="358"/>
      <c r="R140" s="320"/>
      <c r="S140" s="359"/>
      <c r="T140" s="359"/>
      <c r="U140" s="94" t="str">
        <f>IF(ISERROR(VLOOKUP($T140, 'Reference data'!$J$2:$K$139, 2, FALSE)),"-",VLOOKUP($T140, 'Reference data'!$J$2:$K$139, 2, FALSE))</f>
        <v>-</v>
      </c>
      <c r="V140" s="320"/>
      <c r="W140" s="320"/>
      <c r="X140" s="324"/>
      <c r="Y140" s="325"/>
      <c r="Z140" s="241"/>
      <c r="AA140" s="362"/>
      <c r="AB140" s="86"/>
      <c r="AC140" s="72"/>
      <c r="AD140" s="71"/>
      <c r="AE140" s="239" t="s">
        <v>278</v>
      </c>
      <c r="AF140" s="243" t="s">
        <v>77</v>
      </c>
    </row>
    <row r="141" spans="2:32" ht="12.75" customHeight="1" x14ac:dyDescent="0.2">
      <c r="B141" s="356" t="str" cm="1">
        <f t="array" ref="B141">IF(C141="","Skip",IF(AND(Validator!J135=TRUE,Validator!J385=TRUE,Validator!J635=TRUE,Validator!J885=TRUE,Validator!J1135=TRUE,Validator!J1385=TRUE,OR(ISBLANK($R141),ISNUMBER(VALUE(SUBSTITUTE(SUBSTITUTE(SUBSTITUTE(SUBSTITUTE($R141," ",""),"c",""),"C",""),"-","")))),OR(SUMPRODUCT(--($U141=Package_type_code))&gt;0,$U141="",$U141="-")),"Valid","Invalid"))</f>
        <v>Skip</v>
      </c>
      <c r="C141" s="70"/>
      <c r="D141" s="410"/>
      <c r="E141" s="411"/>
      <c r="F141" s="218" t="str">
        <f t="shared" si="2"/>
        <v>-</v>
      </c>
      <c r="G141" s="218"/>
      <c r="H141" s="178" t="str">
        <f t="shared" si="3"/>
        <v>-</v>
      </c>
      <c r="I141" s="203"/>
      <c r="J141" s="416"/>
      <c r="K141" s="400"/>
      <c r="L141" s="415"/>
      <c r="M141" s="322"/>
      <c r="N141" s="587"/>
      <c r="O141" s="403" t="s">
        <v>278</v>
      </c>
      <c r="P141" s="404" t="s">
        <v>77</v>
      </c>
      <c r="Q141" s="358"/>
      <c r="R141" s="320"/>
      <c r="S141" s="359"/>
      <c r="T141" s="359"/>
      <c r="U141" s="94" t="str">
        <f>IF(ISERROR(VLOOKUP($T141, 'Reference data'!$J$2:$K$139, 2, FALSE)),"-",VLOOKUP($T141, 'Reference data'!$J$2:$K$139, 2, FALSE))</f>
        <v>-</v>
      </c>
      <c r="V141" s="320"/>
      <c r="W141" s="320"/>
      <c r="X141" s="324"/>
      <c r="Y141" s="325"/>
      <c r="Z141" s="241"/>
      <c r="AA141" s="362"/>
      <c r="AB141" s="86"/>
      <c r="AC141" s="72"/>
      <c r="AD141" s="71"/>
      <c r="AE141" s="239" t="s">
        <v>278</v>
      </c>
      <c r="AF141" s="243" t="s">
        <v>77</v>
      </c>
    </row>
    <row r="142" spans="2:32" ht="12.75" customHeight="1" x14ac:dyDescent="0.2">
      <c r="B142" s="356" t="str" cm="1">
        <f t="array" ref="B142">IF(C142="","Skip",IF(AND(Validator!J136=TRUE,Validator!J386=TRUE,Validator!J636=TRUE,Validator!J886=TRUE,Validator!J1136=TRUE,Validator!J1386=TRUE,OR(ISBLANK($R142),ISNUMBER(VALUE(SUBSTITUTE(SUBSTITUTE(SUBSTITUTE(SUBSTITUTE($R142," ",""),"c",""),"C",""),"-","")))),OR(SUMPRODUCT(--($U142=Package_type_code))&gt;0,$U142="",$U142="-")),"Valid","Invalid"))</f>
        <v>Skip</v>
      </c>
      <c r="C142" s="70"/>
      <c r="D142" s="410"/>
      <c r="E142" s="411"/>
      <c r="F142" s="218" t="str">
        <f t="shared" ref="F142:F205" si="4">IF(ISERROR(VLOOKUP($E142,REF_LOCODE_PORTNAME_COUNTRY, 2,FALSE)),"-",VLOOKUP($E142,REF_LOCODE_PORTNAME_COUNTRY, 2,FALSE))</f>
        <v>-</v>
      </c>
      <c r="G142" s="218"/>
      <c r="H142" s="178" t="str">
        <f t="shared" ref="H142:H205" si="5">IF(ISERROR(VLOOKUP($G142,REF_LOCODE_PORTNAME_COUNTRY, 2,FALSE)),"-",VLOOKUP($G142,REF_LOCODE_PORTNAME_COUNTRY, 2,FALSE))</f>
        <v>-</v>
      </c>
      <c r="I142" s="203"/>
      <c r="J142" s="416"/>
      <c r="K142" s="400"/>
      <c r="L142" s="415"/>
      <c r="M142" s="322"/>
      <c r="N142" s="587"/>
      <c r="O142" s="403" t="s">
        <v>278</v>
      </c>
      <c r="P142" s="404" t="s">
        <v>77</v>
      </c>
      <c r="Q142" s="358"/>
      <c r="R142" s="320"/>
      <c r="S142" s="359"/>
      <c r="T142" s="359"/>
      <c r="U142" s="94" t="str">
        <f>IF(ISERROR(VLOOKUP($T142, 'Reference data'!$J$2:$K$139, 2, FALSE)),"-",VLOOKUP($T142, 'Reference data'!$J$2:$K$139, 2, FALSE))</f>
        <v>-</v>
      </c>
      <c r="V142" s="320"/>
      <c r="W142" s="320"/>
      <c r="X142" s="324"/>
      <c r="Y142" s="325"/>
      <c r="Z142" s="241"/>
      <c r="AA142" s="362"/>
      <c r="AB142" s="86"/>
      <c r="AC142" s="72"/>
      <c r="AD142" s="71"/>
      <c r="AE142" s="239" t="s">
        <v>278</v>
      </c>
      <c r="AF142" s="243" t="s">
        <v>77</v>
      </c>
    </row>
    <row r="143" spans="2:32" ht="12.75" customHeight="1" x14ac:dyDescent="0.2">
      <c r="B143" s="356" t="str" cm="1">
        <f t="array" ref="B143">IF(C143="","Skip",IF(AND(Validator!J137=TRUE,Validator!J387=TRUE,Validator!J637=TRUE,Validator!J887=TRUE,Validator!J1137=TRUE,Validator!J1387=TRUE,OR(ISBLANK($R143),ISNUMBER(VALUE(SUBSTITUTE(SUBSTITUTE(SUBSTITUTE(SUBSTITUTE($R143," ",""),"c",""),"C",""),"-","")))),OR(SUMPRODUCT(--($U143=Package_type_code))&gt;0,$U143="",$U143="-")),"Valid","Invalid"))</f>
        <v>Skip</v>
      </c>
      <c r="C143" s="70"/>
      <c r="D143" s="410"/>
      <c r="E143" s="411"/>
      <c r="F143" s="218" t="str">
        <f t="shared" si="4"/>
        <v>-</v>
      </c>
      <c r="G143" s="218"/>
      <c r="H143" s="178" t="str">
        <f t="shared" si="5"/>
        <v>-</v>
      </c>
      <c r="I143" s="203"/>
      <c r="J143" s="416"/>
      <c r="K143" s="400"/>
      <c r="L143" s="415"/>
      <c r="M143" s="322"/>
      <c r="N143" s="587"/>
      <c r="O143" s="403" t="s">
        <v>278</v>
      </c>
      <c r="P143" s="404" t="s">
        <v>77</v>
      </c>
      <c r="Q143" s="358"/>
      <c r="R143" s="320"/>
      <c r="S143" s="359"/>
      <c r="T143" s="359"/>
      <c r="U143" s="94" t="str">
        <f>IF(ISERROR(VLOOKUP($T143, 'Reference data'!$J$2:$K$139, 2, FALSE)),"-",VLOOKUP($T143, 'Reference data'!$J$2:$K$139, 2, FALSE))</f>
        <v>-</v>
      </c>
      <c r="V143" s="320"/>
      <c r="W143" s="320"/>
      <c r="X143" s="324"/>
      <c r="Y143" s="325"/>
      <c r="Z143" s="241"/>
      <c r="AA143" s="362"/>
      <c r="AB143" s="86"/>
      <c r="AC143" s="72"/>
      <c r="AD143" s="71"/>
      <c r="AE143" s="239" t="s">
        <v>278</v>
      </c>
      <c r="AF143" s="243" t="s">
        <v>77</v>
      </c>
    </row>
    <row r="144" spans="2:32" ht="12.75" customHeight="1" x14ac:dyDescent="0.2">
      <c r="B144" s="356" t="str" cm="1">
        <f t="array" ref="B144">IF(C144="","Skip",IF(AND(Validator!J138=TRUE,Validator!J388=TRUE,Validator!J638=TRUE,Validator!J888=TRUE,Validator!J1138=TRUE,Validator!J1388=TRUE,OR(ISBLANK($R144),ISNUMBER(VALUE(SUBSTITUTE(SUBSTITUTE(SUBSTITUTE(SUBSTITUTE($R144," ",""),"c",""),"C",""),"-","")))),OR(SUMPRODUCT(--($U144=Package_type_code))&gt;0,$U144="",$U144="-")),"Valid","Invalid"))</f>
        <v>Skip</v>
      </c>
      <c r="C144" s="70"/>
      <c r="D144" s="410"/>
      <c r="E144" s="411"/>
      <c r="F144" s="218" t="str">
        <f t="shared" si="4"/>
        <v>-</v>
      </c>
      <c r="G144" s="218"/>
      <c r="H144" s="178" t="str">
        <f t="shared" si="5"/>
        <v>-</v>
      </c>
      <c r="I144" s="203"/>
      <c r="J144" s="416"/>
      <c r="K144" s="400"/>
      <c r="L144" s="415"/>
      <c r="M144" s="322"/>
      <c r="N144" s="587"/>
      <c r="O144" s="403" t="s">
        <v>278</v>
      </c>
      <c r="P144" s="404" t="s">
        <v>77</v>
      </c>
      <c r="Q144" s="358"/>
      <c r="R144" s="320"/>
      <c r="S144" s="359"/>
      <c r="T144" s="359"/>
      <c r="U144" s="94" t="str">
        <f>IF(ISERROR(VLOOKUP($T144, 'Reference data'!$J$2:$K$139, 2, FALSE)),"-",VLOOKUP($T144, 'Reference data'!$J$2:$K$139, 2, FALSE))</f>
        <v>-</v>
      </c>
      <c r="V144" s="320"/>
      <c r="W144" s="320"/>
      <c r="X144" s="324"/>
      <c r="Y144" s="325"/>
      <c r="Z144" s="241"/>
      <c r="AA144" s="362"/>
      <c r="AB144" s="86"/>
      <c r="AC144" s="72"/>
      <c r="AD144" s="71"/>
      <c r="AE144" s="239" t="s">
        <v>278</v>
      </c>
      <c r="AF144" s="243" t="s">
        <v>77</v>
      </c>
    </row>
    <row r="145" spans="2:32" ht="12.75" customHeight="1" x14ac:dyDescent="0.2">
      <c r="B145" s="356" t="str" cm="1">
        <f t="array" ref="B145">IF(C145="","Skip",IF(AND(Validator!J139=TRUE,Validator!J389=TRUE,Validator!J639=TRUE,Validator!J889=TRUE,Validator!J1139=TRUE,Validator!J1389=TRUE,OR(ISBLANK($R145),ISNUMBER(VALUE(SUBSTITUTE(SUBSTITUTE(SUBSTITUTE(SUBSTITUTE($R145," ",""),"c",""),"C",""),"-","")))),OR(SUMPRODUCT(--($U145=Package_type_code))&gt;0,$U145="",$U145="-")),"Valid","Invalid"))</f>
        <v>Skip</v>
      </c>
      <c r="C145" s="70"/>
      <c r="D145" s="410"/>
      <c r="E145" s="411"/>
      <c r="F145" s="218" t="str">
        <f t="shared" si="4"/>
        <v>-</v>
      </c>
      <c r="G145" s="218"/>
      <c r="H145" s="178" t="str">
        <f t="shared" si="5"/>
        <v>-</v>
      </c>
      <c r="I145" s="203"/>
      <c r="J145" s="416"/>
      <c r="K145" s="400"/>
      <c r="L145" s="415"/>
      <c r="M145" s="322"/>
      <c r="N145" s="587"/>
      <c r="O145" s="403" t="s">
        <v>278</v>
      </c>
      <c r="P145" s="404" t="s">
        <v>77</v>
      </c>
      <c r="Q145" s="358"/>
      <c r="R145" s="320"/>
      <c r="S145" s="359"/>
      <c r="T145" s="359"/>
      <c r="U145" s="94" t="str">
        <f>IF(ISERROR(VLOOKUP($T145, 'Reference data'!$J$2:$K$139, 2, FALSE)),"-",VLOOKUP($T145, 'Reference data'!$J$2:$K$139, 2, FALSE))</f>
        <v>-</v>
      </c>
      <c r="V145" s="320"/>
      <c r="W145" s="320"/>
      <c r="X145" s="324"/>
      <c r="Y145" s="325"/>
      <c r="Z145" s="241"/>
      <c r="AA145" s="362"/>
      <c r="AB145" s="86"/>
      <c r="AC145" s="72"/>
      <c r="AD145" s="71"/>
      <c r="AE145" s="239" t="s">
        <v>278</v>
      </c>
      <c r="AF145" s="243" t="s">
        <v>77</v>
      </c>
    </row>
    <row r="146" spans="2:32" ht="12.75" customHeight="1" x14ac:dyDescent="0.2">
      <c r="B146" s="356" t="str" cm="1">
        <f t="array" ref="B146">IF(C146="","Skip",IF(AND(Validator!J140=TRUE,Validator!J390=TRUE,Validator!J640=TRUE,Validator!J890=TRUE,Validator!J1140=TRUE,Validator!J1390=TRUE,OR(ISBLANK($R146),ISNUMBER(VALUE(SUBSTITUTE(SUBSTITUTE(SUBSTITUTE(SUBSTITUTE($R146," ",""),"c",""),"C",""),"-","")))),OR(SUMPRODUCT(--($U146=Package_type_code))&gt;0,$U146="",$U146="-")),"Valid","Invalid"))</f>
        <v>Skip</v>
      </c>
      <c r="C146" s="70"/>
      <c r="D146" s="410"/>
      <c r="E146" s="411"/>
      <c r="F146" s="218" t="str">
        <f t="shared" si="4"/>
        <v>-</v>
      </c>
      <c r="G146" s="218"/>
      <c r="H146" s="178" t="str">
        <f t="shared" si="5"/>
        <v>-</v>
      </c>
      <c r="I146" s="203"/>
      <c r="J146" s="416"/>
      <c r="K146" s="400"/>
      <c r="L146" s="415"/>
      <c r="M146" s="322"/>
      <c r="N146" s="587"/>
      <c r="O146" s="403" t="s">
        <v>278</v>
      </c>
      <c r="P146" s="404" t="s">
        <v>77</v>
      </c>
      <c r="Q146" s="358"/>
      <c r="R146" s="320"/>
      <c r="S146" s="359"/>
      <c r="T146" s="359"/>
      <c r="U146" s="94" t="str">
        <f>IF(ISERROR(VLOOKUP($T146, 'Reference data'!$J$2:$K$139, 2, FALSE)),"-",VLOOKUP($T146, 'Reference data'!$J$2:$K$139, 2, FALSE))</f>
        <v>-</v>
      </c>
      <c r="V146" s="320"/>
      <c r="W146" s="320"/>
      <c r="X146" s="324"/>
      <c r="Y146" s="325"/>
      <c r="Z146" s="241"/>
      <c r="AA146" s="362"/>
      <c r="AB146" s="86"/>
      <c r="AC146" s="72"/>
      <c r="AD146" s="71"/>
      <c r="AE146" s="239" t="s">
        <v>278</v>
      </c>
      <c r="AF146" s="243" t="s">
        <v>77</v>
      </c>
    </row>
    <row r="147" spans="2:32" ht="12.75" customHeight="1" x14ac:dyDescent="0.2">
      <c r="B147" s="356" t="str" cm="1">
        <f t="array" ref="B147">IF(C147="","Skip",IF(AND(Validator!J141=TRUE,Validator!J391=TRUE,Validator!J641=TRUE,Validator!J891=TRUE,Validator!J1141=TRUE,Validator!J1391=TRUE,OR(ISBLANK($R147),ISNUMBER(VALUE(SUBSTITUTE(SUBSTITUTE(SUBSTITUTE(SUBSTITUTE($R147," ",""),"c",""),"C",""),"-","")))),OR(SUMPRODUCT(--($U147=Package_type_code))&gt;0,$U147="",$U147="-")),"Valid","Invalid"))</f>
        <v>Skip</v>
      </c>
      <c r="C147" s="70"/>
      <c r="D147" s="410"/>
      <c r="E147" s="411"/>
      <c r="F147" s="218" t="str">
        <f t="shared" si="4"/>
        <v>-</v>
      </c>
      <c r="G147" s="218"/>
      <c r="H147" s="178" t="str">
        <f t="shared" si="5"/>
        <v>-</v>
      </c>
      <c r="I147" s="203"/>
      <c r="J147" s="416"/>
      <c r="K147" s="400"/>
      <c r="L147" s="415"/>
      <c r="M147" s="322"/>
      <c r="N147" s="587"/>
      <c r="O147" s="403" t="s">
        <v>278</v>
      </c>
      <c r="P147" s="404" t="s">
        <v>77</v>
      </c>
      <c r="Q147" s="358"/>
      <c r="R147" s="320"/>
      <c r="S147" s="359"/>
      <c r="T147" s="359"/>
      <c r="U147" s="94" t="str">
        <f>IF(ISERROR(VLOOKUP($T147, 'Reference data'!$J$2:$K$139, 2, FALSE)),"-",VLOOKUP($T147, 'Reference data'!$J$2:$K$139, 2, FALSE))</f>
        <v>-</v>
      </c>
      <c r="V147" s="320"/>
      <c r="W147" s="320"/>
      <c r="X147" s="324"/>
      <c r="Y147" s="325"/>
      <c r="Z147" s="241"/>
      <c r="AA147" s="362"/>
      <c r="AB147" s="86"/>
      <c r="AC147" s="72"/>
      <c r="AD147" s="71"/>
      <c r="AE147" s="239" t="s">
        <v>278</v>
      </c>
      <c r="AF147" s="243" t="s">
        <v>77</v>
      </c>
    </row>
    <row r="148" spans="2:32" ht="12.75" customHeight="1" x14ac:dyDescent="0.2">
      <c r="B148" s="356" t="str" cm="1">
        <f t="array" ref="B148">IF(C148="","Skip",IF(AND(Validator!J142=TRUE,Validator!J392=TRUE,Validator!J642=TRUE,Validator!J892=TRUE,Validator!J1142=TRUE,Validator!J1392=TRUE,OR(ISBLANK($R148),ISNUMBER(VALUE(SUBSTITUTE(SUBSTITUTE(SUBSTITUTE(SUBSTITUTE($R148," ",""),"c",""),"C",""),"-","")))),OR(SUMPRODUCT(--($U148=Package_type_code))&gt;0,$U148="",$U148="-")),"Valid","Invalid"))</f>
        <v>Skip</v>
      </c>
      <c r="C148" s="70"/>
      <c r="D148" s="410"/>
      <c r="E148" s="411"/>
      <c r="F148" s="218" t="str">
        <f t="shared" si="4"/>
        <v>-</v>
      </c>
      <c r="G148" s="218"/>
      <c r="H148" s="178" t="str">
        <f t="shared" si="5"/>
        <v>-</v>
      </c>
      <c r="I148" s="203"/>
      <c r="J148" s="416"/>
      <c r="K148" s="400"/>
      <c r="L148" s="415"/>
      <c r="M148" s="322"/>
      <c r="N148" s="587"/>
      <c r="O148" s="403" t="s">
        <v>278</v>
      </c>
      <c r="P148" s="404" t="s">
        <v>77</v>
      </c>
      <c r="Q148" s="358"/>
      <c r="R148" s="320"/>
      <c r="S148" s="359"/>
      <c r="T148" s="359"/>
      <c r="U148" s="94" t="str">
        <f>IF(ISERROR(VLOOKUP($T148, 'Reference data'!$J$2:$K$139, 2, FALSE)),"-",VLOOKUP($T148, 'Reference data'!$J$2:$K$139, 2, FALSE))</f>
        <v>-</v>
      </c>
      <c r="V148" s="320"/>
      <c r="W148" s="320"/>
      <c r="X148" s="324"/>
      <c r="Y148" s="325"/>
      <c r="Z148" s="241"/>
      <c r="AA148" s="362"/>
      <c r="AB148" s="86"/>
      <c r="AC148" s="72"/>
      <c r="AD148" s="71"/>
      <c r="AE148" s="239" t="s">
        <v>278</v>
      </c>
      <c r="AF148" s="243" t="s">
        <v>77</v>
      </c>
    </row>
    <row r="149" spans="2:32" ht="12.75" customHeight="1" x14ac:dyDescent="0.2">
      <c r="B149" s="356" t="str" cm="1">
        <f t="array" ref="B149">IF(C149="","Skip",IF(AND(Validator!J143=TRUE,Validator!J393=TRUE,Validator!J643=TRUE,Validator!J893=TRUE,Validator!J1143=TRUE,Validator!J1393=TRUE,OR(ISBLANK($R149),ISNUMBER(VALUE(SUBSTITUTE(SUBSTITUTE(SUBSTITUTE(SUBSTITUTE($R149," ",""),"c",""),"C",""),"-","")))),OR(SUMPRODUCT(--($U149=Package_type_code))&gt;0,$U149="",$U149="-")),"Valid","Invalid"))</f>
        <v>Skip</v>
      </c>
      <c r="C149" s="70"/>
      <c r="D149" s="410"/>
      <c r="E149" s="411"/>
      <c r="F149" s="218" t="str">
        <f t="shared" si="4"/>
        <v>-</v>
      </c>
      <c r="G149" s="218"/>
      <c r="H149" s="178" t="str">
        <f t="shared" si="5"/>
        <v>-</v>
      </c>
      <c r="I149" s="203"/>
      <c r="J149" s="416"/>
      <c r="K149" s="400"/>
      <c r="L149" s="415"/>
      <c r="M149" s="322"/>
      <c r="N149" s="587"/>
      <c r="O149" s="403" t="s">
        <v>278</v>
      </c>
      <c r="P149" s="404" t="s">
        <v>77</v>
      </c>
      <c r="Q149" s="358"/>
      <c r="R149" s="320"/>
      <c r="S149" s="359"/>
      <c r="T149" s="359"/>
      <c r="U149" s="94" t="str">
        <f>IF(ISERROR(VLOOKUP($T149, 'Reference data'!$J$2:$K$139, 2, FALSE)),"-",VLOOKUP($T149, 'Reference data'!$J$2:$K$139, 2, FALSE))</f>
        <v>-</v>
      </c>
      <c r="V149" s="320"/>
      <c r="W149" s="320"/>
      <c r="X149" s="324"/>
      <c r="Y149" s="325"/>
      <c r="Z149" s="241"/>
      <c r="AA149" s="362"/>
      <c r="AB149" s="86"/>
      <c r="AC149" s="72"/>
      <c r="AD149" s="71"/>
      <c r="AE149" s="239" t="s">
        <v>278</v>
      </c>
      <c r="AF149" s="243" t="s">
        <v>77</v>
      </c>
    </row>
    <row r="150" spans="2:32" ht="12.75" customHeight="1" x14ac:dyDescent="0.2">
      <c r="B150" s="356" t="str" cm="1">
        <f t="array" ref="B150">IF(C150="","Skip",IF(AND(Validator!J144=TRUE,Validator!J394=TRUE,Validator!J644=TRUE,Validator!J894=TRUE,Validator!J1144=TRUE,Validator!J1394=TRUE,OR(ISBLANK($R150),ISNUMBER(VALUE(SUBSTITUTE(SUBSTITUTE(SUBSTITUTE(SUBSTITUTE($R150," ",""),"c",""),"C",""),"-","")))),OR(SUMPRODUCT(--($U150=Package_type_code))&gt;0,$U150="",$U150="-")),"Valid","Invalid"))</f>
        <v>Skip</v>
      </c>
      <c r="C150" s="70"/>
      <c r="D150" s="410"/>
      <c r="E150" s="411"/>
      <c r="F150" s="218" t="str">
        <f t="shared" si="4"/>
        <v>-</v>
      </c>
      <c r="G150" s="218"/>
      <c r="H150" s="178" t="str">
        <f t="shared" si="5"/>
        <v>-</v>
      </c>
      <c r="I150" s="203"/>
      <c r="J150" s="416"/>
      <c r="K150" s="400"/>
      <c r="L150" s="415"/>
      <c r="M150" s="322"/>
      <c r="N150" s="587"/>
      <c r="O150" s="403" t="s">
        <v>278</v>
      </c>
      <c r="P150" s="404" t="s">
        <v>77</v>
      </c>
      <c r="Q150" s="358"/>
      <c r="R150" s="320"/>
      <c r="S150" s="359"/>
      <c r="T150" s="359"/>
      <c r="U150" s="94" t="str">
        <f>IF(ISERROR(VLOOKUP($T150, 'Reference data'!$J$2:$K$139, 2, FALSE)),"-",VLOOKUP($T150, 'Reference data'!$J$2:$K$139, 2, FALSE))</f>
        <v>-</v>
      </c>
      <c r="V150" s="320"/>
      <c r="W150" s="320"/>
      <c r="X150" s="324"/>
      <c r="Y150" s="325"/>
      <c r="Z150" s="241"/>
      <c r="AA150" s="362"/>
      <c r="AB150" s="86"/>
      <c r="AC150" s="72"/>
      <c r="AD150" s="71"/>
      <c r="AE150" s="239" t="s">
        <v>278</v>
      </c>
      <c r="AF150" s="243" t="s">
        <v>77</v>
      </c>
    </row>
    <row r="151" spans="2:32" ht="12.75" customHeight="1" x14ac:dyDescent="0.2">
      <c r="B151" s="356" t="str" cm="1">
        <f t="array" ref="B151">IF(C151="","Skip",IF(AND(Validator!J145=TRUE,Validator!J395=TRUE,Validator!J645=TRUE,Validator!J895=TRUE,Validator!J1145=TRUE,Validator!J1395=TRUE,OR(ISBLANK($R151),ISNUMBER(VALUE(SUBSTITUTE(SUBSTITUTE(SUBSTITUTE(SUBSTITUTE($R151," ",""),"c",""),"C",""),"-","")))),OR(SUMPRODUCT(--($U151=Package_type_code))&gt;0,$U151="",$U151="-")),"Valid","Invalid"))</f>
        <v>Skip</v>
      </c>
      <c r="C151" s="70"/>
      <c r="D151" s="410"/>
      <c r="E151" s="411"/>
      <c r="F151" s="218" t="str">
        <f t="shared" si="4"/>
        <v>-</v>
      </c>
      <c r="G151" s="218"/>
      <c r="H151" s="178" t="str">
        <f t="shared" si="5"/>
        <v>-</v>
      </c>
      <c r="I151" s="203"/>
      <c r="J151" s="416"/>
      <c r="K151" s="400"/>
      <c r="L151" s="415"/>
      <c r="M151" s="322"/>
      <c r="N151" s="587"/>
      <c r="O151" s="403" t="s">
        <v>278</v>
      </c>
      <c r="P151" s="404" t="s">
        <v>77</v>
      </c>
      <c r="Q151" s="358"/>
      <c r="R151" s="320"/>
      <c r="S151" s="359"/>
      <c r="T151" s="359"/>
      <c r="U151" s="94" t="str">
        <f>IF(ISERROR(VLOOKUP($T151, 'Reference data'!$J$2:$K$139, 2, FALSE)),"-",VLOOKUP($T151, 'Reference data'!$J$2:$K$139, 2, FALSE))</f>
        <v>-</v>
      </c>
      <c r="V151" s="320"/>
      <c r="W151" s="320"/>
      <c r="X151" s="324"/>
      <c r="Y151" s="325"/>
      <c r="Z151" s="241"/>
      <c r="AA151" s="362"/>
      <c r="AB151" s="86"/>
      <c r="AC151" s="72"/>
      <c r="AD151" s="71"/>
      <c r="AE151" s="239" t="s">
        <v>278</v>
      </c>
      <c r="AF151" s="243" t="s">
        <v>77</v>
      </c>
    </row>
    <row r="152" spans="2:32" ht="12.75" customHeight="1" x14ac:dyDescent="0.2">
      <c r="B152" s="356" t="str" cm="1">
        <f t="array" ref="B152">IF(C152="","Skip",IF(AND(Validator!J146=TRUE,Validator!J396=TRUE,Validator!J646=TRUE,Validator!J896=TRUE,Validator!J1146=TRUE,Validator!J1396=TRUE,OR(ISBLANK($R152),ISNUMBER(VALUE(SUBSTITUTE(SUBSTITUTE(SUBSTITUTE(SUBSTITUTE($R152," ",""),"c",""),"C",""),"-","")))),OR(SUMPRODUCT(--($U152=Package_type_code))&gt;0,$U152="",$U152="-")),"Valid","Invalid"))</f>
        <v>Skip</v>
      </c>
      <c r="C152" s="70"/>
      <c r="D152" s="410"/>
      <c r="E152" s="411"/>
      <c r="F152" s="218" t="str">
        <f t="shared" si="4"/>
        <v>-</v>
      </c>
      <c r="G152" s="218"/>
      <c r="H152" s="178" t="str">
        <f t="shared" si="5"/>
        <v>-</v>
      </c>
      <c r="I152" s="203"/>
      <c r="J152" s="416"/>
      <c r="K152" s="400"/>
      <c r="L152" s="415"/>
      <c r="M152" s="322"/>
      <c r="N152" s="587"/>
      <c r="O152" s="403" t="s">
        <v>278</v>
      </c>
      <c r="P152" s="404" t="s">
        <v>77</v>
      </c>
      <c r="Q152" s="358"/>
      <c r="R152" s="320"/>
      <c r="S152" s="359"/>
      <c r="T152" s="359"/>
      <c r="U152" s="94" t="str">
        <f>IF(ISERROR(VLOOKUP($T152, 'Reference data'!$J$2:$K$139, 2, FALSE)),"-",VLOOKUP($T152, 'Reference data'!$J$2:$K$139, 2, FALSE))</f>
        <v>-</v>
      </c>
      <c r="V152" s="320"/>
      <c r="W152" s="320"/>
      <c r="X152" s="324"/>
      <c r="Y152" s="325"/>
      <c r="Z152" s="241"/>
      <c r="AA152" s="362"/>
      <c r="AB152" s="86"/>
      <c r="AC152" s="72"/>
      <c r="AD152" s="71"/>
      <c r="AE152" s="239" t="s">
        <v>278</v>
      </c>
      <c r="AF152" s="243" t="s">
        <v>77</v>
      </c>
    </row>
    <row r="153" spans="2:32" ht="12.75" customHeight="1" x14ac:dyDescent="0.2">
      <c r="B153" s="356" t="str" cm="1">
        <f t="array" ref="B153">IF(C153="","Skip",IF(AND(Validator!J147=TRUE,Validator!J397=TRUE,Validator!J647=TRUE,Validator!J897=TRUE,Validator!J1147=TRUE,Validator!J1397=TRUE,OR(ISBLANK($R153),ISNUMBER(VALUE(SUBSTITUTE(SUBSTITUTE(SUBSTITUTE(SUBSTITUTE($R153," ",""),"c",""),"C",""),"-","")))),OR(SUMPRODUCT(--($U153=Package_type_code))&gt;0,$U153="",$U153="-")),"Valid","Invalid"))</f>
        <v>Skip</v>
      </c>
      <c r="C153" s="70"/>
      <c r="D153" s="410"/>
      <c r="E153" s="411"/>
      <c r="F153" s="218" t="str">
        <f t="shared" si="4"/>
        <v>-</v>
      </c>
      <c r="G153" s="218"/>
      <c r="H153" s="178" t="str">
        <f t="shared" si="5"/>
        <v>-</v>
      </c>
      <c r="I153" s="203"/>
      <c r="J153" s="416"/>
      <c r="K153" s="400"/>
      <c r="L153" s="415"/>
      <c r="M153" s="322"/>
      <c r="N153" s="587"/>
      <c r="O153" s="403" t="s">
        <v>278</v>
      </c>
      <c r="P153" s="404" t="s">
        <v>77</v>
      </c>
      <c r="Q153" s="358"/>
      <c r="R153" s="320"/>
      <c r="S153" s="359"/>
      <c r="T153" s="359"/>
      <c r="U153" s="94" t="str">
        <f>IF(ISERROR(VLOOKUP($T153, 'Reference data'!$J$2:$K$139, 2, FALSE)),"-",VLOOKUP($T153, 'Reference data'!$J$2:$K$139, 2, FALSE))</f>
        <v>-</v>
      </c>
      <c r="V153" s="320"/>
      <c r="W153" s="320"/>
      <c r="X153" s="324"/>
      <c r="Y153" s="325"/>
      <c r="Z153" s="241"/>
      <c r="AA153" s="362"/>
      <c r="AB153" s="86"/>
      <c r="AC153" s="72"/>
      <c r="AD153" s="71"/>
      <c r="AE153" s="239" t="s">
        <v>278</v>
      </c>
      <c r="AF153" s="243" t="s">
        <v>77</v>
      </c>
    </row>
    <row r="154" spans="2:32" ht="12.75" customHeight="1" x14ac:dyDescent="0.2">
      <c r="B154" s="356" t="str" cm="1">
        <f t="array" ref="B154">IF(C154="","Skip",IF(AND(Validator!J148=TRUE,Validator!J398=TRUE,Validator!J648=TRUE,Validator!J898=TRUE,Validator!J1148=TRUE,Validator!J1398=TRUE,OR(ISBLANK($R154),ISNUMBER(VALUE(SUBSTITUTE(SUBSTITUTE(SUBSTITUTE(SUBSTITUTE($R154," ",""),"c",""),"C",""),"-","")))),OR(SUMPRODUCT(--($U154=Package_type_code))&gt;0,$U154="",$U154="-")),"Valid","Invalid"))</f>
        <v>Skip</v>
      </c>
      <c r="C154" s="70"/>
      <c r="D154" s="410"/>
      <c r="E154" s="411"/>
      <c r="F154" s="218" t="str">
        <f t="shared" si="4"/>
        <v>-</v>
      </c>
      <c r="G154" s="218"/>
      <c r="H154" s="178" t="str">
        <f t="shared" si="5"/>
        <v>-</v>
      </c>
      <c r="I154" s="203"/>
      <c r="J154" s="416"/>
      <c r="K154" s="400"/>
      <c r="L154" s="415"/>
      <c r="M154" s="322"/>
      <c r="N154" s="587"/>
      <c r="O154" s="403" t="s">
        <v>278</v>
      </c>
      <c r="P154" s="404" t="s">
        <v>77</v>
      </c>
      <c r="Q154" s="358"/>
      <c r="R154" s="320"/>
      <c r="S154" s="359"/>
      <c r="T154" s="359"/>
      <c r="U154" s="94" t="str">
        <f>IF(ISERROR(VLOOKUP($T154, 'Reference data'!$J$2:$K$139, 2, FALSE)),"-",VLOOKUP($T154, 'Reference data'!$J$2:$K$139, 2, FALSE))</f>
        <v>-</v>
      </c>
      <c r="V154" s="320"/>
      <c r="W154" s="320"/>
      <c r="X154" s="324"/>
      <c r="Y154" s="325"/>
      <c r="Z154" s="241"/>
      <c r="AA154" s="362"/>
      <c r="AB154" s="86"/>
      <c r="AC154" s="72"/>
      <c r="AD154" s="71"/>
      <c r="AE154" s="239" t="s">
        <v>278</v>
      </c>
      <c r="AF154" s="243" t="s">
        <v>77</v>
      </c>
    </row>
    <row r="155" spans="2:32" ht="12.75" customHeight="1" x14ac:dyDescent="0.2">
      <c r="B155" s="356" t="str" cm="1">
        <f t="array" ref="B155">IF(C155="","Skip",IF(AND(Validator!J149=TRUE,Validator!J399=TRUE,Validator!J649=TRUE,Validator!J899=TRUE,Validator!J1149=TRUE,Validator!J1399=TRUE,OR(ISBLANK($R155),ISNUMBER(VALUE(SUBSTITUTE(SUBSTITUTE(SUBSTITUTE(SUBSTITUTE($R155," ",""),"c",""),"C",""),"-","")))),OR(SUMPRODUCT(--($U155=Package_type_code))&gt;0,$U155="",$U155="-")),"Valid","Invalid"))</f>
        <v>Skip</v>
      </c>
      <c r="C155" s="70"/>
      <c r="D155" s="410"/>
      <c r="E155" s="411"/>
      <c r="F155" s="218" t="str">
        <f t="shared" si="4"/>
        <v>-</v>
      </c>
      <c r="G155" s="218"/>
      <c r="H155" s="178" t="str">
        <f t="shared" si="5"/>
        <v>-</v>
      </c>
      <c r="I155" s="203"/>
      <c r="J155" s="416"/>
      <c r="K155" s="400"/>
      <c r="L155" s="415"/>
      <c r="M155" s="322"/>
      <c r="N155" s="587"/>
      <c r="O155" s="403" t="s">
        <v>278</v>
      </c>
      <c r="P155" s="404" t="s">
        <v>77</v>
      </c>
      <c r="Q155" s="358"/>
      <c r="R155" s="320"/>
      <c r="S155" s="359"/>
      <c r="T155" s="359"/>
      <c r="U155" s="94" t="str">
        <f>IF(ISERROR(VLOOKUP($T155, 'Reference data'!$J$2:$K$139, 2, FALSE)),"-",VLOOKUP($T155, 'Reference data'!$J$2:$K$139, 2, FALSE))</f>
        <v>-</v>
      </c>
      <c r="V155" s="320"/>
      <c r="W155" s="320"/>
      <c r="X155" s="324"/>
      <c r="Y155" s="325"/>
      <c r="Z155" s="241"/>
      <c r="AA155" s="362"/>
      <c r="AB155" s="86"/>
      <c r="AC155" s="72"/>
      <c r="AD155" s="71"/>
      <c r="AE155" s="239" t="s">
        <v>278</v>
      </c>
      <c r="AF155" s="243" t="s">
        <v>77</v>
      </c>
    </row>
    <row r="156" spans="2:32" ht="12.75" customHeight="1" x14ac:dyDescent="0.2">
      <c r="B156" s="356" t="str" cm="1">
        <f t="array" ref="B156">IF(C156="","Skip",IF(AND(Validator!J150=TRUE,Validator!J400=TRUE,Validator!J650=TRUE,Validator!J900=TRUE,Validator!J1150=TRUE,Validator!J1400=TRUE,OR(ISBLANK($R156),ISNUMBER(VALUE(SUBSTITUTE(SUBSTITUTE(SUBSTITUTE(SUBSTITUTE($R156," ",""),"c",""),"C",""),"-","")))),OR(SUMPRODUCT(--($U156=Package_type_code))&gt;0,$U156="",$U156="-")),"Valid","Invalid"))</f>
        <v>Skip</v>
      </c>
      <c r="C156" s="70"/>
      <c r="D156" s="410"/>
      <c r="E156" s="411"/>
      <c r="F156" s="218" t="str">
        <f t="shared" si="4"/>
        <v>-</v>
      </c>
      <c r="G156" s="218"/>
      <c r="H156" s="178" t="str">
        <f t="shared" si="5"/>
        <v>-</v>
      </c>
      <c r="I156" s="203"/>
      <c r="J156" s="416"/>
      <c r="K156" s="400"/>
      <c r="L156" s="415"/>
      <c r="M156" s="322"/>
      <c r="N156" s="587"/>
      <c r="O156" s="403" t="s">
        <v>278</v>
      </c>
      <c r="P156" s="404" t="s">
        <v>77</v>
      </c>
      <c r="Q156" s="358"/>
      <c r="R156" s="320"/>
      <c r="S156" s="359"/>
      <c r="T156" s="359"/>
      <c r="U156" s="94" t="str">
        <f>IF(ISERROR(VLOOKUP($T156, 'Reference data'!$J$2:$K$139, 2, FALSE)),"-",VLOOKUP($T156, 'Reference data'!$J$2:$K$139, 2, FALSE))</f>
        <v>-</v>
      </c>
      <c r="V156" s="320"/>
      <c r="W156" s="320"/>
      <c r="X156" s="324"/>
      <c r="Y156" s="325"/>
      <c r="Z156" s="241"/>
      <c r="AA156" s="362"/>
      <c r="AB156" s="86"/>
      <c r="AC156" s="72"/>
      <c r="AD156" s="71"/>
      <c r="AE156" s="239" t="s">
        <v>278</v>
      </c>
      <c r="AF156" s="243" t="s">
        <v>77</v>
      </c>
    </row>
    <row r="157" spans="2:32" ht="12.75" customHeight="1" x14ac:dyDescent="0.2">
      <c r="B157" s="356" t="str" cm="1">
        <f t="array" ref="B157">IF(C157="","Skip",IF(AND(Validator!J151=TRUE,Validator!J401=TRUE,Validator!J651=TRUE,Validator!J901=TRUE,Validator!J1151=TRUE,Validator!J1401=TRUE,OR(ISBLANK($R157),ISNUMBER(VALUE(SUBSTITUTE(SUBSTITUTE(SUBSTITUTE(SUBSTITUTE($R157," ",""),"c",""),"C",""),"-","")))),OR(SUMPRODUCT(--($U157=Package_type_code))&gt;0,$U157="",$U157="-")),"Valid","Invalid"))</f>
        <v>Skip</v>
      </c>
      <c r="C157" s="70"/>
      <c r="D157" s="410"/>
      <c r="E157" s="411"/>
      <c r="F157" s="218" t="str">
        <f t="shared" si="4"/>
        <v>-</v>
      </c>
      <c r="G157" s="218"/>
      <c r="H157" s="178" t="str">
        <f t="shared" si="5"/>
        <v>-</v>
      </c>
      <c r="I157" s="203"/>
      <c r="J157" s="416"/>
      <c r="K157" s="400"/>
      <c r="L157" s="415"/>
      <c r="M157" s="322"/>
      <c r="N157" s="587"/>
      <c r="O157" s="403" t="s">
        <v>278</v>
      </c>
      <c r="P157" s="404" t="s">
        <v>77</v>
      </c>
      <c r="Q157" s="358"/>
      <c r="R157" s="320"/>
      <c r="S157" s="359"/>
      <c r="T157" s="359"/>
      <c r="U157" s="94" t="str">
        <f>IF(ISERROR(VLOOKUP($T157, 'Reference data'!$J$2:$K$139, 2, FALSE)),"-",VLOOKUP($T157, 'Reference data'!$J$2:$K$139, 2, FALSE))</f>
        <v>-</v>
      </c>
      <c r="V157" s="320"/>
      <c r="W157" s="320"/>
      <c r="X157" s="324"/>
      <c r="Y157" s="325"/>
      <c r="Z157" s="241"/>
      <c r="AA157" s="362"/>
      <c r="AB157" s="86"/>
      <c r="AC157" s="72"/>
      <c r="AD157" s="71"/>
      <c r="AE157" s="239" t="s">
        <v>278</v>
      </c>
      <c r="AF157" s="243" t="s">
        <v>77</v>
      </c>
    </row>
    <row r="158" spans="2:32" ht="12.75" customHeight="1" x14ac:dyDescent="0.2">
      <c r="B158" s="356" t="str" cm="1">
        <f t="array" ref="B158">IF(C158="","Skip",IF(AND(Validator!J152=TRUE,Validator!J402=TRUE,Validator!J652=TRUE,Validator!J902=TRUE,Validator!J1152=TRUE,Validator!J1402=TRUE,OR(ISBLANK($R158),ISNUMBER(VALUE(SUBSTITUTE(SUBSTITUTE(SUBSTITUTE(SUBSTITUTE($R158," ",""),"c",""),"C",""),"-","")))),OR(SUMPRODUCT(--($U158=Package_type_code))&gt;0,$U158="",$U158="-")),"Valid","Invalid"))</f>
        <v>Skip</v>
      </c>
      <c r="C158" s="70"/>
      <c r="D158" s="410"/>
      <c r="E158" s="411"/>
      <c r="F158" s="218" t="str">
        <f t="shared" si="4"/>
        <v>-</v>
      </c>
      <c r="G158" s="218"/>
      <c r="H158" s="178" t="str">
        <f t="shared" si="5"/>
        <v>-</v>
      </c>
      <c r="I158" s="203"/>
      <c r="J158" s="416"/>
      <c r="K158" s="400"/>
      <c r="L158" s="415"/>
      <c r="M158" s="322"/>
      <c r="N158" s="587"/>
      <c r="O158" s="403" t="s">
        <v>278</v>
      </c>
      <c r="P158" s="404" t="s">
        <v>77</v>
      </c>
      <c r="Q158" s="358"/>
      <c r="R158" s="320"/>
      <c r="S158" s="359"/>
      <c r="T158" s="359"/>
      <c r="U158" s="94" t="str">
        <f>IF(ISERROR(VLOOKUP($T158, 'Reference data'!$J$2:$K$139, 2, FALSE)),"-",VLOOKUP($T158, 'Reference data'!$J$2:$K$139, 2, FALSE))</f>
        <v>-</v>
      </c>
      <c r="V158" s="320"/>
      <c r="W158" s="320"/>
      <c r="X158" s="324"/>
      <c r="Y158" s="325"/>
      <c r="Z158" s="241"/>
      <c r="AA158" s="362"/>
      <c r="AB158" s="86"/>
      <c r="AC158" s="72"/>
      <c r="AD158" s="71"/>
      <c r="AE158" s="239" t="s">
        <v>278</v>
      </c>
      <c r="AF158" s="243" t="s">
        <v>77</v>
      </c>
    </row>
    <row r="159" spans="2:32" ht="12.75" customHeight="1" x14ac:dyDescent="0.2">
      <c r="B159" s="356" t="str" cm="1">
        <f t="array" ref="B159">IF(C159="","Skip",IF(AND(Validator!J153=TRUE,Validator!J403=TRUE,Validator!J653=TRUE,Validator!J903=TRUE,Validator!J1153=TRUE,Validator!J1403=TRUE,OR(ISBLANK($R159),ISNUMBER(VALUE(SUBSTITUTE(SUBSTITUTE(SUBSTITUTE(SUBSTITUTE($R159," ",""),"c",""),"C",""),"-","")))),OR(SUMPRODUCT(--($U159=Package_type_code))&gt;0,$U159="",$U159="-")),"Valid","Invalid"))</f>
        <v>Skip</v>
      </c>
      <c r="C159" s="70"/>
      <c r="D159" s="410"/>
      <c r="E159" s="411"/>
      <c r="F159" s="218" t="str">
        <f t="shared" si="4"/>
        <v>-</v>
      </c>
      <c r="G159" s="218"/>
      <c r="H159" s="178" t="str">
        <f t="shared" si="5"/>
        <v>-</v>
      </c>
      <c r="I159" s="203"/>
      <c r="J159" s="416"/>
      <c r="K159" s="400"/>
      <c r="L159" s="415"/>
      <c r="M159" s="322"/>
      <c r="N159" s="587"/>
      <c r="O159" s="403" t="s">
        <v>278</v>
      </c>
      <c r="P159" s="404" t="s">
        <v>77</v>
      </c>
      <c r="Q159" s="358"/>
      <c r="R159" s="320"/>
      <c r="S159" s="359"/>
      <c r="T159" s="359"/>
      <c r="U159" s="94" t="str">
        <f>IF(ISERROR(VLOOKUP($T159, 'Reference data'!$J$2:$K$139, 2, FALSE)),"-",VLOOKUP($T159, 'Reference data'!$J$2:$K$139, 2, FALSE))</f>
        <v>-</v>
      </c>
      <c r="V159" s="320"/>
      <c r="W159" s="320"/>
      <c r="X159" s="324"/>
      <c r="Y159" s="325"/>
      <c r="Z159" s="241"/>
      <c r="AA159" s="362"/>
      <c r="AB159" s="86"/>
      <c r="AC159" s="72"/>
      <c r="AD159" s="71"/>
      <c r="AE159" s="239" t="s">
        <v>278</v>
      </c>
      <c r="AF159" s="243" t="s">
        <v>77</v>
      </c>
    </row>
    <row r="160" spans="2:32" ht="12.75" customHeight="1" x14ac:dyDescent="0.2">
      <c r="B160" s="356" t="str" cm="1">
        <f t="array" ref="B160">IF(C160="","Skip",IF(AND(Validator!J154=TRUE,Validator!J404=TRUE,Validator!J654=TRUE,Validator!J904=TRUE,Validator!J1154=TRUE,Validator!J1404=TRUE,OR(ISBLANK($R160),ISNUMBER(VALUE(SUBSTITUTE(SUBSTITUTE(SUBSTITUTE(SUBSTITUTE($R160," ",""),"c",""),"C",""),"-","")))),OR(SUMPRODUCT(--($U160=Package_type_code))&gt;0,$U160="",$U160="-")),"Valid","Invalid"))</f>
        <v>Skip</v>
      </c>
      <c r="C160" s="70"/>
      <c r="D160" s="410"/>
      <c r="E160" s="411"/>
      <c r="F160" s="218" t="str">
        <f t="shared" si="4"/>
        <v>-</v>
      </c>
      <c r="G160" s="218"/>
      <c r="H160" s="178" t="str">
        <f t="shared" si="5"/>
        <v>-</v>
      </c>
      <c r="I160" s="203"/>
      <c r="J160" s="416"/>
      <c r="K160" s="400"/>
      <c r="L160" s="415"/>
      <c r="M160" s="322"/>
      <c r="N160" s="587"/>
      <c r="O160" s="403" t="s">
        <v>278</v>
      </c>
      <c r="P160" s="404" t="s">
        <v>77</v>
      </c>
      <c r="Q160" s="358"/>
      <c r="R160" s="320"/>
      <c r="S160" s="359"/>
      <c r="T160" s="359"/>
      <c r="U160" s="94" t="str">
        <f>IF(ISERROR(VLOOKUP($T160, 'Reference data'!$J$2:$K$139, 2, FALSE)),"-",VLOOKUP($T160, 'Reference data'!$J$2:$K$139, 2, FALSE))</f>
        <v>-</v>
      </c>
      <c r="V160" s="320"/>
      <c r="W160" s="320"/>
      <c r="X160" s="324"/>
      <c r="Y160" s="325"/>
      <c r="Z160" s="241"/>
      <c r="AA160" s="362"/>
      <c r="AB160" s="86"/>
      <c r="AC160" s="72"/>
      <c r="AD160" s="71"/>
      <c r="AE160" s="239" t="s">
        <v>278</v>
      </c>
      <c r="AF160" s="243" t="s">
        <v>77</v>
      </c>
    </row>
    <row r="161" spans="2:32" ht="12.75" customHeight="1" x14ac:dyDescent="0.2">
      <c r="B161" s="356" t="str" cm="1">
        <f t="array" ref="B161">IF(C161="","Skip",IF(AND(Validator!J155=TRUE,Validator!J405=TRUE,Validator!J655=TRUE,Validator!J905=TRUE,Validator!J1155=TRUE,Validator!J1405=TRUE,OR(ISBLANK($R161),ISNUMBER(VALUE(SUBSTITUTE(SUBSTITUTE(SUBSTITUTE(SUBSTITUTE($R161," ",""),"c",""),"C",""),"-","")))),OR(SUMPRODUCT(--($U161=Package_type_code))&gt;0,$U161="",$U161="-")),"Valid","Invalid"))</f>
        <v>Skip</v>
      </c>
      <c r="C161" s="70"/>
      <c r="D161" s="410"/>
      <c r="E161" s="411"/>
      <c r="F161" s="218" t="str">
        <f t="shared" si="4"/>
        <v>-</v>
      </c>
      <c r="G161" s="218"/>
      <c r="H161" s="178" t="str">
        <f t="shared" si="5"/>
        <v>-</v>
      </c>
      <c r="I161" s="203"/>
      <c r="J161" s="416"/>
      <c r="K161" s="400"/>
      <c r="L161" s="415"/>
      <c r="M161" s="322"/>
      <c r="N161" s="587"/>
      <c r="O161" s="403" t="s">
        <v>278</v>
      </c>
      <c r="P161" s="404" t="s">
        <v>77</v>
      </c>
      <c r="Q161" s="358"/>
      <c r="R161" s="320"/>
      <c r="S161" s="359"/>
      <c r="T161" s="359"/>
      <c r="U161" s="94" t="str">
        <f>IF(ISERROR(VLOOKUP($T161, 'Reference data'!$J$2:$K$139, 2, FALSE)),"-",VLOOKUP($T161, 'Reference data'!$J$2:$K$139, 2, FALSE))</f>
        <v>-</v>
      </c>
      <c r="V161" s="320"/>
      <c r="W161" s="320"/>
      <c r="X161" s="324"/>
      <c r="Y161" s="325"/>
      <c r="Z161" s="241"/>
      <c r="AA161" s="362"/>
      <c r="AB161" s="86"/>
      <c r="AC161" s="72"/>
      <c r="AD161" s="71"/>
      <c r="AE161" s="239" t="s">
        <v>278</v>
      </c>
      <c r="AF161" s="243" t="s">
        <v>77</v>
      </c>
    </row>
    <row r="162" spans="2:32" ht="12.75" customHeight="1" x14ac:dyDescent="0.2">
      <c r="B162" s="356" t="str" cm="1">
        <f t="array" ref="B162">IF(C162="","Skip",IF(AND(Validator!J156=TRUE,Validator!J406=TRUE,Validator!J656=TRUE,Validator!J906=TRUE,Validator!J1156=TRUE,Validator!J1406=TRUE,OR(ISBLANK($R162),ISNUMBER(VALUE(SUBSTITUTE(SUBSTITUTE(SUBSTITUTE(SUBSTITUTE($R162," ",""),"c",""),"C",""),"-","")))),OR(SUMPRODUCT(--($U162=Package_type_code))&gt;0,$U162="",$U162="-")),"Valid","Invalid"))</f>
        <v>Skip</v>
      </c>
      <c r="C162" s="70"/>
      <c r="D162" s="410"/>
      <c r="E162" s="411"/>
      <c r="F162" s="218" t="str">
        <f t="shared" si="4"/>
        <v>-</v>
      </c>
      <c r="G162" s="218"/>
      <c r="H162" s="178" t="str">
        <f t="shared" si="5"/>
        <v>-</v>
      </c>
      <c r="I162" s="203"/>
      <c r="J162" s="416"/>
      <c r="K162" s="400"/>
      <c r="L162" s="415"/>
      <c r="M162" s="322"/>
      <c r="N162" s="587"/>
      <c r="O162" s="403" t="s">
        <v>278</v>
      </c>
      <c r="P162" s="404" t="s">
        <v>77</v>
      </c>
      <c r="Q162" s="358"/>
      <c r="R162" s="320"/>
      <c r="S162" s="359"/>
      <c r="T162" s="359"/>
      <c r="U162" s="94" t="str">
        <f>IF(ISERROR(VLOOKUP($T162, 'Reference data'!$J$2:$K$139, 2, FALSE)),"-",VLOOKUP($T162, 'Reference data'!$J$2:$K$139, 2, FALSE))</f>
        <v>-</v>
      </c>
      <c r="V162" s="320"/>
      <c r="W162" s="320"/>
      <c r="X162" s="324"/>
      <c r="Y162" s="325"/>
      <c r="Z162" s="241"/>
      <c r="AA162" s="362"/>
      <c r="AB162" s="86"/>
      <c r="AC162" s="72"/>
      <c r="AD162" s="71"/>
      <c r="AE162" s="239" t="s">
        <v>278</v>
      </c>
      <c r="AF162" s="243" t="s">
        <v>77</v>
      </c>
    </row>
    <row r="163" spans="2:32" ht="12.75" customHeight="1" x14ac:dyDescent="0.2">
      <c r="B163" s="356" t="str" cm="1">
        <f t="array" ref="B163">IF(C163="","Skip",IF(AND(Validator!J157=TRUE,Validator!J407=TRUE,Validator!J657=TRUE,Validator!J907=TRUE,Validator!J1157=TRUE,Validator!J1407=TRUE,OR(ISBLANK($R163),ISNUMBER(VALUE(SUBSTITUTE(SUBSTITUTE(SUBSTITUTE(SUBSTITUTE($R163," ",""),"c",""),"C",""),"-","")))),OR(SUMPRODUCT(--($U163=Package_type_code))&gt;0,$U163="",$U163="-")),"Valid","Invalid"))</f>
        <v>Skip</v>
      </c>
      <c r="C163" s="70"/>
      <c r="D163" s="410"/>
      <c r="E163" s="411"/>
      <c r="F163" s="218" t="str">
        <f t="shared" si="4"/>
        <v>-</v>
      </c>
      <c r="G163" s="218"/>
      <c r="H163" s="178" t="str">
        <f t="shared" si="5"/>
        <v>-</v>
      </c>
      <c r="I163" s="203"/>
      <c r="J163" s="416"/>
      <c r="K163" s="400"/>
      <c r="L163" s="415"/>
      <c r="M163" s="322"/>
      <c r="N163" s="587"/>
      <c r="O163" s="403" t="s">
        <v>278</v>
      </c>
      <c r="P163" s="404" t="s">
        <v>77</v>
      </c>
      <c r="Q163" s="358"/>
      <c r="R163" s="320"/>
      <c r="S163" s="359"/>
      <c r="T163" s="359"/>
      <c r="U163" s="94" t="str">
        <f>IF(ISERROR(VLOOKUP($T163, 'Reference data'!$J$2:$K$139, 2, FALSE)),"-",VLOOKUP($T163, 'Reference data'!$J$2:$K$139, 2, FALSE))</f>
        <v>-</v>
      </c>
      <c r="V163" s="320"/>
      <c r="W163" s="320"/>
      <c r="X163" s="324"/>
      <c r="Y163" s="325"/>
      <c r="Z163" s="241"/>
      <c r="AA163" s="362"/>
      <c r="AB163" s="86"/>
      <c r="AC163" s="72"/>
      <c r="AD163" s="71"/>
      <c r="AE163" s="239" t="s">
        <v>278</v>
      </c>
      <c r="AF163" s="243" t="s">
        <v>77</v>
      </c>
    </row>
    <row r="164" spans="2:32" ht="12.75" customHeight="1" x14ac:dyDescent="0.2">
      <c r="B164" s="356" t="str" cm="1">
        <f t="array" ref="B164">IF(C164="","Skip",IF(AND(Validator!J158=TRUE,Validator!J408=TRUE,Validator!J658=TRUE,Validator!J908=TRUE,Validator!J1158=TRUE,Validator!J1408=TRUE,OR(ISBLANK($R164),ISNUMBER(VALUE(SUBSTITUTE(SUBSTITUTE(SUBSTITUTE(SUBSTITUTE($R164," ",""),"c",""),"C",""),"-","")))),OR(SUMPRODUCT(--($U164=Package_type_code))&gt;0,$U164="",$U164="-")),"Valid","Invalid"))</f>
        <v>Skip</v>
      </c>
      <c r="C164" s="70"/>
      <c r="D164" s="410"/>
      <c r="E164" s="411"/>
      <c r="F164" s="218" t="str">
        <f t="shared" si="4"/>
        <v>-</v>
      </c>
      <c r="G164" s="218"/>
      <c r="H164" s="178" t="str">
        <f t="shared" si="5"/>
        <v>-</v>
      </c>
      <c r="I164" s="203"/>
      <c r="J164" s="416"/>
      <c r="K164" s="400"/>
      <c r="L164" s="415"/>
      <c r="M164" s="322"/>
      <c r="N164" s="587"/>
      <c r="O164" s="403" t="s">
        <v>278</v>
      </c>
      <c r="P164" s="404" t="s">
        <v>77</v>
      </c>
      <c r="Q164" s="358"/>
      <c r="R164" s="320"/>
      <c r="S164" s="359"/>
      <c r="T164" s="359"/>
      <c r="U164" s="94" t="str">
        <f>IF(ISERROR(VLOOKUP($T164, 'Reference data'!$J$2:$K$139, 2, FALSE)),"-",VLOOKUP($T164, 'Reference data'!$J$2:$K$139, 2, FALSE))</f>
        <v>-</v>
      </c>
      <c r="V164" s="320"/>
      <c r="W164" s="320"/>
      <c r="X164" s="324"/>
      <c r="Y164" s="325"/>
      <c r="Z164" s="241"/>
      <c r="AA164" s="362"/>
      <c r="AB164" s="86"/>
      <c r="AC164" s="72"/>
      <c r="AD164" s="71"/>
      <c r="AE164" s="239" t="s">
        <v>278</v>
      </c>
      <c r="AF164" s="243" t="s">
        <v>77</v>
      </c>
    </row>
    <row r="165" spans="2:32" ht="12.75" customHeight="1" x14ac:dyDescent="0.2">
      <c r="B165" s="356" t="str" cm="1">
        <f t="array" ref="B165">IF(C165="","Skip",IF(AND(Validator!J159=TRUE,Validator!J409=TRUE,Validator!J659=TRUE,Validator!J909=TRUE,Validator!J1159=TRUE,Validator!J1409=TRUE,OR(ISBLANK($R165),ISNUMBER(VALUE(SUBSTITUTE(SUBSTITUTE(SUBSTITUTE(SUBSTITUTE($R165," ",""),"c",""),"C",""),"-","")))),OR(SUMPRODUCT(--($U165=Package_type_code))&gt;0,$U165="",$U165="-")),"Valid","Invalid"))</f>
        <v>Skip</v>
      </c>
      <c r="C165" s="70"/>
      <c r="D165" s="410"/>
      <c r="E165" s="411"/>
      <c r="F165" s="218" t="str">
        <f t="shared" si="4"/>
        <v>-</v>
      </c>
      <c r="G165" s="218"/>
      <c r="H165" s="178" t="str">
        <f t="shared" si="5"/>
        <v>-</v>
      </c>
      <c r="I165" s="203"/>
      <c r="J165" s="416"/>
      <c r="K165" s="400"/>
      <c r="L165" s="415"/>
      <c r="M165" s="322"/>
      <c r="N165" s="587"/>
      <c r="O165" s="403" t="s">
        <v>278</v>
      </c>
      <c r="P165" s="404" t="s">
        <v>77</v>
      </c>
      <c r="Q165" s="358"/>
      <c r="R165" s="320"/>
      <c r="S165" s="359"/>
      <c r="T165" s="359"/>
      <c r="U165" s="94" t="str">
        <f>IF(ISERROR(VLOOKUP($T165, 'Reference data'!$J$2:$K$139, 2, FALSE)),"-",VLOOKUP($T165, 'Reference data'!$J$2:$K$139, 2, FALSE))</f>
        <v>-</v>
      </c>
      <c r="V165" s="320"/>
      <c r="W165" s="320"/>
      <c r="X165" s="324"/>
      <c r="Y165" s="325"/>
      <c r="Z165" s="241"/>
      <c r="AA165" s="362"/>
      <c r="AB165" s="86"/>
      <c r="AC165" s="72"/>
      <c r="AD165" s="71"/>
      <c r="AE165" s="239" t="s">
        <v>278</v>
      </c>
      <c r="AF165" s="243" t="s">
        <v>77</v>
      </c>
    </row>
    <row r="166" spans="2:32" ht="12.75" customHeight="1" x14ac:dyDescent="0.2">
      <c r="B166" s="356" t="str" cm="1">
        <f t="array" ref="B166">IF(C166="","Skip",IF(AND(Validator!J160=TRUE,Validator!J410=TRUE,Validator!J660=TRUE,Validator!J910=TRUE,Validator!J1160=TRUE,Validator!J1410=TRUE,OR(ISBLANK($R166),ISNUMBER(VALUE(SUBSTITUTE(SUBSTITUTE(SUBSTITUTE(SUBSTITUTE($R166," ",""),"c",""),"C",""),"-","")))),OR(SUMPRODUCT(--($U166=Package_type_code))&gt;0,$U166="",$U166="-")),"Valid","Invalid"))</f>
        <v>Skip</v>
      </c>
      <c r="C166" s="70"/>
      <c r="D166" s="410"/>
      <c r="E166" s="411"/>
      <c r="F166" s="218" t="str">
        <f t="shared" si="4"/>
        <v>-</v>
      </c>
      <c r="G166" s="218"/>
      <c r="H166" s="178" t="str">
        <f t="shared" si="5"/>
        <v>-</v>
      </c>
      <c r="I166" s="203"/>
      <c r="J166" s="416"/>
      <c r="K166" s="400"/>
      <c r="L166" s="415"/>
      <c r="M166" s="322"/>
      <c r="N166" s="587"/>
      <c r="O166" s="403" t="s">
        <v>278</v>
      </c>
      <c r="P166" s="404" t="s">
        <v>77</v>
      </c>
      <c r="Q166" s="358"/>
      <c r="R166" s="320"/>
      <c r="S166" s="359"/>
      <c r="T166" s="359"/>
      <c r="U166" s="94" t="str">
        <f>IF(ISERROR(VLOOKUP($T166, 'Reference data'!$J$2:$K$139, 2, FALSE)),"-",VLOOKUP($T166, 'Reference data'!$J$2:$K$139, 2, FALSE))</f>
        <v>-</v>
      </c>
      <c r="V166" s="320"/>
      <c r="W166" s="320"/>
      <c r="X166" s="324"/>
      <c r="Y166" s="325"/>
      <c r="Z166" s="241"/>
      <c r="AA166" s="362"/>
      <c r="AB166" s="86"/>
      <c r="AC166" s="72"/>
      <c r="AD166" s="71"/>
      <c r="AE166" s="239" t="s">
        <v>278</v>
      </c>
      <c r="AF166" s="243" t="s">
        <v>77</v>
      </c>
    </row>
    <row r="167" spans="2:32" ht="12.75" customHeight="1" x14ac:dyDescent="0.2">
      <c r="B167" s="356" t="str" cm="1">
        <f t="array" ref="B167">IF(C167="","Skip",IF(AND(Validator!J161=TRUE,Validator!J411=TRUE,Validator!J661=TRUE,Validator!J911=TRUE,Validator!J1161=TRUE,Validator!J1411=TRUE,OR(ISBLANK($R167),ISNUMBER(VALUE(SUBSTITUTE(SUBSTITUTE(SUBSTITUTE(SUBSTITUTE($R167," ",""),"c",""),"C",""),"-","")))),OR(SUMPRODUCT(--($U167=Package_type_code))&gt;0,$U167="",$U167="-")),"Valid","Invalid"))</f>
        <v>Skip</v>
      </c>
      <c r="C167" s="70"/>
      <c r="D167" s="410"/>
      <c r="E167" s="411"/>
      <c r="F167" s="218" t="str">
        <f t="shared" si="4"/>
        <v>-</v>
      </c>
      <c r="G167" s="218"/>
      <c r="H167" s="178" t="str">
        <f t="shared" si="5"/>
        <v>-</v>
      </c>
      <c r="I167" s="203"/>
      <c r="J167" s="416"/>
      <c r="K167" s="400"/>
      <c r="L167" s="415"/>
      <c r="M167" s="322"/>
      <c r="N167" s="587"/>
      <c r="O167" s="403" t="s">
        <v>278</v>
      </c>
      <c r="P167" s="404" t="s">
        <v>77</v>
      </c>
      <c r="Q167" s="358"/>
      <c r="R167" s="320"/>
      <c r="S167" s="359"/>
      <c r="T167" s="359"/>
      <c r="U167" s="94" t="str">
        <f>IF(ISERROR(VLOOKUP($T167, 'Reference data'!$J$2:$K$139, 2, FALSE)),"-",VLOOKUP($T167, 'Reference data'!$J$2:$K$139, 2, FALSE))</f>
        <v>-</v>
      </c>
      <c r="V167" s="320"/>
      <c r="W167" s="320"/>
      <c r="X167" s="324"/>
      <c r="Y167" s="325"/>
      <c r="Z167" s="241"/>
      <c r="AA167" s="362"/>
      <c r="AB167" s="86"/>
      <c r="AC167" s="72"/>
      <c r="AD167" s="71"/>
      <c r="AE167" s="239" t="s">
        <v>278</v>
      </c>
      <c r="AF167" s="243" t="s">
        <v>77</v>
      </c>
    </row>
    <row r="168" spans="2:32" ht="12.75" customHeight="1" x14ac:dyDescent="0.2">
      <c r="B168" s="356" t="str" cm="1">
        <f t="array" ref="B168">IF(C168="","Skip",IF(AND(Validator!J162=TRUE,Validator!J412=TRUE,Validator!J662=TRUE,Validator!J912=TRUE,Validator!J1162=TRUE,Validator!J1412=TRUE,OR(ISBLANK($R168),ISNUMBER(VALUE(SUBSTITUTE(SUBSTITUTE(SUBSTITUTE(SUBSTITUTE($R168," ",""),"c",""),"C",""),"-","")))),OR(SUMPRODUCT(--($U168=Package_type_code))&gt;0,$U168="",$U168="-")),"Valid","Invalid"))</f>
        <v>Skip</v>
      </c>
      <c r="C168" s="70"/>
      <c r="D168" s="410"/>
      <c r="E168" s="411"/>
      <c r="F168" s="218" t="str">
        <f t="shared" si="4"/>
        <v>-</v>
      </c>
      <c r="G168" s="218"/>
      <c r="H168" s="178" t="str">
        <f t="shared" si="5"/>
        <v>-</v>
      </c>
      <c r="I168" s="203"/>
      <c r="J168" s="416"/>
      <c r="K168" s="400"/>
      <c r="L168" s="415"/>
      <c r="M168" s="322"/>
      <c r="N168" s="587"/>
      <c r="O168" s="403" t="s">
        <v>278</v>
      </c>
      <c r="P168" s="404" t="s">
        <v>77</v>
      </c>
      <c r="Q168" s="358"/>
      <c r="R168" s="320"/>
      <c r="S168" s="359"/>
      <c r="T168" s="359"/>
      <c r="U168" s="94" t="str">
        <f>IF(ISERROR(VLOOKUP($T168, 'Reference data'!$J$2:$K$139, 2, FALSE)),"-",VLOOKUP($T168, 'Reference data'!$J$2:$K$139, 2, FALSE))</f>
        <v>-</v>
      </c>
      <c r="V168" s="320"/>
      <c r="W168" s="320"/>
      <c r="X168" s="324"/>
      <c r="Y168" s="325"/>
      <c r="Z168" s="241"/>
      <c r="AA168" s="362"/>
      <c r="AB168" s="86"/>
      <c r="AC168" s="72"/>
      <c r="AD168" s="71"/>
      <c r="AE168" s="239" t="s">
        <v>278</v>
      </c>
      <c r="AF168" s="243" t="s">
        <v>77</v>
      </c>
    </row>
    <row r="169" spans="2:32" ht="12.75" customHeight="1" x14ac:dyDescent="0.2">
      <c r="B169" s="356" t="str" cm="1">
        <f t="array" ref="B169">IF(C169="","Skip",IF(AND(Validator!J163=TRUE,Validator!J413=TRUE,Validator!J663=TRUE,Validator!J913=TRUE,Validator!J1163=TRUE,Validator!J1413=TRUE,OR(ISBLANK($R169),ISNUMBER(VALUE(SUBSTITUTE(SUBSTITUTE(SUBSTITUTE(SUBSTITUTE($R169," ",""),"c",""),"C",""),"-","")))),OR(SUMPRODUCT(--($U169=Package_type_code))&gt;0,$U169="",$U169="-")),"Valid","Invalid"))</f>
        <v>Skip</v>
      </c>
      <c r="C169" s="70"/>
      <c r="D169" s="410"/>
      <c r="E169" s="411"/>
      <c r="F169" s="218" t="str">
        <f t="shared" si="4"/>
        <v>-</v>
      </c>
      <c r="G169" s="218"/>
      <c r="H169" s="178" t="str">
        <f t="shared" si="5"/>
        <v>-</v>
      </c>
      <c r="I169" s="203"/>
      <c r="J169" s="416"/>
      <c r="K169" s="400"/>
      <c r="L169" s="415"/>
      <c r="M169" s="322"/>
      <c r="N169" s="587"/>
      <c r="O169" s="403" t="s">
        <v>278</v>
      </c>
      <c r="P169" s="404" t="s">
        <v>77</v>
      </c>
      <c r="Q169" s="358"/>
      <c r="R169" s="320"/>
      <c r="S169" s="359"/>
      <c r="T169" s="359"/>
      <c r="U169" s="94" t="str">
        <f>IF(ISERROR(VLOOKUP($T169, 'Reference data'!$J$2:$K$139, 2, FALSE)),"-",VLOOKUP($T169, 'Reference data'!$J$2:$K$139, 2, FALSE))</f>
        <v>-</v>
      </c>
      <c r="V169" s="320"/>
      <c r="W169" s="320"/>
      <c r="X169" s="324"/>
      <c r="Y169" s="325"/>
      <c r="Z169" s="241"/>
      <c r="AA169" s="362"/>
      <c r="AB169" s="86"/>
      <c r="AC169" s="72"/>
      <c r="AD169" s="71"/>
      <c r="AE169" s="239" t="s">
        <v>278</v>
      </c>
      <c r="AF169" s="243" t="s">
        <v>77</v>
      </c>
    </row>
    <row r="170" spans="2:32" ht="12.75" customHeight="1" x14ac:dyDescent="0.2">
      <c r="B170" s="356" t="str" cm="1">
        <f t="array" ref="B170">IF(C170="","Skip",IF(AND(Validator!J164=TRUE,Validator!J414=TRUE,Validator!J664=TRUE,Validator!J914=TRUE,Validator!J1164=TRUE,Validator!J1414=TRUE,OR(ISBLANK($R170),ISNUMBER(VALUE(SUBSTITUTE(SUBSTITUTE(SUBSTITUTE(SUBSTITUTE($R170," ",""),"c",""),"C",""),"-","")))),OR(SUMPRODUCT(--($U170=Package_type_code))&gt;0,$U170="",$U170="-")),"Valid","Invalid"))</f>
        <v>Skip</v>
      </c>
      <c r="C170" s="70"/>
      <c r="D170" s="410"/>
      <c r="E170" s="411"/>
      <c r="F170" s="218" t="str">
        <f t="shared" si="4"/>
        <v>-</v>
      </c>
      <c r="G170" s="218"/>
      <c r="H170" s="178" t="str">
        <f t="shared" si="5"/>
        <v>-</v>
      </c>
      <c r="I170" s="203"/>
      <c r="J170" s="416"/>
      <c r="K170" s="400"/>
      <c r="L170" s="415"/>
      <c r="M170" s="322"/>
      <c r="N170" s="587"/>
      <c r="O170" s="403" t="s">
        <v>278</v>
      </c>
      <c r="P170" s="404" t="s">
        <v>77</v>
      </c>
      <c r="Q170" s="358"/>
      <c r="R170" s="320"/>
      <c r="S170" s="359"/>
      <c r="T170" s="359"/>
      <c r="U170" s="94" t="str">
        <f>IF(ISERROR(VLOOKUP($T170, 'Reference data'!$J$2:$K$139, 2, FALSE)),"-",VLOOKUP($T170, 'Reference data'!$J$2:$K$139, 2, FALSE))</f>
        <v>-</v>
      </c>
      <c r="V170" s="320"/>
      <c r="W170" s="320"/>
      <c r="X170" s="324"/>
      <c r="Y170" s="325"/>
      <c r="Z170" s="241"/>
      <c r="AA170" s="362"/>
      <c r="AB170" s="86"/>
      <c r="AC170" s="72"/>
      <c r="AD170" s="71"/>
      <c r="AE170" s="239" t="s">
        <v>278</v>
      </c>
      <c r="AF170" s="243" t="s">
        <v>77</v>
      </c>
    </row>
    <row r="171" spans="2:32" ht="12.75" customHeight="1" x14ac:dyDescent="0.2">
      <c r="B171" s="356" t="str" cm="1">
        <f t="array" ref="B171">IF(C171="","Skip",IF(AND(Validator!J165=TRUE,Validator!J415=TRUE,Validator!J665=TRUE,Validator!J915=TRUE,Validator!J1165=TRUE,Validator!J1415=TRUE,OR(ISBLANK($R171),ISNUMBER(VALUE(SUBSTITUTE(SUBSTITUTE(SUBSTITUTE(SUBSTITUTE($R171," ",""),"c",""),"C",""),"-","")))),OR(SUMPRODUCT(--($U171=Package_type_code))&gt;0,$U171="",$U171="-")),"Valid","Invalid"))</f>
        <v>Skip</v>
      </c>
      <c r="C171" s="70"/>
      <c r="D171" s="410"/>
      <c r="E171" s="411"/>
      <c r="F171" s="218" t="str">
        <f t="shared" si="4"/>
        <v>-</v>
      </c>
      <c r="G171" s="218"/>
      <c r="H171" s="178" t="str">
        <f t="shared" si="5"/>
        <v>-</v>
      </c>
      <c r="I171" s="203"/>
      <c r="J171" s="416"/>
      <c r="K171" s="400"/>
      <c r="L171" s="415"/>
      <c r="M171" s="322"/>
      <c r="N171" s="587"/>
      <c r="O171" s="403" t="s">
        <v>278</v>
      </c>
      <c r="P171" s="404" t="s">
        <v>77</v>
      </c>
      <c r="Q171" s="358"/>
      <c r="R171" s="320"/>
      <c r="S171" s="359"/>
      <c r="T171" s="359"/>
      <c r="U171" s="94" t="str">
        <f>IF(ISERROR(VLOOKUP($T171, 'Reference data'!$J$2:$K$139, 2, FALSE)),"-",VLOOKUP($T171, 'Reference data'!$J$2:$K$139, 2, FALSE))</f>
        <v>-</v>
      </c>
      <c r="V171" s="320"/>
      <c r="W171" s="320"/>
      <c r="X171" s="324"/>
      <c r="Y171" s="325"/>
      <c r="Z171" s="241"/>
      <c r="AA171" s="362"/>
      <c r="AB171" s="86"/>
      <c r="AC171" s="72"/>
      <c r="AD171" s="71"/>
      <c r="AE171" s="239" t="s">
        <v>278</v>
      </c>
      <c r="AF171" s="243" t="s">
        <v>77</v>
      </c>
    </row>
    <row r="172" spans="2:32" ht="12.75" customHeight="1" x14ac:dyDescent="0.2">
      <c r="B172" s="356" t="str" cm="1">
        <f t="array" ref="B172">IF(C172="","Skip",IF(AND(Validator!J166=TRUE,Validator!J416=TRUE,Validator!J666=TRUE,Validator!J916=TRUE,Validator!J1166=TRUE,Validator!J1416=TRUE,OR(ISBLANK($R172),ISNUMBER(VALUE(SUBSTITUTE(SUBSTITUTE(SUBSTITUTE(SUBSTITUTE($R172," ",""),"c",""),"C",""),"-","")))),OR(SUMPRODUCT(--($U172=Package_type_code))&gt;0,$U172="",$U172="-")),"Valid","Invalid"))</f>
        <v>Skip</v>
      </c>
      <c r="C172" s="70"/>
      <c r="D172" s="410"/>
      <c r="E172" s="411"/>
      <c r="F172" s="218" t="str">
        <f t="shared" si="4"/>
        <v>-</v>
      </c>
      <c r="G172" s="218"/>
      <c r="H172" s="178" t="str">
        <f t="shared" si="5"/>
        <v>-</v>
      </c>
      <c r="I172" s="203"/>
      <c r="J172" s="416"/>
      <c r="K172" s="400"/>
      <c r="L172" s="415"/>
      <c r="M172" s="322"/>
      <c r="N172" s="587"/>
      <c r="O172" s="403" t="s">
        <v>278</v>
      </c>
      <c r="P172" s="404" t="s">
        <v>77</v>
      </c>
      <c r="Q172" s="358"/>
      <c r="R172" s="320"/>
      <c r="S172" s="359"/>
      <c r="T172" s="359"/>
      <c r="U172" s="94" t="str">
        <f>IF(ISERROR(VLOOKUP($T172, 'Reference data'!$J$2:$K$139, 2, FALSE)),"-",VLOOKUP($T172, 'Reference data'!$J$2:$K$139, 2, FALSE))</f>
        <v>-</v>
      </c>
      <c r="V172" s="320"/>
      <c r="W172" s="320"/>
      <c r="X172" s="324"/>
      <c r="Y172" s="325"/>
      <c r="Z172" s="241"/>
      <c r="AA172" s="362"/>
      <c r="AB172" s="86"/>
      <c r="AC172" s="72"/>
      <c r="AD172" s="71"/>
      <c r="AE172" s="239" t="s">
        <v>278</v>
      </c>
      <c r="AF172" s="243" t="s">
        <v>77</v>
      </c>
    </row>
    <row r="173" spans="2:32" ht="12.75" customHeight="1" x14ac:dyDescent="0.2">
      <c r="B173" s="356" t="str" cm="1">
        <f t="array" ref="B173">IF(C173="","Skip",IF(AND(Validator!J167=TRUE,Validator!J417=TRUE,Validator!J667=TRUE,Validator!J917=TRUE,Validator!J1167=TRUE,Validator!J1417=TRUE,OR(ISBLANK($R173),ISNUMBER(VALUE(SUBSTITUTE(SUBSTITUTE(SUBSTITUTE(SUBSTITUTE($R173," ",""),"c",""),"C",""),"-","")))),OR(SUMPRODUCT(--($U173=Package_type_code))&gt;0,$U173="",$U173="-")),"Valid","Invalid"))</f>
        <v>Skip</v>
      </c>
      <c r="C173" s="70"/>
      <c r="D173" s="410"/>
      <c r="E173" s="411"/>
      <c r="F173" s="218" t="str">
        <f t="shared" si="4"/>
        <v>-</v>
      </c>
      <c r="G173" s="218"/>
      <c r="H173" s="178" t="str">
        <f t="shared" si="5"/>
        <v>-</v>
      </c>
      <c r="I173" s="203"/>
      <c r="J173" s="416"/>
      <c r="K173" s="400"/>
      <c r="L173" s="415"/>
      <c r="M173" s="322"/>
      <c r="N173" s="587"/>
      <c r="O173" s="403" t="s">
        <v>278</v>
      </c>
      <c r="P173" s="404" t="s">
        <v>77</v>
      </c>
      <c r="Q173" s="358"/>
      <c r="R173" s="320"/>
      <c r="S173" s="359"/>
      <c r="T173" s="359"/>
      <c r="U173" s="94" t="str">
        <f>IF(ISERROR(VLOOKUP($T173, 'Reference data'!$J$2:$K$139, 2, FALSE)),"-",VLOOKUP($T173, 'Reference data'!$J$2:$K$139, 2, FALSE))</f>
        <v>-</v>
      </c>
      <c r="V173" s="320"/>
      <c r="W173" s="320"/>
      <c r="X173" s="324"/>
      <c r="Y173" s="325"/>
      <c r="Z173" s="241"/>
      <c r="AA173" s="362"/>
      <c r="AB173" s="86"/>
      <c r="AC173" s="72"/>
      <c r="AD173" s="71"/>
      <c r="AE173" s="239" t="s">
        <v>278</v>
      </c>
      <c r="AF173" s="243" t="s">
        <v>77</v>
      </c>
    </row>
    <row r="174" spans="2:32" ht="12.75" customHeight="1" x14ac:dyDescent="0.2">
      <c r="B174" s="356" t="str" cm="1">
        <f t="array" ref="B174">IF(C174="","Skip",IF(AND(Validator!J168=TRUE,Validator!J418=TRUE,Validator!J668=TRUE,Validator!J918=TRUE,Validator!J1168=TRUE,Validator!J1418=TRUE,OR(ISBLANK($R174),ISNUMBER(VALUE(SUBSTITUTE(SUBSTITUTE(SUBSTITUTE(SUBSTITUTE($R174," ",""),"c",""),"C",""),"-","")))),OR(SUMPRODUCT(--($U174=Package_type_code))&gt;0,$U174="",$U174="-")),"Valid","Invalid"))</f>
        <v>Skip</v>
      </c>
      <c r="C174" s="70"/>
      <c r="D174" s="410"/>
      <c r="E174" s="411"/>
      <c r="F174" s="218" t="str">
        <f t="shared" si="4"/>
        <v>-</v>
      </c>
      <c r="G174" s="218"/>
      <c r="H174" s="178" t="str">
        <f t="shared" si="5"/>
        <v>-</v>
      </c>
      <c r="I174" s="203"/>
      <c r="J174" s="416"/>
      <c r="K174" s="400"/>
      <c r="L174" s="415"/>
      <c r="M174" s="322"/>
      <c r="N174" s="587"/>
      <c r="O174" s="403" t="s">
        <v>278</v>
      </c>
      <c r="P174" s="404" t="s">
        <v>77</v>
      </c>
      <c r="Q174" s="358"/>
      <c r="R174" s="320"/>
      <c r="S174" s="359"/>
      <c r="T174" s="359"/>
      <c r="U174" s="94" t="str">
        <f>IF(ISERROR(VLOOKUP($T174, 'Reference data'!$J$2:$K$139, 2, FALSE)),"-",VLOOKUP($T174, 'Reference data'!$J$2:$K$139, 2, FALSE))</f>
        <v>-</v>
      </c>
      <c r="V174" s="320"/>
      <c r="W174" s="320"/>
      <c r="X174" s="324"/>
      <c r="Y174" s="325"/>
      <c r="Z174" s="241"/>
      <c r="AA174" s="362"/>
      <c r="AB174" s="86"/>
      <c r="AC174" s="72"/>
      <c r="AD174" s="71"/>
      <c r="AE174" s="239" t="s">
        <v>278</v>
      </c>
      <c r="AF174" s="243" t="s">
        <v>77</v>
      </c>
    </row>
    <row r="175" spans="2:32" ht="12.75" customHeight="1" x14ac:dyDescent="0.2">
      <c r="B175" s="356" t="str" cm="1">
        <f t="array" ref="B175">IF(C175="","Skip",IF(AND(Validator!J169=TRUE,Validator!J419=TRUE,Validator!J669=TRUE,Validator!J919=TRUE,Validator!J1169=TRUE,Validator!J1419=TRUE,OR(ISBLANK($R175),ISNUMBER(VALUE(SUBSTITUTE(SUBSTITUTE(SUBSTITUTE(SUBSTITUTE($R175," ",""),"c",""),"C",""),"-","")))),OR(SUMPRODUCT(--($U175=Package_type_code))&gt;0,$U175="",$U175="-")),"Valid","Invalid"))</f>
        <v>Skip</v>
      </c>
      <c r="C175" s="70"/>
      <c r="D175" s="410"/>
      <c r="E175" s="411"/>
      <c r="F175" s="218" t="str">
        <f t="shared" si="4"/>
        <v>-</v>
      </c>
      <c r="G175" s="218"/>
      <c r="H175" s="178" t="str">
        <f t="shared" si="5"/>
        <v>-</v>
      </c>
      <c r="I175" s="203"/>
      <c r="J175" s="416"/>
      <c r="K175" s="400"/>
      <c r="L175" s="415"/>
      <c r="M175" s="322"/>
      <c r="N175" s="587"/>
      <c r="O175" s="403" t="s">
        <v>278</v>
      </c>
      <c r="P175" s="404" t="s">
        <v>77</v>
      </c>
      <c r="Q175" s="358"/>
      <c r="R175" s="320"/>
      <c r="S175" s="359"/>
      <c r="T175" s="359"/>
      <c r="U175" s="94" t="str">
        <f>IF(ISERROR(VLOOKUP($T175, 'Reference data'!$J$2:$K$139, 2, FALSE)),"-",VLOOKUP($T175, 'Reference data'!$J$2:$K$139, 2, FALSE))</f>
        <v>-</v>
      </c>
      <c r="V175" s="320"/>
      <c r="W175" s="320"/>
      <c r="X175" s="324"/>
      <c r="Y175" s="325"/>
      <c r="Z175" s="241"/>
      <c r="AA175" s="362"/>
      <c r="AB175" s="86"/>
      <c r="AC175" s="72"/>
      <c r="AD175" s="71"/>
      <c r="AE175" s="239" t="s">
        <v>278</v>
      </c>
      <c r="AF175" s="243" t="s">
        <v>77</v>
      </c>
    </row>
    <row r="176" spans="2:32" ht="12.75" customHeight="1" x14ac:dyDescent="0.2">
      <c r="B176" s="356" t="str" cm="1">
        <f t="array" ref="B176">IF(C176="","Skip",IF(AND(Validator!J170=TRUE,Validator!J420=TRUE,Validator!J670=TRUE,Validator!J920=TRUE,Validator!J1170=TRUE,Validator!J1420=TRUE,OR(ISBLANK($R176),ISNUMBER(VALUE(SUBSTITUTE(SUBSTITUTE(SUBSTITUTE(SUBSTITUTE($R176," ",""),"c",""),"C",""),"-","")))),OR(SUMPRODUCT(--($U176=Package_type_code))&gt;0,$U176="",$U176="-")),"Valid","Invalid"))</f>
        <v>Skip</v>
      </c>
      <c r="C176" s="70"/>
      <c r="D176" s="410"/>
      <c r="E176" s="411"/>
      <c r="F176" s="218" t="str">
        <f t="shared" si="4"/>
        <v>-</v>
      </c>
      <c r="G176" s="218"/>
      <c r="H176" s="178" t="str">
        <f t="shared" si="5"/>
        <v>-</v>
      </c>
      <c r="I176" s="203"/>
      <c r="J176" s="416"/>
      <c r="K176" s="400"/>
      <c r="L176" s="415"/>
      <c r="M176" s="322"/>
      <c r="N176" s="587"/>
      <c r="O176" s="403" t="s">
        <v>278</v>
      </c>
      <c r="P176" s="404" t="s">
        <v>77</v>
      </c>
      <c r="Q176" s="358"/>
      <c r="R176" s="320"/>
      <c r="S176" s="359"/>
      <c r="T176" s="359"/>
      <c r="U176" s="94" t="str">
        <f>IF(ISERROR(VLOOKUP($T176, 'Reference data'!$J$2:$K$139, 2, FALSE)),"-",VLOOKUP($T176, 'Reference data'!$J$2:$K$139, 2, FALSE))</f>
        <v>-</v>
      </c>
      <c r="V176" s="320"/>
      <c r="W176" s="320"/>
      <c r="X176" s="324"/>
      <c r="Y176" s="325"/>
      <c r="Z176" s="241"/>
      <c r="AA176" s="362"/>
      <c r="AB176" s="86"/>
      <c r="AC176" s="72"/>
      <c r="AD176" s="71"/>
      <c r="AE176" s="239" t="s">
        <v>278</v>
      </c>
      <c r="AF176" s="243" t="s">
        <v>77</v>
      </c>
    </row>
    <row r="177" spans="2:32" ht="12.75" customHeight="1" x14ac:dyDescent="0.2">
      <c r="B177" s="356" t="str" cm="1">
        <f t="array" ref="B177">IF(C177="","Skip",IF(AND(Validator!J171=TRUE,Validator!J421=TRUE,Validator!J671=TRUE,Validator!J921=TRUE,Validator!J1171=TRUE,Validator!J1421=TRUE,OR(ISBLANK($R177),ISNUMBER(VALUE(SUBSTITUTE(SUBSTITUTE(SUBSTITUTE(SUBSTITUTE($R177," ",""),"c",""),"C",""),"-","")))),OR(SUMPRODUCT(--($U177=Package_type_code))&gt;0,$U177="",$U177="-")),"Valid","Invalid"))</f>
        <v>Skip</v>
      </c>
      <c r="C177" s="70"/>
      <c r="D177" s="410"/>
      <c r="E177" s="411"/>
      <c r="F177" s="218" t="str">
        <f t="shared" si="4"/>
        <v>-</v>
      </c>
      <c r="G177" s="218"/>
      <c r="H177" s="178" t="str">
        <f t="shared" si="5"/>
        <v>-</v>
      </c>
      <c r="I177" s="203"/>
      <c r="J177" s="416"/>
      <c r="K177" s="400"/>
      <c r="L177" s="415"/>
      <c r="M177" s="322"/>
      <c r="N177" s="587"/>
      <c r="O177" s="403" t="s">
        <v>278</v>
      </c>
      <c r="P177" s="404" t="s">
        <v>77</v>
      </c>
      <c r="Q177" s="358"/>
      <c r="R177" s="320"/>
      <c r="S177" s="359"/>
      <c r="T177" s="359"/>
      <c r="U177" s="94" t="str">
        <f>IF(ISERROR(VLOOKUP($T177, 'Reference data'!$J$2:$K$139, 2, FALSE)),"-",VLOOKUP($T177, 'Reference data'!$J$2:$K$139, 2, FALSE))</f>
        <v>-</v>
      </c>
      <c r="V177" s="320"/>
      <c r="W177" s="320"/>
      <c r="X177" s="324"/>
      <c r="Y177" s="325"/>
      <c r="Z177" s="241"/>
      <c r="AA177" s="362"/>
      <c r="AB177" s="86"/>
      <c r="AC177" s="72"/>
      <c r="AD177" s="71"/>
      <c r="AE177" s="239" t="s">
        <v>278</v>
      </c>
      <c r="AF177" s="243" t="s">
        <v>77</v>
      </c>
    </row>
    <row r="178" spans="2:32" ht="12.75" customHeight="1" x14ac:dyDescent="0.2">
      <c r="B178" s="356" t="str" cm="1">
        <f t="array" ref="B178">IF(C178="","Skip",IF(AND(Validator!J172=TRUE,Validator!J422=TRUE,Validator!J672=TRUE,Validator!J922=TRUE,Validator!J1172=TRUE,Validator!J1422=TRUE,OR(ISBLANK($R178),ISNUMBER(VALUE(SUBSTITUTE(SUBSTITUTE(SUBSTITUTE(SUBSTITUTE($R178," ",""),"c",""),"C",""),"-","")))),OR(SUMPRODUCT(--($U178=Package_type_code))&gt;0,$U178="",$U178="-")),"Valid","Invalid"))</f>
        <v>Skip</v>
      </c>
      <c r="C178" s="70"/>
      <c r="D178" s="410"/>
      <c r="E178" s="411"/>
      <c r="F178" s="218" t="str">
        <f t="shared" si="4"/>
        <v>-</v>
      </c>
      <c r="G178" s="218"/>
      <c r="H178" s="178" t="str">
        <f t="shared" si="5"/>
        <v>-</v>
      </c>
      <c r="I178" s="203"/>
      <c r="J178" s="416"/>
      <c r="K178" s="400"/>
      <c r="L178" s="415"/>
      <c r="M178" s="322"/>
      <c r="N178" s="587"/>
      <c r="O178" s="403" t="s">
        <v>278</v>
      </c>
      <c r="P178" s="404" t="s">
        <v>77</v>
      </c>
      <c r="Q178" s="358"/>
      <c r="R178" s="320"/>
      <c r="S178" s="359"/>
      <c r="T178" s="359"/>
      <c r="U178" s="94" t="str">
        <f>IF(ISERROR(VLOOKUP($T178, 'Reference data'!$J$2:$K$139, 2, FALSE)),"-",VLOOKUP($T178, 'Reference data'!$J$2:$K$139, 2, FALSE))</f>
        <v>-</v>
      </c>
      <c r="V178" s="320"/>
      <c r="W178" s="320"/>
      <c r="X178" s="324"/>
      <c r="Y178" s="325"/>
      <c r="Z178" s="241"/>
      <c r="AA178" s="362"/>
      <c r="AB178" s="86"/>
      <c r="AC178" s="72"/>
      <c r="AD178" s="71"/>
      <c r="AE178" s="239" t="s">
        <v>278</v>
      </c>
      <c r="AF178" s="243" t="s">
        <v>77</v>
      </c>
    </row>
    <row r="179" spans="2:32" ht="12.75" customHeight="1" x14ac:dyDescent="0.2">
      <c r="B179" s="356" t="str" cm="1">
        <f t="array" ref="B179">IF(C179="","Skip",IF(AND(Validator!J173=TRUE,Validator!J423=TRUE,Validator!J673=TRUE,Validator!J923=TRUE,Validator!J1173=TRUE,Validator!J1423=TRUE,OR(ISBLANK($R179),ISNUMBER(VALUE(SUBSTITUTE(SUBSTITUTE(SUBSTITUTE(SUBSTITUTE($R179," ",""),"c",""),"C",""),"-","")))),OR(SUMPRODUCT(--($U179=Package_type_code))&gt;0,$U179="",$U179="-")),"Valid","Invalid"))</f>
        <v>Skip</v>
      </c>
      <c r="C179" s="70"/>
      <c r="D179" s="410"/>
      <c r="E179" s="411"/>
      <c r="F179" s="218" t="str">
        <f t="shared" si="4"/>
        <v>-</v>
      </c>
      <c r="G179" s="218"/>
      <c r="H179" s="178" t="str">
        <f t="shared" si="5"/>
        <v>-</v>
      </c>
      <c r="I179" s="203"/>
      <c r="J179" s="416"/>
      <c r="K179" s="400"/>
      <c r="L179" s="415"/>
      <c r="M179" s="322"/>
      <c r="N179" s="587"/>
      <c r="O179" s="403" t="s">
        <v>278</v>
      </c>
      <c r="P179" s="404" t="s">
        <v>77</v>
      </c>
      <c r="Q179" s="358"/>
      <c r="R179" s="320"/>
      <c r="S179" s="359"/>
      <c r="T179" s="359"/>
      <c r="U179" s="94" t="str">
        <f>IF(ISERROR(VLOOKUP($T179, 'Reference data'!$J$2:$K$139, 2, FALSE)),"-",VLOOKUP($T179, 'Reference data'!$J$2:$K$139, 2, FALSE))</f>
        <v>-</v>
      </c>
      <c r="V179" s="320"/>
      <c r="W179" s="320"/>
      <c r="X179" s="324"/>
      <c r="Y179" s="325"/>
      <c r="Z179" s="241"/>
      <c r="AA179" s="362"/>
      <c r="AB179" s="86"/>
      <c r="AC179" s="72"/>
      <c r="AD179" s="71"/>
      <c r="AE179" s="239" t="s">
        <v>278</v>
      </c>
      <c r="AF179" s="243" t="s">
        <v>77</v>
      </c>
    </row>
    <row r="180" spans="2:32" ht="12.75" customHeight="1" x14ac:dyDescent="0.2">
      <c r="B180" s="356" t="str" cm="1">
        <f t="array" ref="B180">IF(C180="","Skip",IF(AND(Validator!J174=TRUE,Validator!J424=TRUE,Validator!J674=TRUE,Validator!J924=TRUE,Validator!J1174=TRUE,Validator!J1424=TRUE,OR(ISBLANK($R180),ISNUMBER(VALUE(SUBSTITUTE(SUBSTITUTE(SUBSTITUTE(SUBSTITUTE($R180," ",""),"c",""),"C",""),"-","")))),OR(SUMPRODUCT(--($U180=Package_type_code))&gt;0,$U180="",$U180="-")),"Valid","Invalid"))</f>
        <v>Skip</v>
      </c>
      <c r="C180" s="70"/>
      <c r="D180" s="410"/>
      <c r="E180" s="411"/>
      <c r="F180" s="218" t="str">
        <f t="shared" si="4"/>
        <v>-</v>
      </c>
      <c r="G180" s="218"/>
      <c r="H180" s="178" t="str">
        <f t="shared" si="5"/>
        <v>-</v>
      </c>
      <c r="I180" s="203"/>
      <c r="J180" s="416"/>
      <c r="K180" s="400"/>
      <c r="L180" s="415"/>
      <c r="M180" s="322"/>
      <c r="N180" s="587"/>
      <c r="O180" s="403" t="s">
        <v>278</v>
      </c>
      <c r="P180" s="404" t="s">
        <v>77</v>
      </c>
      <c r="Q180" s="358"/>
      <c r="R180" s="320"/>
      <c r="S180" s="359"/>
      <c r="T180" s="359"/>
      <c r="U180" s="94" t="str">
        <f>IF(ISERROR(VLOOKUP($T180, 'Reference data'!$J$2:$K$139, 2, FALSE)),"-",VLOOKUP($T180, 'Reference data'!$J$2:$K$139, 2, FALSE))</f>
        <v>-</v>
      </c>
      <c r="V180" s="320"/>
      <c r="W180" s="320"/>
      <c r="X180" s="324"/>
      <c r="Y180" s="325"/>
      <c r="Z180" s="241"/>
      <c r="AA180" s="362"/>
      <c r="AB180" s="86"/>
      <c r="AC180" s="72"/>
      <c r="AD180" s="71"/>
      <c r="AE180" s="239" t="s">
        <v>278</v>
      </c>
      <c r="AF180" s="243" t="s">
        <v>77</v>
      </c>
    </row>
    <row r="181" spans="2:32" ht="12.75" customHeight="1" x14ac:dyDescent="0.2">
      <c r="B181" s="356" t="str" cm="1">
        <f t="array" ref="B181">IF(C181="","Skip",IF(AND(Validator!J175=TRUE,Validator!J425=TRUE,Validator!J675=TRUE,Validator!J925=TRUE,Validator!J1175=TRUE,Validator!J1425=TRUE,OR(ISBLANK($R181),ISNUMBER(VALUE(SUBSTITUTE(SUBSTITUTE(SUBSTITUTE(SUBSTITUTE($R181," ",""),"c",""),"C",""),"-","")))),OR(SUMPRODUCT(--($U181=Package_type_code))&gt;0,$U181="",$U181="-")),"Valid","Invalid"))</f>
        <v>Skip</v>
      </c>
      <c r="C181" s="70"/>
      <c r="D181" s="410"/>
      <c r="E181" s="411"/>
      <c r="F181" s="218" t="str">
        <f t="shared" si="4"/>
        <v>-</v>
      </c>
      <c r="G181" s="218"/>
      <c r="H181" s="178" t="str">
        <f t="shared" si="5"/>
        <v>-</v>
      </c>
      <c r="I181" s="203"/>
      <c r="J181" s="416"/>
      <c r="K181" s="400"/>
      <c r="L181" s="415"/>
      <c r="M181" s="322"/>
      <c r="N181" s="587"/>
      <c r="O181" s="403" t="s">
        <v>278</v>
      </c>
      <c r="P181" s="404" t="s">
        <v>77</v>
      </c>
      <c r="Q181" s="358"/>
      <c r="R181" s="320"/>
      <c r="S181" s="359"/>
      <c r="T181" s="359"/>
      <c r="U181" s="94" t="str">
        <f>IF(ISERROR(VLOOKUP($T181, 'Reference data'!$J$2:$K$139, 2, FALSE)),"-",VLOOKUP($T181, 'Reference data'!$J$2:$K$139, 2, FALSE))</f>
        <v>-</v>
      </c>
      <c r="V181" s="320"/>
      <c r="W181" s="320"/>
      <c r="X181" s="324"/>
      <c r="Y181" s="325"/>
      <c r="Z181" s="241"/>
      <c r="AA181" s="362"/>
      <c r="AB181" s="86"/>
      <c r="AC181" s="72"/>
      <c r="AD181" s="71"/>
      <c r="AE181" s="239" t="s">
        <v>278</v>
      </c>
      <c r="AF181" s="243" t="s">
        <v>77</v>
      </c>
    </row>
    <row r="182" spans="2:32" ht="12.75" customHeight="1" x14ac:dyDescent="0.2">
      <c r="B182" s="356" t="str" cm="1">
        <f t="array" ref="B182">IF(C182="","Skip",IF(AND(Validator!J176=TRUE,Validator!J426=TRUE,Validator!J676=TRUE,Validator!J926=TRUE,Validator!J1176=TRUE,Validator!J1426=TRUE,OR(ISBLANK($R182),ISNUMBER(VALUE(SUBSTITUTE(SUBSTITUTE(SUBSTITUTE(SUBSTITUTE($R182," ",""),"c",""),"C",""),"-","")))),OR(SUMPRODUCT(--($U182=Package_type_code))&gt;0,$U182="",$U182="-")),"Valid","Invalid"))</f>
        <v>Skip</v>
      </c>
      <c r="C182" s="70"/>
      <c r="D182" s="410"/>
      <c r="E182" s="411"/>
      <c r="F182" s="218" t="str">
        <f t="shared" si="4"/>
        <v>-</v>
      </c>
      <c r="G182" s="218"/>
      <c r="H182" s="178" t="str">
        <f t="shared" si="5"/>
        <v>-</v>
      </c>
      <c r="I182" s="203"/>
      <c r="J182" s="416"/>
      <c r="K182" s="400"/>
      <c r="L182" s="415"/>
      <c r="M182" s="322"/>
      <c r="N182" s="587"/>
      <c r="O182" s="403" t="s">
        <v>278</v>
      </c>
      <c r="P182" s="404" t="s">
        <v>77</v>
      </c>
      <c r="Q182" s="358"/>
      <c r="R182" s="320"/>
      <c r="S182" s="359"/>
      <c r="T182" s="359"/>
      <c r="U182" s="94" t="str">
        <f>IF(ISERROR(VLOOKUP($T182, 'Reference data'!$J$2:$K$139, 2, FALSE)),"-",VLOOKUP($T182, 'Reference data'!$J$2:$K$139, 2, FALSE))</f>
        <v>-</v>
      </c>
      <c r="V182" s="320"/>
      <c r="W182" s="320"/>
      <c r="X182" s="324"/>
      <c r="Y182" s="325"/>
      <c r="Z182" s="241"/>
      <c r="AA182" s="362"/>
      <c r="AB182" s="86"/>
      <c r="AC182" s="72"/>
      <c r="AD182" s="71"/>
      <c r="AE182" s="239" t="s">
        <v>278</v>
      </c>
      <c r="AF182" s="243" t="s">
        <v>77</v>
      </c>
    </row>
    <row r="183" spans="2:32" ht="12.75" customHeight="1" x14ac:dyDescent="0.2">
      <c r="B183" s="356" t="str" cm="1">
        <f t="array" ref="B183">IF(C183="","Skip",IF(AND(Validator!J177=TRUE,Validator!J427=TRUE,Validator!J677=TRUE,Validator!J927=TRUE,Validator!J1177=TRUE,Validator!J1427=TRUE,OR(ISBLANK($R183),ISNUMBER(VALUE(SUBSTITUTE(SUBSTITUTE(SUBSTITUTE(SUBSTITUTE($R183," ",""),"c",""),"C",""),"-","")))),OR(SUMPRODUCT(--($U183=Package_type_code))&gt;0,$U183="",$U183="-")),"Valid","Invalid"))</f>
        <v>Skip</v>
      </c>
      <c r="C183" s="70"/>
      <c r="D183" s="410"/>
      <c r="E183" s="411"/>
      <c r="F183" s="218" t="str">
        <f t="shared" si="4"/>
        <v>-</v>
      </c>
      <c r="G183" s="218"/>
      <c r="H183" s="178" t="str">
        <f t="shared" si="5"/>
        <v>-</v>
      </c>
      <c r="I183" s="203"/>
      <c r="J183" s="416"/>
      <c r="K183" s="400"/>
      <c r="L183" s="415"/>
      <c r="M183" s="322"/>
      <c r="N183" s="587"/>
      <c r="O183" s="403" t="s">
        <v>278</v>
      </c>
      <c r="P183" s="404" t="s">
        <v>77</v>
      </c>
      <c r="Q183" s="358"/>
      <c r="R183" s="320"/>
      <c r="S183" s="359"/>
      <c r="T183" s="359"/>
      <c r="U183" s="94" t="str">
        <f>IF(ISERROR(VLOOKUP($T183, 'Reference data'!$J$2:$K$139, 2, FALSE)),"-",VLOOKUP($T183, 'Reference data'!$J$2:$K$139, 2, FALSE))</f>
        <v>-</v>
      </c>
      <c r="V183" s="320"/>
      <c r="W183" s="320"/>
      <c r="X183" s="324"/>
      <c r="Y183" s="325"/>
      <c r="Z183" s="241"/>
      <c r="AA183" s="362"/>
      <c r="AB183" s="86"/>
      <c r="AC183" s="72"/>
      <c r="AD183" s="71"/>
      <c r="AE183" s="239" t="s">
        <v>278</v>
      </c>
      <c r="AF183" s="243" t="s">
        <v>77</v>
      </c>
    </row>
    <row r="184" spans="2:32" ht="12.75" customHeight="1" x14ac:dyDescent="0.2">
      <c r="B184" s="356" t="str" cm="1">
        <f t="array" ref="B184">IF(C184="","Skip",IF(AND(Validator!J178=TRUE,Validator!J428=TRUE,Validator!J678=TRUE,Validator!J928=TRUE,Validator!J1178=TRUE,Validator!J1428=TRUE,OR(ISBLANK($R184),ISNUMBER(VALUE(SUBSTITUTE(SUBSTITUTE(SUBSTITUTE(SUBSTITUTE($R184," ",""),"c",""),"C",""),"-","")))),OR(SUMPRODUCT(--($U184=Package_type_code))&gt;0,$U184="",$U184="-")),"Valid","Invalid"))</f>
        <v>Skip</v>
      </c>
      <c r="C184" s="70"/>
      <c r="D184" s="410"/>
      <c r="E184" s="411"/>
      <c r="F184" s="218" t="str">
        <f t="shared" si="4"/>
        <v>-</v>
      </c>
      <c r="G184" s="218"/>
      <c r="H184" s="178" t="str">
        <f t="shared" si="5"/>
        <v>-</v>
      </c>
      <c r="I184" s="203"/>
      <c r="J184" s="416"/>
      <c r="K184" s="400"/>
      <c r="L184" s="415"/>
      <c r="M184" s="322"/>
      <c r="N184" s="587"/>
      <c r="O184" s="403" t="s">
        <v>278</v>
      </c>
      <c r="P184" s="404" t="s">
        <v>77</v>
      </c>
      <c r="Q184" s="358"/>
      <c r="R184" s="320"/>
      <c r="S184" s="359"/>
      <c r="T184" s="359"/>
      <c r="U184" s="94" t="str">
        <f>IF(ISERROR(VLOOKUP($T184, 'Reference data'!$J$2:$K$139, 2, FALSE)),"-",VLOOKUP($T184, 'Reference data'!$J$2:$K$139, 2, FALSE))</f>
        <v>-</v>
      </c>
      <c r="V184" s="320"/>
      <c r="W184" s="320"/>
      <c r="X184" s="324"/>
      <c r="Y184" s="325"/>
      <c r="Z184" s="241"/>
      <c r="AA184" s="362"/>
      <c r="AB184" s="86"/>
      <c r="AC184" s="72"/>
      <c r="AD184" s="71"/>
      <c r="AE184" s="239" t="s">
        <v>278</v>
      </c>
      <c r="AF184" s="243" t="s">
        <v>77</v>
      </c>
    </row>
    <row r="185" spans="2:32" ht="12.75" customHeight="1" x14ac:dyDescent="0.2">
      <c r="B185" s="356" t="str" cm="1">
        <f t="array" ref="B185">IF(C185="","Skip",IF(AND(Validator!J179=TRUE,Validator!J429=TRUE,Validator!J679=TRUE,Validator!J929=TRUE,Validator!J1179=TRUE,Validator!J1429=TRUE,OR(ISBLANK($R185),ISNUMBER(VALUE(SUBSTITUTE(SUBSTITUTE(SUBSTITUTE(SUBSTITUTE($R185," ",""),"c",""),"C",""),"-","")))),OR(SUMPRODUCT(--($U185=Package_type_code))&gt;0,$U185="",$U185="-")),"Valid","Invalid"))</f>
        <v>Skip</v>
      </c>
      <c r="C185" s="70"/>
      <c r="D185" s="410"/>
      <c r="E185" s="411"/>
      <c r="F185" s="218" t="str">
        <f t="shared" si="4"/>
        <v>-</v>
      </c>
      <c r="G185" s="218"/>
      <c r="H185" s="178" t="str">
        <f t="shared" si="5"/>
        <v>-</v>
      </c>
      <c r="I185" s="203"/>
      <c r="J185" s="416"/>
      <c r="K185" s="400"/>
      <c r="L185" s="415"/>
      <c r="M185" s="322"/>
      <c r="N185" s="587"/>
      <c r="O185" s="403" t="s">
        <v>278</v>
      </c>
      <c r="P185" s="404" t="s">
        <v>77</v>
      </c>
      <c r="Q185" s="358"/>
      <c r="R185" s="320"/>
      <c r="S185" s="359"/>
      <c r="T185" s="359"/>
      <c r="U185" s="94" t="str">
        <f>IF(ISERROR(VLOOKUP($T185, 'Reference data'!$J$2:$K$139, 2, FALSE)),"-",VLOOKUP($T185, 'Reference data'!$J$2:$K$139, 2, FALSE))</f>
        <v>-</v>
      </c>
      <c r="V185" s="320"/>
      <c r="W185" s="320"/>
      <c r="X185" s="324"/>
      <c r="Y185" s="325"/>
      <c r="Z185" s="241"/>
      <c r="AA185" s="362"/>
      <c r="AB185" s="86"/>
      <c r="AC185" s="72"/>
      <c r="AD185" s="71"/>
      <c r="AE185" s="239" t="s">
        <v>278</v>
      </c>
      <c r="AF185" s="243" t="s">
        <v>77</v>
      </c>
    </row>
    <row r="186" spans="2:32" ht="12.75" customHeight="1" x14ac:dyDescent="0.2">
      <c r="B186" s="356" t="str" cm="1">
        <f t="array" ref="B186">IF(C186="","Skip",IF(AND(Validator!J180=TRUE,Validator!J430=TRUE,Validator!J680=TRUE,Validator!J930=TRUE,Validator!J1180=TRUE,Validator!J1430=TRUE,OR(ISBLANK($R186),ISNUMBER(VALUE(SUBSTITUTE(SUBSTITUTE(SUBSTITUTE(SUBSTITUTE($R186," ",""),"c",""),"C",""),"-","")))),OR(SUMPRODUCT(--($U186=Package_type_code))&gt;0,$U186="",$U186="-")),"Valid","Invalid"))</f>
        <v>Skip</v>
      </c>
      <c r="C186" s="70"/>
      <c r="D186" s="410"/>
      <c r="E186" s="411"/>
      <c r="F186" s="218" t="str">
        <f t="shared" si="4"/>
        <v>-</v>
      </c>
      <c r="G186" s="218"/>
      <c r="H186" s="178" t="str">
        <f t="shared" si="5"/>
        <v>-</v>
      </c>
      <c r="I186" s="203"/>
      <c r="J186" s="416"/>
      <c r="K186" s="400"/>
      <c r="L186" s="415"/>
      <c r="M186" s="322"/>
      <c r="N186" s="587"/>
      <c r="O186" s="403" t="s">
        <v>278</v>
      </c>
      <c r="P186" s="404" t="s">
        <v>77</v>
      </c>
      <c r="Q186" s="358"/>
      <c r="R186" s="320"/>
      <c r="S186" s="359"/>
      <c r="T186" s="359"/>
      <c r="U186" s="94" t="str">
        <f>IF(ISERROR(VLOOKUP($T186, 'Reference data'!$J$2:$K$139, 2, FALSE)),"-",VLOOKUP($T186, 'Reference data'!$J$2:$K$139, 2, FALSE))</f>
        <v>-</v>
      </c>
      <c r="V186" s="320"/>
      <c r="W186" s="320"/>
      <c r="X186" s="324"/>
      <c r="Y186" s="325"/>
      <c r="Z186" s="241"/>
      <c r="AA186" s="362"/>
      <c r="AB186" s="86"/>
      <c r="AC186" s="72"/>
      <c r="AD186" s="71"/>
      <c r="AE186" s="239" t="s">
        <v>278</v>
      </c>
      <c r="AF186" s="243" t="s">
        <v>77</v>
      </c>
    </row>
    <row r="187" spans="2:32" ht="12.75" customHeight="1" x14ac:dyDescent="0.2">
      <c r="B187" s="356" t="str" cm="1">
        <f t="array" ref="B187">IF(C187="","Skip",IF(AND(Validator!J181=TRUE,Validator!J431=TRUE,Validator!J681=TRUE,Validator!J931=TRUE,Validator!J1181=TRUE,Validator!J1431=TRUE,OR(ISBLANK($R187),ISNUMBER(VALUE(SUBSTITUTE(SUBSTITUTE(SUBSTITUTE(SUBSTITUTE($R187," ",""),"c",""),"C",""),"-","")))),OR(SUMPRODUCT(--($U187=Package_type_code))&gt;0,$U187="",$U187="-")),"Valid","Invalid"))</f>
        <v>Skip</v>
      </c>
      <c r="C187" s="70"/>
      <c r="D187" s="410"/>
      <c r="E187" s="411"/>
      <c r="F187" s="218" t="str">
        <f t="shared" si="4"/>
        <v>-</v>
      </c>
      <c r="G187" s="218"/>
      <c r="H187" s="178" t="str">
        <f t="shared" si="5"/>
        <v>-</v>
      </c>
      <c r="I187" s="203"/>
      <c r="J187" s="416"/>
      <c r="K187" s="400"/>
      <c r="L187" s="415"/>
      <c r="M187" s="322"/>
      <c r="N187" s="587"/>
      <c r="O187" s="403" t="s">
        <v>278</v>
      </c>
      <c r="P187" s="404" t="s">
        <v>77</v>
      </c>
      <c r="Q187" s="358"/>
      <c r="R187" s="320"/>
      <c r="S187" s="359"/>
      <c r="T187" s="359"/>
      <c r="U187" s="94" t="str">
        <f>IF(ISERROR(VLOOKUP($T187, 'Reference data'!$J$2:$K$139, 2, FALSE)),"-",VLOOKUP($T187, 'Reference data'!$J$2:$K$139, 2, FALSE))</f>
        <v>-</v>
      </c>
      <c r="V187" s="320"/>
      <c r="W187" s="320"/>
      <c r="X187" s="324"/>
      <c r="Y187" s="325"/>
      <c r="Z187" s="241"/>
      <c r="AA187" s="362"/>
      <c r="AB187" s="86"/>
      <c r="AC187" s="72"/>
      <c r="AD187" s="71"/>
      <c r="AE187" s="239" t="s">
        <v>278</v>
      </c>
      <c r="AF187" s="243" t="s">
        <v>77</v>
      </c>
    </row>
    <row r="188" spans="2:32" ht="12.75" customHeight="1" x14ac:dyDescent="0.2">
      <c r="B188" s="356" t="str" cm="1">
        <f t="array" ref="B188">IF(C188="","Skip",IF(AND(Validator!J182=TRUE,Validator!J432=TRUE,Validator!J682=TRUE,Validator!J932=TRUE,Validator!J1182=TRUE,Validator!J1432=TRUE,OR(ISBLANK($R188),ISNUMBER(VALUE(SUBSTITUTE(SUBSTITUTE(SUBSTITUTE(SUBSTITUTE($R188," ",""),"c",""),"C",""),"-","")))),OR(SUMPRODUCT(--($U188=Package_type_code))&gt;0,$U188="",$U188="-")),"Valid","Invalid"))</f>
        <v>Skip</v>
      </c>
      <c r="C188" s="70"/>
      <c r="D188" s="410"/>
      <c r="E188" s="411"/>
      <c r="F188" s="218" t="str">
        <f t="shared" si="4"/>
        <v>-</v>
      </c>
      <c r="G188" s="218"/>
      <c r="H188" s="178" t="str">
        <f t="shared" si="5"/>
        <v>-</v>
      </c>
      <c r="I188" s="203"/>
      <c r="J188" s="416"/>
      <c r="K188" s="400"/>
      <c r="L188" s="415"/>
      <c r="M188" s="322"/>
      <c r="N188" s="587"/>
      <c r="O188" s="403" t="s">
        <v>278</v>
      </c>
      <c r="P188" s="404" t="s">
        <v>77</v>
      </c>
      <c r="Q188" s="358"/>
      <c r="R188" s="320"/>
      <c r="S188" s="359"/>
      <c r="T188" s="359"/>
      <c r="U188" s="94" t="str">
        <f>IF(ISERROR(VLOOKUP($T188, 'Reference data'!$J$2:$K$139, 2, FALSE)),"-",VLOOKUP($T188, 'Reference data'!$J$2:$K$139, 2, FALSE))</f>
        <v>-</v>
      </c>
      <c r="V188" s="320"/>
      <c r="W188" s="320"/>
      <c r="X188" s="324"/>
      <c r="Y188" s="325"/>
      <c r="Z188" s="241"/>
      <c r="AA188" s="362"/>
      <c r="AB188" s="86"/>
      <c r="AC188" s="72"/>
      <c r="AD188" s="71"/>
      <c r="AE188" s="239" t="s">
        <v>278</v>
      </c>
      <c r="AF188" s="243" t="s">
        <v>77</v>
      </c>
    </row>
    <row r="189" spans="2:32" ht="12.75" customHeight="1" x14ac:dyDescent="0.2">
      <c r="B189" s="356" t="str" cm="1">
        <f t="array" ref="B189">IF(C189="","Skip",IF(AND(Validator!J183=TRUE,Validator!J433=TRUE,Validator!J683=TRUE,Validator!J933=TRUE,Validator!J1183=TRUE,Validator!J1433=TRUE,OR(ISBLANK($R189),ISNUMBER(VALUE(SUBSTITUTE(SUBSTITUTE(SUBSTITUTE(SUBSTITUTE($R189," ",""),"c",""),"C",""),"-","")))),OR(SUMPRODUCT(--($U189=Package_type_code))&gt;0,$U189="",$U189="-")),"Valid","Invalid"))</f>
        <v>Skip</v>
      </c>
      <c r="C189" s="70"/>
      <c r="D189" s="410"/>
      <c r="E189" s="411"/>
      <c r="F189" s="218" t="str">
        <f t="shared" si="4"/>
        <v>-</v>
      </c>
      <c r="G189" s="218"/>
      <c r="H189" s="178" t="str">
        <f t="shared" si="5"/>
        <v>-</v>
      </c>
      <c r="I189" s="203"/>
      <c r="J189" s="416"/>
      <c r="K189" s="400"/>
      <c r="L189" s="415"/>
      <c r="M189" s="322"/>
      <c r="N189" s="587"/>
      <c r="O189" s="403" t="s">
        <v>278</v>
      </c>
      <c r="P189" s="404" t="s">
        <v>77</v>
      </c>
      <c r="Q189" s="358"/>
      <c r="R189" s="320"/>
      <c r="S189" s="359"/>
      <c r="T189" s="359"/>
      <c r="U189" s="94" t="str">
        <f>IF(ISERROR(VLOOKUP($T189, 'Reference data'!$J$2:$K$139, 2, FALSE)),"-",VLOOKUP($T189, 'Reference data'!$J$2:$K$139, 2, FALSE))</f>
        <v>-</v>
      </c>
      <c r="V189" s="320"/>
      <c r="W189" s="320"/>
      <c r="X189" s="324"/>
      <c r="Y189" s="325"/>
      <c r="Z189" s="241"/>
      <c r="AA189" s="362"/>
      <c r="AB189" s="86"/>
      <c r="AC189" s="72"/>
      <c r="AD189" s="71"/>
      <c r="AE189" s="239" t="s">
        <v>278</v>
      </c>
      <c r="AF189" s="243" t="s">
        <v>77</v>
      </c>
    </row>
    <row r="190" spans="2:32" ht="12.75" customHeight="1" x14ac:dyDescent="0.2">
      <c r="B190" s="356" t="str" cm="1">
        <f t="array" ref="B190">IF(C190="","Skip",IF(AND(Validator!J184=TRUE,Validator!J434=TRUE,Validator!J684=TRUE,Validator!J934=TRUE,Validator!J1184=TRUE,Validator!J1434=TRUE,OR(ISBLANK($R190),ISNUMBER(VALUE(SUBSTITUTE(SUBSTITUTE(SUBSTITUTE(SUBSTITUTE($R190," ",""),"c",""),"C",""),"-","")))),OR(SUMPRODUCT(--($U190=Package_type_code))&gt;0,$U190="",$U190="-")),"Valid","Invalid"))</f>
        <v>Skip</v>
      </c>
      <c r="C190" s="70"/>
      <c r="D190" s="410"/>
      <c r="E190" s="411"/>
      <c r="F190" s="218" t="str">
        <f t="shared" si="4"/>
        <v>-</v>
      </c>
      <c r="G190" s="218"/>
      <c r="H190" s="178" t="str">
        <f t="shared" si="5"/>
        <v>-</v>
      </c>
      <c r="I190" s="203"/>
      <c r="J190" s="416"/>
      <c r="K190" s="400"/>
      <c r="L190" s="415"/>
      <c r="M190" s="322"/>
      <c r="N190" s="587"/>
      <c r="O190" s="403" t="s">
        <v>278</v>
      </c>
      <c r="P190" s="404" t="s">
        <v>77</v>
      </c>
      <c r="Q190" s="358"/>
      <c r="R190" s="320"/>
      <c r="S190" s="359"/>
      <c r="T190" s="359"/>
      <c r="U190" s="94" t="str">
        <f>IF(ISERROR(VLOOKUP($T190, 'Reference data'!$J$2:$K$139, 2, FALSE)),"-",VLOOKUP($T190, 'Reference data'!$J$2:$K$139, 2, FALSE))</f>
        <v>-</v>
      </c>
      <c r="V190" s="320"/>
      <c r="W190" s="320"/>
      <c r="X190" s="324"/>
      <c r="Y190" s="325"/>
      <c r="Z190" s="241"/>
      <c r="AA190" s="362"/>
      <c r="AB190" s="86"/>
      <c r="AC190" s="72"/>
      <c r="AD190" s="71"/>
      <c r="AE190" s="239" t="s">
        <v>278</v>
      </c>
      <c r="AF190" s="243" t="s">
        <v>77</v>
      </c>
    </row>
    <row r="191" spans="2:32" ht="12.75" customHeight="1" x14ac:dyDescent="0.2">
      <c r="B191" s="356" t="str" cm="1">
        <f t="array" ref="B191">IF(C191="","Skip",IF(AND(Validator!J185=TRUE,Validator!J435=TRUE,Validator!J685=TRUE,Validator!J935=TRUE,Validator!J1185=TRUE,Validator!J1435=TRUE,OR(ISBLANK($R191),ISNUMBER(VALUE(SUBSTITUTE(SUBSTITUTE(SUBSTITUTE(SUBSTITUTE($R191," ",""),"c",""),"C",""),"-","")))),OR(SUMPRODUCT(--($U191=Package_type_code))&gt;0,$U191="",$U191="-")),"Valid","Invalid"))</f>
        <v>Skip</v>
      </c>
      <c r="C191" s="70"/>
      <c r="D191" s="410"/>
      <c r="E191" s="411"/>
      <c r="F191" s="218" t="str">
        <f t="shared" si="4"/>
        <v>-</v>
      </c>
      <c r="G191" s="218"/>
      <c r="H191" s="178" t="str">
        <f t="shared" si="5"/>
        <v>-</v>
      </c>
      <c r="I191" s="203"/>
      <c r="J191" s="416"/>
      <c r="K191" s="400"/>
      <c r="L191" s="415"/>
      <c r="M191" s="322"/>
      <c r="N191" s="587"/>
      <c r="O191" s="403" t="s">
        <v>278</v>
      </c>
      <c r="P191" s="404" t="s">
        <v>77</v>
      </c>
      <c r="Q191" s="358"/>
      <c r="R191" s="320"/>
      <c r="S191" s="359"/>
      <c r="T191" s="359"/>
      <c r="U191" s="94" t="str">
        <f>IF(ISERROR(VLOOKUP($T191, 'Reference data'!$J$2:$K$139, 2, FALSE)),"-",VLOOKUP($T191, 'Reference data'!$J$2:$K$139, 2, FALSE))</f>
        <v>-</v>
      </c>
      <c r="V191" s="320"/>
      <c r="W191" s="320"/>
      <c r="X191" s="324"/>
      <c r="Y191" s="325"/>
      <c r="Z191" s="241"/>
      <c r="AA191" s="362"/>
      <c r="AB191" s="86"/>
      <c r="AC191" s="72"/>
      <c r="AD191" s="71"/>
      <c r="AE191" s="239" t="s">
        <v>278</v>
      </c>
      <c r="AF191" s="243" t="s">
        <v>77</v>
      </c>
    </row>
    <row r="192" spans="2:32" ht="12.75" customHeight="1" x14ac:dyDescent="0.2">
      <c r="B192" s="356" t="str" cm="1">
        <f t="array" ref="B192">IF(C192="","Skip",IF(AND(Validator!J186=TRUE,Validator!J436=TRUE,Validator!J686=TRUE,Validator!J936=TRUE,Validator!J1186=TRUE,Validator!J1436=TRUE,OR(ISBLANK($R192),ISNUMBER(VALUE(SUBSTITUTE(SUBSTITUTE(SUBSTITUTE(SUBSTITUTE($R192," ",""),"c",""),"C",""),"-","")))),OR(SUMPRODUCT(--($U192=Package_type_code))&gt;0,$U192="",$U192="-")),"Valid","Invalid"))</f>
        <v>Skip</v>
      </c>
      <c r="C192" s="70"/>
      <c r="D192" s="410"/>
      <c r="E192" s="411"/>
      <c r="F192" s="218" t="str">
        <f t="shared" si="4"/>
        <v>-</v>
      </c>
      <c r="G192" s="218"/>
      <c r="H192" s="178" t="str">
        <f t="shared" si="5"/>
        <v>-</v>
      </c>
      <c r="I192" s="203"/>
      <c r="J192" s="416"/>
      <c r="K192" s="400"/>
      <c r="L192" s="415"/>
      <c r="M192" s="322"/>
      <c r="N192" s="587"/>
      <c r="O192" s="403" t="s">
        <v>278</v>
      </c>
      <c r="P192" s="404" t="s">
        <v>77</v>
      </c>
      <c r="Q192" s="358"/>
      <c r="R192" s="320"/>
      <c r="S192" s="359"/>
      <c r="T192" s="359"/>
      <c r="U192" s="94" t="str">
        <f>IF(ISERROR(VLOOKUP($T192, 'Reference data'!$J$2:$K$139, 2, FALSE)),"-",VLOOKUP($T192, 'Reference data'!$J$2:$K$139, 2, FALSE))</f>
        <v>-</v>
      </c>
      <c r="V192" s="320"/>
      <c r="W192" s="320"/>
      <c r="X192" s="324"/>
      <c r="Y192" s="325"/>
      <c r="Z192" s="241"/>
      <c r="AA192" s="362"/>
      <c r="AB192" s="86"/>
      <c r="AC192" s="72"/>
      <c r="AD192" s="71"/>
      <c r="AE192" s="239" t="s">
        <v>278</v>
      </c>
      <c r="AF192" s="243" t="s">
        <v>77</v>
      </c>
    </row>
    <row r="193" spans="2:32" ht="12.75" customHeight="1" x14ac:dyDescent="0.2">
      <c r="B193" s="356" t="str" cm="1">
        <f t="array" ref="B193">IF(C193="","Skip",IF(AND(Validator!J187=TRUE,Validator!J437=TRUE,Validator!J687=TRUE,Validator!J937=TRUE,Validator!J1187=TRUE,Validator!J1437=TRUE,OR(ISBLANK($R193),ISNUMBER(VALUE(SUBSTITUTE(SUBSTITUTE(SUBSTITUTE(SUBSTITUTE($R193," ",""),"c",""),"C",""),"-","")))),OR(SUMPRODUCT(--($U193=Package_type_code))&gt;0,$U193="",$U193="-")),"Valid","Invalid"))</f>
        <v>Skip</v>
      </c>
      <c r="C193" s="70"/>
      <c r="D193" s="410"/>
      <c r="E193" s="411"/>
      <c r="F193" s="218" t="str">
        <f t="shared" si="4"/>
        <v>-</v>
      </c>
      <c r="G193" s="218"/>
      <c r="H193" s="178" t="str">
        <f t="shared" si="5"/>
        <v>-</v>
      </c>
      <c r="I193" s="203"/>
      <c r="J193" s="416"/>
      <c r="K193" s="400"/>
      <c r="L193" s="415"/>
      <c r="M193" s="322"/>
      <c r="N193" s="587"/>
      <c r="O193" s="403" t="s">
        <v>278</v>
      </c>
      <c r="P193" s="404" t="s">
        <v>77</v>
      </c>
      <c r="Q193" s="358"/>
      <c r="R193" s="320"/>
      <c r="S193" s="359"/>
      <c r="T193" s="359"/>
      <c r="U193" s="94" t="str">
        <f>IF(ISERROR(VLOOKUP($T193, 'Reference data'!$J$2:$K$139, 2, FALSE)),"-",VLOOKUP($T193, 'Reference data'!$J$2:$K$139, 2, FALSE))</f>
        <v>-</v>
      </c>
      <c r="V193" s="320"/>
      <c r="W193" s="320"/>
      <c r="X193" s="324"/>
      <c r="Y193" s="325"/>
      <c r="Z193" s="241"/>
      <c r="AA193" s="362"/>
      <c r="AB193" s="86"/>
      <c r="AC193" s="72"/>
      <c r="AD193" s="71"/>
      <c r="AE193" s="239" t="s">
        <v>278</v>
      </c>
      <c r="AF193" s="243" t="s">
        <v>77</v>
      </c>
    </row>
    <row r="194" spans="2:32" ht="12.75" customHeight="1" x14ac:dyDescent="0.2">
      <c r="B194" s="356" t="str" cm="1">
        <f t="array" ref="B194">IF(C194="","Skip",IF(AND(Validator!J188=TRUE,Validator!J438=TRUE,Validator!J688=TRUE,Validator!J938=TRUE,Validator!J1188=TRUE,Validator!J1438=TRUE,OR(ISBLANK($R194),ISNUMBER(VALUE(SUBSTITUTE(SUBSTITUTE(SUBSTITUTE(SUBSTITUTE($R194," ",""),"c",""),"C",""),"-","")))),OR(SUMPRODUCT(--($U194=Package_type_code))&gt;0,$U194="",$U194="-")),"Valid","Invalid"))</f>
        <v>Skip</v>
      </c>
      <c r="C194" s="70"/>
      <c r="D194" s="410"/>
      <c r="E194" s="411"/>
      <c r="F194" s="218" t="str">
        <f t="shared" si="4"/>
        <v>-</v>
      </c>
      <c r="G194" s="218"/>
      <c r="H194" s="178" t="str">
        <f t="shared" si="5"/>
        <v>-</v>
      </c>
      <c r="I194" s="203"/>
      <c r="J194" s="416"/>
      <c r="K194" s="400"/>
      <c r="L194" s="415"/>
      <c r="M194" s="322"/>
      <c r="N194" s="587"/>
      <c r="O194" s="403" t="s">
        <v>278</v>
      </c>
      <c r="P194" s="404" t="s">
        <v>77</v>
      </c>
      <c r="Q194" s="358"/>
      <c r="R194" s="320"/>
      <c r="S194" s="359"/>
      <c r="T194" s="359"/>
      <c r="U194" s="94" t="str">
        <f>IF(ISERROR(VLOOKUP($T194, 'Reference data'!$J$2:$K$139, 2, FALSE)),"-",VLOOKUP($T194, 'Reference data'!$J$2:$K$139, 2, FALSE))</f>
        <v>-</v>
      </c>
      <c r="V194" s="320"/>
      <c r="W194" s="320"/>
      <c r="X194" s="324"/>
      <c r="Y194" s="325"/>
      <c r="Z194" s="241"/>
      <c r="AA194" s="362"/>
      <c r="AB194" s="86"/>
      <c r="AC194" s="72"/>
      <c r="AD194" s="71"/>
      <c r="AE194" s="239" t="s">
        <v>278</v>
      </c>
      <c r="AF194" s="243" t="s">
        <v>77</v>
      </c>
    </row>
    <row r="195" spans="2:32" ht="12.75" customHeight="1" x14ac:dyDescent="0.2">
      <c r="B195" s="356" t="str" cm="1">
        <f t="array" ref="B195">IF(C195="","Skip",IF(AND(Validator!J189=TRUE,Validator!J439=TRUE,Validator!J689=TRUE,Validator!J939=TRUE,Validator!J1189=TRUE,Validator!J1439=TRUE,OR(ISBLANK($R195),ISNUMBER(VALUE(SUBSTITUTE(SUBSTITUTE(SUBSTITUTE(SUBSTITUTE($R195," ",""),"c",""),"C",""),"-","")))),OR(SUMPRODUCT(--($U195=Package_type_code))&gt;0,$U195="",$U195="-")),"Valid","Invalid"))</f>
        <v>Skip</v>
      </c>
      <c r="C195" s="70"/>
      <c r="D195" s="410"/>
      <c r="E195" s="411"/>
      <c r="F195" s="218" t="str">
        <f t="shared" si="4"/>
        <v>-</v>
      </c>
      <c r="G195" s="218"/>
      <c r="H195" s="178" t="str">
        <f t="shared" si="5"/>
        <v>-</v>
      </c>
      <c r="I195" s="203"/>
      <c r="J195" s="416"/>
      <c r="K195" s="400"/>
      <c r="L195" s="415"/>
      <c r="M195" s="322"/>
      <c r="N195" s="587"/>
      <c r="O195" s="403" t="s">
        <v>278</v>
      </c>
      <c r="P195" s="404" t="s">
        <v>77</v>
      </c>
      <c r="Q195" s="358"/>
      <c r="R195" s="320"/>
      <c r="S195" s="359"/>
      <c r="T195" s="359"/>
      <c r="U195" s="94" t="str">
        <f>IF(ISERROR(VLOOKUP($T195, 'Reference data'!$J$2:$K$139, 2, FALSE)),"-",VLOOKUP($T195, 'Reference data'!$J$2:$K$139, 2, FALSE))</f>
        <v>-</v>
      </c>
      <c r="V195" s="320"/>
      <c r="W195" s="320"/>
      <c r="X195" s="324"/>
      <c r="Y195" s="325"/>
      <c r="Z195" s="241"/>
      <c r="AA195" s="362"/>
      <c r="AB195" s="86"/>
      <c r="AC195" s="72"/>
      <c r="AD195" s="71"/>
      <c r="AE195" s="239" t="s">
        <v>278</v>
      </c>
      <c r="AF195" s="243" t="s">
        <v>77</v>
      </c>
    </row>
    <row r="196" spans="2:32" ht="12.75" customHeight="1" x14ac:dyDescent="0.2">
      <c r="B196" s="356" t="str" cm="1">
        <f t="array" ref="B196">IF(C196="","Skip",IF(AND(Validator!J190=TRUE,Validator!J440=TRUE,Validator!J690=TRUE,Validator!J940=TRUE,Validator!J1190=TRUE,Validator!J1440=TRUE,OR(ISBLANK($R196),ISNUMBER(VALUE(SUBSTITUTE(SUBSTITUTE(SUBSTITUTE(SUBSTITUTE($R196," ",""),"c",""),"C",""),"-","")))),OR(SUMPRODUCT(--($U196=Package_type_code))&gt;0,$U196="",$U196="-")),"Valid","Invalid"))</f>
        <v>Skip</v>
      </c>
      <c r="C196" s="70"/>
      <c r="D196" s="410"/>
      <c r="E196" s="411"/>
      <c r="F196" s="218" t="str">
        <f t="shared" si="4"/>
        <v>-</v>
      </c>
      <c r="G196" s="218"/>
      <c r="H196" s="178" t="str">
        <f t="shared" si="5"/>
        <v>-</v>
      </c>
      <c r="I196" s="203"/>
      <c r="J196" s="416"/>
      <c r="K196" s="400"/>
      <c r="L196" s="415"/>
      <c r="M196" s="322"/>
      <c r="N196" s="587"/>
      <c r="O196" s="403" t="s">
        <v>278</v>
      </c>
      <c r="P196" s="404" t="s">
        <v>77</v>
      </c>
      <c r="Q196" s="358"/>
      <c r="R196" s="320"/>
      <c r="S196" s="359"/>
      <c r="T196" s="359"/>
      <c r="U196" s="94" t="str">
        <f>IF(ISERROR(VLOOKUP($T196, 'Reference data'!$J$2:$K$139, 2, FALSE)),"-",VLOOKUP($T196, 'Reference data'!$J$2:$K$139, 2, FALSE))</f>
        <v>-</v>
      </c>
      <c r="V196" s="320"/>
      <c r="W196" s="320"/>
      <c r="X196" s="324"/>
      <c r="Y196" s="325"/>
      <c r="Z196" s="241"/>
      <c r="AA196" s="362"/>
      <c r="AB196" s="86"/>
      <c r="AC196" s="72"/>
      <c r="AD196" s="71"/>
      <c r="AE196" s="239" t="s">
        <v>278</v>
      </c>
      <c r="AF196" s="243" t="s">
        <v>77</v>
      </c>
    </row>
    <row r="197" spans="2:32" ht="12.75" customHeight="1" x14ac:dyDescent="0.2">
      <c r="B197" s="356" t="str" cm="1">
        <f t="array" ref="B197">IF(C197="","Skip",IF(AND(Validator!J191=TRUE,Validator!J441=TRUE,Validator!J691=TRUE,Validator!J941=TRUE,Validator!J1191=TRUE,Validator!J1441=TRUE,OR(ISBLANK($R197),ISNUMBER(VALUE(SUBSTITUTE(SUBSTITUTE(SUBSTITUTE(SUBSTITUTE($R197," ",""),"c",""),"C",""),"-","")))),OR(SUMPRODUCT(--($U197=Package_type_code))&gt;0,$U197="",$U197="-")),"Valid","Invalid"))</f>
        <v>Skip</v>
      </c>
      <c r="C197" s="70"/>
      <c r="D197" s="410"/>
      <c r="E197" s="411"/>
      <c r="F197" s="218" t="str">
        <f t="shared" si="4"/>
        <v>-</v>
      </c>
      <c r="G197" s="218"/>
      <c r="H197" s="178" t="str">
        <f t="shared" si="5"/>
        <v>-</v>
      </c>
      <c r="I197" s="203"/>
      <c r="J197" s="416"/>
      <c r="K197" s="400"/>
      <c r="L197" s="415"/>
      <c r="M197" s="322"/>
      <c r="N197" s="587"/>
      <c r="O197" s="403" t="s">
        <v>278</v>
      </c>
      <c r="P197" s="404" t="s">
        <v>77</v>
      </c>
      <c r="Q197" s="358"/>
      <c r="R197" s="320"/>
      <c r="S197" s="359"/>
      <c r="T197" s="359"/>
      <c r="U197" s="94" t="str">
        <f>IF(ISERROR(VLOOKUP($T197, 'Reference data'!$J$2:$K$139, 2, FALSE)),"-",VLOOKUP($T197, 'Reference data'!$J$2:$K$139, 2, FALSE))</f>
        <v>-</v>
      </c>
      <c r="V197" s="320"/>
      <c r="W197" s="320"/>
      <c r="X197" s="324"/>
      <c r="Y197" s="325"/>
      <c r="Z197" s="241"/>
      <c r="AA197" s="362"/>
      <c r="AB197" s="86"/>
      <c r="AC197" s="72"/>
      <c r="AD197" s="71"/>
      <c r="AE197" s="239" t="s">
        <v>278</v>
      </c>
      <c r="AF197" s="243" t="s">
        <v>77</v>
      </c>
    </row>
    <row r="198" spans="2:32" ht="12.75" customHeight="1" x14ac:dyDescent="0.2">
      <c r="B198" s="356" t="str" cm="1">
        <f t="array" ref="B198">IF(C198="","Skip",IF(AND(Validator!J192=TRUE,Validator!J442=TRUE,Validator!J692=TRUE,Validator!J942=TRUE,Validator!J1192=TRUE,Validator!J1442=TRUE,OR(ISBLANK($R198),ISNUMBER(VALUE(SUBSTITUTE(SUBSTITUTE(SUBSTITUTE(SUBSTITUTE($R198," ",""),"c",""),"C",""),"-","")))),OR(SUMPRODUCT(--($U198=Package_type_code))&gt;0,$U198="",$U198="-")),"Valid","Invalid"))</f>
        <v>Skip</v>
      </c>
      <c r="C198" s="70"/>
      <c r="D198" s="410"/>
      <c r="E198" s="411"/>
      <c r="F198" s="218" t="str">
        <f t="shared" si="4"/>
        <v>-</v>
      </c>
      <c r="G198" s="218"/>
      <c r="H198" s="178" t="str">
        <f t="shared" si="5"/>
        <v>-</v>
      </c>
      <c r="I198" s="203"/>
      <c r="J198" s="416"/>
      <c r="K198" s="400"/>
      <c r="L198" s="415"/>
      <c r="M198" s="322"/>
      <c r="N198" s="587"/>
      <c r="O198" s="403" t="s">
        <v>278</v>
      </c>
      <c r="P198" s="404" t="s">
        <v>77</v>
      </c>
      <c r="Q198" s="358"/>
      <c r="R198" s="320"/>
      <c r="S198" s="359"/>
      <c r="T198" s="359"/>
      <c r="U198" s="94" t="str">
        <f>IF(ISERROR(VLOOKUP($T198, 'Reference data'!$J$2:$K$139, 2, FALSE)),"-",VLOOKUP($T198, 'Reference data'!$J$2:$K$139, 2, FALSE))</f>
        <v>-</v>
      </c>
      <c r="V198" s="320"/>
      <c r="W198" s="320"/>
      <c r="X198" s="324"/>
      <c r="Y198" s="325"/>
      <c r="Z198" s="241"/>
      <c r="AA198" s="362"/>
      <c r="AB198" s="86"/>
      <c r="AC198" s="72"/>
      <c r="AD198" s="71"/>
      <c r="AE198" s="239" t="s">
        <v>278</v>
      </c>
      <c r="AF198" s="243" t="s">
        <v>77</v>
      </c>
    </row>
    <row r="199" spans="2:32" ht="12.75" customHeight="1" x14ac:dyDescent="0.2">
      <c r="B199" s="356" t="str" cm="1">
        <f t="array" ref="B199">IF(C199="","Skip",IF(AND(Validator!J193=TRUE,Validator!J443=TRUE,Validator!J693=TRUE,Validator!J943=TRUE,Validator!J1193=TRUE,Validator!J1443=TRUE,OR(ISBLANK($R199),ISNUMBER(VALUE(SUBSTITUTE(SUBSTITUTE(SUBSTITUTE(SUBSTITUTE($R199," ",""),"c",""),"C",""),"-","")))),OR(SUMPRODUCT(--($U199=Package_type_code))&gt;0,$U199="",$U199="-")),"Valid","Invalid"))</f>
        <v>Skip</v>
      </c>
      <c r="C199" s="70"/>
      <c r="D199" s="410"/>
      <c r="E199" s="411"/>
      <c r="F199" s="218" t="str">
        <f t="shared" si="4"/>
        <v>-</v>
      </c>
      <c r="G199" s="218"/>
      <c r="H199" s="178" t="str">
        <f t="shared" si="5"/>
        <v>-</v>
      </c>
      <c r="I199" s="203"/>
      <c r="J199" s="416"/>
      <c r="K199" s="400"/>
      <c r="L199" s="415"/>
      <c r="M199" s="322"/>
      <c r="N199" s="587"/>
      <c r="O199" s="403" t="s">
        <v>278</v>
      </c>
      <c r="P199" s="404" t="s">
        <v>77</v>
      </c>
      <c r="Q199" s="358"/>
      <c r="R199" s="320"/>
      <c r="S199" s="359"/>
      <c r="T199" s="359"/>
      <c r="U199" s="94" t="str">
        <f>IF(ISERROR(VLOOKUP($T199, 'Reference data'!$J$2:$K$139, 2, FALSE)),"-",VLOOKUP($T199, 'Reference data'!$J$2:$K$139, 2, FALSE))</f>
        <v>-</v>
      </c>
      <c r="V199" s="320"/>
      <c r="W199" s="320"/>
      <c r="X199" s="324"/>
      <c r="Y199" s="325"/>
      <c r="Z199" s="241"/>
      <c r="AA199" s="362"/>
      <c r="AB199" s="86"/>
      <c r="AC199" s="72"/>
      <c r="AD199" s="71"/>
      <c r="AE199" s="239" t="s">
        <v>278</v>
      </c>
      <c r="AF199" s="243" t="s">
        <v>77</v>
      </c>
    </row>
    <row r="200" spans="2:32" ht="12.75" customHeight="1" x14ac:dyDescent="0.2">
      <c r="B200" s="356" t="str" cm="1">
        <f t="array" ref="B200">IF(C200="","Skip",IF(AND(Validator!J194=TRUE,Validator!J444=TRUE,Validator!J694=TRUE,Validator!J944=TRUE,Validator!J1194=TRUE,Validator!J1444=TRUE,OR(ISBLANK($R200),ISNUMBER(VALUE(SUBSTITUTE(SUBSTITUTE(SUBSTITUTE(SUBSTITUTE($R200," ",""),"c",""),"C",""),"-","")))),OR(SUMPRODUCT(--($U200=Package_type_code))&gt;0,$U200="",$U200="-")),"Valid","Invalid"))</f>
        <v>Skip</v>
      </c>
      <c r="C200" s="70"/>
      <c r="D200" s="410"/>
      <c r="E200" s="411"/>
      <c r="F200" s="218" t="str">
        <f t="shared" si="4"/>
        <v>-</v>
      </c>
      <c r="G200" s="218"/>
      <c r="H200" s="178" t="str">
        <f t="shared" si="5"/>
        <v>-</v>
      </c>
      <c r="I200" s="203"/>
      <c r="J200" s="416"/>
      <c r="K200" s="400"/>
      <c r="L200" s="415"/>
      <c r="M200" s="322"/>
      <c r="N200" s="587"/>
      <c r="O200" s="403" t="s">
        <v>278</v>
      </c>
      <c r="P200" s="404" t="s">
        <v>77</v>
      </c>
      <c r="Q200" s="358"/>
      <c r="R200" s="320"/>
      <c r="S200" s="359"/>
      <c r="T200" s="359"/>
      <c r="U200" s="94" t="str">
        <f>IF(ISERROR(VLOOKUP($T200, 'Reference data'!$J$2:$K$139, 2, FALSE)),"-",VLOOKUP($T200, 'Reference data'!$J$2:$K$139, 2, FALSE))</f>
        <v>-</v>
      </c>
      <c r="V200" s="320"/>
      <c r="W200" s="320"/>
      <c r="X200" s="324"/>
      <c r="Y200" s="325"/>
      <c r="Z200" s="241"/>
      <c r="AA200" s="362"/>
      <c r="AB200" s="86"/>
      <c r="AC200" s="72"/>
      <c r="AD200" s="71"/>
      <c r="AE200" s="239" t="s">
        <v>278</v>
      </c>
      <c r="AF200" s="243" t="s">
        <v>77</v>
      </c>
    </row>
    <row r="201" spans="2:32" ht="12.75" customHeight="1" x14ac:dyDescent="0.2">
      <c r="B201" s="356" t="str" cm="1">
        <f t="array" ref="B201">IF(C201="","Skip",IF(AND(Validator!J195=TRUE,Validator!J445=TRUE,Validator!J695=TRUE,Validator!J945=TRUE,Validator!J1195=TRUE,Validator!J1445=TRUE,OR(ISBLANK($R201),ISNUMBER(VALUE(SUBSTITUTE(SUBSTITUTE(SUBSTITUTE(SUBSTITUTE($R201," ",""),"c",""),"C",""),"-","")))),OR(SUMPRODUCT(--($U201=Package_type_code))&gt;0,$U201="",$U201="-")),"Valid","Invalid"))</f>
        <v>Skip</v>
      </c>
      <c r="C201" s="70"/>
      <c r="D201" s="410"/>
      <c r="E201" s="411"/>
      <c r="F201" s="218" t="str">
        <f t="shared" si="4"/>
        <v>-</v>
      </c>
      <c r="G201" s="218"/>
      <c r="H201" s="178" t="str">
        <f t="shared" si="5"/>
        <v>-</v>
      </c>
      <c r="I201" s="203"/>
      <c r="J201" s="416"/>
      <c r="K201" s="400"/>
      <c r="L201" s="415"/>
      <c r="M201" s="322"/>
      <c r="N201" s="587"/>
      <c r="O201" s="403" t="s">
        <v>278</v>
      </c>
      <c r="P201" s="404" t="s">
        <v>77</v>
      </c>
      <c r="Q201" s="358"/>
      <c r="R201" s="320"/>
      <c r="S201" s="359"/>
      <c r="T201" s="359"/>
      <c r="U201" s="94" t="str">
        <f>IF(ISERROR(VLOOKUP($T201, 'Reference data'!$J$2:$K$139, 2, FALSE)),"-",VLOOKUP($T201, 'Reference data'!$J$2:$K$139, 2, FALSE))</f>
        <v>-</v>
      </c>
      <c r="V201" s="320"/>
      <c r="W201" s="320"/>
      <c r="X201" s="324"/>
      <c r="Y201" s="325"/>
      <c r="Z201" s="241"/>
      <c r="AA201" s="362"/>
      <c r="AB201" s="86"/>
      <c r="AC201" s="72"/>
      <c r="AD201" s="71"/>
      <c r="AE201" s="239" t="s">
        <v>278</v>
      </c>
      <c r="AF201" s="243" t="s">
        <v>77</v>
      </c>
    </row>
    <row r="202" spans="2:32" ht="12.75" customHeight="1" x14ac:dyDescent="0.2">
      <c r="B202" s="356" t="str" cm="1">
        <f t="array" ref="B202">IF(C202="","Skip",IF(AND(Validator!J196=TRUE,Validator!J446=TRUE,Validator!J696=TRUE,Validator!J946=TRUE,Validator!J1196=TRUE,Validator!J1446=TRUE,OR(ISBLANK($R202),ISNUMBER(VALUE(SUBSTITUTE(SUBSTITUTE(SUBSTITUTE(SUBSTITUTE($R202," ",""),"c",""),"C",""),"-","")))),OR(SUMPRODUCT(--($U202=Package_type_code))&gt;0,$U202="",$U202="-")),"Valid","Invalid"))</f>
        <v>Skip</v>
      </c>
      <c r="C202" s="70"/>
      <c r="D202" s="410"/>
      <c r="E202" s="411"/>
      <c r="F202" s="218" t="str">
        <f t="shared" si="4"/>
        <v>-</v>
      </c>
      <c r="G202" s="218"/>
      <c r="H202" s="178" t="str">
        <f t="shared" si="5"/>
        <v>-</v>
      </c>
      <c r="I202" s="203"/>
      <c r="J202" s="416"/>
      <c r="K202" s="400"/>
      <c r="L202" s="415"/>
      <c r="M202" s="322"/>
      <c r="N202" s="587"/>
      <c r="O202" s="403" t="s">
        <v>278</v>
      </c>
      <c r="P202" s="404" t="s">
        <v>77</v>
      </c>
      <c r="Q202" s="358"/>
      <c r="R202" s="320"/>
      <c r="S202" s="359"/>
      <c r="T202" s="359"/>
      <c r="U202" s="94" t="str">
        <f>IF(ISERROR(VLOOKUP($T202, 'Reference data'!$J$2:$K$139, 2, FALSE)),"-",VLOOKUP($T202, 'Reference data'!$J$2:$K$139, 2, FALSE))</f>
        <v>-</v>
      </c>
      <c r="V202" s="320"/>
      <c r="W202" s="320"/>
      <c r="X202" s="324"/>
      <c r="Y202" s="325"/>
      <c r="Z202" s="241"/>
      <c r="AA202" s="362"/>
      <c r="AB202" s="86"/>
      <c r="AC202" s="72"/>
      <c r="AD202" s="71"/>
      <c r="AE202" s="239" t="s">
        <v>278</v>
      </c>
      <c r="AF202" s="243" t="s">
        <v>77</v>
      </c>
    </row>
    <row r="203" spans="2:32" ht="12.75" customHeight="1" x14ac:dyDescent="0.2">
      <c r="B203" s="356" t="str" cm="1">
        <f t="array" ref="B203">IF(C203="","Skip",IF(AND(Validator!J197=TRUE,Validator!J447=TRUE,Validator!J697=TRUE,Validator!J947=TRUE,Validator!J1197=TRUE,Validator!J1447=TRUE,OR(ISBLANK($R203),ISNUMBER(VALUE(SUBSTITUTE(SUBSTITUTE(SUBSTITUTE(SUBSTITUTE($R203," ",""),"c",""),"C",""),"-","")))),OR(SUMPRODUCT(--($U203=Package_type_code))&gt;0,$U203="",$U203="-")),"Valid","Invalid"))</f>
        <v>Skip</v>
      </c>
      <c r="C203" s="70"/>
      <c r="D203" s="410"/>
      <c r="E203" s="411"/>
      <c r="F203" s="218" t="str">
        <f t="shared" si="4"/>
        <v>-</v>
      </c>
      <c r="G203" s="218"/>
      <c r="H203" s="178" t="str">
        <f t="shared" si="5"/>
        <v>-</v>
      </c>
      <c r="I203" s="203"/>
      <c r="J203" s="416"/>
      <c r="K203" s="400"/>
      <c r="L203" s="415"/>
      <c r="M203" s="322"/>
      <c r="N203" s="587"/>
      <c r="O203" s="403" t="s">
        <v>278</v>
      </c>
      <c r="P203" s="404" t="s">
        <v>77</v>
      </c>
      <c r="Q203" s="358"/>
      <c r="R203" s="320"/>
      <c r="S203" s="359"/>
      <c r="T203" s="359"/>
      <c r="U203" s="94" t="str">
        <f>IF(ISERROR(VLOOKUP($T203, 'Reference data'!$J$2:$K$139, 2, FALSE)),"-",VLOOKUP($T203, 'Reference data'!$J$2:$K$139, 2, FALSE))</f>
        <v>-</v>
      </c>
      <c r="V203" s="320"/>
      <c r="W203" s="320"/>
      <c r="X203" s="324"/>
      <c r="Y203" s="325"/>
      <c r="Z203" s="241"/>
      <c r="AA203" s="362"/>
      <c r="AB203" s="86"/>
      <c r="AC203" s="72"/>
      <c r="AD203" s="71"/>
      <c r="AE203" s="239" t="s">
        <v>278</v>
      </c>
      <c r="AF203" s="243" t="s">
        <v>77</v>
      </c>
    </row>
    <row r="204" spans="2:32" ht="12.75" customHeight="1" x14ac:dyDescent="0.2">
      <c r="B204" s="356" t="str" cm="1">
        <f t="array" ref="B204">IF(C204="","Skip",IF(AND(Validator!J198=TRUE,Validator!J448=TRUE,Validator!J698=TRUE,Validator!J948=TRUE,Validator!J1198=TRUE,Validator!J1448=TRUE,OR(ISBLANK($R204),ISNUMBER(VALUE(SUBSTITUTE(SUBSTITUTE(SUBSTITUTE(SUBSTITUTE($R204," ",""),"c",""),"C",""),"-","")))),OR(SUMPRODUCT(--($U204=Package_type_code))&gt;0,$U204="",$U204="-")),"Valid","Invalid"))</f>
        <v>Skip</v>
      </c>
      <c r="C204" s="70"/>
      <c r="D204" s="410"/>
      <c r="E204" s="411"/>
      <c r="F204" s="218" t="str">
        <f t="shared" si="4"/>
        <v>-</v>
      </c>
      <c r="G204" s="218"/>
      <c r="H204" s="178" t="str">
        <f t="shared" si="5"/>
        <v>-</v>
      </c>
      <c r="I204" s="203"/>
      <c r="J204" s="416"/>
      <c r="K204" s="400"/>
      <c r="L204" s="415"/>
      <c r="M204" s="322"/>
      <c r="N204" s="587"/>
      <c r="O204" s="403" t="s">
        <v>278</v>
      </c>
      <c r="P204" s="404" t="s">
        <v>77</v>
      </c>
      <c r="Q204" s="358"/>
      <c r="R204" s="320"/>
      <c r="S204" s="359"/>
      <c r="T204" s="359"/>
      <c r="U204" s="94" t="str">
        <f>IF(ISERROR(VLOOKUP($T204, 'Reference data'!$J$2:$K$139, 2, FALSE)),"-",VLOOKUP($T204, 'Reference data'!$J$2:$K$139, 2, FALSE))</f>
        <v>-</v>
      </c>
      <c r="V204" s="320"/>
      <c r="W204" s="320"/>
      <c r="X204" s="324"/>
      <c r="Y204" s="325"/>
      <c r="Z204" s="241"/>
      <c r="AA204" s="362"/>
      <c r="AB204" s="86"/>
      <c r="AC204" s="72"/>
      <c r="AD204" s="71"/>
      <c r="AE204" s="239" t="s">
        <v>278</v>
      </c>
      <c r="AF204" s="243" t="s">
        <v>77</v>
      </c>
    </row>
    <row r="205" spans="2:32" ht="12.75" customHeight="1" x14ac:dyDescent="0.2">
      <c r="B205" s="356" t="str" cm="1">
        <f t="array" ref="B205">IF(C205="","Skip",IF(AND(Validator!J199=TRUE,Validator!J449=TRUE,Validator!J699=TRUE,Validator!J949=TRUE,Validator!J1199=TRUE,Validator!J1449=TRUE,OR(ISBLANK($R205),ISNUMBER(VALUE(SUBSTITUTE(SUBSTITUTE(SUBSTITUTE(SUBSTITUTE($R205," ",""),"c",""),"C",""),"-","")))),OR(SUMPRODUCT(--($U205=Package_type_code))&gt;0,$U205="",$U205="-")),"Valid","Invalid"))</f>
        <v>Skip</v>
      </c>
      <c r="C205" s="70"/>
      <c r="D205" s="410"/>
      <c r="E205" s="411"/>
      <c r="F205" s="218" t="str">
        <f t="shared" si="4"/>
        <v>-</v>
      </c>
      <c r="G205" s="218"/>
      <c r="H205" s="178" t="str">
        <f t="shared" si="5"/>
        <v>-</v>
      </c>
      <c r="I205" s="203"/>
      <c r="J205" s="416"/>
      <c r="K205" s="400"/>
      <c r="L205" s="415"/>
      <c r="M205" s="322"/>
      <c r="N205" s="587"/>
      <c r="O205" s="403" t="s">
        <v>278</v>
      </c>
      <c r="P205" s="404" t="s">
        <v>77</v>
      </c>
      <c r="Q205" s="358"/>
      <c r="R205" s="320"/>
      <c r="S205" s="359"/>
      <c r="T205" s="359"/>
      <c r="U205" s="94" t="str">
        <f>IF(ISERROR(VLOOKUP($T205, 'Reference data'!$J$2:$K$139, 2, FALSE)),"-",VLOOKUP($T205, 'Reference data'!$J$2:$K$139, 2, FALSE))</f>
        <v>-</v>
      </c>
      <c r="V205" s="320"/>
      <c r="W205" s="320"/>
      <c r="X205" s="324"/>
      <c r="Y205" s="325"/>
      <c r="Z205" s="241"/>
      <c r="AA205" s="362"/>
      <c r="AB205" s="86"/>
      <c r="AC205" s="72"/>
      <c r="AD205" s="71"/>
      <c r="AE205" s="239" t="s">
        <v>278</v>
      </c>
      <c r="AF205" s="243" t="s">
        <v>77</v>
      </c>
    </row>
    <row r="206" spans="2:32" ht="12.75" customHeight="1" x14ac:dyDescent="0.2">
      <c r="B206" s="356" t="str" cm="1">
        <f t="array" ref="B206">IF(C206="","Skip",IF(AND(Validator!J200=TRUE,Validator!J450=TRUE,Validator!J700=TRUE,Validator!J950=TRUE,Validator!J1200=TRUE,Validator!J1450=TRUE,OR(ISBLANK($R206),ISNUMBER(VALUE(SUBSTITUTE(SUBSTITUTE(SUBSTITUTE(SUBSTITUTE($R206," ",""),"c",""),"C",""),"-","")))),OR(SUMPRODUCT(--($U206=Package_type_code))&gt;0,$U206="",$U206="-")),"Valid","Invalid"))</f>
        <v>Skip</v>
      </c>
      <c r="C206" s="70"/>
      <c r="D206" s="410"/>
      <c r="E206" s="411"/>
      <c r="F206" s="218" t="str">
        <f t="shared" ref="F206:F263" si="6">IF(ISERROR(VLOOKUP($E206,REF_LOCODE_PORTNAME_COUNTRY, 2,FALSE)),"-",VLOOKUP($E206,REF_LOCODE_PORTNAME_COUNTRY, 2,FALSE))</f>
        <v>-</v>
      </c>
      <c r="G206" s="218"/>
      <c r="H206" s="178" t="str">
        <f t="shared" ref="H206:H263" si="7">IF(ISERROR(VLOOKUP($G206,REF_LOCODE_PORTNAME_COUNTRY, 2,FALSE)),"-",VLOOKUP($G206,REF_LOCODE_PORTNAME_COUNTRY, 2,FALSE))</f>
        <v>-</v>
      </c>
      <c r="I206" s="203"/>
      <c r="J206" s="416"/>
      <c r="K206" s="400"/>
      <c r="L206" s="415"/>
      <c r="M206" s="322"/>
      <c r="N206" s="587"/>
      <c r="O206" s="403" t="s">
        <v>278</v>
      </c>
      <c r="P206" s="404" t="s">
        <v>77</v>
      </c>
      <c r="Q206" s="358"/>
      <c r="R206" s="320"/>
      <c r="S206" s="359"/>
      <c r="T206" s="359"/>
      <c r="U206" s="94" t="str">
        <f>IF(ISERROR(VLOOKUP($T206, 'Reference data'!$J$2:$K$139, 2, FALSE)),"-",VLOOKUP($T206, 'Reference data'!$J$2:$K$139, 2, FALSE))</f>
        <v>-</v>
      </c>
      <c r="V206" s="320"/>
      <c r="W206" s="320"/>
      <c r="X206" s="324"/>
      <c r="Y206" s="325"/>
      <c r="Z206" s="241"/>
      <c r="AA206" s="362"/>
      <c r="AB206" s="86"/>
      <c r="AC206" s="72"/>
      <c r="AD206" s="71"/>
      <c r="AE206" s="239" t="s">
        <v>278</v>
      </c>
      <c r="AF206" s="243" t="s">
        <v>77</v>
      </c>
    </row>
    <row r="207" spans="2:32" ht="12.75" customHeight="1" x14ac:dyDescent="0.2">
      <c r="B207" s="356" t="str" cm="1">
        <f t="array" ref="B207">IF(C207="","Skip",IF(AND(Validator!J201=TRUE,Validator!J451=TRUE,Validator!J701=TRUE,Validator!J951=TRUE,Validator!J1201=TRUE,Validator!J1451=TRUE,OR(ISBLANK($R207),ISNUMBER(VALUE(SUBSTITUTE(SUBSTITUTE(SUBSTITUTE(SUBSTITUTE($R207," ",""),"c",""),"C",""),"-","")))),OR(SUMPRODUCT(--($U207=Package_type_code))&gt;0,$U207="",$U207="-")),"Valid","Invalid"))</f>
        <v>Skip</v>
      </c>
      <c r="C207" s="70"/>
      <c r="D207" s="410"/>
      <c r="E207" s="411"/>
      <c r="F207" s="218" t="str">
        <f t="shared" si="6"/>
        <v>-</v>
      </c>
      <c r="G207" s="218"/>
      <c r="H207" s="178" t="str">
        <f t="shared" si="7"/>
        <v>-</v>
      </c>
      <c r="I207" s="203"/>
      <c r="J207" s="416"/>
      <c r="K207" s="400"/>
      <c r="L207" s="415"/>
      <c r="M207" s="322"/>
      <c r="N207" s="587"/>
      <c r="O207" s="403" t="s">
        <v>278</v>
      </c>
      <c r="P207" s="404" t="s">
        <v>77</v>
      </c>
      <c r="Q207" s="358"/>
      <c r="R207" s="320"/>
      <c r="S207" s="359"/>
      <c r="T207" s="359"/>
      <c r="U207" s="94" t="str">
        <f>IF(ISERROR(VLOOKUP($T207, 'Reference data'!$J$2:$K$139, 2, FALSE)),"-",VLOOKUP($T207, 'Reference data'!$J$2:$K$139, 2, FALSE))</f>
        <v>-</v>
      </c>
      <c r="V207" s="320"/>
      <c r="W207" s="320"/>
      <c r="X207" s="324"/>
      <c r="Y207" s="325"/>
      <c r="Z207" s="241"/>
      <c r="AA207" s="362"/>
      <c r="AB207" s="86"/>
      <c r="AC207" s="72"/>
      <c r="AD207" s="71"/>
      <c r="AE207" s="239" t="s">
        <v>278</v>
      </c>
      <c r="AF207" s="243" t="s">
        <v>77</v>
      </c>
    </row>
    <row r="208" spans="2:32" ht="12.75" customHeight="1" x14ac:dyDescent="0.2">
      <c r="B208" s="356" t="str" cm="1">
        <f t="array" ref="B208">IF(C208="","Skip",IF(AND(Validator!J202=TRUE,Validator!J452=TRUE,Validator!J702=TRUE,Validator!J952=TRUE,Validator!J1202=TRUE,Validator!J1452=TRUE,OR(ISBLANK($R208),ISNUMBER(VALUE(SUBSTITUTE(SUBSTITUTE(SUBSTITUTE(SUBSTITUTE($R208," ",""),"c",""),"C",""),"-","")))),OR(SUMPRODUCT(--($U208=Package_type_code))&gt;0,$U208="",$U208="-")),"Valid","Invalid"))</f>
        <v>Skip</v>
      </c>
      <c r="C208" s="70"/>
      <c r="D208" s="410"/>
      <c r="E208" s="411"/>
      <c r="F208" s="218" t="str">
        <f t="shared" si="6"/>
        <v>-</v>
      </c>
      <c r="G208" s="218"/>
      <c r="H208" s="178" t="str">
        <f t="shared" si="7"/>
        <v>-</v>
      </c>
      <c r="I208" s="203"/>
      <c r="J208" s="416"/>
      <c r="K208" s="400"/>
      <c r="L208" s="415"/>
      <c r="M208" s="322"/>
      <c r="N208" s="587"/>
      <c r="O208" s="403" t="s">
        <v>278</v>
      </c>
      <c r="P208" s="404" t="s">
        <v>77</v>
      </c>
      <c r="Q208" s="358"/>
      <c r="R208" s="320"/>
      <c r="S208" s="359"/>
      <c r="T208" s="359"/>
      <c r="U208" s="94" t="str">
        <f>IF(ISERROR(VLOOKUP($T208, 'Reference data'!$J$2:$K$139, 2, FALSE)),"-",VLOOKUP($T208, 'Reference data'!$J$2:$K$139, 2, FALSE))</f>
        <v>-</v>
      </c>
      <c r="V208" s="320"/>
      <c r="W208" s="320"/>
      <c r="X208" s="324"/>
      <c r="Y208" s="325"/>
      <c r="Z208" s="241"/>
      <c r="AA208" s="362"/>
      <c r="AB208" s="86"/>
      <c r="AC208" s="72"/>
      <c r="AD208" s="71"/>
      <c r="AE208" s="239" t="s">
        <v>278</v>
      </c>
      <c r="AF208" s="243" t="s">
        <v>77</v>
      </c>
    </row>
    <row r="209" spans="2:32" ht="12.75" customHeight="1" x14ac:dyDescent="0.2">
      <c r="B209" s="356" t="str" cm="1">
        <f t="array" ref="B209">IF(C209="","Skip",IF(AND(Validator!J203=TRUE,Validator!J453=TRUE,Validator!J703=TRUE,Validator!J953=TRUE,Validator!J1203=TRUE,Validator!J1453=TRUE,OR(ISBLANK($R209),ISNUMBER(VALUE(SUBSTITUTE(SUBSTITUTE(SUBSTITUTE(SUBSTITUTE($R209," ",""),"c",""),"C",""),"-","")))),OR(SUMPRODUCT(--($U209=Package_type_code))&gt;0,$U209="",$U209="-")),"Valid","Invalid"))</f>
        <v>Skip</v>
      </c>
      <c r="C209" s="70"/>
      <c r="D209" s="410"/>
      <c r="E209" s="411"/>
      <c r="F209" s="218" t="str">
        <f t="shared" si="6"/>
        <v>-</v>
      </c>
      <c r="G209" s="218"/>
      <c r="H209" s="178" t="str">
        <f t="shared" si="7"/>
        <v>-</v>
      </c>
      <c r="I209" s="203"/>
      <c r="J209" s="416"/>
      <c r="K209" s="400"/>
      <c r="L209" s="415"/>
      <c r="M209" s="322"/>
      <c r="N209" s="587"/>
      <c r="O209" s="403" t="s">
        <v>278</v>
      </c>
      <c r="P209" s="404" t="s">
        <v>77</v>
      </c>
      <c r="Q209" s="358"/>
      <c r="R209" s="320"/>
      <c r="S209" s="359"/>
      <c r="T209" s="359"/>
      <c r="U209" s="94" t="str">
        <f>IF(ISERROR(VLOOKUP($T209, 'Reference data'!$J$2:$K$139, 2, FALSE)),"-",VLOOKUP($T209, 'Reference data'!$J$2:$K$139, 2, FALSE))</f>
        <v>-</v>
      </c>
      <c r="V209" s="320"/>
      <c r="W209" s="320"/>
      <c r="X209" s="324"/>
      <c r="Y209" s="325"/>
      <c r="Z209" s="241"/>
      <c r="AA209" s="362"/>
      <c r="AB209" s="86"/>
      <c r="AC209" s="72"/>
      <c r="AD209" s="71"/>
      <c r="AE209" s="239" t="s">
        <v>278</v>
      </c>
      <c r="AF209" s="243" t="s">
        <v>77</v>
      </c>
    </row>
    <row r="210" spans="2:32" ht="12.75" customHeight="1" x14ac:dyDescent="0.2">
      <c r="B210" s="356" t="str" cm="1">
        <f t="array" ref="B210">IF(C210="","Skip",IF(AND(Validator!J204=TRUE,Validator!J454=TRUE,Validator!J704=TRUE,Validator!J954=TRUE,Validator!J1204=TRUE,Validator!J1454=TRUE,OR(ISBLANK($R210),ISNUMBER(VALUE(SUBSTITUTE(SUBSTITUTE(SUBSTITUTE(SUBSTITUTE($R210," ",""),"c",""),"C",""),"-","")))),OR(SUMPRODUCT(--($U210=Package_type_code))&gt;0,$U210="",$U210="-")),"Valid","Invalid"))</f>
        <v>Skip</v>
      </c>
      <c r="C210" s="70"/>
      <c r="D210" s="410"/>
      <c r="E210" s="411"/>
      <c r="F210" s="218" t="str">
        <f t="shared" si="6"/>
        <v>-</v>
      </c>
      <c r="G210" s="218"/>
      <c r="H210" s="178" t="str">
        <f t="shared" si="7"/>
        <v>-</v>
      </c>
      <c r="I210" s="203"/>
      <c r="J210" s="416"/>
      <c r="K210" s="400"/>
      <c r="L210" s="415"/>
      <c r="M210" s="322"/>
      <c r="N210" s="587"/>
      <c r="O210" s="403" t="s">
        <v>278</v>
      </c>
      <c r="P210" s="404" t="s">
        <v>77</v>
      </c>
      <c r="Q210" s="358"/>
      <c r="R210" s="320"/>
      <c r="S210" s="359"/>
      <c r="T210" s="359"/>
      <c r="U210" s="94" t="str">
        <f>IF(ISERROR(VLOOKUP($T210, 'Reference data'!$J$2:$K$139, 2, FALSE)),"-",VLOOKUP($T210, 'Reference data'!$J$2:$K$139, 2, FALSE))</f>
        <v>-</v>
      </c>
      <c r="V210" s="320"/>
      <c r="W210" s="320"/>
      <c r="X210" s="324"/>
      <c r="Y210" s="325"/>
      <c r="Z210" s="241"/>
      <c r="AA210" s="362"/>
      <c r="AB210" s="86"/>
      <c r="AC210" s="72"/>
      <c r="AD210" s="71"/>
      <c r="AE210" s="239" t="s">
        <v>278</v>
      </c>
      <c r="AF210" s="243" t="s">
        <v>77</v>
      </c>
    </row>
    <row r="211" spans="2:32" ht="12.75" customHeight="1" x14ac:dyDescent="0.2">
      <c r="B211" s="356" t="str" cm="1">
        <f t="array" ref="B211">IF(C211="","Skip",IF(AND(Validator!J205=TRUE,Validator!J455=TRUE,Validator!J705=TRUE,Validator!J955=TRUE,Validator!J1205=TRUE,Validator!J1455=TRUE,OR(ISBLANK($R211),ISNUMBER(VALUE(SUBSTITUTE(SUBSTITUTE(SUBSTITUTE(SUBSTITUTE($R211," ",""),"c",""),"C",""),"-","")))),OR(SUMPRODUCT(--($U211=Package_type_code))&gt;0,$U211="",$U211="-")),"Valid","Invalid"))</f>
        <v>Skip</v>
      </c>
      <c r="C211" s="70"/>
      <c r="D211" s="410"/>
      <c r="E211" s="411"/>
      <c r="F211" s="218" t="str">
        <f t="shared" si="6"/>
        <v>-</v>
      </c>
      <c r="G211" s="218"/>
      <c r="H211" s="178" t="str">
        <f t="shared" si="7"/>
        <v>-</v>
      </c>
      <c r="I211" s="203"/>
      <c r="J211" s="416"/>
      <c r="K211" s="400"/>
      <c r="L211" s="415"/>
      <c r="M211" s="322"/>
      <c r="N211" s="587"/>
      <c r="O211" s="403" t="s">
        <v>278</v>
      </c>
      <c r="P211" s="404" t="s">
        <v>77</v>
      </c>
      <c r="Q211" s="358"/>
      <c r="R211" s="320"/>
      <c r="S211" s="359"/>
      <c r="T211" s="359"/>
      <c r="U211" s="94" t="str">
        <f>IF(ISERROR(VLOOKUP($T211, 'Reference data'!$J$2:$K$139, 2, FALSE)),"-",VLOOKUP($T211, 'Reference data'!$J$2:$K$139, 2, FALSE))</f>
        <v>-</v>
      </c>
      <c r="V211" s="320"/>
      <c r="W211" s="320"/>
      <c r="X211" s="324"/>
      <c r="Y211" s="325"/>
      <c r="Z211" s="241"/>
      <c r="AA211" s="362"/>
      <c r="AB211" s="86"/>
      <c r="AC211" s="72"/>
      <c r="AD211" s="71"/>
      <c r="AE211" s="239" t="s">
        <v>278</v>
      </c>
      <c r="AF211" s="243" t="s">
        <v>77</v>
      </c>
    </row>
    <row r="212" spans="2:32" ht="12.75" customHeight="1" x14ac:dyDescent="0.2">
      <c r="B212" s="356" t="str" cm="1">
        <f t="array" ref="B212">IF(C212="","Skip",IF(AND(Validator!J206=TRUE,Validator!J456=TRUE,Validator!J706=TRUE,Validator!J956=TRUE,Validator!J1206=TRUE,Validator!J1456=TRUE,OR(ISBLANK($R212),ISNUMBER(VALUE(SUBSTITUTE(SUBSTITUTE(SUBSTITUTE(SUBSTITUTE($R212," ",""),"c",""),"C",""),"-","")))),OR(SUMPRODUCT(--($U212=Package_type_code))&gt;0,$U212="",$U212="-")),"Valid","Invalid"))</f>
        <v>Skip</v>
      </c>
      <c r="C212" s="70"/>
      <c r="D212" s="410"/>
      <c r="E212" s="411"/>
      <c r="F212" s="218" t="str">
        <f t="shared" si="6"/>
        <v>-</v>
      </c>
      <c r="G212" s="218"/>
      <c r="H212" s="178" t="str">
        <f t="shared" si="7"/>
        <v>-</v>
      </c>
      <c r="I212" s="203"/>
      <c r="J212" s="416"/>
      <c r="K212" s="400"/>
      <c r="L212" s="415"/>
      <c r="M212" s="322"/>
      <c r="N212" s="587"/>
      <c r="O212" s="403" t="s">
        <v>278</v>
      </c>
      <c r="P212" s="404" t="s">
        <v>77</v>
      </c>
      <c r="Q212" s="358"/>
      <c r="R212" s="320"/>
      <c r="S212" s="359"/>
      <c r="T212" s="359"/>
      <c r="U212" s="94" t="str">
        <f>IF(ISERROR(VLOOKUP($T212, 'Reference data'!$J$2:$K$139, 2, FALSE)),"-",VLOOKUP($T212, 'Reference data'!$J$2:$K$139, 2, FALSE))</f>
        <v>-</v>
      </c>
      <c r="V212" s="320"/>
      <c r="W212" s="320"/>
      <c r="X212" s="324"/>
      <c r="Y212" s="325"/>
      <c r="Z212" s="241"/>
      <c r="AA212" s="362"/>
      <c r="AB212" s="86"/>
      <c r="AC212" s="72"/>
      <c r="AD212" s="71"/>
      <c r="AE212" s="239" t="s">
        <v>278</v>
      </c>
      <c r="AF212" s="243" t="s">
        <v>77</v>
      </c>
    </row>
    <row r="213" spans="2:32" ht="12.75" customHeight="1" x14ac:dyDescent="0.2">
      <c r="B213" s="356" t="str" cm="1">
        <f t="array" ref="B213">IF(C213="","Skip",IF(AND(Validator!J207=TRUE,Validator!J457=TRUE,Validator!J707=TRUE,Validator!J957=TRUE,Validator!J1207=TRUE,Validator!J1457=TRUE,OR(ISBLANK($R213),ISNUMBER(VALUE(SUBSTITUTE(SUBSTITUTE(SUBSTITUTE(SUBSTITUTE($R213," ",""),"c",""),"C",""),"-","")))),OR(SUMPRODUCT(--($U213=Package_type_code))&gt;0,$U213="",$U213="-")),"Valid","Invalid"))</f>
        <v>Skip</v>
      </c>
      <c r="C213" s="70"/>
      <c r="D213" s="410"/>
      <c r="E213" s="411"/>
      <c r="F213" s="218" t="str">
        <f t="shared" si="6"/>
        <v>-</v>
      </c>
      <c r="G213" s="218"/>
      <c r="H213" s="178" t="str">
        <f t="shared" si="7"/>
        <v>-</v>
      </c>
      <c r="I213" s="203"/>
      <c r="J213" s="416"/>
      <c r="K213" s="400"/>
      <c r="L213" s="415"/>
      <c r="M213" s="322"/>
      <c r="N213" s="587"/>
      <c r="O213" s="403" t="s">
        <v>278</v>
      </c>
      <c r="P213" s="404" t="s">
        <v>77</v>
      </c>
      <c r="Q213" s="358"/>
      <c r="R213" s="320"/>
      <c r="S213" s="359"/>
      <c r="T213" s="359"/>
      <c r="U213" s="94" t="str">
        <f>IF(ISERROR(VLOOKUP($T213, 'Reference data'!$J$2:$K$139, 2, FALSE)),"-",VLOOKUP($T213, 'Reference data'!$J$2:$K$139, 2, FALSE))</f>
        <v>-</v>
      </c>
      <c r="V213" s="320"/>
      <c r="W213" s="320"/>
      <c r="X213" s="324"/>
      <c r="Y213" s="325"/>
      <c r="Z213" s="241"/>
      <c r="AA213" s="362"/>
      <c r="AB213" s="86"/>
      <c r="AC213" s="72"/>
      <c r="AD213" s="71"/>
      <c r="AE213" s="239" t="s">
        <v>278</v>
      </c>
      <c r="AF213" s="243" t="s">
        <v>77</v>
      </c>
    </row>
    <row r="214" spans="2:32" ht="12.75" customHeight="1" x14ac:dyDescent="0.2">
      <c r="B214" s="356" t="str" cm="1">
        <f t="array" ref="B214">IF(C214="","Skip",IF(AND(Validator!J208=TRUE,Validator!J458=TRUE,Validator!J708=TRUE,Validator!J958=TRUE,Validator!J1208=TRUE,Validator!J1458=TRUE,OR(ISBLANK($R214),ISNUMBER(VALUE(SUBSTITUTE(SUBSTITUTE(SUBSTITUTE(SUBSTITUTE($R214," ",""),"c",""),"C",""),"-","")))),OR(SUMPRODUCT(--($U214=Package_type_code))&gt;0,$U214="",$U214="-")),"Valid","Invalid"))</f>
        <v>Skip</v>
      </c>
      <c r="C214" s="70"/>
      <c r="D214" s="410"/>
      <c r="E214" s="411"/>
      <c r="F214" s="218" t="str">
        <f t="shared" si="6"/>
        <v>-</v>
      </c>
      <c r="G214" s="218"/>
      <c r="H214" s="178" t="str">
        <f t="shared" si="7"/>
        <v>-</v>
      </c>
      <c r="I214" s="203"/>
      <c r="J214" s="416"/>
      <c r="K214" s="400"/>
      <c r="L214" s="415"/>
      <c r="M214" s="322"/>
      <c r="N214" s="587"/>
      <c r="O214" s="403" t="s">
        <v>278</v>
      </c>
      <c r="P214" s="404" t="s">
        <v>77</v>
      </c>
      <c r="Q214" s="358"/>
      <c r="R214" s="320"/>
      <c r="S214" s="359"/>
      <c r="T214" s="359"/>
      <c r="U214" s="94" t="str">
        <f>IF(ISERROR(VLOOKUP($T214, 'Reference data'!$J$2:$K$139, 2, FALSE)),"-",VLOOKUP($T214, 'Reference data'!$J$2:$K$139, 2, FALSE))</f>
        <v>-</v>
      </c>
      <c r="V214" s="320"/>
      <c r="W214" s="320"/>
      <c r="X214" s="324"/>
      <c r="Y214" s="325"/>
      <c r="Z214" s="241"/>
      <c r="AA214" s="362"/>
      <c r="AB214" s="86"/>
      <c r="AC214" s="72"/>
      <c r="AD214" s="71"/>
      <c r="AE214" s="239" t="s">
        <v>278</v>
      </c>
      <c r="AF214" s="243" t="s">
        <v>77</v>
      </c>
    </row>
    <row r="215" spans="2:32" ht="12.75" customHeight="1" x14ac:dyDescent="0.2">
      <c r="B215" s="356" t="str" cm="1">
        <f t="array" ref="B215">IF(C215="","Skip",IF(AND(Validator!J209=TRUE,Validator!J459=TRUE,Validator!J709=TRUE,Validator!J959=TRUE,Validator!J1209=TRUE,Validator!J1459=TRUE,OR(ISBLANK($R215),ISNUMBER(VALUE(SUBSTITUTE(SUBSTITUTE(SUBSTITUTE(SUBSTITUTE($R215," ",""),"c",""),"C",""),"-","")))),OR(SUMPRODUCT(--($U215=Package_type_code))&gt;0,$U215="",$U215="-")),"Valid","Invalid"))</f>
        <v>Skip</v>
      </c>
      <c r="C215" s="70"/>
      <c r="D215" s="410"/>
      <c r="E215" s="411"/>
      <c r="F215" s="218" t="str">
        <f t="shared" si="6"/>
        <v>-</v>
      </c>
      <c r="G215" s="218"/>
      <c r="H215" s="178" t="str">
        <f t="shared" si="7"/>
        <v>-</v>
      </c>
      <c r="I215" s="203"/>
      <c r="J215" s="416"/>
      <c r="K215" s="400"/>
      <c r="L215" s="415"/>
      <c r="M215" s="322"/>
      <c r="N215" s="587"/>
      <c r="O215" s="403" t="s">
        <v>278</v>
      </c>
      <c r="P215" s="404" t="s">
        <v>77</v>
      </c>
      <c r="Q215" s="358"/>
      <c r="R215" s="320"/>
      <c r="S215" s="359"/>
      <c r="T215" s="359"/>
      <c r="U215" s="94" t="str">
        <f>IF(ISERROR(VLOOKUP($T215, 'Reference data'!$J$2:$K$139, 2, FALSE)),"-",VLOOKUP($T215, 'Reference data'!$J$2:$K$139, 2, FALSE))</f>
        <v>-</v>
      </c>
      <c r="V215" s="320"/>
      <c r="W215" s="320"/>
      <c r="X215" s="324"/>
      <c r="Y215" s="325"/>
      <c r="Z215" s="241"/>
      <c r="AA215" s="362"/>
      <c r="AB215" s="86"/>
      <c r="AC215" s="72"/>
      <c r="AD215" s="71"/>
      <c r="AE215" s="239" t="s">
        <v>278</v>
      </c>
      <c r="AF215" s="243" t="s">
        <v>77</v>
      </c>
    </row>
    <row r="216" spans="2:32" ht="12.75" customHeight="1" x14ac:dyDescent="0.2">
      <c r="B216" s="356" t="str" cm="1">
        <f t="array" ref="B216">IF(C216="","Skip",IF(AND(Validator!J210=TRUE,Validator!J460=TRUE,Validator!J710=TRUE,Validator!J960=TRUE,Validator!J1210=TRUE,Validator!J1460=TRUE,OR(ISBLANK($R216),ISNUMBER(VALUE(SUBSTITUTE(SUBSTITUTE(SUBSTITUTE(SUBSTITUTE($R216," ",""),"c",""),"C",""),"-","")))),OR(SUMPRODUCT(--($U216=Package_type_code))&gt;0,$U216="",$U216="-")),"Valid","Invalid"))</f>
        <v>Skip</v>
      </c>
      <c r="C216" s="70"/>
      <c r="D216" s="410"/>
      <c r="E216" s="411"/>
      <c r="F216" s="218" t="str">
        <f t="shared" si="6"/>
        <v>-</v>
      </c>
      <c r="G216" s="218"/>
      <c r="H216" s="178" t="str">
        <f t="shared" si="7"/>
        <v>-</v>
      </c>
      <c r="I216" s="203"/>
      <c r="J216" s="416"/>
      <c r="K216" s="400"/>
      <c r="L216" s="415"/>
      <c r="M216" s="322"/>
      <c r="N216" s="587"/>
      <c r="O216" s="403" t="s">
        <v>278</v>
      </c>
      <c r="P216" s="404" t="s">
        <v>77</v>
      </c>
      <c r="Q216" s="358"/>
      <c r="R216" s="320"/>
      <c r="S216" s="359"/>
      <c r="T216" s="359"/>
      <c r="U216" s="94" t="str">
        <f>IF(ISERROR(VLOOKUP($T216, 'Reference data'!$J$2:$K$139, 2, FALSE)),"-",VLOOKUP($T216, 'Reference data'!$J$2:$K$139, 2, FALSE))</f>
        <v>-</v>
      </c>
      <c r="V216" s="320"/>
      <c r="W216" s="320"/>
      <c r="X216" s="324"/>
      <c r="Y216" s="325"/>
      <c r="Z216" s="241"/>
      <c r="AA216" s="362"/>
      <c r="AB216" s="86"/>
      <c r="AC216" s="72"/>
      <c r="AD216" s="71"/>
      <c r="AE216" s="239" t="s">
        <v>278</v>
      </c>
      <c r="AF216" s="243" t="s">
        <v>77</v>
      </c>
    </row>
    <row r="217" spans="2:32" ht="12.75" customHeight="1" x14ac:dyDescent="0.2">
      <c r="B217" s="356" t="str" cm="1">
        <f t="array" ref="B217">IF(C217="","Skip",IF(AND(Validator!J211=TRUE,Validator!J461=TRUE,Validator!J711=TRUE,Validator!J961=TRUE,Validator!J1211=TRUE,Validator!J1461=TRUE,OR(ISBLANK($R217),ISNUMBER(VALUE(SUBSTITUTE(SUBSTITUTE(SUBSTITUTE(SUBSTITUTE($R217," ",""),"c",""),"C",""),"-","")))),OR(SUMPRODUCT(--($U217=Package_type_code))&gt;0,$U217="",$U217="-")),"Valid","Invalid"))</f>
        <v>Skip</v>
      </c>
      <c r="C217" s="70"/>
      <c r="D217" s="410"/>
      <c r="E217" s="411"/>
      <c r="F217" s="218" t="str">
        <f t="shared" si="6"/>
        <v>-</v>
      </c>
      <c r="G217" s="218"/>
      <c r="H217" s="178" t="str">
        <f t="shared" si="7"/>
        <v>-</v>
      </c>
      <c r="I217" s="203"/>
      <c r="J217" s="416"/>
      <c r="K217" s="400"/>
      <c r="L217" s="415"/>
      <c r="M217" s="322"/>
      <c r="N217" s="587"/>
      <c r="O217" s="403" t="s">
        <v>278</v>
      </c>
      <c r="P217" s="404" t="s">
        <v>77</v>
      </c>
      <c r="Q217" s="358"/>
      <c r="R217" s="320"/>
      <c r="S217" s="359"/>
      <c r="T217" s="359"/>
      <c r="U217" s="94" t="str">
        <f>IF(ISERROR(VLOOKUP($T217, 'Reference data'!$J$2:$K$139, 2, FALSE)),"-",VLOOKUP($T217, 'Reference data'!$J$2:$K$139, 2, FALSE))</f>
        <v>-</v>
      </c>
      <c r="V217" s="320"/>
      <c r="W217" s="320"/>
      <c r="X217" s="324"/>
      <c r="Y217" s="325"/>
      <c r="Z217" s="241"/>
      <c r="AA217" s="362"/>
      <c r="AB217" s="86"/>
      <c r="AC217" s="72"/>
      <c r="AD217" s="71"/>
      <c r="AE217" s="239" t="s">
        <v>278</v>
      </c>
      <c r="AF217" s="243" t="s">
        <v>77</v>
      </c>
    </row>
    <row r="218" spans="2:32" ht="12.75" customHeight="1" x14ac:dyDescent="0.2">
      <c r="B218" s="356" t="str" cm="1">
        <f t="array" ref="B218">IF(C218="","Skip",IF(AND(Validator!J212=TRUE,Validator!J462=TRUE,Validator!J712=TRUE,Validator!J962=TRUE,Validator!J1212=TRUE,Validator!J1462=TRUE,OR(ISBLANK($R218),ISNUMBER(VALUE(SUBSTITUTE(SUBSTITUTE(SUBSTITUTE(SUBSTITUTE($R218," ",""),"c",""),"C",""),"-","")))),OR(SUMPRODUCT(--($U218=Package_type_code))&gt;0,$U218="",$U218="-")),"Valid","Invalid"))</f>
        <v>Skip</v>
      </c>
      <c r="C218" s="70"/>
      <c r="D218" s="410"/>
      <c r="E218" s="411"/>
      <c r="F218" s="218" t="str">
        <f t="shared" si="6"/>
        <v>-</v>
      </c>
      <c r="G218" s="218"/>
      <c r="H218" s="178" t="str">
        <f t="shared" si="7"/>
        <v>-</v>
      </c>
      <c r="I218" s="203"/>
      <c r="J218" s="416"/>
      <c r="K218" s="400"/>
      <c r="L218" s="415"/>
      <c r="M218" s="322"/>
      <c r="N218" s="587"/>
      <c r="O218" s="403" t="s">
        <v>278</v>
      </c>
      <c r="P218" s="404" t="s">
        <v>77</v>
      </c>
      <c r="Q218" s="358"/>
      <c r="R218" s="320"/>
      <c r="S218" s="359"/>
      <c r="T218" s="359"/>
      <c r="U218" s="94" t="str">
        <f>IF(ISERROR(VLOOKUP($T218, 'Reference data'!$J$2:$K$139, 2, FALSE)),"-",VLOOKUP($T218, 'Reference data'!$J$2:$K$139, 2, FALSE))</f>
        <v>-</v>
      </c>
      <c r="V218" s="320"/>
      <c r="W218" s="320"/>
      <c r="X218" s="324"/>
      <c r="Y218" s="325"/>
      <c r="Z218" s="241"/>
      <c r="AA218" s="362"/>
      <c r="AB218" s="86"/>
      <c r="AC218" s="72"/>
      <c r="AD218" s="71"/>
      <c r="AE218" s="239" t="s">
        <v>278</v>
      </c>
      <c r="AF218" s="243" t="s">
        <v>77</v>
      </c>
    </row>
    <row r="219" spans="2:32" ht="12.75" customHeight="1" x14ac:dyDescent="0.2">
      <c r="B219" s="356" t="str" cm="1">
        <f t="array" ref="B219">IF(C219="","Skip",IF(AND(Validator!J213=TRUE,Validator!J463=TRUE,Validator!J713=TRUE,Validator!J963=TRUE,Validator!J1213=TRUE,Validator!J1463=TRUE,OR(ISBLANK($R219),ISNUMBER(VALUE(SUBSTITUTE(SUBSTITUTE(SUBSTITUTE(SUBSTITUTE($R219," ",""),"c",""),"C",""),"-","")))),OR(SUMPRODUCT(--($U219=Package_type_code))&gt;0,$U219="",$U219="-")),"Valid","Invalid"))</f>
        <v>Skip</v>
      </c>
      <c r="C219" s="70"/>
      <c r="D219" s="410"/>
      <c r="E219" s="411"/>
      <c r="F219" s="218" t="str">
        <f t="shared" si="6"/>
        <v>-</v>
      </c>
      <c r="G219" s="218"/>
      <c r="H219" s="178" t="str">
        <f t="shared" si="7"/>
        <v>-</v>
      </c>
      <c r="I219" s="203"/>
      <c r="J219" s="416"/>
      <c r="K219" s="400"/>
      <c r="L219" s="415"/>
      <c r="M219" s="322"/>
      <c r="N219" s="587"/>
      <c r="O219" s="403" t="s">
        <v>278</v>
      </c>
      <c r="P219" s="404" t="s">
        <v>77</v>
      </c>
      <c r="Q219" s="358"/>
      <c r="R219" s="320"/>
      <c r="S219" s="359"/>
      <c r="T219" s="359"/>
      <c r="U219" s="94" t="str">
        <f>IF(ISERROR(VLOOKUP($T219, 'Reference data'!$J$2:$K$139, 2, FALSE)),"-",VLOOKUP($T219, 'Reference data'!$J$2:$K$139, 2, FALSE))</f>
        <v>-</v>
      </c>
      <c r="V219" s="320"/>
      <c r="W219" s="320"/>
      <c r="X219" s="324"/>
      <c r="Y219" s="325"/>
      <c r="Z219" s="241"/>
      <c r="AA219" s="362"/>
      <c r="AB219" s="86"/>
      <c r="AC219" s="72"/>
      <c r="AD219" s="71"/>
      <c r="AE219" s="239" t="s">
        <v>278</v>
      </c>
      <c r="AF219" s="243" t="s">
        <v>77</v>
      </c>
    </row>
    <row r="220" spans="2:32" ht="12.75" customHeight="1" x14ac:dyDescent="0.2">
      <c r="B220" s="356" t="str" cm="1">
        <f t="array" ref="B220">IF(C220="","Skip",IF(AND(Validator!J214=TRUE,Validator!J464=TRUE,Validator!J714=TRUE,Validator!J964=TRUE,Validator!J1214=TRUE,Validator!J1464=TRUE,OR(ISBLANK($R220),ISNUMBER(VALUE(SUBSTITUTE(SUBSTITUTE(SUBSTITUTE(SUBSTITUTE($R220," ",""),"c",""),"C",""),"-","")))),OR(SUMPRODUCT(--($U220=Package_type_code))&gt;0,$U220="",$U220="-")),"Valid","Invalid"))</f>
        <v>Skip</v>
      </c>
      <c r="C220" s="70"/>
      <c r="D220" s="410"/>
      <c r="E220" s="411"/>
      <c r="F220" s="218" t="str">
        <f t="shared" si="6"/>
        <v>-</v>
      </c>
      <c r="G220" s="218"/>
      <c r="H220" s="178" t="str">
        <f t="shared" si="7"/>
        <v>-</v>
      </c>
      <c r="I220" s="203"/>
      <c r="J220" s="416"/>
      <c r="K220" s="400"/>
      <c r="L220" s="415"/>
      <c r="M220" s="322"/>
      <c r="N220" s="587"/>
      <c r="O220" s="403" t="s">
        <v>278</v>
      </c>
      <c r="P220" s="404" t="s">
        <v>77</v>
      </c>
      <c r="Q220" s="358"/>
      <c r="R220" s="320"/>
      <c r="S220" s="359"/>
      <c r="T220" s="359"/>
      <c r="U220" s="94" t="str">
        <f>IF(ISERROR(VLOOKUP($T220, 'Reference data'!$J$2:$K$139, 2, FALSE)),"-",VLOOKUP($T220, 'Reference data'!$J$2:$K$139, 2, FALSE))</f>
        <v>-</v>
      </c>
      <c r="V220" s="320"/>
      <c r="W220" s="320"/>
      <c r="X220" s="324"/>
      <c r="Y220" s="325"/>
      <c r="Z220" s="241"/>
      <c r="AA220" s="362"/>
      <c r="AB220" s="86"/>
      <c r="AC220" s="72"/>
      <c r="AD220" s="71"/>
      <c r="AE220" s="239" t="s">
        <v>278</v>
      </c>
      <c r="AF220" s="243" t="s">
        <v>77</v>
      </c>
    </row>
    <row r="221" spans="2:32" ht="12.75" customHeight="1" x14ac:dyDescent="0.2">
      <c r="B221" s="356" t="str" cm="1">
        <f t="array" ref="B221">IF(C221="","Skip",IF(AND(Validator!J215=TRUE,Validator!J465=TRUE,Validator!J715=TRUE,Validator!J965=TRUE,Validator!J1215=TRUE,Validator!J1465=TRUE,OR(ISBLANK($R221),ISNUMBER(VALUE(SUBSTITUTE(SUBSTITUTE(SUBSTITUTE(SUBSTITUTE($R221," ",""),"c",""),"C",""),"-","")))),OR(SUMPRODUCT(--($U221=Package_type_code))&gt;0,$U221="",$U221="-")),"Valid","Invalid"))</f>
        <v>Skip</v>
      </c>
      <c r="C221" s="70"/>
      <c r="D221" s="410"/>
      <c r="E221" s="411"/>
      <c r="F221" s="218" t="str">
        <f t="shared" si="6"/>
        <v>-</v>
      </c>
      <c r="G221" s="218"/>
      <c r="H221" s="178" t="str">
        <f t="shared" si="7"/>
        <v>-</v>
      </c>
      <c r="I221" s="203"/>
      <c r="J221" s="416"/>
      <c r="K221" s="400"/>
      <c r="L221" s="415"/>
      <c r="M221" s="322"/>
      <c r="N221" s="587"/>
      <c r="O221" s="403" t="s">
        <v>278</v>
      </c>
      <c r="P221" s="404" t="s">
        <v>77</v>
      </c>
      <c r="Q221" s="358"/>
      <c r="R221" s="320"/>
      <c r="S221" s="359"/>
      <c r="T221" s="359"/>
      <c r="U221" s="94" t="str">
        <f>IF(ISERROR(VLOOKUP($T221, 'Reference data'!$J$2:$K$139, 2, FALSE)),"-",VLOOKUP($T221, 'Reference data'!$J$2:$K$139, 2, FALSE))</f>
        <v>-</v>
      </c>
      <c r="V221" s="320"/>
      <c r="W221" s="320"/>
      <c r="X221" s="324"/>
      <c r="Y221" s="325"/>
      <c r="Z221" s="241"/>
      <c r="AA221" s="362"/>
      <c r="AB221" s="86"/>
      <c r="AC221" s="72"/>
      <c r="AD221" s="71"/>
      <c r="AE221" s="239" t="s">
        <v>278</v>
      </c>
      <c r="AF221" s="243" t="s">
        <v>77</v>
      </c>
    </row>
    <row r="222" spans="2:32" ht="12.75" customHeight="1" x14ac:dyDescent="0.2">
      <c r="B222" s="356" t="str" cm="1">
        <f t="array" ref="B222">IF(C222="","Skip",IF(AND(Validator!J216=TRUE,Validator!J466=TRUE,Validator!J716=TRUE,Validator!J966=TRUE,Validator!J1216=TRUE,Validator!J1466=TRUE,OR(ISBLANK($R222),ISNUMBER(VALUE(SUBSTITUTE(SUBSTITUTE(SUBSTITUTE(SUBSTITUTE($R222," ",""),"c",""),"C",""),"-","")))),OR(SUMPRODUCT(--($U222=Package_type_code))&gt;0,$U222="",$U222="-")),"Valid","Invalid"))</f>
        <v>Skip</v>
      </c>
      <c r="C222" s="70"/>
      <c r="D222" s="410"/>
      <c r="E222" s="411"/>
      <c r="F222" s="218" t="str">
        <f t="shared" si="6"/>
        <v>-</v>
      </c>
      <c r="G222" s="218"/>
      <c r="H222" s="178" t="str">
        <f t="shared" si="7"/>
        <v>-</v>
      </c>
      <c r="I222" s="203"/>
      <c r="J222" s="416"/>
      <c r="K222" s="400"/>
      <c r="L222" s="415"/>
      <c r="M222" s="322"/>
      <c r="N222" s="587"/>
      <c r="O222" s="403" t="s">
        <v>278</v>
      </c>
      <c r="P222" s="404" t="s">
        <v>77</v>
      </c>
      <c r="Q222" s="358"/>
      <c r="R222" s="320"/>
      <c r="S222" s="359"/>
      <c r="T222" s="359"/>
      <c r="U222" s="94" t="str">
        <f>IF(ISERROR(VLOOKUP($T222, 'Reference data'!$J$2:$K$139, 2, FALSE)),"-",VLOOKUP($T222, 'Reference data'!$J$2:$K$139, 2, FALSE))</f>
        <v>-</v>
      </c>
      <c r="V222" s="320"/>
      <c r="W222" s="320"/>
      <c r="X222" s="324"/>
      <c r="Y222" s="325"/>
      <c r="Z222" s="241"/>
      <c r="AA222" s="362"/>
      <c r="AB222" s="86"/>
      <c r="AC222" s="72"/>
      <c r="AD222" s="71"/>
      <c r="AE222" s="239" t="s">
        <v>278</v>
      </c>
      <c r="AF222" s="243" t="s">
        <v>77</v>
      </c>
    </row>
    <row r="223" spans="2:32" ht="12.75" customHeight="1" x14ac:dyDescent="0.2">
      <c r="B223" s="356" t="str" cm="1">
        <f t="array" ref="B223">IF(C223="","Skip",IF(AND(Validator!J217=TRUE,Validator!J467=TRUE,Validator!J717=TRUE,Validator!J967=TRUE,Validator!J1217=TRUE,Validator!J1467=TRUE,OR(ISBLANK($R223),ISNUMBER(VALUE(SUBSTITUTE(SUBSTITUTE(SUBSTITUTE(SUBSTITUTE($R223," ",""),"c",""),"C",""),"-","")))),OR(SUMPRODUCT(--($U223=Package_type_code))&gt;0,$U223="",$U223="-")),"Valid","Invalid"))</f>
        <v>Skip</v>
      </c>
      <c r="C223" s="70"/>
      <c r="D223" s="410"/>
      <c r="E223" s="411"/>
      <c r="F223" s="218" t="str">
        <f t="shared" si="6"/>
        <v>-</v>
      </c>
      <c r="G223" s="218"/>
      <c r="H223" s="178" t="str">
        <f t="shared" si="7"/>
        <v>-</v>
      </c>
      <c r="I223" s="203"/>
      <c r="J223" s="416"/>
      <c r="K223" s="400"/>
      <c r="L223" s="415"/>
      <c r="M223" s="322"/>
      <c r="N223" s="587"/>
      <c r="O223" s="403" t="s">
        <v>278</v>
      </c>
      <c r="P223" s="404" t="s">
        <v>77</v>
      </c>
      <c r="Q223" s="358"/>
      <c r="R223" s="320"/>
      <c r="S223" s="359"/>
      <c r="T223" s="359"/>
      <c r="U223" s="94" t="str">
        <f>IF(ISERROR(VLOOKUP($T223, 'Reference data'!$J$2:$K$139, 2, FALSE)),"-",VLOOKUP($T223, 'Reference data'!$J$2:$K$139, 2, FALSE))</f>
        <v>-</v>
      </c>
      <c r="V223" s="320"/>
      <c r="W223" s="320"/>
      <c r="X223" s="324"/>
      <c r="Y223" s="325"/>
      <c r="Z223" s="241"/>
      <c r="AA223" s="362"/>
      <c r="AB223" s="86"/>
      <c r="AC223" s="72"/>
      <c r="AD223" s="71"/>
      <c r="AE223" s="239" t="s">
        <v>278</v>
      </c>
      <c r="AF223" s="243" t="s">
        <v>77</v>
      </c>
    </row>
    <row r="224" spans="2:32" ht="12.75" customHeight="1" x14ac:dyDescent="0.2">
      <c r="B224" s="356" t="str" cm="1">
        <f t="array" ref="B224">IF(C224="","Skip",IF(AND(Validator!J218=TRUE,Validator!J468=TRUE,Validator!J718=TRUE,Validator!J968=TRUE,Validator!J1218=TRUE,Validator!J1468=TRUE,OR(ISBLANK($R224),ISNUMBER(VALUE(SUBSTITUTE(SUBSTITUTE(SUBSTITUTE(SUBSTITUTE($R224," ",""),"c",""),"C",""),"-","")))),OR(SUMPRODUCT(--($U224=Package_type_code))&gt;0,$U224="",$U224="-")),"Valid","Invalid"))</f>
        <v>Skip</v>
      </c>
      <c r="C224" s="70"/>
      <c r="D224" s="410"/>
      <c r="E224" s="411"/>
      <c r="F224" s="218" t="str">
        <f t="shared" si="6"/>
        <v>-</v>
      </c>
      <c r="G224" s="218"/>
      <c r="H224" s="178" t="str">
        <f t="shared" si="7"/>
        <v>-</v>
      </c>
      <c r="I224" s="203"/>
      <c r="J224" s="416"/>
      <c r="K224" s="400"/>
      <c r="L224" s="415"/>
      <c r="M224" s="322"/>
      <c r="N224" s="587"/>
      <c r="O224" s="403" t="s">
        <v>278</v>
      </c>
      <c r="P224" s="404" t="s">
        <v>77</v>
      </c>
      <c r="Q224" s="358"/>
      <c r="R224" s="320"/>
      <c r="S224" s="359"/>
      <c r="T224" s="359"/>
      <c r="U224" s="94" t="str">
        <f>IF(ISERROR(VLOOKUP($T224, 'Reference data'!$J$2:$K$139, 2, FALSE)),"-",VLOOKUP($T224, 'Reference data'!$J$2:$K$139, 2, FALSE))</f>
        <v>-</v>
      </c>
      <c r="V224" s="320"/>
      <c r="W224" s="320"/>
      <c r="X224" s="324"/>
      <c r="Y224" s="325"/>
      <c r="Z224" s="241"/>
      <c r="AA224" s="362"/>
      <c r="AB224" s="86"/>
      <c r="AC224" s="72"/>
      <c r="AD224" s="71"/>
      <c r="AE224" s="239" t="s">
        <v>278</v>
      </c>
      <c r="AF224" s="243" t="s">
        <v>77</v>
      </c>
    </row>
    <row r="225" spans="2:32" ht="12.75" customHeight="1" x14ac:dyDescent="0.2">
      <c r="B225" s="356" t="str" cm="1">
        <f t="array" ref="B225">IF(C225="","Skip",IF(AND(Validator!J219=TRUE,Validator!J469=TRUE,Validator!J719=TRUE,Validator!J969=TRUE,Validator!J1219=TRUE,Validator!J1469=TRUE,OR(ISBLANK($R225),ISNUMBER(VALUE(SUBSTITUTE(SUBSTITUTE(SUBSTITUTE(SUBSTITUTE($R225," ",""),"c",""),"C",""),"-","")))),OR(SUMPRODUCT(--($U225=Package_type_code))&gt;0,$U225="",$U225="-")),"Valid","Invalid"))</f>
        <v>Skip</v>
      </c>
      <c r="C225" s="70"/>
      <c r="D225" s="410"/>
      <c r="E225" s="411"/>
      <c r="F225" s="218" t="str">
        <f t="shared" si="6"/>
        <v>-</v>
      </c>
      <c r="G225" s="218"/>
      <c r="H225" s="178" t="str">
        <f t="shared" si="7"/>
        <v>-</v>
      </c>
      <c r="I225" s="203"/>
      <c r="J225" s="416"/>
      <c r="K225" s="400"/>
      <c r="L225" s="415"/>
      <c r="M225" s="322"/>
      <c r="N225" s="587"/>
      <c r="O225" s="403" t="s">
        <v>278</v>
      </c>
      <c r="P225" s="404" t="s">
        <v>77</v>
      </c>
      <c r="Q225" s="358"/>
      <c r="R225" s="320"/>
      <c r="S225" s="359"/>
      <c r="T225" s="359"/>
      <c r="U225" s="94" t="str">
        <f>IF(ISERROR(VLOOKUP($T225, 'Reference data'!$J$2:$K$139, 2, FALSE)),"-",VLOOKUP($T225, 'Reference data'!$J$2:$K$139, 2, FALSE))</f>
        <v>-</v>
      </c>
      <c r="V225" s="320"/>
      <c r="W225" s="320"/>
      <c r="X225" s="324"/>
      <c r="Y225" s="325"/>
      <c r="Z225" s="241"/>
      <c r="AA225" s="362"/>
      <c r="AB225" s="86"/>
      <c r="AC225" s="72"/>
      <c r="AD225" s="71"/>
      <c r="AE225" s="239" t="s">
        <v>278</v>
      </c>
      <c r="AF225" s="243" t="s">
        <v>77</v>
      </c>
    </row>
    <row r="226" spans="2:32" ht="12.75" customHeight="1" x14ac:dyDescent="0.2">
      <c r="B226" s="356" t="str" cm="1">
        <f t="array" ref="B226">IF(C226="","Skip",IF(AND(Validator!J220=TRUE,Validator!J470=TRUE,Validator!J720=TRUE,Validator!J970=TRUE,Validator!J1220=TRUE,Validator!J1470=TRUE,OR(ISBLANK($R226),ISNUMBER(VALUE(SUBSTITUTE(SUBSTITUTE(SUBSTITUTE(SUBSTITUTE($R226," ",""),"c",""),"C",""),"-","")))),OR(SUMPRODUCT(--($U226=Package_type_code))&gt;0,$U226="",$U226="-")),"Valid","Invalid"))</f>
        <v>Skip</v>
      </c>
      <c r="C226" s="70"/>
      <c r="D226" s="410"/>
      <c r="E226" s="411"/>
      <c r="F226" s="218" t="str">
        <f t="shared" si="6"/>
        <v>-</v>
      </c>
      <c r="G226" s="218"/>
      <c r="H226" s="178" t="str">
        <f t="shared" si="7"/>
        <v>-</v>
      </c>
      <c r="I226" s="203"/>
      <c r="J226" s="416"/>
      <c r="K226" s="400"/>
      <c r="L226" s="415"/>
      <c r="M226" s="322"/>
      <c r="N226" s="587"/>
      <c r="O226" s="403" t="s">
        <v>278</v>
      </c>
      <c r="P226" s="404" t="s">
        <v>77</v>
      </c>
      <c r="Q226" s="358"/>
      <c r="R226" s="320"/>
      <c r="S226" s="359"/>
      <c r="T226" s="359"/>
      <c r="U226" s="94" t="str">
        <f>IF(ISERROR(VLOOKUP($T226, 'Reference data'!$J$2:$K$139, 2, FALSE)),"-",VLOOKUP($T226, 'Reference data'!$J$2:$K$139, 2, FALSE))</f>
        <v>-</v>
      </c>
      <c r="V226" s="320"/>
      <c r="W226" s="320"/>
      <c r="X226" s="324"/>
      <c r="Y226" s="325"/>
      <c r="Z226" s="241"/>
      <c r="AA226" s="362"/>
      <c r="AB226" s="86"/>
      <c r="AC226" s="72"/>
      <c r="AD226" s="71"/>
      <c r="AE226" s="239" t="s">
        <v>278</v>
      </c>
      <c r="AF226" s="243" t="s">
        <v>77</v>
      </c>
    </row>
    <row r="227" spans="2:32" ht="12.75" customHeight="1" x14ac:dyDescent="0.2">
      <c r="B227" s="356" t="str" cm="1">
        <f t="array" ref="B227">IF(C227="","Skip",IF(AND(Validator!J221=TRUE,Validator!J471=TRUE,Validator!J721=TRUE,Validator!J971=TRUE,Validator!J1221=TRUE,Validator!J1471=TRUE,OR(ISBLANK($R227),ISNUMBER(VALUE(SUBSTITUTE(SUBSTITUTE(SUBSTITUTE(SUBSTITUTE($R227," ",""),"c",""),"C",""),"-","")))),OR(SUMPRODUCT(--($U227=Package_type_code))&gt;0,$U227="",$U227="-")),"Valid","Invalid"))</f>
        <v>Skip</v>
      </c>
      <c r="C227" s="70"/>
      <c r="D227" s="410"/>
      <c r="E227" s="411"/>
      <c r="F227" s="218" t="str">
        <f t="shared" si="6"/>
        <v>-</v>
      </c>
      <c r="G227" s="218"/>
      <c r="H227" s="178" t="str">
        <f t="shared" si="7"/>
        <v>-</v>
      </c>
      <c r="I227" s="203"/>
      <c r="J227" s="416"/>
      <c r="K227" s="400"/>
      <c r="L227" s="415"/>
      <c r="M227" s="322"/>
      <c r="N227" s="587"/>
      <c r="O227" s="403" t="s">
        <v>278</v>
      </c>
      <c r="P227" s="404" t="s">
        <v>77</v>
      </c>
      <c r="Q227" s="358"/>
      <c r="R227" s="320"/>
      <c r="S227" s="359"/>
      <c r="T227" s="359"/>
      <c r="U227" s="94" t="str">
        <f>IF(ISERROR(VLOOKUP($T227, 'Reference data'!$J$2:$K$139, 2, FALSE)),"-",VLOOKUP($T227, 'Reference data'!$J$2:$K$139, 2, FALSE))</f>
        <v>-</v>
      </c>
      <c r="V227" s="320"/>
      <c r="W227" s="320"/>
      <c r="X227" s="324"/>
      <c r="Y227" s="325"/>
      <c r="Z227" s="241"/>
      <c r="AA227" s="362"/>
      <c r="AB227" s="86"/>
      <c r="AC227" s="72"/>
      <c r="AD227" s="71"/>
      <c r="AE227" s="239" t="s">
        <v>278</v>
      </c>
      <c r="AF227" s="243" t="s">
        <v>77</v>
      </c>
    </row>
    <row r="228" spans="2:32" ht="12.75" customHeight="1" x14ac:dyDescent="0.2">
      <c r="B228" s="356" t="str" cm="1">
        <f t="array" ref="B228">IF(C228="","Skip",IF(AND(Validator!J222=TRUE,Validator!J472=TRUE,Validator!J722=TRUE,Validator!J972=TRUE,Validator!J1222=TRUE,Validator!J1472=TRUE,OR(ISBLANK($R228),ISNUMBER(VALUE(SUBSTITUTE(SUBSTITUTE(SUBSTITUTE(SUBSTITUTE($R228," ",""),"c",""),"C",""),"-","")))),OR(SUMPRODUCT(--($U228=Package_type_code))&gt;0,$U228="",$U228="-")),"Valid","Invalid"))</f>
        <v>Skip</v>
      </c>
      <c r="C228" s="70"/>
      <c r="D228" s="410"/>
      <c r="E228" s="411"/>
      <c r="F228" s="218" t="str">
        <f t="shared" si="6"/>
        <v>-</v>
      </c>
      <c r="G228" s="218"/>
      <c r="H228" s="178" t="str">
        <f t="shared" si="7"/>
        <v>-</v>
      </c>
      <c r="I228" s="203"/>
      <c r="J228" s="416"/>
      <c r="K228" s="400"/>
      <c r="L228" s="415"/>
      <c r="M228" s="322"/>
      <c r="N228" s="587"/>
      <c r="O228" s="403" t="s">
        <v>278</v>
      </c>
      <c r="P228" s="404" t="s">
        <v>77</v>
      </c>
      <c r="Q228" s="358"/>
      <c r="R228" s="320"/>
      <c r="S228" s="359"/>
      <c r="T228" s="359"/>
      <c r="U228" s="94" t="str">
        <f>IF(ISERROR(VLOOKUP($T228, 'Reference data'!$J$2:$K$139, 2, FALSE)),"-",VLOOKUP($T228, 'Reference data'!$J$2:$K$139, 2, FALSE))</f>
        <v>-</v>
      </c>
      <c r="V228" s="320"/>
      <c r="W228" s="320"/>
      <c r="X228" s="324"/>
      <c r="Y228" s="325"/>
      <c r="Z228" s="241"/>
      <c r="AA228" s="362"/>
      <c r="AB228" s="86"/>
      <c r="AC228" s="72"/>
      <c r="AD228" s="71"/>
      <c r="AE228" s="239" t="s">
        <v>278</v>
      </c>
      <c r="AF228" s="243" t="s">
        <v>77</v>
      </c>
    </row>
    <row r="229" spans="2:32" ht="12.75" customHeight="1" x14ac:dyDescent="0.2">
      <c r="B229" s="356" t="str" cm="1">
        <f t="array" ref="B229">IF(C229="","Skip",IF(AND(Validator!J223=TRUE,Validator!J473=TRUE,Validator!J723=TRUE,Validator!J973=TRUE,Validator!J1223=TRUE,Validator!J1473=TRUE,OR(ISBLANK($R229),ISNUMBER(VALUE(SUBSTITUTE(SUBSTITUTE(SUBSTITUTE(SUBSTITUTE($R229," ",""),"c",""),"C",""),"-","")))),OR(SUMPRODUCT(--($U229=Package_type_code))&gt;0,$U229="",$U229="-")),"Valid","Invalid"))</f>
        <v>Skip</v>
      </c>
      <c r="C229" s="70"/>
      <c r="D229" s="410"/>
      <c r="E229" s="411"/>
      <c r="F229" s="218" t="str">
        <f t="shared" si="6"/>
        <v>-</v>
      </c>
      <c r="G229" s="218"/>
      <c r="H229" s="178" t="str">
        <f t="shared" si="7"/>
        <v>-</v>
      </c>
      <c r="I229" s="203"/>
      <c r="J229" s="416"/>
      <c r="K229" s="400"/>
      <c r="L229" s="415"/>
      <c r="M229" s="322"/>
      <c r="N229" s="587"/>
      <c r="O229" s="403" t="s">
        <v>278</v>
      </c>
      <c r="P229" s="404" t="s">
        <v>77</v>
      </c>
      <c r="Q229" s="358"/>
      <c r="R229" s="320"/>
      <c r="S229" s="359"/>
      <c r="T229" s="359"/>
      <c r="U229" s="94" t="str">
        <f>IF(ISERROR(VLOOKUP($T229, 'Reference data'!$J$2:$K$139, 2, FALSE)),"-",VLOOKUP($T229, 'Reference data'!$J$2:$K$139, 2, FALSE))</f>
        <v>-</v>
      </c>
      <c r="V229" s="320"/>
      <c r="W229" s="320"/>
      <c r="X229" s="324"/>
      <c r="Y229" s="325"/>
      <c r="Z229" s="241"/>
      <c r="AA229" s="362"/>
      <c r="AB229" s="86"/>
      <c r="AC229" s="72"/>
      <c r="AD229" s="71"/>
      <c r="AE229" s="239" t="s">
        <v>278</v>
      </c>
      <c r="AF229" s="243" t="s">
        <v>77</v>
      </c>
    </row>
    <row r="230" spans="2:32" ht="12.75" customHeight="1" x14ac:dyDescent="0.2">
      <c r="B230" s="356" t="str" cm="1">
        <f t="array" ref="B230">IF(C230="","Skip",IF(AND(Validator!J224=TRUE,Validator!J474=TRUE,Validator!J724=TRUE,Validator!J974=TRUE,Validator!J1224=TRUE,Validator!J1474=TRUE,OR(ISBLANK($R230),ISNUMBER(VALUE(SUBSTITUTE(SUBSTITUTE(SUBSTITUTE(SUBSTITUTE($R230," ",""),"c",""),"C",""),"-","")))),OR(SUMPRODUCT(--($U230=Package_type_code))&gt;0,$U230="",$U230="-")),"Valid","Invalid"))</f>
        <v>Skip</v>
      </c>
      <c r="C230" s="70"/>
      <c r="D230" s="410"/>
      <c r="E230" s="411"/>
      <c r="F230" s="218" t="str">
        <f t="shared" si="6"/>
        <v>-</v>
      </c>
      <c r="G230" s="218"/>
      <c r="H230" s="178" t="str">
        <f t="shared" si="7"/>
        <v>-</v>
      </c>
      <c r="I230" s="203"/>
      <c r="J230" s="416"/>
      <c r="K230" s="400"/>
      <c r="L230" s="415"/>
      <c r="M230" s="322"/>
      <c r="N230" s="587"/>
      <c r="O230" s="403" t="s">
        <v>278</v>
      </c>
      <c r="P230" s="404" t="s">
        <v>77</v>
      </c>
      <c r="Q230" s="358"/>
      <c r="R230" s="320"/>
      <c r="S230" s="359"/>
      <c r="T230" s="359"/>
      <c r="U230" s="94" t="str">
        <f>IF(ISERROR(VLOOKUP($T230, 'Reference data'!$J$2:$K$139, 2, FALSE)),"-",VLOOKUP($T230, 'Reference data'!$J$2:$K$139, 2, FALSE))</f>
        <v>-</v>
      </c>
      <c r="V230" s="320"/>
      <c r="W230" s="320"/>
      <c r="X230" s="324"/>
      <c r="Y230" s="325"/>
      <c r="Z230" s="241"/>
      <c r="AA230" s="362"/>
      <c r="AB230" s="86"/>
      <c r="AC230" s="72"/>
      <c r="AD230" s="71"/>
      <c r="AE230" s="239" t="s">
        <v>278</v>
      </c>
      <c r="AF230" s="243" t="s">
        <v>77</v>
      </c>
    </row>
    <row r="231" spans="2:32" ht="12.75" customHeight="1" x14ac:dyDescent="0.2">
      <c r="B231" s="356" t="str" cm="1">
        <f t="array" ref="B231">IF(C231="","Skip",IF(AND(Validator!J225=TRUE,Validator!J475=TRUE,Validator!J725=TRUE,Validator!J975=TRUE,Validator!J1225=TRUE,Validator!J1475=TRUE,OR(ISBLANK($R231),ISNUMBER(VALUE(SUBSTITUTE(SUBSTITUTE(SUBSTITUTE(SUBSTITUTE($R231," ",""),"c",""),"C",""),"-","")))),OR(SUMPRODUCT(--($U231=Package_type_code))&gt;0,$U231="",$U231="-")),"Valid","Invalid"))</f>
        <v>Skip</v>
      </c>
      <c r="C231" s="70"/>
      <c r="D231" s="410"/>
      <c r="E231" s="411"/>
      <c r="F231" s="218" t="str">
        <f t="shared" si="6"/>
        <v>-</v>
      </c>
      <c r="G231" s="218"/>
      <c r="H231" s="178" t="str">
        <f t="shared" si="7"/>
        <v>-</v>
      </c>
      <c r="I231" s="203"/>
      <c r="J231" s="416"/>
      <c r="K231" s="400"/>
      <c r="L231" s="415"/>
      <c r="M231" s="322"/>
      <c r="N231" s="587"/>
      <c r="O231" s="403" t="s">
        <v>278</v>
      </c>
      <c r="P231" s="404" t="s">
        <v>77</v>
      </c>
      <c r="Q231" s="358"/>
      <c r="R231" s="320"/>
      <c r="S231" s="359"/>
      <c r="T231" s="359"/>
      <c r="U231" s="94" t="str">
        <f>IF(ISERROR(VLOOKUP($T231, 'Reference data'!$J$2:$K$139, 2, FALSE)),"-",VLOOKUP($T231, 'Reference data'!$J$2:$K$139, 2, FALSE))</f>
        <v>-</v>
      </c>
      <c r="V231" s="320"/>
      <c r="W231" s="320"/>
      <c r="X231" s="324"/>
      <c r="Y231" s="325"/>
      <c r="Z231" s="241"/>
      <c r="AA231" s="362"/>
      <c r="AB231" s="86"/>
      <c r="AC231" s="72"/>
      <c r="AD231" s="71"/>
      <c r="AE231" s="239" t="s">
        <v>278</v>
      </c>
      <c r="AF231" s="243" t="s">
        <v>77</v>
      </c>
    </row>
    <row r="232" spans="2:32" ht="12.75" customHeight="1" x14ac:dyDescent="0.2">
      <c r="B232" s="356" t="str" cm="1">
        <f t="array" ref="B232">IF(C232="","Skip",IF(AND(Validator!J226=TRUE,Validator!J476=TRUE,Validator!J726=TRUE,Validator!J976=TRUE,Validator!J1226=TRUE,Validator!J1476=TRUE,OR(ISBLANK($R232),ISNUMBER(VALUE(SUBSTITUTE(SUBSTITUTE(SUBSTITUTE(SUBSTITUTE($R232," ",""),"c",""),"C",""),"-","")))),OR(SUMPRODUCT(--($U232=Package_type_code))&gt;0,$U232="",$U232="-")),"Valid","Invalid"))</f>
        <v>Skip</v>
      </c>
      <c r="C232" s="70"/>
      <c r="D232" s="410"/>
      <c r="E232" s="411"/>
      <c r="F232" s="218" t="str">
        <f t="shared" si="6"/>
        <v>-</v>
      </c>
      <c r="G232" s="218"/>
      <c r="H232" s="178" t="str">
        <f t="shared" si="7"/>
        <v>-</v>
      </c>
      <c r="I232" s="203"/>
      <c r="J232" s="416"/>
      <c r="K232" s="400"/>
      <c r="L232" s="415"/>
      <c r="M232" s="322"/>
      <c r="N232" s="587"/>
      <c r="O232" s="403" t="s">
        <v>278</v>
      </c>
      <c r="P232" s="404" t="s">
        <v>77</v>
      </c>
      <c r="Q232" s="358"/>
      <c r="R232" s="320"/>
      <c r="S232" s="359"/>
      <c r="T232" s="359"/>
      <c r="U232" s="94" t="str">
        <f>IF(ISERROR(VLOOKUP($T232, 'Reference data'!$J$2:$K$139, 2, FALSE)),"-",VLOOKUP($T232, 'Reference data'!$J$2:$K$139, 2, FALSE))</f>
        <v>-</v>
      </c>
      <c r="V232" s="320"/>
      <c r="W232" s="320"/>
      <c r="X232" s="324"/>
      <c r="Y232" s="325"/>
      <c r="Z232" s="241"/>
      <c r="AA232" s="362"/>
      <c r="AB232" s="86"/>
      <c r="AC232" s="72"/>
      <c r="AD232" s="71"/>
      <c r="AE232" s="239" t="s">
        <v>278</v>
      </c>
      <c r="AF232" s="243" t="s">
        <v>77</v>
      </c>
    </row>
    <row r="233" spans="2:32" ht="12.75" customHeight="1" x14ac:dyDescent="0.2">
      <c r="B233" s="356" t="str" cm="1">
        <f t="array" ref="B233">IF(C233="","Skip",IF(AND(Validator!J227=TRUE,Validator!J477=TRUE,Validator!J727=TRUE,Validator!J977=TRUE,Validator!J1227=TRUE,Validator!J1477=TRUE,OR(ISBLANK($R233),ISNUMBER(VALUE(SUBSTITUTE(SUBSTITUTE(SUBSTITUTE(SUBSTITUTE($R233," ",""),"c",""),"C",""),"-","")))),OR(SUMPRODUCT(--($U233=Package_type_code))&gt;0,$U233="",$U233="-")),"Valid","Invalid"))</f>
        <v>Skip</v>
      </c>
      <c r="C233" s="70"/>
      <c r="D233" s="410"/>
      <c r="E233" s="411"/>
      <c r="F233" s="218" t="str">
        <f t="shared" si="6"/>
        <v>-</v>
      </c>
      <c r="G233" s="218"/>
      <c r="H233" s="178" t="str">
        <f t="shared" si="7"/>
        <v>-</v>
      </c>
      <c r="I233" s="203"/>
      <c r="J233" s="416"/>
      <c r="K233" s="400"/>
      <c r="L233" s="415"/>
      <c r="M233" s="322"/>
      <c r="N233" s="587"/>
      <c r="O233" s="403" t="s">
        <v>278</v>
      </c>
      <c r="P233" s="404" t="s">
        <v>77</v>
      </c>
      <c r="Q233" s="358"/>
      <c r="R233" s="320"/>
      <c r="S233" s="359"/>
      <c r="T233" s="359"/>
      <c r="U233" s="94" t="str">
        <f>IF(ISERROR(VLOOKUP($T233, 'Reference data'!$J$2:$K$139, 2, FALSE)),"-",VLOOKUP($T233, 'Reference data'!$J$2:$K$139, 2, FALSE))</f>
        <v>-</v>
      </c>
      <c r="V233" s="320"/>
      <c r="W233" s="320"/>
      <c r="X233" s="324"/>
      <c r="Y233" s="325"/>
      <c r="Z233" s="241"/>
      <c r="AA233" s="362"/>
      <c r="AB233" s="86"/>
      <c r="AC233" s="72"/>
      <c r="AD233" s="71"/>
      <c r="AE233" s="239" t="s">
        <v>278</v>
      </c>
      <c r="AF233" s="243" t="s">
        <v>77</v>
      </c>
    </row>
    <row r="234" spans="2:32" ht="12.75" customHeight="1" x14ac:dyDescent="0.2">
      <c r="B234" s="356" t="str" cm="1">
        <f t="array" ref="B234">IF(C234="","Skip",IF(AND(Validator!J228=TRUE,Validator!J478=TRUE,Validator!J728=TRUE,Validator!J978=TRUE,Validator!J1228=TRUE,Validator!J1478=TRUE,OR(ISBLANK($R234),ISNUMBER(VALUE(SUBSTITUTE(SUBSTITUTE(SUBSTITUTE(SUBSTITUTE($R234," ",""),"c",""),"C",""),"-","")))),OR(SUMPRODUCT(--($U234=Package_type_code))&gt;0,$U234="",$U234="-")),"Valid","Invalid"))</f>
        <v>Skip</v>
      </c>
      <c r="C234" s="70"/>
      <c r="D234" s="410"/>
      <c r="E234" s="411"/>
      <c r="F234" s="218" t="str">
        <f t="shared" si="6"/>
        <v>-</v>
      </c>
      <c r="G234" s="218"/>
      <c r="H234" s="178" t="str">
        <f t="shared" si="7"/>
        <v>-</v>
      </c>
      <c r="I234" s="203"/>
      <c r="J234" s="416"/>
      <c r="K234" s="400"/>
      <c r="L234" s="415"/>
      <c r="M234" s="322"/>
      <c r="N234" s="587"/>
      <c r="O234" s="403" t="s">
        <v>278</v>
      </c>
      <c r="P234" s="404" t="s">
        <v>77</v>
      </c>
      <c r="Q234" s="358"/>
      <c r="R234" s="320"/>
      <c r="S234" s="359"/>
      <c r="T234" s="359"/>
      <c r="U234" s="94" t="str">
        <f>IF(ISERROR(VLOOKUP($T234, 'Reference data'!$J$2:$K$139, 2, FALSE)),"-",VLOOKUP($T234, 'Reference data'!$J$2:$K$139, 2, FALSE))</f>
        <v>-</v>
      </c>
      <c r="V234" s="320"/>
      <c r="W234" s="320"/>
      <c r="X234" s="324"/>
      <c r="Y234" s="325"/>
      <c r="Z234" s="241"/>
      <c r="AA234" s="362"/>
      <c r="AB234" s="86"/>
      <c r="AC234" s="72"/>
      <c r="AD234" s="71"/>
      <c r="AE234" s="239" t="s">
        <v>278</v>
      </c>
      <c r="AF234" s="243" t="s">
        <v>77</v>
      </c>
    </row>
    <row r="235" spans="2:32" ht="12.75" customHeight="1" x14ac:dyDescent="0.2">
      <c r="B235" s="356" t="str" cm="1">
        <f t="array" ref="B235">IF(C235="","Skip",IF(AND(Validator!J229=TRUE,Validator!J479=TRUE,Validator!J729=TRUE,Validator!J979=TRUE,Validator!J1229=TRUE,Validator!J1479=TRUE,OR(ISBLANK($R235),ISNUMBER(VALUE(SUBSTITUTE(SUBSTITUTE(SUBSTITUTE(SUBSTITUTE($R235," ",""),"c",""),"C",""),"-","")))),OR(SUMPRODUCT(--($U235=Package_type_code))&gt;0,$U235="",$U235="-")),"Valid","Invalid"))</f>
        <v>Skip</v>
      </c>
      <c r="C235" s="70"/>
      <c r="D235" s="410"/>
      <c r="E235" s="411"/>
      <c r="F235" s="218" t="str">
        <f t="shared" si="6"/>
        <v>-</v>
      </c>
      <c r="G235" s="218"/>
      <c r="H235" s="178" t="str">
        <f t="shared" si="7"/>
        <v>-</v>
      </c>
      <c r="I235" s="203"/>
      <c r="J235" s="416"/>
      <c r="K235" s="400"/>
      <c r="L235" s="415"/>
      <c r="M235" s="322"/>
      <c r="N235" s="587"/>
      <c r="O235" s="403" t="s">
        <v>278</v>
      </c>
      <c r="P235" s="404" t="s">
        <v>77</v>
      </c>
      <c r="Q235" s="358"/>
      <c r="R235" s="320"/>
      <c r="S235" s="359"/>
      <c r="T235" s="359"/>
      <c r="U235" s="94" t="str">
        <f>IF(ISERROR(VLOOKUP($T235, 'Reference data'!$J$2:$K$139, 2, FALSE)),"-",VLOOKUP($T235, 'Reference data'!$J$2:$K$139, 2, FALSE))</f>
        <v>-</v>
      </c>
      <c r="V235" s="320"/>
      <c r="W235" s="320"/>
      <c r="X235" s="324"/>
      <c r="Y235" s="325"/>
      <c r="Z235" s="241"/>
      <c r="AA235" s="362"/>
      <c r="AB235" s="86"/>
      <c r="AC235" s="72"/>
      <c r="AD235" s="71"/>
      <c r="AE235" s="239" t="s">
        <v>278</v>
      </c>
      <c r="AF235" s="243" t="s">
        <v>77</v>
      </c>
    </row>
    <row r="236" spans="2:32" ht="12.75" customHeight="1" x14ac:dyDescent="0.2">
      <c r="B236" s="356" t="str" cm="1">
        <f t="array" ref="B236">IF(C236="","Skip",IF(AND(Validator!J230=TRUE,Validator!J480=TRUE,Validator!J730=TRUE,Validator!J980=TRUE,Validator!J1230=TRUE,Validator!J1480=TRUE,OR(ISBLANK($R236),ISNUMBER(VALUE(SUBSTITUTE(SUBSTITUTE(SUBSTITUTE(SUBSTITUTE($R236," ",""),"c",""),"C",""),"-","")))),OR(SUMPRODUCT(--($U236=Package_type_code))&gt;0,$U236="",$U236="-")),"Valid","Invalid"))</f>
        <v>Skip</v>
      </c>
      <c r="C236" s="70"/>
      <c r="D236" s="410"/>
      <c r="E236" s="411"/>
      <c r="F236" s="218" t="str">
        <f t="shared" si="6"/>
        <v>-</v>
      </c>
      <c r="G236" s="218"/>
      <c r="H236" s="178" t="str">
        <f t="shared" si="7"/>
        <v>-</v>
      </c>
      <c r="I236" s="203"/>
      <c r="J236" s="416"/>
      <c r="K236" s="400"/>
      <c r="L236" s="415"/>
      <c r="M236" s="322"/>
      <c r="N236" s="587"/>
      <c r="O236" s="403" t="s">
        <v>278</v>
      </c>
      <c r="P236" s="404" t="s">
        <v>77</v>
      </c>
      <c r="Q236" s="358"/>
      <c r="R236" s="320"/>
      <c r="S236" s="359"/>
      <c r="T236" s="359"/>
      <c r="U236" s="94" t="str">
        <f>IF(ISERROR(VLOOKUP($T236, 'Reference data'!$J$2:$K$139, 2, FALSE)),"-",VLOOKUP($T236, 'Reference data'!$J$2:$K$139, 2, FALSE))</f>
        <v>-</v>
      </c>
      <c r="V236" s="320"/>
      <c r="W236" s="320"/>
      <c r="X236" s="324"/>
      <c r="Y236" s="325"/>
      <c r="Z236" s="241"/>
      <c r="AA236" s="362"/>
      <c r="AB236" s="86"/>
      <c r="AC236" s="72"/>
      <c r="AD236" s="71"/>
      <c r="AE236" s="239" t="s">
        <v>278</v>
      </c>
      <c r="AF236" s="243" t="s">
        <v>77</v>
      </c>
    </row>
    <row r="237" spans="2:32" ht="12.75" customHeight="1" x14ac:dyDescent="0.2">
      <c r="B237" s="356" t="str" cm="1">
        <f t="array" ref="B237">IF(C237="","Skip",IF(AND(Validator!J231=TRUE,Validator!J481=TRUE,Validator!J731=TRUE,Validator!J981=TRUE,Validator!J1231=TRUE,Validator!J1481=TRUE,OR(ISBLANK($R237),ISNUMBER(VALUE(SUBSTITUTE(SUBSTITUTE(SUBSTITUTE(SUBSTITUTE($R237," ",""),"c",""),"C",""),"-","")))),OR(SUMPRODUCT(--($U237=Package_type_code))&gt;0,$U237="",$U237="-")),"Valid","Invalid"))</f>
        <v>Skip</v>
      </c>
      <c r="C237" s="70"/>
      <c r="D237" s="410"/>
      <c r="E237" s="411"/>
      <c r="F237" s="218" t="str">
        <f t="shared" si="6"/>
        <v>-</v>
      </c>
      <c r="G237" s="218"/>
      <c r="H237" s="178" t="str">
        <f t="shared" si="7"/>
        <v>-</v>
      </c>
      <c r="I237" s="203"/>
      <c r="J237" s="416"/>
      <c r="K237" s="400"/>
      <c r="L237" s="415"/>
      <c r="M237" s="322"/>
      <c r="N237" s="587"/>
      <c r="O237" s="403" t="s">
        <v>278</v>
      </c>
      <c r="P237" s="404" t="s">
        <v>77</v>
      </c>
      <c r="Q237" s="358"/>
      <c r="R237" s="320"/>
      <c r="S237" s="359"/>
      <c r="T237" s="359"/>
      <c r="U237" s="94" t="str">
        <f>IF(ISERROR(VLOOKUP($T237, 'Reference data'!$J$2:$K$139, 2, FALSE)),"-",VLOOKUP($T237, 'Reference data'!$J$2:$K$139, 2, FALSE))</f>
        <v>-</v>
      </c>
      <c r="V237" s="320"/>
      <c r="W237" s="320"/>
      <c r="X237" s="324"/>
      <c r="Y237" s="325"/>
      <c r="Z237" s="241"/>
      <c r="AA237" s="362"/>
      <c r="AB237" s="86"/>
      <c r="AC237" s="72"/>
      <c r="AD237" s="71"/>
      <c r="AE237" s="239" t="s">
        <v>278</v>
      </c>
      <c r="AF237" s="243" t="s">
        <v>77</v>
      </c>
    </row>
    <row r="238" spans="2:32" ht="12.75" customHeight="1" x14ac:dyDescent="0.2">
      <c r="B238" s="356" t="str" cm="1">
        <f t="array" ref="B238">IF(C238="","Skip",IF(AND(Validator!J232=TRUE,Validator!J482=TRUE,Validator!J732=TRUE,Validator!J982=TRUE,Validator!J1232=TRUE,Validator!J1482=TRUE,OR(ISBLANK($R238),ISNUMBER(VALUE(SUBSTITUTE(SUBSTITUTE(SUBSTITUTE(SUBSTITUTE($R238," ",""),"c",""),"C",""),"-","")))),OR(SUMPRODUCT(--($U238=Package_type_code))&gt;0,$U238="",$U238="-")),"Valid","Invalid"))</f>
        <v>Skip</v>
      </c>
      <c r="C238" s="70"/>
      <c r="D238" s="410"/>
      <c r="E238" s="411"/>
      <c r="F238" s="218" t="str">
        <f t="shared" si="6"/>
        <v>-</v>
      </c>
      <c r="G238" s="218"/>
      <c r="H238" s="178" t="str">
        <f t="shared" si="7"/>
        <v>-</v>
      </c>
      <c r="I238" s="203"/>
      <c r="J238" s="416"/>
      <c r="K238" s="400"/>
      <c r="L238" s="415"/>
      <c r="M238" s="322"/>
      <c r="N238" s="587"/>
      <c r="O238" s="403" t="s">
        <v>278</v>
      </c>
      <c r="P238" s="404" t="s">
        <v>77</v>
      </c>
      <c r="Q238" s="358"/>
      <c r="R238" s="320"/>
      <c r="S238" s="359"/>
      <c r="T238" s="359"/>
      <c r="U238" s="94" t="str">
        <f>IF(ISERROR(VLOOKUP($T238, 'Reference data'!$J$2:$K$139, 2, FALSE)),"-",VLOOKUP($T238, 'Reference data'!$J$2:$K$139, 2, FALSE))</f>
        <v>-</v>
      </c>
      <c r="V238" s="320"/>
      <c r="W238" s="320"/>
      <c r="X238" s="324"/>
      <c r="Y238" s="325"/>
      <c r="Z238" s="241"/>
      <c r="AA238" s="362"/>
      <c r="AB238" s="86"/>
      <c r="AC238" s="72"/>
      <c r="AD238" s="71"/>
      <c r="AE238" s="239" t="s">
        <v>278</v>
      </c>
      <c r="AF238" s="243" t="s">
        <v>77</v>
      </c>
    </row>
    <row r="239" spans="2:32" ht="12.75" customHeight="1" x14ac:dyDescent="0.2">
      <c r="B239" s="356" t="str" cm="1">
        <f t="array" ref="B239">IF(C239="","Skip",IF(AND(Validator!J233=TRUE,Validator!J483=TRUE,Validator!J733=TRUE,Validator!J983=TRUE,Validator!J1233=TRUE,Validator!J1483=TRUE,OR(ISBLANK($R239),ISNUMBER(VALUE(SUBSTITUTE(SUBSTITUTE(SUBSTITUTE(SUBSTITUTE($R239," ",""),"c",""),"C",""),"-","")))),OR(SUMPRODUCT(--($U239=Package_type_code))&gt;0,$U239="",$U239="-")),"Valid","Invalid"))</f>
        <v>Skip</v>
      </c>
      <c r="C239" s="70"/>
      <c r="D239" s="410"/>
      <c r="E239" s="411"/>
      <c r="F239" s="218" t="str">
        <f t="shared" si="6"/>
        <v>-</v>
      </c>
      <c r="G239" s="218"/>
      <c r="H239" s="178" t="str">
        <f t="shared" si="7"/>
        <v>-</v>
      </c>
      <c r="I239" s="203"/>
      <c r="J239" s="416"/>
      <c r="K239" s="400"/>
      <c r="L239" s="415"/>
      <c r="M239" s="322"/>
      <c r="N239" s="587"/>
      <c r="O239" s="403" t="s">
        <v>278</v>
      </c>
      <c r="P239" s="404" t="s">
        <v>77</v>
      </c>
      <c r="Q239" s="358"/>
      <c r="R239" s="320"/>
      <c r="S239" s="359"/>
      <c r="T239" s="359"/>
      <c r="U239" s="94" t="str">
        <f>IF(ISERROR(VLOOKUP($T239, 'Reference data'!$J$2:$K$139, 2, FALSE)),"-",VLOOKUP($T239, 'Reference data'!$J$2:$K$139, 2, FALSE))</f>
        <v>-</v>
      </c>
      <c r="V239" s="320"/>
      <c r="W239" s="320"/>
      <c r="X239" s="324"/>
      <c r="Y239" s="325"/>
      <c r="Z239" s="241"/>
      <c r="AA239" s="362"/>
      <c r="AB239" s="86"/>
      <c r="AC239" s="72"/>
      <c r="AD239" s="71"/>
      <c r="AE239" s="239" t="s">
        <v>278</v>
      </c>
      <c r="AF239" s="243" t="s">
        <v>77</v>
      </c>
    </row>
    <row r="240" spans="2:32" ht="12.75" customHeight="1" x14ac:dyDescent="0.2">
      <c r="B240" s="356" t="str" cm="1">
        <f t="array" ref="B240">IF(C240="","Skip",IF(AND(Validator!J234=TRUE,Validator!J484=TRUE,Validator!J734=TRUE,Validator!J984=TRUE,Validator!J1234=TRUE,Validator!J1484=TRUE,OR(ISBLANK($R240),ISNUMBER(VALUE(SUBSTITUTE(SUBSTITUTE(SUBSTITUTE(SUBSTITUTE($R240," ",""),"c",""),"C",""),"-","")))),OR(SUMPRODUCT(--($U240=Package_type_code))&gt;0,$U240="",$U240="-")),"Valid","Invalid"))</f>
        <v>Skip</v>
      </c>
      <c r="C240" s="70"/>
      <c r="D240" s="410"/>
      <c r="E240" s="411"/>
      <c r="F240" s="218" t="str">
        <f t="shared" si="6"/>
        <v>-</v>
      </c>
      <c r="G240" s="218"/>
      <c r="H240" s="178" t="str">
        <f t="shared" si="7"/>
        <v>-</v>
      </c>
      <c r="I240" s="203"/>
      <c r="J240" s="416"/>
      <c r="K240" s="400"/>
      <c r="L240" s="415"/>
      <c r="M240" s="322"/>
      <c r="N240" s="587"/>
      <c r="O240" s="403" t="s">
        <v>278</v>
      </c>
      <c r="P240" s="404" t="s">
        <v>77</v>
      </c>
      <c r="Q240" s="358"/>
      <c r="R240" s="320"/>
      <c r="S240" s="359"/>
      <c r="T240" s="359"/>
      <c r="U240" s="94" t="str">
        <f>IF(ISERROR(VLOOKUP($T240, 'Reference data'!$J$2:$K$139, 2, FALSE)),"-",VLOOKUP($T240, 'Reference data'!$J$2:$K$139, 2, FALSE))</f>
        <v>-</v>
      </c>
      <c r="V240" s="320"/>
      <c r="W240" s="320"/>
      <c r="X240" s="324"/>
      <c r="Y240" s="325"/>
      <c r="Z240" s="241"/>
      <c r="AA240" s="362"/>
      <c r="AB240" s="86"/>
      <c r="AC240" s="72"/>
      <c r="AD240" s="71"/>
      <c r="AE240" s="239" t="s">
        <v>278</v>
      </c>
      <c r="AF240" s="243" t="s">
        <v>77</v>
      </c>
    </row>
    <row r="241" spans="2:32" ht="12.75" customHeight="1" x14ac:dyDescent="0.2">
      <c r="B241" s="356" t="str" cm="1">
        <f t="array" ref="B241">IF(C241="","Skip",IF(AND(Validator!J235=TRUE,Validator!J485=TRUE,Validator!J735=TRUE,Validator!J985=TRUE,Validator!J1235=TRUE,Validator!J1485=TRUE,OR(ISBLANK($R241),ISNUMBER(VALUE(SUBSTITUTE(SUBSTITUTE(SUBSTITUTE(SUBSTITUTE($R241," ",""),"c",""),"C",""),"-","")))),OR(SUMPRODUCT(--($U241=Package_type_code))&gt;0,$U241="",$U241="-")),"Valid","Invalid"))</f>
        <v>Skip</v>
      </c>
      <c r="C241" s="70"/>
      <c r="D241" s="410"/>
      <c r="E241" s="411"/>
      <c r="F241" s="218" t="str">
        <f t="shared" si="6"/>
        <v>-</v>
      </c>
      <c r="G241" s="218"/>
      <c r="H241" s="178" t="str">
        <f t="shared" si="7"/>
        <v>-</v>
      </c>
      <c r="I241" s="203"/>
      <c r="J241" s="416"/>
      <c r="K241" s="400"/>
      <c r="L241" s="415"/>
      <c r="M241" s="322"/>
      <c r="N241" s="587"/>
      <c r="O241" s="403" t="s">
        <v>278</v>
      </c>
      <c r="P241" s="404" t="s">
        <v>77</v>
      </c>
      <c r="Q241" s="358"/>
      <c r="R241" s="320"/>
      <c r="S241" s="359"/>
      <c r="T241" s="359"/>
      <c r="U241" s="94" t="str">
        <f>IF(ISERROR(VLOOKUP($T241, 'Reference data'!$J$2:$K$139, 2, FALSE)),"-",VLOOKUP($T241, 'Reference data'!$J$2:$K$139, 2, FALSE))</f>
        <v>-</v>
      </c>
      <c r="V241" s="320"/>
      <c r="W241" s="320"/>
      <c r="X241" s="324"/>
      <c r="Y241" s="325"/>
      <c r="Z241" s="241"/>
      <c r="AA241" s="362"/>
      <c r="AB241" s="86"/>
      <c r="AC241" s="72"/>
      <c r="AD241" s="71"/>
      <c r="AE241" s="239" t="s">
        <v>278</v>
      </c>
      <c r="AF241" s="243" t="s">
        <v>77</v>
      </c>
    </row>
    <row r="242" spans="2:32" ht="12.75" customHeight="1" x14ac:dyDescent="0.2">
      <c r="B242" s="356" t="str" cm="1">
        <f t="array" ref="B242">IF(C242="","Skip",IF(AND(Validator!J236=TRUE,Validator!J486=TRUE,Validator!J736=TRUE,Validator!J986=TRUE,Validator!J1236=TRUE,Validator!J1486=TRUE,OR(ISBLANK($R242),ISNUMBER(VALUE(SUBSTITUTE(SUBSTITUTE(SUBSTITUTE(SUBSTITUTE($R242," ",""),"c",""),"C",""),"-","")))),OR(SUMPRODUCT(--($U242=Package_type_code))&gt;0,$U242="",$U242="-")),"Valid","Invalid"))</f>
        <v>Skip</v>
      </c>
      <c r="C242" s="70"/>
      <c r="D242" s="410"/>
      <c r="E242" s="411"/>
      <c r="F242" s="218" t="str">
        <f t="shared" si="6"/>
        <v>-</v>
      </c>
      <c r="G242" s="218"/>
      <c r="H242" s="178" t="str">
        <f t="shared" si="7"/>
        <v>-</v>
      </c>
      <c r="I242" s="203"/>
      <c r="J242" s="416"/>
      <c r="K242" s="400"/>
      <c r="L242" s="415"/>
      <c r="M242" s="322"/>
      <c r="N242" s="587"/>
      <c r="O242" s="403" t="s">
        <v>278</v>
      </c>
      <c r="P242" s="404" t="s">
        <v>77</v>
      </c>
      <c r="Q242" s="358"/>
      <c r="R242" s="320"/>
      <c r="S242" s="359"/>
      <c r="T242" s="359"/>
      <c r="U242" s="94" t="str">
        <f>IF(ISERROR(VLOOKUP($T242, 'Reference data'!$J$2:$K$139, 2, FALSE)),"-",VLOOKUP($T242, 'Reference data'!$J$2:$K$139, 2, FALSE))</f>
        <v>-</v>
      </c>
      <c r="V242" s="320"/>
      <c r="W242" s="320"/>
      <c r="X242" s="324"/>
      <c r="Y242" s="325"/>
      <c r="Z242" s="241"/>
      <c r="AA242" s="362"/>
      <c r="AB242" s="86"/>
      <c r="AC242" s="72"/>
      <c r="AD242" s="71"/>
      <c r="AE242" s="239" t="s">
        <v>278</v>
      </c>
      <c r="AF242" s="243" t="s">
        <v>77</v>
      </c>
    </row>
    <row r="243" spans="2:32" ht="12.75" customHeight="1" x14ac:dyDescent="0.2">
      <c r="B243" s="356" t="str" cm="1">
        <f t="array" ref="B243">IF(C243="","Skip",IF(AND(Validator!J237=TRUE,Validator!J487=TRUE,Validator!J737=TRUE,Validator!J987=TRUE,Validator!J1237=TRUE,Validator!J1487=TRUE,OR(ISBLANK($R243),ISNUMBER(VALUE(SUBSTITUTE(SUBSTITUTE(SUBSTITUTE(SUBSTITUTE($R243," ",""),"c",""),"C",""),"-","")))),OR(SUMPRODUCT(--($U243=Package_type_code))&gt;0,$U243="",$U243="-")),"Valid","Invalid"))</f>
        <v>Skip</v>
      </c>
      <c r="C243" s="70"/>
      <c r="D243" s="410"/>
      <c r="E243" s="411"/>
      <c r="F243" s="218" t="str">
        <f t="shared" si="6"/>
        <v>-</v>
      </c>
      <c r="G243" s="218"/>
      <c r="H243" s="178" t="str">
        <f t="shared" si="7"/>
        <v>-</v>
      </c>
      <c r="I243" s="203"/>
      <c r="J243" s="416"/>
      <c r="K243" s="400"/>
      <c r="L243" s="415"/>
      <c r="M243" s="322"/>
      <c r="N243" s="587"/>
      <c r="O243" s="403" t="s">
        <v>278</v>
      </c>
      <c r="P243" s="404" t="s">
        <v>77</v>
      </c>
      <c r="Q243" s="358"/>
      <c r="R243" s="320"/>
      <c r="S243" s="359"/>
      <c r="T243" s="359"/>
      <c r="U243" s="94" t="str">
        <f>IF(ISERROR(VLOOKUP($T243, 'Reference data'!$J$2:$K$139, 2, FALSE)),"-",VLOOKUP($T243, 'Reference data'!$J$2:$K$139, 2, FALSE))</f>
        <v>-</v>
      </c>
      <c r="V243" s="320"/>
      <c r="W243" s="320"/>
      <c r="X243" s="324"/>
      <c r="Y243" s="325"/>
      <c r="Z243" s="241"/>
      <c r="AA243" s="362"/>
      <c r="AB243" s="86"/>
      <c r="AC243" s="72"/>
      <c r="AD243" s="71"/>
      <c r="AE243" s="239" t="s">
        <v>278</v>
      </c>
      <c r="AF243" s="243" t="s">
        <v>77</v>
      </c>
    </row>
    <row r="244" spans="2:32" ht="12.75" customHeight="1" x14ac:dyDescent="0.2">
      <c r="B244" s="356" t="str" cm="1">
        <f t="array" ref="B244">IF(C244="","Skip",IF(AND(Validator!J238=TRUE,Validator!J488=TRUE,Validator!J738=TRUE,Validator!J988=TRUE,Validator!J1238=TRUE,Validator!J1488=TRUE,OR(ISBLANK($R244),ISNUMBER(VALUE(SUBSTITUTE(SUBSTITUTE(SUBSTITUTE(SUBSTITUTE($R244," ",""),"c",""),"C",""),"-","")))),OR(SUMPRODUCT(--($U244=Package_type_code))&gt;0,$U244="",$U244="-")),"Valid","Invalid"))</f>
        <v>Skip</v>
      </c>
      <c r="C244" s="70"/>
      <c r="D244" s="410"/>
      <c r="E244" s="411"/>
      <c r="F244" s="218" t="str">
        <f t="shared" si="6"/>
        <v>-</v>
      </c>
      <c r="G244" s="218"/>
      <c r="H244" s="178" t="str">
        <f t="shared" si="7"/>
        <v>-</v>
      </c>
      <c r="I244" s="203"/>
      <c r="J244" s="416"/>
      <c r="K244" s="400"/>
      <c r="L244" s="415"/>
      <c r="M244" s="322"/>
      <c r="N244" s="587"/>
      <c r="O244" s="403" t="s">
        <v>278</v>
      </c>
      <c r="P244" s="404" t="s">
        <v>77</v>
      </c>
      <c r="Q244" s="358"/>
      <c r="R244" s="320"/>
      <c r="S244" s="359"/>
      <c r="T244" s="359"/>
      <c r="U244" s="94" t="str">
        <f>IF(ISERROR(VLOOKUP($T244, 'Reference data'!$J$2:$K$139, 2, FALSE)),"-",VLOOKUP($T244, 'Reference data'!$J$2:$K$139, 2, FALSE))</f>
        <v>-</v>
      </c>
      <c r="V244" s="320"/>
      <c r="W244" s="320"/>
      <c r="X244" s="324"/>
      <c r="Y244" s="325"/>
      <c r="Z244" s="241"/>
      <c r="AA244" s="362"/>
      <c r="AB244" s="86"/>
      <c r="AC244" s="72"/>
      <c r="AD244" s="71"/>
      <c r="AE244" s="239" t="s">
        <v>278</v>
      </c>
      <c r="AF244" s="243" t="s">
        <v>77</v>
      </c>
    </row>
    <row r="245" spans="2:32" ht="12.75" customHeight="1" x14ac:dyDescent="0.2">
      <c r="B245" s="356" t="str" cm="1">
        <f t="array" ref="B245">IF(C245="","Skip",IF(AND(Validator!J239=TRUE,Validator!J489=TRUE,Validator!J739=TRUE,Validator!J989=TRUE,Validator!J1239=TRUE,Validator!J1489=TRUE,OR(ISBLANK($R245),ISNUMBER(VALUE(SUBSTITUTE(SUBSTITUTE(SUBSTITUTE(SUBSTITUTE($R245," ",""),"c",""),"C",""),"-","")))),OR(SUMPRODUCT(--($U245=Package_type_code))&gt;0,$U245="",$U245="-")),"Valid","Invalid"))</f>
        <v>Skip</v>
      </c>
      <c r="C245" s="70"/>
      <c r="D245" s="410"/>
      <c r="E245" s="411"/>
      <c r="F245" s="218" t="str">
        <f t="shared" si="6"/>
        <v>-</v>
      </c>
      <c r="G245" s="218"/>
      <c r="H245" s="178" t="str">
        <f t="shared" si="7"/>
        <v>-</v>
      </c>
      <c r="I245" s="203"/>
      <c r="J245" s="416"/>
      <c r="K245" s="400"/>
      <c r="L245" s="415"/>
      <c r="M245" s="322"/>
      <c r="N245" s="587"/>
      <c r="O245" s="403" t="s">
        <v>278</v>
      </c>
      <c r="P245" s="404" t="s">
        <v>77</v>
      </c>
      <c r="Q245" s="358"/>
      <c r="R245" s="320"/>
      <c r="S245" s="359"/>
      <c r="T245" s="359"/>
      <c r="U245" s="94" t="str">
        <f>IF(ISERROR(VLOOKUP($T245, 'Reference data'!$J$2:$K$139, 2, FALSE)),"-",VLOOKUP($T245, 'Reference data'!$J$2:$K$139, 2, FALSE))</f>
        <v>-</v>
      </c>
      <c r="V245" s="320"/>
      <c r="W245" s="320"/>
      <c r="X245" s="324"/>
      <c r="Y245" s="325"/>
      <c r="Z245" s="241"/>
      <c r="AA245" s="362"/>
      <c r="AB245" s="86"/>
      <c r="AC245" s="72"/>
      <c r="AD245" s="71"/>
      <c r="AE245" s="239" t="s">
        <v>278</v>
      </c>
      <c r="AF245" s="243" t="s">
        <v>77</v>
      </c>
    </row>
    <row r="246" spans="2:32" ht="12.75" customHeight="1" x14ac:dyDescent="0.2">
      <c r="B246" s="356" t="str" cm="1">
        <f t="array" ref="B246">IF(C246="","Skip",IF(AND(Validator!J240=TRUE,Validator!J490=TRUE,Validator!J740=TRUE,Validator!J990=TRUE,Validator!J1240=TRUE,Validator!J1490=TRUE,OR(ISBLANK($R246),ISNUMBER(VALUE(SUBSTITUTE(SUBSTITUTE(SUBSTITUTE(SUBSTITUTE($R246," ",""),"c",""),"C",""),"-","")))),OR(SUMPRODUCT(--($U246=Package_type_code))&gt;0,$U246="",$U246="-")),"Valid","Invalid"))</f>
        <v>Skip</v>
      </c>
      <c r="C246" s="70"/>
      <c r="D246" s="410"/>
      <c r="E246" s="411"/>
      <c r="F246" s="218" t="str">
        <f t="shared" si="6"/>
        <v>-</v>
      </c>
      <c r="G246" s="218"/>
      <c r="H246" s="178" t="str">
        <f t="shared" si="7"/>
        <v>-</v>
      </c>
      <c r="I246" s="203"/>
      <c r="J246" s="416"/>
      <c r="K246" s="400"/>
      <c r="L246" s="415"/>
      <c r="M246" s="322"/>
      <c r="N246" s="587"/>
      <c r="O246" s="403" t="s">
        <v>278</v>
      </c>
      <c r="P246" s="404" t="s">
        <v>77</v>
      </c>
      <c r="Q246" s="358"/>
      <c r="R246" s="320"/>
      <c r="S246" s="359"/>
      <c r="T246" s="359"/>
      <c r="U246" s="94" t="str">
        <f>IF(ISERROR(VLOOKUP($T246, 'Reference data'!$J$2:$K$139, 2, FALSE)),"-",VLOOKUP($T246, 'Reference data'!$J$2:$K$139, 2, FALSE))</f>
        <v>-</v>
      </c>
      <c r="V246" s="320"/>
      <c r="W246" s="320"/>
      <c r="X246" s="324"/>
      <c r="Y246" s="325"/>
      <c r="Z246" s="241"/>
      <c r="AA246" s="362"/>
      <c r="AB246" s="86"/>
      <c r="AC246" s="72"/>
      <c r="AD246" s="71"/>
      <c r="AE246" s="239" t="s">
        <v>278</v>
      </c>
      <c r="AF246" s="243" t="s">
        <v>77</v>
      </c>
    </row>
    <row r="247" spans="2:32" ht="12.75" customHeight="1" x14ac:dyDescent="0.2">
      <c r="B247" s="356" t="str" cm="1">
        <f t="array" ref="B247">IF(C247="","Skip",IF(AND(Validator!J241=TRUE,Validator!J491=TRUE,Validator!J741=TRUE,Validator!J991=TRUE,Validator!J1241=TRUE,Validator!J1491=TRUE,OR(ISBLANK($R247),ISNUMBER(VALUE(SUBSTITUTE(SUBSTITUTE(SUBSTITUTE(SUBSTITUTE($R247," ",""),"c",""),"C",""),"-","")))),OR(SUMPRODUCT(--($U247=Package_type_code))&gt;0,$U247="",$U247="-")),"Valid","Invalid"))</f>
        <v>Skip</v>
      </c>
      <c r="C247" s="70"/>
      <c r="D247" s="410"/>
      <c r="E247" s="411"/>
      <c r="F247" s="218" t="str">
        <f t="shared" si="6"/>
        <v>-</v>
      </c>
      <c r="G247" s="218"/>
      <c r="H247" s="178" t="str">
        <f t="shared" si="7"/>
        <v>-</v>
      </c>
      <c r="I247" s="203"/>
      <c r="J247" s="416"/>
      <c r="K247" s="400"/>
      <c r="L247" s="415"/>
      <c r="M247" s="322"/>
      <c r="N247" s="587"/>
      <c r="O247" s="403" t="s">
        <v>278</v>
      </c>
      <c r="P247" s="404" t="s">
        <v>77</v>
      </c>
      <c r="Q247" s="358"/>
      <c r="R247" s="320"/>
      <c r="S247" s="359"/>
      <c r="T247" s="359"/>
      <c r="U247" s="94" t="str">
        <f>IF(ISERROR(VLOOKUP($T247, 'Reference data'!$J$2:$K$139, 2, FALSE)),"-",VLOOKUP($T247, 'Reference data'!$J$2:$K$139, 2, FALSE))</f>
        <v>-</v>
      </c>
      <c r="V247" s="320"/>
      <c r="W247" s="320"/>
      <c r="X247" s="324"/>
      <c r="Y247" s="325"/>
      <c r="Z247" s="241"/>
      <c r="AA247" s="362"/>
      <c r="AB247" s="86"/>
      <c r="AC247" s="72"/>
      <c r="AD247" s="71"/>
      <c r="AE247" s="239" t="s">
        <v>278</v>
      </c>
      <c r="AF247" s="243" t="s">
        <v>77</v>
      </c>
    </row>
    <row r="248" spans="2:32" ht="12.75" customHeight="1" x14ac:dyDescent="0.2">
      <c r="B248" s="356" t="str" cm="1">
        <f t="array" ref="B248">IF(C248="","Skip",IF(AND(Validator!J242=TRUE,Validator!J492=TRUE,Validator!J742=TRUE,Validator!J992=TRUE,Validator!J1242=TRUE,Validator!J1492=TRUE,OR(ISBLANK($R248),ISNUMBER(VALUE(SUBSTITUTE(SUBSTITUTE(SUBSTITUTE(SUBSTITUTE($R248," ",""),"c",""),"C",""),"-","")))),OR(SUMPRODUCT(--($U248=Package_type_code))&gt;0,$U248="",$U248="-")),"Valid","Invalid"))</f>
        <v>Skip</v>
      </c>
      <c r="C248" s="70"/>
      <c r="D248" s="410"/>
      <c r="E248" s="411"/>
      <c r="F248" s="218" t="str">
        <f t="shared" si="6"/>
        <v>-</v>
      </c>
      <c r="G248" s="218"/>
      <c r="H248" s="178" t="str">
        <f t="shared" si="7"/>
        <v>-</v>
      </c>
      <c r="I248" s="203"/>
      <c r="J248" s="416"/>
      <c r="K248" s="400"/>
      <c r="L248" s="415"/>
      <c r="M248" s="322"/>
      <c r="N248" s="587"/>
      <c r="O248" s="403" t="s">
        <v>278</v>
      </c>
      <c r="P248" s="404" t="s">
        <v>77</v>
      </c>
      <c r="Q248" s="358"/>
      <c r="R248" s="320"/>
      <c r="S248" s="359"/>
      <c r="T248" s="359"/>
      <c r="U248" s="94" t="str">
        <f>IF(ISERROR(VLOOKUP($T248, 'Reference data'!$J$2:$K$139, 2, FALSE)),"-",VLOOKUP($T248, 'Reference data'!$J$2:$K$139, 2, FALSE))</f>
        <v>-</v>
      </c>
      <c r="V248" s="320"/>
      <c r="W248" s="320"/>
      <c r="X248" s="324"/>
      <c r="Y248" s="325"/>
      <c r="Z248" s="241"/>
      <c r="AA248" s="362"/>
      <c r="AB248" s="86"/>
      <c r="AC248" s="72"/>
      <c r="AD248" s="71"/>
      <c r="AE248" s="239" t="s">
        <v>278</v>
      </c>
      <c r="AF248" s="243" t="s">
        <v>77</v>
      </c>
    </row>
    <row r="249" spans="2:32" ht="12.75" customHeight="1" x14ac:dyDescent="0.2">
      <c r="B249" s="356" t="str" cm="1">
        <f t="array" ref="B249">IF(C249="","Skip",IF(AND(Validator!J243=TRUE,Validator!J493=TRUE,Validator!J743=TRUE,Validator!J993=TRUE,Validator!J1243=TRUE,Validator!J1493=TRUE,OR(ISBLANK($R249),ISNUMBER(VALUE(SUBSTITUTE(SUBSTITUTE(SUBSTITUTE(SUBSTITUTE($R249," ",""),"c",""),"C",""),"-","")))),OR(SUMPRODUCT(--($U249=Package_type_code))&gt;0,$U249="",$U249="-")),"Valid","Invalid"))</f>
        <v>Skip</v>
      </c>
      <c r="C249" s="70"/>
      <c r="D249" s="410"/>
      <c r="E249" s="411"/>
      <c r="F249" s="218" t="str">
        <f t="shared" si="6"/>
        <v>-</v>
      </c>
      <c r="G249" s="218"/>
      <c r="H249" s="178" t="str">
        <f t="shared" si="7"/>
        <v>-</v>
      </c>
      <c r="I249" s="203"/>
      <c r="J249" s="416"/>
      <c r="K249" s="400"/>
      <c r="L249" s="415"/>
      <c r="M249" s="322"/>
      <c r="N249" s="587"/>
      <c r="O249" s="403" t="s">
        <v>278</v>
      </c>
      <c r="P249" s="404" t="s">
        <v>77</v>
      </c>
      <c r="Q249" s="358"/>
      <c r="R249" s="320"/>
      <c r="S249" s="359"/>
      <c r="T249" s="359"/>
      <c r="U249" s="94" t="str">
        <f>IF(ISERROR(VLOOKUP($T249, 'Reference data'!$J$2:$K$139, 2, FALSE)),"-",VLOOKUP($T249, 'Reference data'!$J$2:$K$139, 2, FALSE))</f>
        <v>-</v>
      </c>
      <c r="V249" s="320"/>
      <c r="W249" s="320"/>
      <c r="X249" s="324"/>
      <c r="Y249" s="325"/>
      <c r="Z249" s="241"/>
      <c r="AA249" s="362"/>
      <c r="AB249" s="86"/>
      <c r="AC249" s="72"/>
      <c r="AD249" s="71"/>
      <c r="AE249" s="239" t="s">
        <v>278</v>
      </c>
      <c r="AF249" s="243" t="s">
        <v>77</v>
      </c>
    </row>
    <row r="250" spans="2:32" ht="12.75" customHeight="1" x14ac:dyDescent="0.2">
      <c r="B250" s="356" t="str" cm="1">
        <f t="array" ref="B250">IF(C250="","Skip",IF(AND(Validator!J244=TRUE,Validator!J494=TRUE,Validator!J744=TRUE,Validator!J994=TRUE,Validator!J1244=TRUE,Validator!J1494=TRUE,OR(ISBLANK($R250),ISNUMBER(VALUE(SUBSTITUTE(SUBSTITUTE(SUBSTITUTE(SUBSTITUTE($R250," ",""),"c",""),"C",""),"-","")))),OR(SUMPRODUCT(--($U250=Package_type_code))&gt;0,$U250="",$U250="-")),"Valid","Invalid"))</f>
        <v>Skip</v>
      </c>
      <c r="C250" s="70"/>
      <c r="D250" s="410"/>
      <c r="E250" s="411"/>
      <c r="F250" s="218" t="str">
        <f t="shared" si="6"/>
        <v>-</v>
      </c>
      <c r="G250" s="218"/>
      <c r="H250" s="178" t="str">
        <f t="shared" si="7"/>
        <v>-</v>
      </c>
      <c r="I250" s="203"/>
      <c r="J250" s="416"/>
      <c r="K250" s="400"/>
      <c r="L250" s="415"/>
      <c r="M250" s="322"/>
      <c r="N250" s="587"/>
      <c r="O250" s="403" t="s">
        <v>278</v>
      </c>
      <c r="P250" s="404" t="s">
        <v>77</v>
      </c>
      <c r="Q250" s="358"/>
      <c r="R250" s="320"/>
      <c r="S250" s="359"/>
      <c r="T250" s="359"/>
      <c r="U250" s="94" t="str">
        <f>IF(ISERROR(VLOOKUP($T250, 'Reference data'!$J$2:$K$139, 2, FALSE)),"-",VLOOKUP($T250, 'Reference data'!$J$2:$K$139, 2, FALSE))</f>
        <v>-</v>
      </c>
      <c r="V250" s="320"/>
      <c r="W250" s="320"/>
      <c r="X250" s="324"/>
      <c r="Y250" s="325"/>
      <c r="Z250" s="241"/>
      <c r="AA250" s="362"/>
      <c r="AB250" s="86"/>
      <c r="AC250" s="72"/>
      <c r="AD250" s="71"/>
      <c r="AE250" s="239" t="s">
        <v>278</v>
      </c>
      <c r="AF250" s="243" t="s">
        <v>77</v>
      </c>
    </row>
    <row r="251" spans="2:32" ht="12.75" customHeight="1" x14ac:dyDescent="0.2">
      <c r="B251" s="356" t="str" cm="1">
        <f t="array" ref="B251">IF(C251="","Skip",IF(AND(Validator!J245=TRUE,Validator!J495=TRUE,Validator!J745=TRUE,Validator!J995=TRUE,Validator!J1245=TRUE,Validator!J1495=TRUE,OR(ISBLANK($R251),ISNUMBER(VALUE(SUBSTITUTE(SUBSTITUTE(SUBSTITUTE(SUBSTITUTE($R251," ",""),"c",""),"C",""),"-","")))),OR(SUMPRODUCT(--($U251=Package_type_code))&gt;0,$U251="",$U251="-")),"Valid","Invalid"))</f>
        <v>Skip</v>
      </c>
      <c r="C251" s="70"/>
      <c r="D251" s="410"/>
      <c r="E251" s="411"/>
      <c r="F251" s="218" t="str">
        <f t="shared" si="6"/>
        <v>-</v>
      </c>
      <c r="G251" s="218"/>
      <c r="H251" s="178" t="str">
        <f t="shared" si="7"/>
        <v>-</v>
      </c>
      <c r="I251" s="203"/>
      <c r="J251" s="416"/>
      <c r="K251" s="400"/>
      <c r="L251" s="415"/>
      <c r="M251" s="322"/>
      <c r="N251" s="587"/>
      <c r="O251" s="403" t="s">
        <v>278</v>
      </c>
      <c r="P251" s="404" t="s">
        <v>77</v>
      </c>
      <c r="Q251" s="358"/>
      <c r="R251" s="320"/>
      <c r="S251" s="359"/>
      <c r="T251" s="359"/>
      <c r="U251" s="94" t="str">
        <f>IF(ISERROR(VLOOKUP($T251, 'Reference data'!$J$2:$K$139, 2, FALSE)),"-",VLOOKUP($T251, 'Reference data'!$J$2:$K$139, 2, FALSE))</f>
        <v>-</v>
      </c>
      <c r="V251" s="320"/>
      <c r="W251" s="320"/>
      <c r="X251" s="324"/>
      <c r="Y251" s="325"/>
      <c r="Z251" s="241"/>
      <c r="AA251" s="362"/>
      <c r="AB251" s="86"/>
      <c r="AC251" s="72"/>
      <c r="AD251" s="71"/>
      <c r="AE251" s="239" t="s">
        <v>278</v>
      </c>
      <c r="AF251" s="243" t="s">
        <v>77</v>
      </c>
    </row>
    <row r="252" spans="2:32" ht="12.75" customHeight="1" x14ac:dyDescent="0.2">
      <c r="B252" s="356" t="str" cm="1">
        <f t="array" ref="B252">IF(C252="","Skip",IF(AND(Validator!J246=TRUE,Validator!J496=TRUE,Validator!J746=TRUE,Validator!J996=TRUE,Validator!J1246=TRUE,Validator!J1496=TRUE,OR(ISBLANK($R252),ISNUMBER(VALUE(SUBSTITUTE(SUBSTITUTE(SUBSTITUTE(SUBSTITUTE($R252," ",""),"c",""),"C",""),"-","")))),OR(SUMPRODUCT(--($U252=Package_type_code))&gt;0,$U252="",$U252="-")),"Valid","Invalid"))</f>
        <v>Skip</v>
      </c>
      <c r="C252" s="70"/>
      <c r="D252" s="410"/>
      <c r="E252" s="411"/>
      <c r="F252" s="218" t="str">
        <f t="shared" si="6"/>
        <v>-</v>
      </c>
      <c r="G252" s="218"/>
      <c r="H252" s="178" t="str">
        <f t="shared" si="7"/>
        <v>-</v>
      </c>
      <c r="I252" s="203"/>
      <c r="J252" s="416"/>
      <c r="K252" s="400"/>
      <c r="L252" s="415"/>
      <c r="M252" s="322"/>
      <c r="N252" s="587"/>
      <c r="O252" s="403" t="s">
        <v>278</v>
      </c>
      <c r="P252" s="404" t="s">
        <v>77</v>
      </c>
      <c r="Q252" s="358"/>
      <c r="R252" s="320"/>
      <c r="S252" s="359"/>
      <c r="T252" s="359"/>
      <c r="U252" s="94" t="str">
        <f>IF(ISERROR(VLOOKUP($T252, 'Reference data'!$J$2:$K$139, 2, FALSE)),"-",VLOOKUP($T252, 'Reference data'!$J$2:$K$139, 2, FALSE))</f>
        <v>-</v>
      </c>
      <c r="V252" s="320"/>
      <c r="W252" s="320"/>
      <c r="X252" s="324"/>
      <c r="Y252" s="325"/>
      <c r="Z252" s="241"/>
      <c r="AA252" s="362"/>
      <c r="AB252" s="86"/>
      <c r="AC252" s="72"/>
      <c r="AD252" s="71"/>
      <c r="AE252" s="239" t="s">
        <v>278</v>
      </c>
      <c r="AF252" s="243" t="s">
        <v>77</v>
      </c>
    </row>
    <row r="253" spans="2:32" ht="12.75" customHeight="1" x14ac:dyDescent="0.2">
      <c r="B253" s="356" t="str" cm="1">
        <f t="array" ref="B253">IF(C253="","Skip",IF(AND(Validator!J247=TRUE,Validator!J497=TRUE,Validator!J747=TRUE,Validator!J997=TRUE,Validator!J1247=TRUE,Validator!J1497=TRUE,OR(ISBLANK($R253),ISNUMBER(VALUE(SUBSTITUTE(SUBSTITUTE(SUBSTITUTE(SUBSTITUTE($R253," ",""),"c",""),"C",""),"-","")))),OR(SUMPRODUCT(--($U253=Package_type_code))&gt;0,$U253="",$U253="-")),"Valid","Invalid"))</f>
        <v>Skip</v>
      </c>
      <c r="C253" s="70"/>
      <c r="D253" s="410"/>
      <c r="E253" s="411"/>
      <c r="F253" s="218" t="str">
        <f t="shared" si="6"/>
        <v>-</v>
      </c>
      <c r="G253" s="218"/>
      <c r="H253" s="178" t="str">
        <f t="shared" si="7"/>
        <v>-</v>
      </c>
      <c r="I253" s="203"/>
      <c r="J253" s="416"/>
      <c r="K253" s="400"/>
      <c r="L253" s="415"/>
      <c r="M253" s="322"/>
      <c r="N253" s="587"/>
      <c r="O253" s="403" t="s">
        <v>278</v>
      </c>
      <c r="P253" s="404" t="s">
        <v>77</v>
      </c>
      <c r="Q253" s="358"/>
      <c r="R253" s="320"/>
      <c r="S253" s="359"/>
      <c r="T253" s="359"/>
      <c r="U253" s="94" t="str">
        <f>IF(ISERROR(VLOOKUP($T253, 'Reference data'!$J$2:$K$139, 2, FALSE)),"-",VLOOKUP($T253, 'Reference data'!$J$2:$K$139, 2, FALSE))</f>
        <v>-</v>
      </c>
      <c r="V253" s="320"/>
      <c r="W253" s="320"/>
      <c r="X253" s="324"/>
      <c r="Y253" s="325"/>
      <c r="Z253" s="241"/>
      <c r="AA253" s="362"/>
      <c r="AB253" s="86"/>
      <c r="AC253" s="72"/>
      <c r="AD253" s="71"/>
      <c r="AE253" s="239" t="s">
        <v>278</v>
      </c>
      <c r="AF253" s="243" t="s">
        <v>77</v>
      </c>
    </row>
    <row r="254" spans="2:32" ht="12.75" customHeight="1" x14ac:dyDescent="0.2">
      <c r="B254" s="356" t="str" cm="1">
        <f t="array" ref="B254">IF(C254="","Skip",IF(AND(Validator!J248=TRUE,Validator!J498=TRUE,Validator!J748=TRUE,Validator!J998=TRUE,Validator!J1248=TRUE,Validator!J1498=TRUE,OR(ISBLANK($R254),ISNUMBER(VALUE(SUBSTITUTE(SUBSTITUTE(SUBSTITUTE(SUBSTITUTE($R254," ",""),"c",""),"C",""),"-","")))),OR(SUMPRODUCT(--($U254=Package_type_code))&gt;0,$U254="",$U254="-")),"Valid","Invalid"))</f>
        <v>Skip</v>
      </c>
      <c r="C254" s="70"/>
      <c r="D254" s="410"/>
      <c r="E254" s="411"/>
      <c r="F254" s="218" t="str">
        <f t="shared" si="6"/>
        <v>-</v>
      </c>
      <c r="G254" s="218"/>
      <c r="H254" s="178" t="str">
        <f t="shared" si="7"/>
        <v>-</v>
      </c>
      <c r="I254" s="203"/>
      <c r="J254" s="416"/>
      <c r="K254" s="400"/>
      <c r="L254" s="415"/>
      <c r="M254" s="322"/>
      <c r="N254" s="587"/>
      <c r="O254" s="403" t="s">
        <v>278</v>
      </c>
      <c r="P254" s="404" t="s">
        <v>77</v>
      </c>
      <c r="Q254" s="358"/>
      <c r="R254" s="320"/>
      <c r="S254" s="359"/>
      <c r="T254" s="359"/>
      <c r="U254" s="94" t="str">
        <f>IF(ISERROR(VLOOKUP($T254, 'Reference data'!$J$2:$K$139, 2, FALSE)),"-",VLOOKUP($T254, 'Reference data'!$J$2:$K$139, 2, FALSE))</f>
        <v>-</v>
      </c>
      <c r="V254" s="320"/>
      <c r="W254" s="320"/>
      <c r="X254" s="324"/>
      <c r="Y254" s="325"/>
      <c r="Z254" s="241"/>
      <c r="AA254" s="362"/>
      <c r="AB254" s="86"/>
      <c r="AC254" s="72"/>
      <c r="AD254" s="71"/>
      <c r="AE254" s="239" t="s">
        <v>278</v>
      </c>
      <c r="AF254" s="243" t="s">
        <v>77</v>
      </c>
    </row>
    <row r="255" spans="2:32" ht="12.75" customHeight="1" x14ac:dyDescent="0.2">
      <c r="B255" s="356" t="str" cm="1">
        <f t="array" ref="B255">IF(C255="","Skip",IF(AND(Validator!J249=TRUE,Validator!J499=TRUE,Validator!J749=TRUE,Validator!J999=TRUE,Validator!J1249=TRUE,Validator!J1499=TRUE,OR(ISBLANK($R255),ISNUMBER(VALUE(SUBSTITUTE(SUBSTITUTE(SUBSTITUTE(SUBSTITUTE($R255," ",""),"c",""),"C",""),"-","")))),OR(SUMPRODUCT(--($U255=Package_type_code))&gt;0,$U255="",$U255="-")),"Valid","Invalid"))</f>
        <v>Skip</v>
      </c>
      <c r="C255" s="70"/>
      <c r="D255" s="410"/>
      <c r="E255" s="411"/>
      <c r="F255" s="218" t="str">
        <f t="shared" si="6"/>
        <v>-</v>
      </c>
      <c r="G255" s="218"/>
      <c r="H255" s="178" t="str">
        <f t="shared" si="7"/>
        <v>-</v>
      </c>
      <c r="I255" s="203"/>
      <c r="J255" s="416"/>
      <c r="K255" s="400"/>
      <c r="L255" s="415"/>
      <c r="M255" s="322"/>
      <c r="N255" s="587"/>
      <c r="O255" s="403" t="s">
        <v>278</v>
      </c>
      <c r="P255" s="404" t="s">
        <v>77</v>
      </c>
      <c r="Q255" s="358"/>
      <c r="R255" s="320"/>
      <c r="S255" s="359"/>
      <c r="T255" s="359"/>
      <c r="U255" s="94" t="str">
        <f>IF(ISERROR(VLOOKUP($T255, 'Reference data'!$J$2:$K$139, 2, FALSE)),"-",VLOOKUP($T255, 'Reference data'!$J$2:$K$139, 2, FALSE))</f>
        <v>-</v>
      </c>
      <c r="V255" s="320"/>
      <c r="W255" s="320"/>
      <c r="X255" s="324"/>
      <c r="Y255" s="325"/>
      <c r="Z255" s="241"/>
      <c r="AA255" s="362"/>
      <c r="AB255" s="86"/>
      <c r="AC255" s="72"/>
      <c r="AD255" s="71"/>
      <c r="AE255" s="239" t="s">
        <v>278</v>
      </c>
      <c r="AF255" s="243" t="s">
        <v>77</v>
      </c>
    </row>
    <row r="256" spans="2:32" ht="12.75" customHeight="1" x14ac:dyDescent="0.2">
      <c r="B256" s="356" t="str" cm="1">
        <f t="array" ref="B256">IF(C256="","Skip",IF(AND(Validator!J250=TRUE,Validator!J500=TRUE,Validator!J750=TRUE,Validator!J1000=TRUE,Validator!J1250=TRUE,Validator!J1500=TRUE,OR(ISBLANK($R256),ISNUMBER(VALUE(SUBSTITUTE(SUBSTITUTE(SUBSTITUTE(SUBSTITUTE($R256," ",""),"c",""),"C",""),"-","")))),OR(SUMPRODUCT(--($U256=Package_type_code))&gt;0,$U256="",$U256="-")),"Valid","Invalid"))</f>
        <v>Skip</v>
      </c>
      <c r="C256" s="70"/>
      <c r="D256" s="410"/>
      <c r="E256" s="411"/>
      <c r="F256" s="218" t="str">
        <f t="shared" si="6"/>
        <v>-</v>
      </c>
      <c r="G256" s="218"/>
      <c r="H256" s="178" t="str">
        <f t="shared" si="7"/>
        <v>-</v>
      </c>
      <c r="I256" s="203"/>
      <c r="J256" s="416"/>
      <c r="K256" s="400"/>
      <c r="L256" s="415"/>
      <c r="M256" s="322"/>
      <c r="N256" s="587"/>
      <c r="O256" s="403" t="s">
        <v>278</v>
      </c>
      <c r="P256" s="404" t="s">
        <v>77</v>
      </c>
      <c r="Q256" s="358"/>
      <c r="R256" s="320"/>
      <c r="S256" s="359"/>
      <c r="T256" s="359"/>
      <c r="U256" s="94" t="str">
        <f>IF(ISERROR(VLOOKUP($T256, 'Reference data'!$J$2:$K$139, 2, FALSE)),"-",VLOOKUP($T256, 'Reference data'!$J$2:$K$139, 2, FALSE))</f>
        <v>-</v>
      </c>
      <c r="V256" s="320"/>
      <c r="W256" s="320"/>
      <c r="X256" s="324"/>
      <c r="Y256" s="325"/>
      <c r="Z256" s="241"/>
      <c r="AA256" s="362"/>
      <c r="AB256" s="86"/>
      <c r="AC256" s="72"/>
      <c r="AD256" s="71"/>
      <c r="AE256" s="239" t="s">
        <v>278</v>
      </c>
      <c r="AF256" s="243" t="s">
        <v>77</v>
      </c>
    </row>
    <row r="257" spans="2:32" ht="12.75" customHeight="1" x14ac:dyDescent="0.2">
      <c r="B257" s="356" t="str" cm="1">
        <f t="array" ref="B257">IF(C257="","Skip",IF(AND(Validator!J251=TRUE,Validator!J501=TRUE,Validator!J751=TRUE,Validator!J1001=TRUE,Validator!J1251=TRUE,Validator!J1501=TRUE,OR(ISBLANK($R257),ISNUMBER(VALUE(SUBSTITUTE(SUBSTITUTE(SUBSTITUTE(SUBSTITUTE($R257," ",""),"c",""),"C",""),"-","")))),OR(SUMPRODUCT(--($U257=Package_type_code))&gt;0,$U257="",$U257="-")),"Valid","Invalid"))</f>
        <v>Skip</v>
      </c>
      <c r="C257" s="70"/>
      <c r="D257" s="410"/>
      <c r="E257" s="411"/>
      <c r="F257" s="218" t="str">
        <f t="shared" si="6"/>
        <v>-</v>
      </c>
      <c r="G257" s="218"/>
      <c r="H257" s="178" t="str">
        <f t="shared" si="7"/>
        <v>-</v>
      </c>
      <c r="I257" s="203"/>
      <c r="J257" s="416"/>
      <c r="K257" s="400"/>
      <c r="L257" s="415"/>
      <c r="M257" s="322"/>
      <c r="N257" s="587"/>
      <c r="O257" s="403" t="s">
        <v>278</v>
      </c>
      <c r="P257" s="404" t="s">
        <v>77</v>
      </c>
      <c r="Q257" s="358"/>
      <c r="R257" s="320"/>
      <c r="S257" s="359"/>
      <c r="T257" s="359"/>
      <c r="U257" s="94" t="str">
        <f>IF(ISERROR(VLOOKUP($T257, 'Reference data'!$J$2:$K$139, 2, FALSE)),"-",VLOOKUP($T257, 'Reference data'!$J$2:$K$139, 2, FALSE))</f>
        <v>-</v>
      </c>
      <c r="V257" s="320"/>
      <c r="W257" s="320"/>
      <c r="X257" s="324"/>
      <c r="Y257" s="325"/>
      <c r="Z257" s="241"/>
      <c r="AA257" s="362"/>
      <c r="AB257" s="86"/>
      <c r="AC257" s="72"/>
      <c r="AD257" s="71"/>
      <c r="AE257" s="239" t="s">
        <v>278</v>
      </c>
      <c r="AF257" s="243" t="s">
        <v>77</v>
      </c>
    </row>
    <row r="258" spans="2:32" ht="12.75" customHeight="1" x14ac:dyDescent="0.2">
      <c r="B258" s="356" t="str" cm="1">
        <f t="array" ref="B258">IF(C258="","Skip",IF(AND(Validator!J252=TRUE,Validator!J502=TRUE,Validator!J752=TRUE,Validator!J1002=TRUE,Validator!J1252=TRUE,Validator!J1502=TRUE,OR(ISBLANK($R258),ISNUMBER(VALUE(SUBSTITUTE(SUBSTITUTE(SUBSTITUTE(SUBSTITUTE($R258," ",""),"c",""),"C",""),"-","")))),OR(SUMPRODUCT(--($U258=Package_type_code))&gt;0,$U258="",$U258="-")),"Valid","Invalid"))</f>
        <v>Skip</v>
      </c>
      <c r="C258" s="70"/>
      <c r="D258" s="410"/>
      <c r="E258" s="411"/>
      <c r="F258" s="218" t="str">
        <f t="shared" si="6"/>
        <v>-</v>
      </c>
      <c r="G258" s="218"/>
      <c r="H258" s="178" t="str">
        <f t="shared" si="7"/>
        <v>-</v>
      </c>
      <c r="I258" s="203"/>
      <c r="J258" s="416"/>
      <c r="K258" s="400"/>
      <c r="L258" s="415"/>
      <c r="M258" s="322"/>
      <c r="N258" s="587"/>
      <c r="O258" s="403" t="s">
        <v>278</v>
      </c>
      <c r="P258" s="404" t="s">
        <v>77</v>
      </c>
      <c r="Q258" s="358"/>
      <c r="R258" s="320"/>
      <c r="S258" s="359"/>
      <c r="T258" s="359"/>
      <c r="U258" s="94" t="str">
        <f>IF(ISERROR(VLOOKUP($T258, 'Reference data'!$J$2:$K$139, 2, FALSE)),"-",VLOOKUP($T258, 'Reference data'!$J$2:$K$139, 2, FALSE))</f>
        <v>-</v>
      </c>
      <c r="V258" s="320"/>
      <c r="W258" s="320"/>
      <c r="X258" s="324"/>
      <c r="Y258" s="325"/>
      <c r="Z258" s="241"/>
      <c r="AA258" s="362"/>
      <c r="AB258" s="86"/>
      <c r="AC258" s="72"/>
      <c r="AD258" s="71"/>
      <c r="AE258" s="239" t="s">
        <v>278</v>
      </c>
      <c r="AF258" s="243" t="s">
        <v>77</v>
      </c>
    </row>
    <row r="259" spans="2:32" ht="12.75" customHeight="1" x14ac:dyDescent="0.2">
      <c r="B259" s="356" t="str" cm="1">
        <f t="array" ref="B259">IF(C259="","Skip",IF(AND(Validator!J253=TRUE,Validator!J503=TRUE,Validator!J753=TRUE,Validator!J1003=TRUE,Validator!J1253=TRUE,Validator!J1503=TRUE,OR(ISBLANK($R259),ISNUMBER(VALUE(SUBSTITUTE(SUBSTITUTE(SUBSTITUTE(SUBSTITUTE($R259," ",""),"c",""),"C",""),"-","")))),OR(SUMPRODUCT(--($U259=Package_type_code))&gt;0,$U259="",$U259="-")),"Valid","Invalid"))</f>
        <v>Skip</v>
      </c>
      <c r="C259" s="70"/>
      <c r="D259" s="410"/>
      <c r="E259" s="411"/>
      <c r="F259" s="218" t="str">
        <f t="shared" si="6"/>
        <v>-</v>
      </c>
      <c r="G259" s="218"/>
      <c r="H259" s="178" t="str">
        <f t="shared" si="7"/>
        <v>-</v>
      </c>
      <c r="I259" s="203"/>
      <c r="J259" s="416"/>
      <c r="K259" s="400"/>
      <c r="L259" s="415"/>
      <c r="M259" s="322"/>
      <c r="N259" s="587"/>
      <c r="O259" s="403" t="s">
        <v>278</v>
      </c>
      <c r="P259" s="404" t="s">
        <v>77</v>
      </c>
      <c r="Q259" s="358"/>
      <c r="R259" s="320"/>
      <c r="S259" s="359"/>
      <c r="T259" s="359"/>
      <c r="U259" s="94" t="str">
        <f>IF(ISERROR(VLOOKUP($T259, 'Reference data'!$J$2:$K$139, 2, FALSE)),"-",VLOOKUP($T259, 'Reference data'!$J$2:$K$139, 2, FALSE))</f>
        <v>-</v>
      </c>
      <c r="V259" s="320"/>
      <c r="W259" s="320"/>
      <c r="X259" s="324"/>
      <c r="Y259" s="325"/>
      <c r="Z259" s="241"/>
      <c r="AA259" s="362"/>
      <c r="AB259" s="86"/>
      <c r="AC259" s="72"/>
      <c r="AD259" s="71"/>
      <c r="AE259" s="239" t="s">
        <v>278</v>
      </c>
      <c r="AF259" s="243" t="s">
        <v>77</v>
      </c>
    </row>
    <row r="260" spans="2:32" ht="12.75" customHeight="1" x14ac:dyDescent="0.2">
      <c r="B260" s="356" t="str" cm="1">
        <f t="array" ref="B260">IF(C260="","Skip",IF(AND(Validator!J254=TRUE,Validator!J504=TRUE,Validator!J754=TRUE,Validator!J1004=TRUE,Validator!J1254=TRUE,Validator!J1504=TRUE,OR(ISBLANK($R260),ISNUMBER(VALUE(SUBSTITUTE(SUBSTITUTE(SUBSTITUTE(SUBSTITUTE($R260," ",""),"c",""),"C",""),"-","")))),OR(SUMPRODUCT(--($U260=Package_type_code))&gt;0,$U260="",$U260="-")),"Valid","Invalid"))</f>
        <v>Skip</v>
      </c>
      <c r="C260" s="70"/>
      <c r="D260" s="410"/>
      <c r="E260" s="411"/>
      <c r="F260" s="218" t="str">
        <f t="shared" si="6"/>
        <v>-</v>
      </c>
      <c r="G260" s="218"/>
      <c r="H260" s="178" t="str">
        <f t="shared" si="7"/>
        <v>-</v>
      </c>
      <c r="I260" s="203"/>
      <c r="J260" s="416"/>
      <c r="K260" s="400"/>
      <c r="L260" s="415"/>
      <c r="M260" s="322"/>
      <c r="N260" s="587"/>
      <c r="O260" s="403" t="s">
        <v>278</v>
      </c>
      <c r="P260" s="404" t="s">
        <v>77</v>
      </c>
      <c r="Q260" s="358"/>
      <c r="R260" s="320"/>
      <c r="S260" s="359"/>
      <c r="T260" s="359"/>
      <c r="U260" s="94" t="str">
        <f>IF(ISERROR(VLOOKUP($T260, 'Reference data'!$J$2:$K$139, 2, FALSE)),"-",VLOOKUP($T260, 'Reference data'!$J$2:$K$139, 2, FALSE))</f>
        <v>-</v>
      </c>
      <c r="V260" s="320"/>
      <c r="W260" s="320"/>
      <c r="X260" s="324"/>
      <c r="Y260" s="325"/>
      <c r="Z260" s="241"/>
      <c r="AA260" s="362"/>
      <c r="AB260" s="86"/>
      <c r="AC260" s="72"/>
      <c r="AD260" s="71"/>
      <c r="AE260" s="239" t="s">
        <v>278</v>
      </c>
      <c r="AF260" s="243" t="s">
        <v>77</v>
      </c>
    </row>
    <row r="261" spans="2:32" ht="12.75" customHeight="1" x14ac:dyDescent="0.2">
      <c r="B261" s="356" t="str" cm="1">
        <f t="array" ref="B261">IF(C261="","Skip",IF(AND(Validator!J255=TRUE,Validator!J505=TRUE,Validator!J755=TRUE,Validator!J1005=TRUE,Validator!J1255=TRUE,Validator!J1505=TRUE,OR(ISBLANK($R261),ISNUMBER(VALUE(SUBSTITUTE(SUBSTITUTE(SUBSTITUTE(SUBSTITUTE($R261," ",""),"c",""),"C",""),"-","")))),OR(SUMPRODUCT(--($U261=Package_type_code))&gt;0,$U261="",$U261="-")),"Valid","Invalid"))</f>
        <v>Skip</v>
      </c>
      <c r="C261" s="70"/>
      <c r="D261" s="410"/>
      <c r="E261" s="411"/>
      <c r="F261" s="218" t="str">
        <f t="shared" si="6"/>
        <v>-</v>
      </c>
      <c r="G261" s="218"/>
      <c r="H261" s="178" t="str">
        <f t="shared" si="7"/>
        <v>-</v>
      </c>
      <c r="I261" s="203"/>
      <c r="J261" s="416"/>
      <c r="K261" s="400"/>
      <c r="L261" s="415"/>
      <c r="M261" s="322"/>
      <c r="N261" s="587"/>
      <c r="O261" s="403" t="s">
        <v>278</v>
      </c>
      <c r="P261" s="404" t="s">
        <v>77</v>
      </c>
      <c r="Q261" s="358"/>
      <c r="R261" s="320"/>
      <c r="S261" s="359"/>
      <c r="T261" s="359"/>
      <c r="U261" s="94" t="str">
        <f>IF(ISERROR(VLOOKUP($T261, 'Reference data'!$J$2:$K$139, 2, FALSE)),"-",VLOOKUP($T261, 'Reference data'!$J$2:$K$139, 2, FALSE))</f>
        <v>-</v>
      </c>
      <c r="V261" s="320"/>
      <c r="W261" s="320"/>
      <c r="X261" s="324"/>
      <c r="Y261" s="325"/>
      <c r="Z261" s="241"/>
      <c r="AA261" s="362"/>
      <c r="AB261" s="86"/>
      <c r="AC261" s="72"/>
      <c r="AD261" s="71"/>
      <c r="AE261" s="239" t="s">
        <v>278</v>
      </c>
      <c r="AF261" s="243" t="s">
        <v>77</v>
      </c>
    </row>
    <row r="262" spans="2:32" ht="12.75" customHeight="1" x14ac:dyDescent="0.2">
      <c r="B262" s="356" t="str" cm="1">
        <f t="array" ref="B262">IF(C262="","Skip",IF(AND(Validator!J256=TRUE,Validator!J506=TRUE,Validator!J756=TRUE,Validator!J1006=TRUE,Validator!J1256=TRUE,Validator!J1506=TRUE,OR(ISBLANK($R262),ISNUMBER(VALUE(SUBSTITUTE(SUBSTITUTE(SUBSTITUTE(SUBSTITUTE($R262," ",""),"c",""),"C",""),"-","")))),OR(SUMPRODUCT(--($U262=Package_type_code))&gt;0,$U262="",$U262="-")),"Valid","Invalid"))</f>
        <v>Skip</v>
      </c>
      <c r="C262" s="70"/>
      <c r="D262" s="410"/>
      <c r="E262" s="411"/>
      <c r="F262" s="218" t="str">
        <f t="shared" si="6"/>
        <v>-</v>
      </c>
      <c r="G262" s="218"/>
      <c r="H262" s="178" t="str">
        <f t="shared" si="7"/>
        <v>-</v>
      </c>
      <c r="I262" s="203"/>
      <c r="J262" s="416"/>
      <c r="K262" s="400"/>
      <c r="L262" s="415"/>
      <c r="M262" s="322"/>
      <c r="N262" s="587"/>
      <c r="O262" s="403" t="s">
        <v>278</v>
      </c>
      <c r="P262" s="404" t="s">
        <v>77</v>
      </c>
      <c r="Q262" s="358"/>
      <c r="R262" s="320"/>
      <c r="S262" s="359"/>
      <c r="T262" s="359"/>
      <c r="U262" s="94" t="str">
        <f>IF(ISERROR(VLOOKUP($T262, 'Reference data'!$J$2:$K$139, 2, FALSE)),"-",VLOOKUP($T262, 'Reference data'!$J$2:$K$139, 2, FALSE))</f>
        <v>-</v>
      </c>
      <c r="V262" s="320"/>
      <c r="W262" s="320"/>
      <c r="X262" s="324"/>
      <c r="Y262" s="325"/>
      <c r="Z262" s="241"/>
      <c r="AA262" s="362"/>
      <c r="AB262" s="86"/>
      <c r="AC262" s="72"/>
      <c r="AD262" s="71"/>
      <c r="AE262" s="239" t="s">
        <v>278</v>
      </c>
      <c r="AF262" s="243" t="s">
        <v>77</v>
      </c>
    </row>
    <row r="263" spans="2:32" ht="12.75" customHeight="1" thickBot="1" x14ac:dyDescent="0.25">
      <c r="B263" s="357" t="str" cm="1">
        <f t="array" ref="B263">IF(C263="","Skip",IF(AND(Validator!J257=TRUE,Validator!J507=TRUE,Validator!J757=TRUE,Validator!J1007=TRUE,Validator!J1257=TRUE,Validator!J1507=TRUE,OR(ISBLANK($R263),ISNUMBER(VALUE(SUBSTITUTE(SUBSTITUTE(SUBSTITUTE(SUBSTITUTE($R263," ",""),"c",""),"C",""),"-","")))),OR(SUMPRODUCT(--($U263=Package_type_code))&gt;0,$U263="",$U263="-")),"Valid","Invalid"))</f>
        <v>Skip</v>
      </c>
      <c r="C263" s="73"/>
      <c r="D263" s="412"/>
      <c r="E263" s="413"/>
      <c r="F263" s="221" t="str">
        <f t="shared" si="6"/>
        <v>-</v>
      </c>
      <c r="G263" s="221"/>
      <c r="H263" s="590" t="str">
        <f t="shared" si="7"/>
        <v>-</v>
      </c>
      <c r="I263" s="206"/>
      <c r="J263" s="417"/>
      <c r="K263" s="418"/>
      <c r="L263" s="419"/>
      <c r="M263" s="323"/>
      <c r="N263" s="588"/>
      <c r="O263" s="408" t="s">
        <v>278</v>
      </c>
      <c r="P263" s="409" t="s">
        <v>77</v>
      </c>
      <c r="Q263" s="360"/>
      <c r="R263" s="321"/>
      <c r="S263" s="361"/>
      <c r="T263" s="361"/>
      <c r="U263" s="95" t="str">
        <f>IF(ISERROR(VLOOKUP($T263, 'Reference data'!$J$2:$K$139, 2, FALSE)),"-",VLOOKUP($T263, 'Reference data'!$J$2:$K$139, 2, FALSE))</f>
        <v>-</v>
      </c>
      <c r="V263" s="321"/>
      <c r="W263" s="321"/>
      <c r="X263" s="326"/>
      <c r="Y263" s="327"/>
      <c r="Z263" s="242"/>
      <c r="AA263" s="363"/>
      <c r="AB263" s="87"/>
      <c r="AC263" s="74"/>
      <c r="AD263" s="74"/>
      <c r="AE263" s="240" t="s">
        <v>278</v>
      </c>
      <c r="AF263" s="244" t="s">
        <v>77</v>
      </c>
    </row>
    <row r="264" spans="2:32" ht="6" customHeight="1" thickTop="1" x14ac:dyDescent="0.2"/>
    <row r="265" spans="2:32" ht="12" hidden="1" customHeight="1" x14ac:dyDescent="0.2">
      <c r="B265" s="171" t="s">
        <v>33823</v>
      </c>
      <c r="C265" s="441" t="s">
        <v>37200</v>
      </c>
    </row>
    <row r="267" spans="2:32" ht="12.75" customHeight="1" x14ac:dyDescent="0.2"/>
    <row r="268" spans="2:32" ht="12.75" customHeight="1" x14ac:dyDescent="0.2">
      <c r="J268" s="420"/>
      <c r="K268" s="420"/>
    </row>
    <row r="269" spans="2:32" x14ac:dyDescent="0.2">
      <c r="J269" s="420"/>
      <c r="K269" s="420"/>
    </row>
    <row r="270" spans="2:32" x14ac:dyDescent="0.2">
      <c r="J270" s="420"/>
      <c r="K270" s="420"/>
    </row>
    <row r="271" spans="2:32" x14ac:dyDescent="0.2">
      <c r="J271" s="420"/>
      <c r="K271" s="420"/>
    </row>
    <row r="272" spans="2:32" x14ac:dyDescent="0.2">
      <c r="J272" s="420"/>
      <c r="K272" s="420"/>
    </row>
    <row r="273" spans="10:11" x14ac:dyDescent="0.2">
      <c r="J273" s="420"/>
      <c r="K273" s="420"/>
    </row>
    <row r="274" spans="10:11" x14ac:dyDescent="0.2">
      <c r="J274" s="420"/>
      <c r="K274" s="420"/>
    </row>
    <row r="275" spans="10:11" x14ac:dyDescent="0.2">
      <c r="J275" s="420"/>
      <c r="K275" s="420"/>
    </row>
    <row r="276" spans="10:11" x14ac:dyDescent="0.2">
      <c r="J276" s="420"/>
      <c r="K276" s="420"/>
    </row>
    <row r="277" spans="10:11" x14ac:dyDescent="0.2">
      <c r="J277" s="420"/>
      <c r="K277" s="420"/>
    </row>
    <row r="278" spans="10:11" x14ac:dyDescent="0.2">
      <c r="J278" s="420"/>
      <c r="K278" s="420"/>
    </row>
  </sheetData>
  <sheetProtection algorithmName="SHA-512" hashValue="2bALCj5FwWMrlfzZhuLnf1wwWP1y0f7zwDXdqzW8Y6cG/tyaxgxoFZ9nrZIlivK/rgxu5U+gZiln+KYxNEzamQ==" saltValue="wwXSZOvOfxXlWbp6inFIoQ==" spinCount="100000" sheet="1" formatCells="0" formatColumns="0" formatRows="0" selectLockedCells="1"/>
  <mergeCells count="29">
    <mergeCell ref="AH13:AM17"/>
    <mergeCell ref="L7:M7"/>
    <mergeCell ref="C12:H12"/>
    <mergeCell ref="I12:Y12"/>
    <mergeCell ref="Z12:AF12"/>
    <mergeCell ref="G7:H7"/>
    <mergeCell ref="G8:H8"/>
    <mergeCell ref="G9:H9"/>
    <mergeCell ref="G10:H10"/>
    <mergeCell ref="U6:V7"/>
    <mergeCell ref="U8:V8"/>
    <mergeCell ref="J7:K7"/>
    <mergeCell ref="J8:K8"/>
    <mergeCell ref="J9:K9"/>
    <mergeCell ref="N7:S7"/>
    <mergeCell ref="N8:S8"/>
    <mergeCell ref="AC5:AJ5"/>
    <mergeCell ref="AC6:AJ7"/>
    <mergeCell ref="AC8:AJ8"/>
    <mergeCell ref="B10:D11"/>
    <mergeCell ref="W8:AA8"/>
    <mergeCell ref="W9:AA9"/>
    <mergeCell ref="L8:M8"/>
    <mergeCell ref="U9:V9"/>
    <mergeCell ref="U5:AA5"/>
    <mergeCell ref="B5:D5"/>
    <mergeCell ref="L6:S6"/>
    <mergeCell ref="E6:K6"/>
    <mergeCell ref="E5:S5"/>
  </mergeCells>
  <conditionalFormatting sqref="G10 U14:U263 F14:F263 H14:H263">
    <cfRule type="containsErrors" dxfId="44" priority="127">
      <formula>ISERROR(F10)</formula>
    </cfRule>
  </conditionalFormatting>
  <conditionalFormatting sqref="B14:B263">
    <cfRule type="expression" dxfId="43" priority="1">
      <formula>$B14="Valid"</formula>
    </cfRule>
    <cfRule type="expression" dxfId="42" priority="15">
      <formula>B14="Invalid"</formula>
    </cfRule>
  </conditionalFormatting>
  <conditionalFormatting sqref="K2">
    <cfRule type="expression" dxfId="41" priority="7">
      <formula>OHZ_STATUS="Empty"</formula>
    </cfRule>
    <cfRule type="expression" dxfId="40" priority="13">
      <formula>OHZ_STATUS="VALID"</formula>
    </cfRule>
    <cfRule type="expression" dxfId="39" priority="14">
      <formula>OHZ_STATUS="Invalid"</formula>
    </cfRule>
  </conditionalFormatting>
  <conditionalFormatting sqref="AA14:AA263">
    <cfRule type="expression" dxfId="38" priority="612">
      <formula>$Z14="TEU"</formula>
    </cfRule>
  </conditionalFormatting>
  <conditionalFormatting sqref="W8">
    <cfRule type="containsErrors" dxfId="37" priority="11">
      <formula>ISERROR(W8)</formula>
    </cfRule>
  </conditionalFormatting>
  <conditionalFormatting sqref="W9">
    <cfRule type="containsErrors" dxfId="36" priority="10">
      <formula>ISERROR(W9)</formula>
    </cfRule>
  </conditionalFormatting>
  <conditionalFormatting sqref="T14:T263 Q14:Q263 X14:Y263">
    <cfRule type="expression" dxfId="35" priority="616">
      <formula>$J14="IMDG"</formula>
    </cfRule>
  </conditionalFormatting>
  <conditionalFormatting sqref="M14:M263">
    <cfRule type="expression" dxfId="34" priority="619">
      <formula>OR($J14="IMDG",$J14="IBC",$J14="IMSBC",$J14="BC")</formula>
    </cfRule>
  </conditionalFormatting>
  <conditionalFormatting sqref="L14:L263">
    <cfRule type="expression" dxfId="33" priority="620">
      <formula>OR($J14="IMDG", $J14="BC", $J14="IMSBC")</formula>
    </cfRule>
  </conditionalFormatting>
  <conditionalFormatting sqref="S14:S263">
    <cfRule type="expression" dxfId="32" priority="621">
      <formula>OR($J14="IMDG", $J14="IBC")</formula>
    </cfRule>
  </conditionalFormatting>
  <conditionalFormatting sqref="R14:R263">
    <cfRule type="expression" dxfId="31" priority="622">
      <formula>OR($J14="IMDG",$J14="IBC",$J14="MARPOL_ANNEX_1")</formula>
    </cfRule>
  </conditionalFormatting>
  <conditionalFormatting sqref="I13:K13 N13:P13">
    <cfRule type="expression" dxfId="30" priority="8">
      <formula>OHZ_DET_HAZONBOARD="Yes"</formula>
    </cfRule>
  </conditionalFormatting>
  <conditionalFormatting sqref="C13">
    <cfRule type="expression" dxfId="29" priority="6">
      <formula>OHZ_DET_HAZONBOARD="Yes"</formula>
    </cfRule>
  </conditionalFormatting>
  <conditionalFormatting sqref="I7">
    <cfRule type="expression" dxfId="28" priority="5">
      <formula xml:space="preserve"> OR( OHZ_CON_FIRSTNAME&lt;&gt;"", OHZ_CON_LASTNAME&lt;&gt;"", OHZ_CON_LOCODE&lt;&gt;"", OHZ_CON_PHONE&lt;&gt;"", OHZ_CON_FAX&lt;&gt;"", OHZ_CON_EMAIL&lt;&gt;"", )</formula>
    </cfRule>
  </conditionalFormatting>
  <conditionalFormatting sqref="D14:H263">
    <cfRule type="expression" dxfId="27" priority="4">
      <formula>AND($C13&lt;&gt;$C14)</formula>
    </cfRule>
  </conditionalFormatting>
  <conditionalFormatting sqref="J14:L263 V14:W263 N14:P263">
    <cfRule type="expression" dxfId="26" priority="3">
      <formula>OR($C13&lt;&gt;$C14,$I13&lt;&gt;$I14)</formula>
    </cfRule>
  </conditionalFormatting>
  <conditionalFormatting sqref="AC6">
    <cfRule type="containsErrors" dxfId="25" priority="2">
      <formula>ISERROR(AC6)</formula>
    </cfRule>
  </conditionalFormatting>
  <dataValidations xWindow="1033" yWindow="1134" count="41">
    <dataValidation type="list" allowBlank="1" showInputMessage="1" showErrorMessage="1" error="Select from dropdown" promptTitle="INF ship class" prompt="Code for the license of the vessel according to the INF Code (Code for the Safe Carriage of Irradiated Nuclear Fuel, Plutonium and High-level Radioactive Wastes in Flasks on board Ships)_x000a__x000a_Choose from dropdown menu" sqref="D7">
      <formula1>INF_ship_classes</formula1>
    </dataValidation>
    <dataValidation allowBlank="1" error="Port name is not recognised" sqref="G10"/>
    <dataValidation type="whole" allowBlank="1" showInputMessage="1" showErrorMessage="1" errorTitle="Invalid Input" error="Must be a number between 1 and 999" promptTitle="Consignment ID" prompt="Links DPG items and transport units to relevant consignments. If all DPG items are related to the same consignment, use &quot;1&quot; for all rows. If there are more than one consignment, increment this number_x000a__x000a_Must be a number between 1 and 999" sqref="C14:C263">
      <formula1>1</formula1>
      <formula2>999</formula2>
    </dataValidation>
    <dataValidation type="textLength" operator="equal" allowBlank="1" showDropDown="1" showInputMessage="1" showErrorMessage="1" errorTitle="Error" error="Invalid LOCODE, must be 5 characters." promptTitle="Port of discharge LOCODE" prompt="LOCODE of port where Hazmat consignment will be discharged from vessel_x000a__x000a_Use the LOCODE lookup to find the correct code_x000a__x000a_Must be valid LOCODE" sqref="G14:G263">
      <formula1>5</formula1>
    </dataValidation>
    <dataValidation type="list" allowBlank="1" showInputMessage="1" showErrorMessage="1" errorTitle="Invalid Input" error="Select from dropdown" promptTitle="TEU type" prompt="Select TEU or Non-TEU unit_x000a__x000a_Leave blank for no container_x000a__x000a_Choose from dropdown menu" sqref="Z14:Z263">
      <formula1>"TEU,Non-TEU"</formula1>
    </dataValidation>
    <dataValidation type="textLength" allowBlank="1" showInputMessage="1" showErrorMessage="1" errorTitle="Invalid Input" error="Max 25 characters." promptTitle="Location on board" prompt="Stowage position on board_x000a__x000a_Max 25 characters" sqref="AB14:AB263">
      <formula1>0</formula1>
      <formula2>25</formula2>
    </dataValidation>
    <dataValidation type="textLength" allowBlank="1" showInputMessage="1" showErrorMessage="1" errorTitle="Invalid Input" error="Max 17 characters." promptTitle="TEU Id" prompt="Identification number of cargo transport unit (if no tanks). For containers, this shall be the identification code as defined in ISO 6346 (limited to goods under IMDG code)_x000a__x000a_Mandatory for TEUs_x000a__x000a_Max 17 characters" sqref="AA14:AA263">
      <formula1>1</formula1>
      <formula2>17</formula2>
    </dataValidation>
    <dataValidation type="whole" allowBlank="1" showInputMessage="1" showErrorMessage="1" errorTitle="Invalid Input" error="Must be whole number less than 1,000,000,000" promptTitle="Package count" prompt="This is the number of packages covered by this cargo item in_x000a_a specific location on board or in a cargo unit_x000a__x000a_Must be whole number less than 1000,000,000" sqref="AC14:AC263">
      <formula1>0</formula1>
      <formula2>999999999</formula2>
    </dataValidation>
    <dataValidation type="list" allowBlank="1" showInputMessage="1" showErrorMessage="1" errorTitle="Invalid Input" error="Select from dropdown" promptTitle="Net/Gross" prompt="Whether the reported amount is net or gross_x000a__x000a_Choose from dropdown menu" sqref="AE14:AE263 O14:O263">
      <formula1>"Net, Gross"</formula1>
    </dataValidation>
    <dataValidation type="textLength" allowBlank="1" showInputMessage="1" showErrorMessage="1" errorTitle="Invalid Input" error="Maximum 255 characters." promptTitle="Additional info" prompt="Any additional information regarding dangerous and_x000a_polluting goods on board_x000a__x000a_Maximum 255 characters" sqref="W14:W263">
      <formula1>1</formula1>
      <formula2>255</formula2>
    </dataValidation>
    <dataValidation type="whole" allowBlank="1" showInputMessage="1" showErrorMessage="1" errorTitle="Invalid Input" error="Must be a positive whole number between 0 and 999999999" promptTitle="Total packages" prompt="The total number of packages on all cargo units_x000a_covered by this cargo item_x000a__x000a_Must be a positive whole number between 0 and 999999999" sqref="V14:V263">
      <formula1>0</formula1>
      <formula2>999999999</formula2>
    </dataValidation>
    <dataValidation type="textLength" operator="lessThanOrEqual" allowBlank="1" showInputMessage="1" showErrorMessage="1" errorTitle="Invalid Input" error="Must be less than 350 characters" promptTitle="Textual Reference" prompt="This is the proper shipping name, completed with the_x000a_technical name where appropriate_x000a__x000a_Maximum 350 characters" sqref="K14:K263">
      <formula1>350</formula1>
    </dataValidation>
    <dataValidation type="textLength" operator="equal" allowBlank="1" showInputMessage="1" showErrorMessage="1" errorTitle="Error" error=" Must be 4 characters." promptTitle="UN number" prompt="UN number of DPG item_x000a__x000a_Must be 4 characters" sqref="M14:M263">
      <formula1>4</formula1>
    </dataValidation>
    <dataValidation type="list" allowBlank="1" showInputMessage="1" showErrorMessage="1" errorTitle="Invalid package code" error="Select a package type code from the dropdown, or select a package type to populate this field automatically." promptTitle="Package Type Code" prompt="Select a package type code from the dropdown, or select a package type to populate this field automatically." sqref="U14:U263">
      <formula1>Package_type_code</formula1>
    </dataValidation>
    <dataValidation type="list" allowBlank="1" showInputMessage="1" showErrorMessage="1" errorTitle="Invalid Input" error="Select from dropdown" promptTitle="Package type" prompt="Description of the outer package of the cargo item_x000a__x000a_Choose from dropdown menu" sqref="T14:T263">
      <formula1>Package_type_name</formula1>
    </dataValidation>
    <dataValidation type="list" allowBlank="1" showInputMessage="1" showErrorMessage="1" errorTitle="Invalid Input" error="Select from dropdown" promptTitle="Marpol code" prompt="The MARPOL code for the DPG item as defined in MARPOL Annex II_x000a__x000a_Choose from dropdown menu" sqref="S14:S263">
      <formula1>MARPOL_codes</formula1>
    </dataValidation>
    <dataValidation type="list" allowBlank="1" showInputMessage="1" showErrorMessage="1" errorTitle="Invalid Input" error="Select from dropdown" promptTitle="Total amount unit" prompt="Unit of measurement for amount_x000a__x000a_Choose from dropdown menu" sqref="AF14:AF263">
      <formula1>Units_description</formula1>
    </dataValidation>
    <dataValidation type="textLength" operator="equal" allowBlank="1" showDropDown="1" showInputMessage="1" showErrorMessage="1" errorTitle="Error" error="Invalid LOCODE, must be 5 characters." promptTitle="Port of loading LOCODE" prompt="LOCODE of port where Hazmat consignment was loaded onto vessel_x000a__x000a_Use the LOCODE lookup to find the correct code_x000a__x000a_Must be valid LOCODE" sqref="E14:E263">
      <formula1>5</formula1>
    </dataValidation>
    <dataValidation type="custom" allowBlank="1" showInputMessage="1" showErrorMessage="1" errorTitle="Invalid Input" error="Must be a number less than 9999999999999 with a maximum of 3 decimal places" promptTitle="Amount" prompt="Indicate quanity of goods in transport unit_x000a__x000a_Must be a positive number, 9,999,999,999,999 or less, with a maximum of 3 decimal places" sqref="AD14:AD263">
      <formula1>IF(OR(ISBLANK(AD14),AND(ISNUMBER(AD14),LEN(AD14)-(IF(ISNUMBER(SEARCH(".",AD14)),SEARCH(".",AD14),LEN(AD14)))&lt;=3,AD14&lt;=9999999999999)),TRUE(),FALSE())</formula1>
    </dataValidation>
    <dataValidation type="whole" allowBlank="1" showInputMessage="1" showErrorMessage="1" errorTitle="Invalid Input" error="Must be a number between 1 and 999" promptTitle="DPG item reference number" prompt="This field links DPG items to relevant transport units_x000a__x000a_An DPG item can consist of 0 or more transport units (TEU and/or non-TEUs)_x000a__x000a_Must be a number between 1 and 999" sqref="I14:I263">
      <formula1>1</formula1>
      <formula2>999</formula2>
    </dataValidation>
    <dataValidation type="textLength" allowBlank="1" showInputMessage="1" showErrorMessage="1" errorTitle="Invalid input" error="Must be 7 characters or less" promptTitle="IMO Hazard class" prompt="IMO Hazard class (IMDG-IBC-IGC-IMSBC codes) of DPG item_x000a__x000a_Max 7 characters" sqref="L14:L263">
      <formula1>1</formula1>
      <formula2>7</formula2>
    </dataValidation>
    <dataValidation type="list" allowBlank="1" showInputMessage="1" showErrorMessage="1" errorTitle="Invalid Input" error="Must be number, max 3 decimal places." promptTitle="Total amount unit" prompt="Unit of measurement for Total DPG amount_x000a__x000a_Choose from dropdown menu" sqref="P14:P263">
      <formula1>Units_description</formula1>
    </dataValidation>
    <dataValidation type="custom" allowBlank="1" showInputMessage="1" showErrorMessage="1" errorTitle="Invalid Input" error="Up to 2 EMS numbers separated by comma. Each number cannot be longer than 50 characters." promptTitle="EMS number(s)" prompt="Up to 2 EMS numbers separated by comma_x000a__x000a_Each number cannot be longer than 50 characters" sqref="X14:X263">
      <formula1>OR(ISBLANK(X14),AND(LEN(X14)&lt;=101,LEN(X14)-LEN(SUBSTITUTE(X14,",",""))&lt;2,LEN(LEFT(X14,IF(ISNUMBER(SEARCH(",",X14)),SEARCH(",",X14)-1,LEN(X14))))&lt;=50,(LEN(X14)-1)-LEN(LEFT(X14,IF(ISNUMBER(SEARCH(",",X14)),SEARCH(",",X14)-1,LEN(X14))))&lt;=50))</formula1>
    </dataValidation>
    <dataValidation type="textLength" allowBlank="1" showInputMessage="1" showErrorMessage="1" error="Max 50 characters" promptTitle="First name" prompt="The first name of the cargo contact person_x000a__x000a_Max 50 characters" sqref="G7:H7">
      <formula1>0</formula1>
      <formula2>50</formula2>
    </dataValidation>
    <dataValidation type="textLength" allowBlank="1" showInputMessage="1" showErrorMessage="1" error="Max 50 characters." promptTitle="Last name" prompt="The last name of the cargo contact person_x000a__x000a_Max 50 characters" sqref="G8:H8">
      <formula1>0</formula1>
      <formula2>50</formula2>
    </dataValidation>
    <dataValidation type="custom" allowBlank="1" showInputMessage="1" showErrorMessage="1" errorTitle="Invalid Input" error="Up to five risks of max 17 characters in length, separated by commas." promptTitle="Subsidiary risk(s)" prompt="Subsidiary risk(s) of the DPG items_x000a__x000a_Up to five risks of max 17 characters in length. Each risk must be separated by a comma" sqref="Y14:Y263">
      <formula1>OR(ISBLANK(Y14),AND(LEN(Y14)&lt;=89,LEN(Y14)-LEN(SUBSTITUTE(Y14,",",""))&lt;5))</formula1>
    </dataValidation>
    <dataValidation type="list" allowBlank="1" showInputMessage="1" showErrorMessage="1" error="Select 'Yes' or 'No' from the dropdown" promptTitle="Hazmat on board" prompt="Whether the vessel has any Hazmat on board_x000a__x000a_Choose 'Yes' or 'No' from dropdown menu" sqref="D6">
      <formula1>REF_YES_NO</formula1>
    </dataValidation>
    <dataValidation type="custom" operator="equal" allowBlank="1" showDropDown="1" showInputMessage="1" showErrorMessage="1" errorTitle="Error" error="Invalid LOCODE: must be 5 characters of letters and numbers with no spaces" promptTitle="Port LOCODE" prompt="The LOCODE for the port of the cargo contact person_x000a__x000a_Use the LOCODE lookup to find the correct code_x000a__x000a_Must be valid LOCODE" sqref="G9:H9">
      <formula1>IFERROR(AND(SUMPRODUCT(SEARCH(MID(G9,ROW(INDIRECT("1:"&amp;LEN(G9))),1),"abcdefghijklmnopqrstuvwxyz0123456789")),LEN(G9)=5),FALSE)</formula1>
    </dataValidation>
    <dataValidation type="list" allowBlank="1" showInputMessage="1" showErrorMessage="1" promptTitle="Cargo manifest document type" prompt="The document type of the cargo manifest_x000a__x000a_Must be provided if Manifest URL is provided _x000a__x000a_Choose from dropdown menu" sqref="N8">
      <formula1>REF_DOCTYPES</formula1>
    </dataValidation>
    <dataValidation type="textLength" allowBlank="1" showInputMessage="1" showErrorMessage="1" errorTitle="Invalid Input" error="Max 35 characters." promptTitle="Transport document ID" prompt="ID for the consignment transport document, e.g., Bill of Lading, identity code_x000a__x000a_Max 35 characters" sqref="D14:D263">
      <formula1>1</formula1>
      <formula2>35</formula2>
    </dataValidation>
    <dataValidation type="list" allowBlank="1" showInputMessage="1" showErrorMessage="1" errorTitle="Invalid Input" error="Select from dropdown." promptTitle="Dangerous goods classification" prompt="The dangerous goods classification of the DPG item_x000a__x000a_Choose from dropdown menu" sqref="J19:J263">
      <formula1>REF_DG_CLASSIFICATION</formula1>
    </dataValidation>
    <dataValidation type="list" allowBlank="1" showInputMessage="1" showErrorMessage="1" errorTitle="Invalid Input" error="Select from dropdown" promptTitle="Packing group" prompt="The packing group code as defined in the IMDG_x000a__x000a_Choose from dropdown menu" sqref="Q14:Q263">
      <formula1>REF_PACKING_GROUP</formula1>
    </dataValidation>
    <dataValidation allowBlank="1" showInputMessage="1" showErrorMessage="1" promptTitle="Port of loading name" prompt="The name of the port at which the consignment was loaded _x000a__x000a_This field is automatically generated from the 'Port of loading LOCODE' field_x000a_" sqref="F14:F263"/>
    <dataValidation allowBlank="1" showInputMessage="1" showErrorMessage="1" promptTitle="Port of discharge name" prompt="The name of the port at which Consignment will be discharged _x000a__x000a_This field is automatically generated from the 'Port of discharge LOCODE' field_x000a_" sqref="H14:H263"/>
    <dataValidation type="list" allowBlank="1" showInputMessage="1" showErrorMessage="1" error="Select from dropdown" promptTitle="Dangerous goods classification" prompt="The dangerous goods classification of the DPG item_x000a__x000a_Choose from dropdown menu" sqref="J14:J18">
      <formula1>REF_DG_CLASSIFICATION</formula1>
    </dataValidation>
    <dataValidation type="custom" allowBlank="1" showInputMessage="1" showErrorMessage="1" errorTitle="Invalid input" error="Must be a number between -9999999999 and 9999999999 with a maximum of 3 decimal places" promptTitle="Flash point" prompt="The temperature in degrees Celsius at which a liquid will give_x000a_off enough flammable vapour to be ignited_x000a__x000a_Must be a number between -9999999999 and 9999999999 with a maximum of 3 decimal places" sqref="R14:R263">
      <formula1>IF(OR(ISBLANK(R14),AND(ISNUMBER(R14),LEN(R14)-(IF(ISNUMBER(SEARCH(".",R14)),SEARCH(".",R14),LEN(R14)))&lt;=3,R14&lt;=9999999999,R14&gt;=-9999999999)),TRUE(),FALSE())</formula1>
    </dataValidation>
    <dataValidation type="custom" showInputMessage="1" showErrorMessage="1" error="Must be valid, more than 19 characters, less than 256 characters, start with &quot;https://&quot; and contain a ." promptTitle="Cargo manifest URL" prompt="The URL of the cargo manifest_x000a__x000a_Must be provided if Doc type is provided_x000a__x000a_Must be valid, more than 19 characters, less than 256 characters and start with https://" sqref="N7:S7">
      <formula1>AND(LEFT(INDEX(OHZ_DET_URL,1,1),8)="https://",ISNUMBER(SEARCH(".",INDEX(OHZ_DET_URL,1,1))),LEN(INDEX(OHZ_DET_URL,1,1))&lt;256,LEN(INDEX(OHZ_DET_URL,1,1))&gt;19)</formula1>
    </dataValidation>
    <dataValidation type="custom" allowBlank="1" showInputMessage="1" showErrorMessage="1" errorTitle="Invalid Input" error="Number less than 9,999,999,999,999, max 3 decimal places." promptTitle="Total amount" prompt="Enter quanity of the DPG item on board_x000a__x000a_Must be a positive number, 9,999,999,999,999 or less, with a maximum of 3 decimal places" sqref="N14:N263">
      <formula1>IF(OR(ISBLANK(N14),AND(ISNUMBER(N14),LEN(N14)-(IF(ISNUMBER(SEARCH(".",N14)),SEARCH(".",N14),LEN(N14)))&lt;=3,N14&lt;=9999999999999)),TRUE(),FALSE())</formula1>
    </dataValidation>
    <dataValidation type="custom" allowBlank="1" showInputMessage="1" showErrorMessage="1" error="Max 16 characters. Only numerals (0-9) and (&quot;+&quot;) are allowed" promptTitle="Phone" prompt="The Phone number of the cargo contact person_x000a__x000a_Include country code_x000a__x000a_Max 16 characters. Only numerals (0-9) and (&quot;+&quot;) are allowed" sqref="J7:K7">
      <formula1>AND(ISNUMBER(SUMPRODUCT(SEARCH(MID(INDEX(OHZ_CON_PHONE,1,1),ROW(INDIRECT("1:"&amp;LEN(INDEX(OHZ_CON_PHONE,1,1)))),1),"0123456789+"))),LEN(INDEX(OHZ_CON_PHONE,1,1))&lt;=16)</formula1>
    </dataValidation>
    <dataValidation type="custom" allowBlank="1" showInputMessage="1" showErrorMessage="1" error="Max 16 characters. Only numerals (0-9) and (&quot;+&quot;) are allowed" promptTitle="Fax" prompt="The Fax of the cargo contact person _x000a__x000a_Include country code_x000a__x000a_Max 16 characters. Only numerals (0-9) and (&quot;+&quot;) are allowed" sqref="J8:K8">
      <formula1>AND(ISNUMBER(SUMPRODUCT(SEARCH(MID(OHZ_CON_FAX,ROW(INDIRECT("1:"&amp;LEN(OHZ_CON_FAX))),1),"0123456789+"))),LEN(OHZ_CON_FAX)&lt;=16)</formula1>
    </dataValidation>
    <dataValidation type="custom" showInputMessage="1" showErrorMessage="1" error="Must contain an &quot;@&quot;, can not contain spaces or comma and must be less than 50 characters." promptTitle="Email" prompt="The email of the cargo contact person_x000a__x000a_Must contain an &quot;@&quot;, can not contain spaces or comma and must be less than 50 characters" sqref="J9:K9">
      <formula1>IF(OR(ISBLANK(INDEX(OHZ_CON_EMAIL,1,1)),AND(NOT(ISERROR(SEARCH("@",INDEX(OHZ_CON_EMAIL,1,1)))),ISERROR(SEARCH(" ",INDEX(OHZ_CON_EMAIL,1,1))),ISERROR(SEARCH(",",INDEX(OHZ_CON_EMAIL,1,1))),LEN(INDEX(OHZ_CON_EMAIL,1,1))&lt;=50)),TRUE(),FALSE())</formula1>
    </dataValidation>
  </dataValidations>
  <pageMargins left="0.23622047244094488" right="0.23622047244094488" top="0.39370078740157483" bottom="0.39370078740157483" header="0.31496062992125984" footer="0.31496062992125984"/>
  <pageSetup paperSize="9" scale="43" fitToHeight="0" orientation="landscape" r:id="rId1"/>
  <drawing r:id="rId2"/>
  <legacyDrawing r:id="rId3"/>
  <controls>
    <mc:AlternateContent xmlns:mc="http://schemas.openxmlformats.org/markup-compatibility/2006">
      <mc:Choice Requires="x14">
        <control shapeId="31745" r:id="rId4" name="ComboBox1">
          <controlPr defaultSize="0" autoLine="0" autoPict="0" linkedCell="OHZ_LOCODE_LOOKUP" listFillRange="REF_LOCODE_PORTNAME_COUNTRY" r:id="rId5">
            <anchor moveWithCells="1" sizeWithCells="1">
              <from>
                <xdr:col>22</xdr:col>
                <xdr:colOff>9525</xdr:colOff>
                <xdr:row>5</xdr:row>
                <xdr:rowOff>0</xdr:rowOff>
              </from>
              <to>
                <xdr:col>26</xdr:col>
                <xdr:colOff>561975</xdr:colOff>
                <xdr:row>6</xdr:row>
                <xdr:rowOff>133350</xdr:rowOff>
              </to>
            </anchor>
          </controlPr>
        </control>
      </mc:Choice>
      <mc:Fallback>
        <control shapeId="31745" r:id="rId4" name="ComboBox1"/>
      </mc:Fallback>
    </mc:AlternateContent>
  </control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00B0F0"/>
    <pageSetUpPr fitToPage="1"/>
  </sheetPr>
  <dimension ref="A1:AD73"/>
  <sheetViews>
    <sheetView zoomScale="80" zoomScaleNormal="80" workbookViewId="0">
      <pane ySplit="3" topLeftCell="A4" activePane="bottomLeft" state="frozen"/>
      <selection pane="bottomLeft" activeCell="L6" sqref="L6:N6"/>
    </sheetView>
  </sheetViews>
  <sheetFormatPr defaultColWidth="9.140625" defaultRowHeight="12.75" x14ac:dyDescent="0.2"/>
  <cols>
    <col min="1" max="1" width="2.42578125" style="2" customWidth="1"/>
    <col min="2" max="2" width="10.5703125" style="3" customWidth="1"/>
    <col min="3" max="4" width="10.85546875" style="88" customWidth="1"/>
    <col min="5" max="5" width="10.7109375" style="3" customWidth="1"/>
    <col min="6" max="6" width="11" style="88" customWidth="1"/>
    <col min="7" max="7" width="8.85546875" style="88" customWidth="1"/>
    <col min="8" max="8" width="1.28515625" style="88" customWidth="1"/>
    <col min="9" max="9" width="5.7109375" style="3" customWidth="1"/>
    <col min="10" max="10" width="5" style="88" customWidth="1"/>
    <col min="11" max="11" width="6.85546875" style="88" customWidth="1"/>
    <col min="12" max="12" width="9" style="88" customWidth="1"/>
    <col min="13" max="13" width="9.7109375" style="3" customWidth="1"/>
    <col min="14" max="14" width="5.85546875" style="88" customWidth="1"/>
    <col min="15" max="15" width="1.28515625" style="3" customWidth="1"/>
    <col min="16" max="16" width="13" style="88" customWidth="1"/>
    <col min="17" max="17" width="7.5703125" style="88" customWidth="1"/>
    <col min="18" max="18" width="20.85546875" style="3" customWidth="1"/>
    <col min="19" max="19" width="23.140625" style="88" customWidth="1"/>
    <col min="20" max="20" width="1.28515625" style="88" customWidth="1"/>
    <col min="21" max="21" width="21.85546875" style="88" customWidth="1"/>
    <col min="22" max="22" width="18" style="3" customWidth="1"/>
    <col min="23" max="23" width="9.42578125" style="3" customWidth="1"/>
    <col min="24" max="24" width="18.5703125" style="88" customWidth="1"/>
    <col min="25" max="25" width="9.42578125" style="2" customWidth="1"/>
    <col min="26" max="26" width="18.5703125" style="2" customWidth="1"/>
    <col min="27" max="16384" width="9.140625" style="2"/>
  </cols>
  <sheetData>
    <row r="1" spans="1:30" s="34" customFormat="1" ht="4.5" customHeight="1" x14ac:dyDescent="0.2"/>
    <row r="2" spans="1:30" s="78" customFormat="1" ht="20.25" x14ac:dyDescent="0.2">
      <c r="A2" s="75"/>
      <c r="B2" s="76" t="s">
        <v>2</v>
      </c>
      <c r="C2" s="76"/>
      <c r="D2" s="76"/>
      <c r="E2" s="77"/>
      <c r="F2" s="77"/>
      <c r="G2" s="77"/>
      <c r="H2" s="77"/>
      <c r="I2" s="77"/>
      <c r="J2" s="77"/>
      <c r="K2" s="275" t="s">
        <v>33411</v>
      </c>
      <c r="L2" s="1035" t="str">
        <f>SEC_STATUS</f>
        <v>Empty</v>
      </c>
      <c r="M2" s="1035"/>
      <c r="N2" s="277" t="str">
        <f>IFERROR(SEC_VALID_RES,"")</f>
        <v xml:space="preserve">‘Current security level’ is required </v>
      </c>
      <c r="O2" s="77"/>
      <c r="P2" s="77"/>
      <c r="Q2" s="77"/>
      <c r="R2" s="77"/>
      <c r="S2" s="77"/>
      <c r="T2" s="77"/>
      <c r="U2" s="77"/>
      <c r="V2" s="77"/>
      <c r="W2" s="77"/>
      <c r="X2" s="77"/>
      <c r="Y2" s="77"/>
      <c r="Z2" s="77"/>
      <c r="AA2" s="77"/>
      <c r="AB2" s="77"/>
      <c r="AC2" s="77"/>
      <c r="AD2" s="77"/>
    </row>
    <row r="3" spans="1:30" s="78" customFormat="1" ht="4.5" customHeight="1" x14ac:dyDescent="0.2">
      <c r="B3" s="273"/>
      <c r="C3" s="273"/>
      <c r="D3" s="273"/>
      <c r="E3" s="273"/>
      <c r="F3" s="273"/>
      <c r="G3" s="273"/>
      <c r="H3" s="273"/>
      <c r="I3" s="273"/>
      <c r="J3" s="273"/>
      <c r="K3" s="273"/>
      <c r="L3" s="273"/>
      <c r="M3" s="273"/>
      <c r="N3" s="273"/>
      <c r="O3" s="273"/>
      <c r="P3" s="273"/>
      <c r="Q3" s="273"/>
      <c r="R3" s="284"/>
      <c r="S3" s="284"/>
      <c r="T3" s="284"/>
      <c r="U3" s="284"/>
      <c r="V3" s="285"/>
      <c r="W3" s="286"/>
      <c r="X3" s="286"/>
    </row>
    <row r="4" spans="1:30" s="270" customFormat="1" ht="12.75" customHeight="1" thickBot="1" x14ac:dyDescent="0.25">
      <c r="B4" s="171"/>
      <c r="C4" s="171"/>
      <c r="D4" s="171"/>
      <c r="E4" s="171"/>
      <c r="F4" s="171"/>
      <c r="G4" s="171"/>
      <c r="H4" s="171"/>
      <c r="I4" s="171"/>
      <c r="J4" s="171"/>
      <c r="K4" s="171"/>
      <c r="L4" s="171"/>
      <c r="M4" s="171"/>
      <c r="N4" s="171"/>
      <c r="O4" s="171"/>
      <c r="P4" s="171"/>
      <c r="Q4" s="171"/>
      <c r="R4" s="4"/>
      <c r="S4" s="4"/>
      <c r="T4" s="4"/>
      <c r="U4" s="4"/>
      <c r="V4" s="10"/>
      <c r="W4" s="12"/>
      <c r="X4" s="12"/>
    </row>
    <row r="5" spans="1:30" ht="21" customHeight="1" thickTop="1" x14ac:dyDescent="0.2">
      <c r="A5" s="36"/>
      <c r="B5" s="972" t="s">
        <v>33357</v>
      </c>
      <c r="C5" s="973"/>
      <c r="D5" s="973"/>
      <c r="E5" s="973"/>
      <c r="F5" s="121"/>
      <c r="G5" s="96"/>
      <c r="H5" s="138"/>
      <c r="I5" s="656" t="s">
        <v>33787</v>
      </c>
      <c r="J5" s="656"/>
      <c r="K5" s="656"/>
      <c r="L5" s="656"/>
      <c r="M5" s="656"/>
      <c r="N5" s="656"/>
      <c r="O5" s="88"/>
      <c r="P5" s="656" t="s">
        <v>33789</v>
      </c>
      <c r="Q5" s="656"/>
      <c r="R5" s="656"/>
      <c r="S5" s="656"/>
      <c r="U5" s="962" t="s">
        <v>32884</v>
      </c>
      <c r="V5" s="962"/>
      <c r="W5" s="962"/>
      <c r="X5" s="962"/>
    </row>
    <row r="6" spans="1:30" ht="12.75" customHeight="1" x14ac:dyDescent="0.2">
      <c r="A6" s="36"/>
      <c r="B6" s="641" t="s">
        <v>33769</v>
      </c>
      <c r="C6" s="271" t="s">
        <v>33345</v>
      </c>
      <c r="D6" s="272"/>
      <c r="E6" s="941" t="str">
        <f>IF(OR(ISBLANK(VES_VID_IMO),ISERROR(VES_VID_IMO)),"",VES_VID_IMO)</f>
        <v/>
      </c>
      <c r="F6" s="942"/>
      <c r="G6" s="943"/>
      <c r="H6" s="139"/>
      <c r="I6" s="1010" t="s">
        <v>63</v>
      </c>
      <c r="J6" s="1011"/>
      <c r="K6" s="1012"/>
      <c r="L6" s="1001"/>
      <c r="M6" s="1002"/>
      <c r="N6" s="1003"/>
      <c r="O6" s="88"/>
      <c r="P6" s="117" t="s">
        <v>33335</v>
      </c>
      <c r="Q6" s="124"/>
      <c r="R6" s="118"/>
      <c r="S6" s="148" t="str">
        <f>IF(OR(ISBLANK(SUM_SRC_SOURCE),ISERROR(SUM_SRC_SOURCE)),"",SUM_SRC_SOURCE)</f>
        <v/>
      </c>
      <c r="U6" s="963" t="s">
        <v>32885</v>
      </c>
      <c r="V6" s="248"/>
      <c r="W6" s="153"/>
      <c r="X6" s="154"/>
    </row>
    <row r="7" spans="1:30" ht="12.75" customHeight="1" x14ac:dyDescent="0.2">
      <c r="A7" s="36"/>
      <c r="B7" s="641"/>
      <c r="C7" s="264" t="s">
        <v>5</v>
      </c>
      <c r="D7" s="265"/>
      <c r="E7" s="938" t="str">
        <f>IF(OR(ISBLANK(VES_VID_SHIPNAME),ISERROR(VES_VID_SHIPNAME)),"",VES_VID_SHIPNAME)</f>
        <v/>
      </c>
      <c r="F7" s="939"/>
      <c r="G7" s="940"/>
      <c r="H7" s="139"/>
      <c r="I7" s="1058" t="s">
        <v>64</v>
      </c>
      <c r="J7" s="1059"/>
      <c r="K7" s="1060"/>
      <c r="L7" s="980"/>
      <c r="M7" s="981"/>
      <c r="N7" s="982"/>
      <c r="O7" s="88"/>
      <c r="P7" s="119" t="s">
        <v>685</v>
      </c>
      <c r="Q7" s="133"/>
      <c r="R7" s="120"/>
      <c r="S7" s="149">
        <f ca="1">NOW()</f>
        <v>44641.604535879633</v>
      </c>
      <c r="U7" s="963"/>
      <c r="V7" s="248"/>
      <c r="W7" s="153"/>
      <c r="X7" s="154"/>
    </row>
    <row r="8" spans="1:30" ht="12.75" customHeight="1" x14ac:dyDescent="0.2">
      <c r="A8" s="36"/>
      <c r="B8" s="641"/>
      <c r="C8" s="264" t="s">
        <v>678</v>
      </c>
      <c r="D8" s="265"/>
      <c r="E8" s="938" t="str">
        <f>IF(OR(ISBLANK(VES_VID_CALLSIGN),ISERROR(VES_VID_CALLSIGN)),"",VES_VID_CALLSIGN)</f>
        <v/>
      </c>
      <c r="F8" s="939"/>
      <c r="G8" s="940"/>
      <c r="H8" s="139"/>
      <c r="I8" s="1096" t="s">
        <v>33786</v>
      </c>
      <c r="J8" s="1097"/>
      <c r="K8" s="265" t="s">
        <v>60</v>
      </c>
      <c r="L8" s="938"/>
      <c r="M8" s="939"/>
      <c r="N8" s="940"/>
      <c r="O8" s="88"/>
      <c r="P8" s="347" t="s">
        <v>59</v>
      </c>
      <c r="Q8" s="348"/>
      <c r="R8" s="349"/>
      <c r="S8" s="351"/>
      <c r="U8" s="245" t="s">
        <v>33062</v>
      </c>
      <c r="V8" s="964" t="e">
        <f>VLOOKUP(LEFT(SEC_LOCODE_LOOKUP,2),REF_COUNTRIES_CODES[], 2,FALSE)</f>
        <v>#N/A</v>
      </c>
      <c r="W8" s="740"/>
      <c r="X8" s="741"/>
    </row>
    <row r="9" spans="1:30" ht="12.75" customHeight="1" thickBot="1" x14ac:dyDescent="0.25">
      <c r="A9" s="36"/>
      <c r="B9" s="642"/>
      <c r="C9" s="264" t="s">
        <v>6</v>
      </c>
      <c r="D9" s="265"/>
      <c r="E9" s="980" t="str">
        <f>IF(OR(ISBLANK(VES_VID_MMSI),ISERROR(VES_VID_MMSI)),"",VES_VID_MMSI)</f>
        <v/>
      </c>
      <c r="F9" s="981"/>
      <c r="G9" s="982"/>
      <c r="H9" s="139"/>
      <c r="I9" s="1098"/>
      <c r="J9" s="1099"/>
      <c r="K9" s="265" t="s">
        <v>61</v>
      </c>
      <c r="L9" s="938"/>
      <c r="M9" s="939"/>
      <c r="N9" s="940"/>
      <c r="O9" s="88"/>
      <c r="P9" s="344" t="s">
        <v>690</v>
      </c>
      <c r="Q9" s="345"/>
      <c r="R9" s="346"/>
      <c r="S9" s="54"/>
      <c r="U9" s="246" t="s">
        <v>32886</v>
      </c>
      <c r="V9" s="965" t="e">
        <v>#N/A</v>
      </c>
      <c r="W9" s="743"/>
      <c r="X9" s="744"/>
    </row>
    <row r="10" spans="1:30" ht="12.75" customHeight="1" thickTop="1" thickBot="1" x14ac:dyDescent="0.25">
      <c r="A10" s="36"/>
      <c r="B10" s="266"/>
      <c r="C10" s="267" t="s">
        <v>45</v>
      </c>
      <c r="D10" s="268"/>
      <c r="E10" s="966" t="str">
        <f>IF(OR(ISBLANK(VES_VID_FLAG),ISERROR(VES_VID_FLAG)),"",VES_VID_FLAG)</f>
        <v/>
      </c>
      <c r="F10" s="967"/>
      <c r="G10" s="968"/>
      <c r="H10" s="139"/>
      <c r="I10" s="1100"/>
      <c r="J10" s="1101"/>
      <c r="K10" s="268" t="s">
        <v>11</v>
      </c>
      <c r="L10" s="983"/>
      <c r="M10" s="967"/>
      <c r="N10" s="968"/>
      <c r="O10" s="88"/>
      <c r="R10" s="88"/>
      <c r="U10" s="9" t="s">
        <v>33810</v>
      </c>
      <c r="V10" s="31"/>
      <c r="W10" s="175"/>
      <c r="X10" s="175"/>
    </row>
    <row r="11" spans="1:30" ht="17.25" thickTop="1" thickBot="1" x14ac:dyDescent="0.25">
      <c r="A11" s="36"/>
      <c r="B11" s="177" t="s">
        <v>689</v>
      </c>
      <c r="C11" s="177"/>
      <c r="D11" s="177"/>
      <c r="E11" s="177"/>
      <c r="F11" s="177"/>
      <c r="G11" s="177"/>
      <c r="H11" s="106"/>
      <c r="I11" s="171"/>
      <c r="J11" s="171"/>
      <c r="K11" s="171"/>
      <c r="L11" s="171"/>
      <c r="M11" s="171"/>
      <c r="N11" s="171"/>
      <c r="O11" s="171"/>
      <c r="P11" s="171"/>
      <c r="Q11" s="171"/>
      <c r="R11" s="171"/>
      <c r="S11" s="171"/>
      <c r="U11" s="176"/>
      <c r="V11" s="175"/>
      <c r="W11" s="175"/>
      <c r="X11" s="175"/>
    </row>
    <row r="12" spans="1:30" ht="20.25" customHeight="1" thickTop="1" x14ac:dyDescent="0.2">
      <c r="A12" s="36"/>
      <c r="B12" s="972" t="s">
        <v>33358</v>
      </c>
      <c r="C12" s="973"/>
      <c r="D12" s="973"/>
      <c r="E12" s="973"/>
      <c r="F12" s="121"/>
      <c r="G12" s="99"/>
      <c r="H12" s="138"/>
      <c r="I12" s="656" t="s">
        <v>33788</v>
      </c>
      <c r="J12" s="656"/>
      <c r="K12" s="656"/>
      <c r="L12" s="656"/>
      <c r="M12" s="656"/>
      <c r="N12" s="656"/>
      <c r="O12" s="88"/>
      <c r="P12" s="656" t="s">
        <v>33792</v>
      </c>
      <c r="Q12" s="656"/>
      <c r="R12" s="656"/>
      <c r="S12" s="656"/>
      <c r="U12" s="1083" t="s">
        <v>35104</v>
      </c>
      <c r="V12" s="1083"/>
      <c r="W12" s="1083"/>
      <c r="X12" s="1083"/>
      <c r="Y12" s="35"/>
      <c r="Z12" s="35"/>
    </row>
    <row r="13" spans="1:30" ht="12.75" customHeight="1" x14ac:dyDescent="0.2">
      <c r="A13" s="36"/>
      <c r="B13" s="657" t="s">
        <v>51</v>
      </c>
      <c r="C13" s="932"/>
      <c r="D13" s="658"/>
      <c r="E13" s="1001" t="str">
        <f>IF(OR(ISBLANK(VES_VDE_GROSSTONNA),ISERROR(VES_VDE_GROSSTONNA)),"",VES_VDE_GROSSTONNA)</f>
        <v/>
      </c>
      <c r="F13" s="1002"/>
      <c r="G13" s="1003"/>
      <c r="H13" s="139"/>
      <c r="I13" s="1010" t="s">
        <v>44</v>
      </c>
      <c r="J13" s="1011"/>
      <c r="K13" s="1012"/>
      <c r="L13" s="1001"/>
      <c r="M13" s="1002"/>
      <c r="N13" s="1003"/>
      <c r="O13" s="88"/>
      <c r="P13" s="226" t="s">
        <v>677</v>
      </c>
      <c r="Q13" s="227"/>
      <c r="R13" s="228"/>
      <c r="S13" s="147"/>
      <c r="U13" s="646" t="str">
        <f>IF(SUM_SRC_EMAIL&lt;&gt;"",SUM_SRC_EMAIL,"Please set voyage contact email on the summary tab")</f>
        <v>Please set voyage contact email on the summary tab</v>
      </c>
      <c r="V13" s="647"/>
      <c r="W13" s="647"/>
      <c r="X13" s="648"/>
      <c r="Y13" s="104"/>
      <c r="Z13" s="104"/>
    </row>
    <row r="14" spans="1:30" ht="12" customHeight="1" thickBot="1" x14ac:dyDescent="0.25">
      <c r="A14" s="36"/>
      <c r="B14" s="929" t="s">
        <v>52</v>
      </c>
      <c r="C14" s="930"/>
      <c r="D14" s="931"/>
      <c r="E14" s="980" t="str">
        <f>IF(OR(ISBLANK(VES_VDE_SHIPTYPE),ISERROR(VES_VDE_SHIPTYPE)),"",VES_VDE_SHIPTYPE)</f>
        <v/>
      </c>
      <c r="F14" s="981"/>
      <c r="G14" s="982"/>
      <c r="H14" s="139"/>
      <c r="I14" s="1013" t="s">
        <v>60</v>
      </c>
      <c r="J14" s="1014"/>
      <c r="K14" s="1015"/>
      <c r="L14" s="938"/>
      <c r="M14" s="939"/>
      <c r="N14" s="940"/>
      <c r="O14" s="88"/>
      <c r="P14" s="223" t="s">
        <v>676</v>
      </c>
      <c r="Q14" s="224"/>
      <c r="R14" s="225"/>
      <c r="S14" s="350"/>
      <c r="U14" s="649"/>
      <c r="V14" s="650"/>
      <c r="W14" s="650"/>
      <c r="X14" s="651"/>
      <c r="Y14" s="35"/>
      <c r="Z14" s="35"/>
    </row>
    <row r="15" spans="1:30" s="229" customFormat="1" ht="12.75" customHeight="1" thickTop="1" x14ac:dyDescent="0.2">
      <c r="B15" s="1016" t="s">
        <v>638</v>
      </c>
      <c r="C15" s="1017"/>
      <c r="D15" s="1018"/>
      <c r="E15" s="1004" t="str">
        <f>IF(ISERROR(VLOOKUP(SEC_VDE_SHIPTYPE, REF_SHIP_TYPE_TABLE[], 2,FALSE)),"Select ship type from cell above...",VLOOKUP(SEC_VDE_SHIPTYPE, REF_SHIP_TYPE_TABLE[], 2,FALSE))</f>
        <v>Select ship type from cell above...</v>
      </c>
      <c r="F15" s="1005"/>
      <c r="G15" s="1006"/>
      <c r="H15" s="230"/>
      <c r="I15" s="1016" t="s">
        <v>61</v>
      </c>
      <c r="J15" s="1017"/>
      <c r="K15" s="1018"/>
      <c r="L15" s="1084"/>
      <c r="M15" s="1085"/>
      <c r="N15" s="1086"/>
      <c r="O15" s="231"/>
      <c r="P15" s="969" t="s">
        <v>50</v>
      </c>
      <c r="Q15" s="970"/>
      <c r="R15" s="970"/>
      <c r="S15" s="971"/>
      <c r="T15" s="231"/>
      <c r="U15" s="653" t="s">
        <v>35105</v>
      </c>
      <c r="V15" s="653"/>
      <c r="W15" s="653"/>
      <c r="X15" s="653"/>
      <c r="Y15" s="232"/>
      <c r="Z15" s="232"/>
    </row>
    <row r="16" spans="1:30" ht="15" customHeight="1" thickBot="1" x14ac:dyDescent="0.25">
      <c r="A16" s="36"/>
      <c r="B16" s="929" t="s">
        <v>33069</v>
      </c>
      <c r="C16" s="930"/>
      <c r="D16" s="931"/>
      <c r="E16" s="1007"/>
      <c r="F16" s="1008"/>
      <c r="G16" s="1009"/>
      <c r="H16" s="139"/>
      <c r="I16" s="1025" t="s">
        <v>11</v>
      </c>
      <c r="J16" s="1026"/>
      <c r="K16" s="1027"/>
      <c r="L16" s="966"/>
      <c r="M16" s="967"/>
      <c r="N16" s="968"/>
      <c r="O16" s="88"/>
      <c r="P16" s="974" t="str">
        <f>IF(OR(ISBLANK(VOY_VOY_BRIEFCARGO),ISERROR(VOY_VOY_BRIEFCARGO)),"",VOY_VOY_BRIEFCARGO)</f>
        <v/>
      </c>
      <c r="Q16" s="975"/>
      <c r="R16" s="975"/>
      <c r="S16" s="976"/>
      <c r="U16" s="671" t="s">
        <v>33361</v>
      </c>
      <c r="V16" s="671"/>
      <c r="W16" s="671"/>
      <c r="X16" s="671"/>
      <c r="Y16" s="35"/>
      <c r="Z16" s="35"/>
    </row>
    <row r="17" spans="2:24" s="36" customFormat="1" ht="12.75" customHeight="1" thickTop="1" x14ac:dyDescent="0.2">
      <c r="B17" s="929" t="s">
        <v>33070</v>
      </c>
      <c r="C17" s="930"/>
      <c r="D17" s="931"/>
      <c r="E17" s="1019" t="str">
        <f>IF(ISERROR(VLOOKUP(SEC_VDE_REGPORT,REF_LOCODE_PORTNAME_COUNTRY, 2,FALSE)),"Select from cell above…",VLOOKUP(SEC_VDE_REGPORT,REF_LOCODE_PORTNAME_COUNTRY, 2,FALSE))</f>
        <v>Select from cell above…</v>
      </c>
      <c r="F17" s="1020"/>
      <c r="G17" s="1021"/>
      <c r="H17" s="139"/>
      <c r="I17" s="1053"/>
      <c r="J17" s="1053"/>
      <c r="K17" s="1053"/>
      <c r="L17" s="1053"/>
      <c r="M17" s="1053"/>
      <c r="N17" s="1053"/>
      <c r="P17" s="974"/>
      <c r="Q17" s="975"/>
      <c r="R17" s="975"/>
      <c r="S17" s="976"/>
      <c r="U17" s="671"/>
      <c r="V17" s="671"/>
      <c r="W17" s="671"/>
      <c r="X17" s="671"/>
    </row>
    <row r="18" spans="2:24" s="36" customFormat="1" ht="12.75" customHeight="1" thickBot="1" x14ac:dyDescent="0.25">
      <c r="B18" s="659" t="s">
        <v>33301</v>
      </c>
      <c r="C18" s="1094"/>
      <c r="D18" s="660"/>
      <c r="E18" s="984" t="str">
        <f>IF(ISERROR(TMP_VDE_REGPORT),"Select from cell above…",TMP_VDE_REGPORT)</f>
        <v>Select from cell above…</v>
      </c>
      <c r="F18" s="985"/>
      <c r="G18" s="986"/>
      <c r="H18" s="140"/>
      <c r="I18" s="1054"/>
      <c r="J18" s="1054"/>
      <c r="K18" s="1054"/>
      <c r="L18" s="1054"/>
      <c r="M18" s="1054"/>
      <c r="N18" s="1054"/>
      <c r="P18" s="977"/>
      <c r="Q18" s="978"/>
      <c r="R18" s="978"/>
      <c r="S18" s="979"/>
      <c r="U18" s="671"/>
      <c r="V18" s="671"/>
      <c r="W18" s="671"/>
      <c r="X18" s="671"/>
    </row>
    <row r="19" spans="2:24" s="36" customFormat="1" ht="6.75" customHeight="1" thickTop="1" thickBot="1" x14ac:dyDescent="0.25">
      <c r="H19" s="35"/>
      <c r="L19" s="840"/>
      <c r="M19" s="840"/>
      <c r="N19" s="840"/>
      <c r="S19" s="150"/>
      <c r="U19" s="671"/>
      <c r="V19" s="671"/>
      <c r="W19" s="671"/>
      <c r="X19" s="671"/>
    </row>
    <row r="20" spans="2:24" s="36" customFormat="1" ht="20.25" customHeight="1" thickTop="1" x14ac:dyDescent="0.2">
      <c r="B20" s="972" t="s">
        <v>33359</v>
      </c>
      <c r="C20" s="973"/>
      <c r="D20" s="973"/>
      <c r="E20" s="973"/>
      <c r="F20" s="121"/>
      <c r="G20" s="96"/>
      <c r="H20" s="138"/>
      <c r="I20" s="656" t="s">
        <v>33793</v>
      </c>
      <c r="J20" s="656"/>
      <c r="K20" s="656"/>
      <c r="L20" s="656"/>
      <c r="M20" s="656"/>
      <c r="N20" s="656"/>
      <c r="P20" s="656" t="s">
        <v>33333</v>
      </c>
      <c r="Q20" s="656"/>
      <c r="R20" s="656"/>
      <c r="S20" s="656"/>
      <c r="U20" s="671"/>
      <c r="V20" s="671"/>
      <c r="W20" s="671"/>
      <c r="X20" s="671"/>
    </row>
    <row r="21" spans="2:24" s="36" customFormat="1" ht="12.75" customHeight="1" x14ac:dyDescent="0.2">
      <c r="B21" s="657" t="s">
        <v>53</v>
      </c>
      <c r="C21" s="932"/>
      <c r="D21" s="658"/>
      <c r="E21" s="1022" t="str">
        <f>IF(OR(ISBLANK(VES_REG_REGDATE),ISERROR(VES_REG_REGDATE)),"",VES_REG_REGDATE)</f>
        <v/>
      </c>
      <c r="F21" s="1023"/>
      <c r="G21" s="1024"/>
      <c r="H21" s="141"/>
      <c r="I21" s="657" t="s">
        <v>33790</v>
      </c>
      <c r="J21" s="932"/>
      <c r="K21" s="658"/>
      <c r="L21" s="941"/>
      <c r="M21" s="942"/>
      <c r="N21" s="943"/>
      <c r="P21" s="128" t="s">
        <v>33362</v>
      </c>
      <c r="Q21" s="143"/>
      <c r="R21" s="129"/>
      <c r="S21" s="147"/>
      <c r="U21" s="671"/>
      <c r="V21" s="671"/>
      <c r="W21" s="671"/>
      <c r="X21" s="671"/>
    </row>
    <row r="22" spans="2:24" s="36" customFormat="1" ht="12.75" customHeight="1" x14ac:dyDescent="0.2">
      <c r="B22" s="929" t="s">
        <v>54</v>
      </c>
      <c r="C22" s="930"/>
      <c r="D22" s="931"/>
      <c r="E22" s="938" t="str">
        <f>IF(OR(ISBLANK(VES_REG_REGNUMBER),ISERROR(VES_REG_REGNUMBER)),"",VES_REG_REGNUMBER)</f>
        <v/>
      </c>
      <c r="F22" s="939"/>
      <c r="G22" s="940"/>
      <c r="H22" s="140"/>
      <c r="I22" s="122" t="s">
        <v>670</v>
      </c>
      <c r="J22" s="123"/>
      <c r="K22" s="123"/>
      <c r="L22" s="938"/>
      <c r="M22" s="939"/>
      <c r="N22" s="940"/>
      <c r="P22" s="130" t="s">
        <v>33363</v>
      </c>
      <c r="Q22" s="131"/>
      <c r="R22" s="131"/>
      <c r="S22" s="132"/>
      <c r="U22" s="671"/>
      <c r="V22" s="671"/>
      <c r="W22" s="671"/>
      <c r="X22" s="671"/>
    </row>
    <row r="23" spans="2:24" s="36" customFormat="1" ht="12.75" customHeight="1" x14ac:dyDescent="0.2">
      <c r="B23" s="929" t="s">
        <v>12</v>
      </c>
      <c r="C23" s="930"/>
      <c r="D23" s="931"/>
      <c r="E23" s="938" t="str">
        <f>IF(OR(ISBLANK(VES_REG_REGCOMPNAM),ISERROR(VES_REG_REGCOMPNAM)),"",VES_REG_REGCOMPNAM)</f>
        <v/>
      </c>
      <c r="F23" s="939"/>
      <c r="G23" s="940"/>
      <c r="H23" s="140"/>
      <c r="I23" s="122" t="s">
        <v>62</v>
      </c>
      <c r="J23" s="123"/>
      <c r="K23" s="123"/>
      <c r="L23" s="938"/>
      <c r="M23" s="939"/>
      <c r="N23" s="940"/>
      <c r="P23" s="1044"/>
      <c r="Q23" s="1045"/>
      <c r="R23" s="1045"/>
      <c r="S23" s="1046"/>
      <c r="U23" s="671"/>
      <c r="V23" s="671"/>
      <c r="W23" s="671"/>
      <c r="X23" s="671"/>
    </row>
    <row r="24" spans="2:24" s="36" customFormat="1" ht="12.75" customHeight="1" thickBot="1" x14ac:dyDescent="0.25">
      <c r="B24" s="659" t="s">
        <v>33077</v>
      </c>
      <c r="C24" s="1094"/>
      <c r="D24" s="660"/>
      <c r="E24" s="944" t="str">
        <f>IF(OR(ISBLANK(VES_REG_REGCOMPIMO),ISERROR(VES_REG_REGCOMPIMO)),"",VES_REG_REGCOMPIMO)</f>
        <v/>
      </c>
      <c r="F24" s="945"/>
      <c r="G24" s="946"/>
      <c r="H24" s="140"/>
      <c r="I24" s="956" t="s">
        <v>33795</v>
      </c>
      <c r="J24" s="957"/>
      <c r="K24" s="958"/>
      <c r="L24" s="1055"/>
      <c r="M24" s="1056"/>
      <c r="N24" s="1057"/>
      <c r="P24" s="1047"/>
      <c r="Q24" s="1048"/>
      <c r="R24" s="1048"/>
      <c r="S24" s="1049"/>
      <c r="U24" s="671"/>
      <c r="V24" s="671"/>
      <c r="W24" s="671"/>
      <c r="X24" s="671"/>
    </row>
    <row r="25" spans="2:24" s="36" customFormat="1" ht="6.75" customHeight="1" thickTop="1" thickBot="1" x14ac:dyDescent="0.25">
      <c r="H25" s="35"/>
      <c r="I25" s="959"/>
      <c r="J25" s="960"/>
      <c r="K25" s="961"/>
      <c r="L25" s="1055"/>
      <c r="M25" s="1056"/>
      <c r="N25" s="1057"/>
      <c r="O25" s="88"/>
      <c r="P25" s="1050"/>
      <c r="Q25" s="1051"/>
      <c r="R25" s="1051"/>
      <c r="S25" s="1052"/>
      <c r="U25" s="671"/>
      <c r="V25" s="671"/>
      <c r="W25" s="671"/>
      <c r="X25" s="671"/>
    </row>
    <row r="26" spans="2:24" s="36" customFormat="1" ht="12.75" customHeight="1" thickTop="1" thickBot="1" x14ac:dyDescent="0.25">
      <c r="B26" s="635" t="s">
        <v>33338</v>
      </c>
      <c r="C26" s="636"/>
      <c r="D26" s="636"/>
      <c r="E26" s="636"/>
      <c r="F26" s="636"/>
      <c r="G26" s="637"/>
      <c r="H26" s="138"/>
      <c r="I26" s="657" t="s">
        <v>33794</v>
      </c>
      <c r="J26" s="932"/>
      <c r="K26" s="658"/>
      <c r="L26" s="1036"/>
      <c r="M26" s="1037"/>
      <c r="N26" s="1038"/>
      <c r="O26" s="88"/>
      <c r="U26" s="671"/>
      <c r="V26" s="671"/>
      <c r="W26" s="671"/>
      <c r="X26" s="671"/>
    </row>
    <row r="27" spans="2:24" s="36" customFormat="1" ht="12.75" customHeight="1" thickTop="1" thickBot="1" x14ac:dyDescent="0.25">
      <c r="B27" s="661"/>
      <c r="C27" s="748"/>
      <c r="D27" s="748"/>
      <c r="E27" s="748"/>
      <c r="F27" s="748"/>
      <c r="G27" s="662"/>
      <c r="H27" s="138"/>
      <c r="I27" s="293" t="s">
        <v>683</v>
      </c>
      <c r="J27" s="343"/>
      <c r="K27" s="343"/>
      <c r="L27" s="1039"/>
      <c r="M27" s="1040"/>
      <c r="N27" s="1041"/>
      <c r="P27" s="656" t="s">
        <v>32761</v>
      </c>
      <c r="Q27" s="656"/>
      <c r="R27" s="656"/>
      <c r="S27" s="656"/>
      <c r="U27" s="671"/>
      <c r="V27" s="671"/>
      <c r="W27" s="671"/>
      <c r="X27" s="671"/>
    </row>
    <row r="28" spans="2:24" s="36" customFormat="1" ht="12.75" customHeight="1" thickTop="1" x14ac:dyDescent="0.2">
      <c r="B28" s="657" t="s">
        <v>33337</v>
      </c>
      <c r="C28" s="932"/>
      <c r="D28" s="932"/>
      <c r="E28" s="1023"/>
      <c r="F28" s="1023"/>
      <c r="G28" s="1024"/>
      <c r="H28" s="141"/>
      <c r="I28" s="122" t="s">
        <v>33791</v>
      </c>
      <c r="J28" s="123"/>
      <c r="K28" s="123"/>
      <c r="L28" s="1042"/>
      <c r="M28" s="1042"/>
      <c r="N28" s="1043"/>
      <c r="P28" s="656"/>
      <c r="Q28" s="656"/>
      <c r="R28" s="656"/>
      <c r="S28" s="656"/>
      <c r="V28" s="160" t="s">
        <v>33308</v>
      </c>
    </row>
    <row r="29" spans="2:24" s="36" customFormat="1" ht="12.75" customHeight="1" x14ac:dyDescent="0.2">
      <c r="B29" s="933" t="s">
        <v>33336</v>
      </c>
      <c r="C29" s="934"/>
      <c r="D29" s="934"/>
      <c r="E29" s="934"/>
      <c r="F29" s="934"/>
      <c r="G29" s="935"/>
      <c r="H29" s="103"/>
      <c r="I29" s="1044"/>
      <c r="J29" s="1045"/>
      <c r="K29" s="1045"/>
      <c r="L29" s="1045"/>
      <c r="M29" s="1045"/>
      <c r="N29" s="1046"/>
      <c r="P29" s="1088"/>
      <c r="Q29" s="1089"/>
      <c r="R29" s="1089"/>
      <c r="S29" s="1090"/>
      <c r="U29" s="479"/>
    </row>
    <row r="30" spans="2:24" s="36" customFormat="1" ht="12.75" customHeight="1" x14ac:dyDescent="0.2">
      <c r="B30" s="947"/>
      <c r="C30" s="948"/>
      <c r="D30" s="948"/>
      <c r="E30" s="948"/>
      <c r="F30" s="948"/>
      <c r="G30" s="949"/>
      <c r="H30" s="142"/>
      <c r="I30" s="1047"/>
      <c r="J30" s="1048"/>
      <c r="K30" s="1048"/>
      <c r="L30" s="1048"/>
      <c r="M30" s="1048"/>
      <c r="N30" s="1049"/>
      <c r="P30" s="1088"/>
      <c r="Q30" s="1089"/>
      <c r="R30" s="1089"/>
      <c r="S30" s="1090"/>
      <c r="U30" s="671" t="s">
        <v>35091</v>
      </c>
      <c r="V30" s="671"/>
      <c r="W30" s="671"/>
      <c r="X30" s="671"/>
    </row>
    <row r="31" spans="2:24" s="36" customFormat="1" ht="12.75" customHeight="1" x14ac:dyDescent="0.2">
      <c r="B31" s="950"/>
      <c r="C31" s="951"/>
      <c r="D31" s="951"/>
      <c r="E31" s="951"/>
      <c r="F31" s="951"/>
      <c r="G31" s="952"/>
      <c r="H31" s="142"/>
      <c r="I31" s="1047"/>
      <c r="J31" s="1048"/>
      <c r="K31" s="1048"/>
      <c r="L31" s="1048"/>
      <c r="M31" s="1048"/>
      <c r="N31" s="1049"/>
      <c r="P31" s="1088"/>
      <c r="Q31" s="1089"/>
      <c r="R31" s="1089"/>
      <c r="S31" s="1090"/>
      <c r="U31" s="671"/>
      <c r="V31" s="671"/>
      <c r="W31" s="671"/>
      <c r="X31" s="671"/>
    </row>
    <row r="32" spans="2:24" s="36" customFormat="1" ht="12.75" customHeight="1" thickBot="1" x14ac:dyDescent="0.25">
      <c r="B32" s="953"/>
      <c r="C32" s="954"/>
      <c r="D32" s="954"/>
      <c r="E32" s="954"/>
      <c r="F32" s="954"/>
      <c r="G32" s="955"/>
      <c r="H32" s="142"/>
      <c r="I32" s="1050"/>
      <c r="J32" s="1051"/>
      <c r="K32" s="1051"/>
      <c r="L32" s="1051"/>
      <c r="M32" s="1051"/>
      <c r="N32" s="1052"/>
      <c r="P32" s="1091"/>
      <c r="Q32" s="1092"/>
      <c r="R32" s="1092"/>
      <c r="S32" s="1093"/>
      <c r="U32" s="671"/>
      <c r="V32" s="671"/>
      <c r="W32" s="671"/>
      <c r="X32" s="671"/>
    </row>
    <row r="33" spans="2:27" s="36" customFormat="1" ht="19.5" thickTop="1" thickBot="1" x14ac:dyDescent="0.25">
      <c r="B33" s="9" t="s">
        <v>33309</v>
      </c>
      <c r="C33" s="9"/>
      <c r="D33" s="9"/>
      <c r="E33" s="3"/>
      <c r="F33" s="88"/>
      <c r="G33" s="88"/>
      <c r="H33" s="88"/>
      <c r="I33" s="4"/>
      <c r="J33" s="4"/>
      <c r="K33" s="4"/>
      <c r="L33" s="4"/>
      <c r="M33" s="3"/>
      <c r="N33" s="88"/>
      <c r="O33" s="3"/>
      <c r="P33" s="88"/>
      <c r="Q33" s="88"/>
      <c r="R33" s="5"/>
      <c r="S33" s="5"/>
      <c r="T33" s="144"/>
      <c r="U33" s="671"/>
      <c r="V33" s="671"/>
      <c r="W33" s="671"/>
      <c r="X33" s="671"/>
    </row>
    <row r="34" spans="2:27" ht="21" customHeight="1" thickTop="1" x14ac:dyDescent="0.2">
      <c r="B34" s="635" t="s">
        <v>33796</v>
      </c>
      <c r="C34" s="636"/>
      <c r="D34" s="636"/>
      <c r="E34" s="636"/>
      <c r="F34" s="636"/>
      <c r="G34" s="636"/>
      <c r="H34" s="636"/>
      <c r="I34" s="636"/>
      <c r="J34" s="636"/>
      <c r="K34" s="636"/>
      <c r="L34" s="636"/>
      <c r="M34" s="636"/>
      <c r="N34" s="636"/>
      <c r="O34" s="636"/>
      <c r="P34" s="636"/>
      <c r="Q34" s="636"/>
      <c r="R34" s="636"/>
      <c r="S34" s="637"/>
      <c r="U34" s="36"/>
      <c r="V34" s="36"/>
      <c r="W34" s="36"/>
      <c r="X34" s="112"/>
    </row>
    <row r="35" spans="2:27" ht="38.25" customHeight="1" x14ac:dyDescent="0.2">
      <c r="B35" s="51" t="s">
        <v>688</v>
      </c>
      <c r="C35" s="428" t="s">
        <v>33805</v>
      </c>
      <c r="D35" s="428" t="s">
        <v>33806</v>
      </c>
      <c r="E35" s="428" t="s">
        <v>33062</v>
      </c>
      <c r="F35" s="436" t="s">
        <v>33063</v>
      </c>
      <c r="G35" s="428" t="s">
        <v>33807</v>
      </c>
      <c r="H35" s="991" t="s">
        <v>33065</v>
      </c>
      <c r="I35" s="992"/>
      <c r="J35" s="992"/>
      <c r="K35" s="992"/>
      <c r="L35" s="428" t="s">
        <v>33367</v>
      </c>
      <c r="M35" s="428" t="s">
        <v>33808</v>
      </c>
      <c r="N35" s="936" t="s">
        <v>33347</v>
      </c>
      <c r="O35" s="936"/>
      <c r="P35" s="936"/>
      <c r="Q35" s="684" t="s">
        <v>33346</v>
      </c>
      <c r="R35" s="685"/>
      <c r="S35" s="793"/>
      <c r="U35" s="36"/>
      <c r="V35" s="36"/>
      <c r="W35" s="36"/>
      <c r="Y35" s="105"/>
      <c r="Z35" s="35"/>
    </row>
    <row r="36" spans="2:27" ht="12.75" customHeight="1" x14ac:dyDescent="0.2">
      <c r="B36" s="364">
        <v>1</v>
      </c>
      <c r="C36" s="381"/>
      <c r="D36" s="382"/>
      <c r="E36" s="372"/>
      <c r="F36" s="437"/>
      <c r="G36" s="431"/>
      <c r="H36" s="987" t="str">
        <f>IF(ISERROR(VLOOKUP(Security!$F$36:$F$45,REF_LOCODE_PORTNAME_COUNTRY, 2,FALSE)),"-",VLOOKUP(Security!$F$36:$F$45,REF_LOCODE_PORTNAME_COUNTRY, 2,FALSE))</f>
        <v>-</v>
      </c>
      <c r="I36" s="988"/>
      <c r="J36" s="988"/>
      <c r="K36" s="988"/>
      <c r="L36" s="435"/>
      <c r="M36" s="432"/>
      <c r="N36" s="1095" t="s">
        <v>33348</v>
      </c>
      <c r="O36" s="1095"/>
      <c r="P36" s="1095"/>
      <c r="Q36" s="995"/>
      <c r="R36" s="995"/>
      <c r="S36" s="996"/>
      <c r="T36" s="136"/>
      <c r="U36" s="144"/>
      <c r="V36" s="6"/>
      <c r="W36" s="6"/>
      <c r="Y36" s="105"/>
      <c r="Z36" s="35"/>
    </row>
    <row r="37" spans="2:27" ht="12.75" customHeight="1" x14ac:dyDescent="0.2">
      <c r="B37" s="364">
        <v>2</v>
      </c>
      <c r="C37" s="381"/>
      <c r="D37" s="382"/>
      <c r="E37" s="372"/>
      <c r="F37" s="437"/>
      <c r="G37" s="431"/>
      <c r="H37" s="987" t="str">
        <f>IF(ISERROR(VLOOKUP(Security!$F$36:$F$45,REF_LOCODE_PORTNAME_COUNTRY, 2,FALSE)),"-",VLOOKUP(Security!$F$36:$F$45,REF_LOCODE_PORTNAME_COUNTRY, 2,FALSE))</f>
        <v>-</v>
      </c>
      <c r="I37" s="988"/>
      <c r="J37" s="988"/>
      <c r="K37" s="988"/>
      <c r="L37" s="435"/>
      <c r="M37" s="427"/>
      <c r="N37" s="937" t="s">
        <v>33348</v>
      </c>
      <c r="O37" s="937"/>
      <c r="P37" s="937"/>
      <c r="Q37" s="995"/>
      <c r="R37" s="995"/>
      <c r="S37" s="996"/>
      <c r="T37" s="136"/>
      <c r="W37" s="112"/>
      <c r="Y37" s="105"/>
      <c r="Z37" s="35"/>
      <c r="AA37" s="36"/>
    </row>
    <row r="38" spans="2:27" ht="12.75" customHeight="1" x14ac:dyDescent="0.2">
      <c r="B38" s="364">
        <v>3</v>
      </c>
      <c r="C38" s="381"/>
      <c r="D38" s="382"/>
      <c r="E38" s="372"/>
      <c r="F38" s="437"/>
      <c r="G38" s="431"/>
      <c r="H38" s="987" t="str">
        <f>IF(ISERROR(VLOOKUP(Security!$F$36:$F$45,REF_LOCODE_PORTNAME_COUNTRY, 2,FALSE)),"-",VLOOKUP(Security!$F$36:$F$45,REF_LOCODE_PORTNAME_COUNTRY, 2,FALSE))</f>
        <v>-</v>
      </c>
      <c r="I38" s="988"/>
      <c r="J38" s="988"/>
      <c r="K38" s="988"/>
      <c r="L38" s="434"/>
      <c r="M38" s="427"/>
      <c r="N38" s="937" t="s">
        <v>33348</v>
      </c>
      <c r="O38" s="937"/>
      <c r="P38" s="937"/>
      <c r="Q38" s="995"/>
      <c r="R38" s="995"/>
      <c r="S38" s="996"/>
      <c r="T38" s="136"/>
      <c r="U38" s="671" t="s">
        <v>691</v>
      </c>
      <c r="V38" s="671"/>
      <c r="W38" s="671"/>
      <c r="X38" s="671"/>
      <c r="Y38" s="105"/>
      <c r="Z38" s="35"/>
      <c r="AA38" s="36"/>
    </row>
    <row r="39" spans="2:27" x14ac:dyDescent="0.2">
      <c r="B39" s="364">
        <v>4</v>
      </c>
      <c r="C39" s="381"/>
      <c r="D39" s="382"/>
      <c r="E39" s="372"/>
      <c r="F39" s="437"/>
      <c r="G39" s="431"/>
      <c r="H39" s="987" t="str">
        <f>IF(ISERROR(VLOOKUP(Security!$F$36:$F$45,REF_LOCODE_PORTNAME_COUNTRY, 2,FALSE)),"-",VLOOKUP(Security!$F$36:$F$45,REF_LOCODE_PORTNAME_COUNTRY, 2,FALSE))</f>
        <v>-</v>
      </c>
      <c r="I39" s="988"/>
      <c r="J39" s="988"/>
      <c r="K39" s="988"/>
      <c r="L39" s="435"/>
      <c r="M39" s="427"/>
      <c r="N39" s="937" t="s">
        <v>33348</v>
      </c>
      <c r="O39" s="937"/>
      <c r="P39" s="937"/>
      <c r="Q39" s="995"/>
      <c r="R39" s="995"/>
      <c r="S39" s="996"/>
      <c r="T39" s="136"/>
      <c r="U39" s="671"/>
      <c r="V39" s="671"/>
      <c r="W39" s="671"/>
      <c r="X39" s="671"/>
      <c r="Y39" s="105"/>
      <c r="Z39" s="35"/>
      <c r="AA39" s="36"/>
    </row>
    <row r="40" spans="2:27" x14ac:dyDescent="0.2">
      <c r="B40" s="364">
        <v>5</v>
      </c>
      <c r="C40" s="381"/>
      <c r="D40" s="382"/>
      <c r="E40" s="372"/>
      <c r="F40" s="437"/>
      <c r="G40" s="431"/>
      <c r="H40" s="987" t="str">
        <f>IF(ISERROR(VLOOKUP(Security!$F$36:$F$45,REF_LOCODE_PORTNAME_COUNTRY, 2,FALSE)),"-",VLOOKUP(Security!$F$36:$F$45,REF_LOCODE_PORTNAME_COUNTRY, 2,FALSE))</f>
        <v>-</v>
      </c>
      <c r="I40" s="988"/>
      <c r="J40" s="988"/>
      <c r="K40" s="988"/>
      <c r="L40" s="435"/>
      <c r="M40" s="427"/>
      <c r="N40" s="937" t="s">
        <v>33348</v>
      </c>
      <c r="O40" s="937"/>
      <c r="P40" s="937"/>
      <c r="Q40" s="995"/>
      <c r="R40" s="995"/>
      <c r="S40" s="996"/>
      <c r="T40" s="136"/>
      <c r="U40" s="671"/>
      <c r="V40" s="671"/>
      <c r="W40" s="671"/>
      <c r="X40" s="671"/>
      <c r="Y40" s="127"/>
    </row>
    <row r="41" spans="2:27" x14ac:dyDescent="0.2">
      <c r="B41" s="364">
        <v>6</v>
      </c>
      <c r="C41" s="381"/>
      <c r="D41" s="382"/>
      <c r="E41" s="372"/>
      <c r="F41" s="437"/>
      <c r="G41" s="431"/>
      <c r="H41" s="987" t="str">
        <f>IF(ISERROR(VLOOKUP(Security!$F$36:$F$45,REF_LOCODE_PORTNAME_COUNTRY, 2,FALSE)),"-",VLOOKUP(Security!$F$36:$F$45,REF_LOCODE_PORTNAME_COUNTRY, 2,FALSE))</f>
        <v>-</v>
      </c>
      <c r="I41" s="988"/>
      <c r="J41" s="988"/>
      <c r="K41" s="988"/>
      <c r="L41" s="434"/>
      <c r="M41" s="427"/>
      <c r="N41" s="937" t="s">
        <v>33348</v>
      </c>
      <c r="O41" s="937"/>
      <c r="P41" s="937"/>
      <c r="Q41" s="995"/>
      <c r="R41" s="995"/>
      <c r="S41" s="996"/>
      <c r="T41" s="136"/>
      <c r="U41" s="671"/>
      <c r="V41" s="671"/>
      <c r="W41" s="671"/>
      <c r="X41" s="671"/>
      <c r="Y41" s="127"/>
    </row>
    <row r="42" spans="2:27" x14ac:dyDescent="0.2">
      <c r="B42" s="364">
        <v>7</v>
      </c>
      <c r="C42" s="381"/>
      <c r="D42" s="382"/>
      <c r="E42" s="372"/>
      <c r="F42" s="437"/>
      <c r="G42" s="431"/>
      <c r="H42" s="987" t="str">
        <f>IF(ISERROR(VLOOKUP(Security!$F$36:$F$45,REF_LOCODE_PORTNAME_COUNTRY, 2,FALSE)),"-",VLOOKUP(Security!$F$36:$F$45,REF_LOCODE_PORTNAME_COUNTRY, 2,FALSE))</f>
        <v>-</v>
      </c>
      <c r="I42" s="988"/>
      <c r="J42" s="988"/>
      <c r="K42" s="988"/>
      <c r="L42" s="434"/>
      <c r="M42" s="427"/>
      <c r="N42" s="937" t="s">
        <v>33348</v>
      </c>
      <c r="O42" s="937"/>
      <c r="P42" s="937"/>
      <c r="Q42" s="995"/>
      <c r="R42" s="995"/>
      <c r="S42" s="996"/>
      <c r="T42" s="136"/>
      <c r="U42" s="671"/>
      <c r="V42" s="671"/>
      <c r="W42" s="671"/>
      <c r="X42" s="671"/>
      <c r="Y42" s="127"/>
    </row>
    <row r="43" spans="2:27" x14ac:dyDescent="0.2">
      <c r="B43" s="364">
        <v>8</v>
      </c>
      <c r="C43" s="381"/>
      <c r="D43" s="382"/>
      <c r="E43" s="372"/>
      <c r="F43" s="437"/>
      <c r="G43" s="431"/>
      <c r="H43" s="987" t="str">
        <f>IF(ISERROR(VLOOKUP(Security!$F$36:$F$45,REF_LOCODE_PORTNAME_COUNTRY, 2,FALSE)),"-",VLOOKUP(Security!$F$36:$F$45,REF_LOCODE_PORTNAME_COUNTRY, 2,FALSE))</f>
        <v>-</v>
      </c>
      <c r="I43" s="988"/>
      <c r="J43" s="988"/>
      <c r="K43" s="988"/>
      <c r="L43" s="434"/>
      <c r="M43" s="427"/>
      <c r="N43" s="937" t="s">
        <v>33348</v>
      </c>
      <c r="O43" s="937"/>
      <c r="P43" s="937"/>
      <c r="Q43" s="995"/>
      <c r="R43" s="995"/>
      <c r="S43" s="996"/>
      <c r="T43" s="136"/>
      <c r="U43" s="671"/>
      <c r="V43" s="671"/>
      <c r="W43" s="671"/>
      <c r="X43" s="671"/>
      <c r="Y43" s="126"/>
    </row>
    <row r="44" spans="2:27" x14ac:dyDescent="0.2">
      <c r="B44" s="364">
        <v>9</v>
      </c>
      <c r="C44" s="381"/>
      <c r="D44" s="382"/>
      <c r="E44" s="372"/>
      <c r="F44" s="437"/>
      <c r="G44" s="431"/>
      <c r="H44" s="987" t="str">
        <f>IF(ISERROR(VLOOKUP(Security!$F$36:$F$45,REF_LOCODE_PORTNAME_COUNTRY, 2,FALSE)),"-",VLOOKUP(Security!$F$36:$F$45,REF_LOCODE_PORTNAME_COUNTRY, 2,FALSE))</f>
        <v>-</v>
      </c>
      <c r="I44" s="988"/>
      <c r="J44" s="988"/>
      <c r="K44" s="988"/>
      <c r="L44" s="434"/>
      <c r="M44" s="427"/>
      <c r="N44" s="937" t="s">
        <v>33348</v>
      </c>
      <c r="O44" s="937"/>
      <c r="P44" s="937"/>
      <c r="Q44" s="995"/>
      <c r="R44" s="995"/>
      <c r="S44" s="996"/>
      <c r="T44" s="136"/>
      <c r="U44" s="136"/>
      <c r="V44" s="136"/>
      <c r="Y44" s="126"/>
    </row>
    <row r="45" spans="2:27" ht="13.5" thickBot="1" x14ac:dyDescent="0.25">
      <c r="B45" s="365">
        <v>10</v>
      </c>
      <c r="C45" s="383"/>
      <c r="D45" s="384"/>
      <c r="E45" s="421"/>
      <c r="F45" s="438"/>
      <c r="G45" s="429"/>
      <c r="H45" s="989" t="str">
        <f>IF(ISERROR(VLOOKUP(Security!$F$36:$F$45,REF_LOCODE_PORTNAME_COUNTRY, 2,FALSE)),"-",VLOOKUP(Security!$F$36:$F$45,REF_LOCODE_PORTNAME_COUNTRY, 2,FALSE))</f>
        <v>-</v>
      </c>
      <c r="I45" s="990"/>
      <c r="J45" s="990"/>
      <c r="K45" s="990"/>
      <c r="L45" s="430"/>
      <c r="M45" s="433"/>
      <c r="N45" s="1034" t="s">
        <v>33348</v>
      </c>
      <c r="O45" s="1034"/>
      <c r="P45" s="1034"/>
      <c r="Q45" s="1030"/>
      <c r="R45" s="1030"/>
      <c r="S45" s="1031"/>
      <c r="T45" s="136"/>
      <c r="U45" s="136"/>
      <c r="V45" s="136"/>
      <c r="Y45" s="126"/>
    </row>
    <row r="46" spans="2:27" ht="19.5" customHeight="1" thickTop="1" thickBot="1" x14ac:dyDescent="0.25">
      <c r="B46" s="9"/>
      <c r="C46" s="66"/>
      <c r="D46" s="66"/>
      <c r="E46" s="93"/>
      <c r="F46" s="93"/>
      <c r="G46" s="93"/>
      <c r="H46" s="93"/>
      <c r="I46" s="91"/>
      <c r="J46" s="91"/>
      <c r="K46" s="91"/>
      <c r="L46" s="91"/>
      <c r="M46" s="92"/>
      <c r="N46" s="113"/>
      <c r="O46" s="114"/>
      <c r="P46" s="114"/>
      <c r="Q46" s="114"/>
      <c r="R46" s="115"/>
      <c r="S46" s="115"/>
      <c r="T46" s="145"/>
      <c r="U46" s="136"/>
      <c r="V46" s="136"/>
      <c r="X46" s="92"/>
      <c r="Y46" s="36"/>
    </row>
    <row r="47" spans="2:27" ht="21" customHeight="1" thickTop="1" x14ac:dyDescent="0.2">
      <c r="B47" s="656" t="s">
        <v>33364</v>
      </c>
      <c r="C47" s="656"/>
      <c r="D47" s="656"/>
      <c r="E47" s="656"/>
      <c r="F47" s="656"/>
      <c r="G47" s="656"/>
      <c r="H47" s="656"/>
      <c r="I47" s="656"/>
      <c r="J47" s="656"/>
      <c r="K47" s="656"/>
      <c r="L47" s="656"/>
      <c r="M47" s="656"/>
      <c r="N47" s="656"/>
      <c r="O47" s="656"/>
      <c r="P47" s="656"/>
      <c r="Q47" s="656"/>
      <c r="R47" s="656"/>
      <c r="S47" s="656"/>
      <c r="T47" s="112"/>
      <c r="U47" s="136"/>
      <c r="V47" s="136"/>
      <c r="X47" s="112"/>
      <c r="Y47" s="36"/>
    </row>
    <row r="48" spans="2:27" s="354" customFormat="1" x14ac:dyDescent="0.2">
      <c r="B48" s="1078" t="s">
        <v>687</v>
      </c>
      <c r="C48" s="1077" t="s">
        <v>33802</v>
      </c>
      <c r="D48" s="1077" t="s">
        <v>33803</v>
      </c>
      <c r="E48" s="1102" t="s">
        <v>33809</v>
      </c>
      <c r="F48" s="1103"/>
      <c r="G48" s="1103"/>
      <c r="H48" s="1103"/>
      <c r="I48" s="1103"/>
      <c r="J48" s="684" t="s">
        <v>33804</v>
      </c>
      <c r="K48" s="685"/>
      <c r="L48" s="810"/>
      <c r="M48" s="685" t="s">
        <v>33349</v>
      </c>
      <c r="N48" s="1032"/>
      <c r="O48" s="685" t="s">
        <v>32762</v>
      </c>
      <c r="P48" s="685"/>
      <c r="Q48" s="685"/>
      <c r="R48" s="685"/>
      <c r="S48" s="793"/>
      <c r="T48" s="31"/>
      <c r="U48" s="136"/>
      <c r="V48" s="136"/>
      <c r="W48" s="3"/>
      <c r="X48" s="171"/>
    </row>
    <row r="49" spans="1:24" ht="43.5" customHeight="1" x14ac:dyDescent="0.2">
      <c r="B49" s="1079"/>
      <c r="C49" s="936"/>
      <c r="D49" s="936"/>
      <c r="E49" s="370" t="s">
        <v>33334</v>
      </c>
      <c r="F49" s="371" t="s">
        <v>13</v>
      </c>
      <c r="G49" s="1080" t="s">
        <v>65</v>
      </c>
      <c r="H49" s="1081"/>
      <c r="I49" s="1082"/>
      <c r="J49" s="991"/>
      <c r="K49" s="992"/>
      <c r="L49" s="993"/>
      <c r="M49" s="992"/>
      <c r="N49" s="1033"/>
      <c r="O49" s="1028"/>
      <c r="P49" s="1028"/>
      <c r="Q49" s="1028"/>
      <c r="R49" s="1028"/>
      <c r="S49" s="1029"/>
      <c r="T49" s="31"/>
      <c r="U49" s="145"/>
      <c r="V49" s="146"/>
      <c r="W49" s="146"/>
    </row>
    <row r="50" spans="1:24" x14ac:dyDescent="0.2">
      <c r="B50" s="366">
        <v>1</v>
      </c>
      <c r="C50" s="385"/>
      <c r="D50" s="386"/>
      <c r="E50" s="369"/>
      <c r="F50" s="151"/>
      <c r="G50" s="997"/>
      <c r="H50" s="997"/>
      <c r="I50" s="997"/>
      <c r="J50" s="1073"/>
      <c r="K50" s="1073"/>
      <c r="L50" s="1073"/>
      <c r="M50" s="1075" t="s">
        <v>33348</v>
      </c>
      <c r="N50" s="1076"/>
      <c r="O50" s="1067"/>
      <c r="P50" s="1068"/>
      <c r="Q50" s="1068"/>
      <c r="R50" s="1068"/>
      <c r="S50" s="1069"/>
      <c r="T50" s="31"/>
      <c r="U50" s="671" t="s">
        <v>693</v>
      </c>
      <c r="V50" s="671"/>
      <c r="W50" s="671"/>
      <c r="X50" s="671"/>
    </row>
    <row r="51" spans="1:24" ht="12.75" customHeight="1" x14ac:dyDescent="0.2">
      <c r="B51" s="366">
        <v>2</v>
      </c>
      <c r="C51" s="381"/>
      <c r="D51" s="387"/>
      <c r="E51" s="134"/>
      <c r="F51" s="249"/>
      <c r="G51" s="994"/>
      <c r="H51" s="994"/>
      <c r="I51" s="994"/>
      <c r="J51" s="1065"/>
      <c r="K51" s="1065"/>
      <c r="L51" s="1065"/>
      <c r="M51" s="1061" t="s">
        <v>33348</v>
      </c>
      <c r="N51" s="1062"/>
      <c r="O51" s="998"/>
      <c r="P51" s="999"/>
      <c r="Q51" s="999"/>
      <c r="R51" s="999"/>
      <c r="S51" s="1000"/>
      <c r="U51" s="671"/>
      <c r="V51" s="671"/>
      <c r="W51" s="671"/>
      <c r="X51" s="671"/>
    </row>
    <row r="52" spans="1:24" x14ac:dyDescent="0.2">
      <c r="B52" s="366">
        <v>3</v>
      </c>
      <c r="C52" s="381"/>
      <c r="D52" s="387"/>
      <c r="E52" s="134"/>
      <c r="F52" s="249"/>
      <c r="G52" s="994"/>
      <c r="H52" s="994"/>
      <c r="I52" s="994"/>
      <c r="J52" s="1065"/>
      <c r="K52" s="1065"/>
      <c r="L52" s="1065"/>
      <c r="M52" s="1061" t="s">
        <v>33348</v>
      </c>
      <c r="N52" s="1062"/>
      <c r="O52" s="998"/>
      <c r="P52" s="999"/>
      <c r="Q52" s="999"/>
      <c r="R52" s="999"/>
      <c r="S52" s="1000"/>
      <c r="T52" s="136"/>
      <c r="U52" s="671"/>
      <c r="V52" s="671"/>
      <c r="W52" s="671"/>
      <c r="X52" s="671"/>
    </row>
    <row r="53" spans="1:24" ht="12.75" customHeight="1" x14ac:dyDescent="0.2">
      <c r="B53" s="366">
        <v>4</v>
      </c>
      <c r="C53" s="381"/>
      <c r="D53" s="387"/>
      <c r="E53" s="134"/>
      <c r="F53" s="249"/>
      <c r="G53" s="994"/>
      <c r="H53" s="994"/>
      <c r="I53" s="994"/>
      <c r="J53" s="1065"/>
      <c r="K53" s="1065"/>
      <c r="L53" s="1065"/>
      <c r="M53" s="1061" t="s">
        <v>33348</v>
      </c>
      <c r="N53" s="1062"/>
      <c r="O53" s="998"/>
      <c r="P53" s="999"/>
      <c r="Q53" s="999"/>
      <c r="R53" s="999"/>
      <c r="S53" s="1000"/>
      <c r="T53" s="136"/>
      <c r="U53" s="671"/>
      <c r="V53" s="671"/>
      <c r="W53" s="671"/>
      <c r="X53" s="671"/>
    </row>
    <row r="54" spans="1:24" ht="12.75" customHeight="1" x14ac:dyDescent="0.2">
      <c r="B54" s="366">
        <v>5</v>
      </c>
      <c r="C54" s="381"/>
      <c r="D54" s="387"/>
      <c r="E54" s="134"/>
      <c r="F54" s="249"/>
      <c r="G54" s="994"/>
      <c r="H54" s="994"/>
      <c r="I54" s="994"/>
      <c r="J54" s="1065"/>
      <c r="K54" s="1065"/>
      <c r="L54" s="1065"/>
      <c r="M54" s="1061" t="s">
        <v>33348</v>
      </c>
      <c r="N54" s="1062"/>
      <c r="O54" s="998"/>
      <c r="P54" s="999"/>
      <c r="Q54" s="999"/>
      <c r="R54" s="999"/>
      <c r="S54" s="1000"/>
      <c r="T54" s="136"/>
      <c r="U54" s="489"/>
      <c r="V54" s="489"/>
      <c r="W54" s="489"/>
      <c r="X54" s="136"/>
    </row>
    <row r="55" spans="1:24" x14ac:dyDescent="0.2">
      <c r="B55" s="366">
        <v>6</v>
      </c>
      <c r="C55" s="381"/>
      <c r="D55" s="387"/>
      <c r="E55" s="134"/>
      <c r="F55" s="249"/>
      <c r="G55" s="994"/>
      <c r="H55" s="994"/>
      <c r="I55" s="994"/>
      <c r="J55" s="1065"/>
      <c r="K55" s="1065"/>
      <c r="L55" s="1065"/>
      <c r="M55" s="1061" t="s">
        <v>33348</v>
      </c>
      <c r="N55" s="1062"/>
      <c r="O55" s="998"/>
      <c r="P55" s="999"/>
      <c r="Q55" s="999"/>
      <c r="R55" s="999"/>
      <c r="S55" s="1000"/>
      <c r="T55" s="136"/>
      <c r="X55" s="136"/>
    </row>
    <row r="56" spans="1:24" x14ac:dyDescent="0.2">
      <c r="B56" s="366">
        <v>7</v>
      </c>
      <c r="C56" s="381"/>
      <c r="D56" s="387"/>
      <c r="E56" s="134"/>
      <c r="F56" s="249"/>
      <c r="G56" s="994"/>
      <c r="H56" s="994"/>
      <c r="I56" s="994"/>
      <c r="J56" s="1065"/>
      <c r="K56" s="1065"/>
      <c r="L56" s="1065"/>
      <c r="M56" s="1061" t="s">
        <v>33348</v>
      </c>
      <c r="N56" s="1062"/>
      <c r="O56" s="998"/>
      <c r="P56" s="999"/>
      <c r="Q56" s="999"/>
      <c r="R56" s="999"/>
      <c r="S56" s="1000"/>
      <c r="T56" s="136"/>
      <c r="X56" s="136"/>
    </row>
    <row r="57" spans="1:24" x14ac:dyDescent="0.2">
      <c r="B57" s="366">
        <v>8</v>
      </c>
      <c r="C57" s="381"/>
      <c r="D57" s="387"/>
      <c r="E57" s="134"/>
      <c r="F57" s="249"/>
      <c r="G57" s="994"/>
      <c r="H57" s="994"/>
      <c r="I57" s="994"/>
      <c r="J57" s="1065"/>
      <c r="K57" s="1065"/>
      <c r="L57" s="1065"/>
      <c r="M57" s="1061" t="s">
        <v>33348</v>
      </c>
      <c r="N57" s="1062"/>
      <c r="O57" s="998"/>
      <c r="P57" s="999"/>
      <c r="Q57" s="999"/>
      <c r="R57" s="999"/>
      <c r="S57" s="1000"/>
      <c r="T57" s="31"/>
    </row>
    <row r="58" spans="1:24" x14ac:dyDescent="0.2">
      <c r="B58" s="366">
        <v>9</v>
      </c>
      <c r="C58" s="381"/>
      <c r="D58" s="387"/>
      <c r="E58" s="134"/>
      <c r="F58" s="249"/>
      <c r="G58" s="994"/>
      <c r="H58" s="994"/>
      <c r="I58" s="994"/>
      <c r="J58" s="1065"/>
      <c r="K58" s="1065"/>
      <c r="L58" s="1065"/>
      <c r="M58" s="1061" t="s">
        <v>33348</v>
      </c>
      <c r="N58" s="1062"/>
      <c r="O58" s="998"/>
      <c r="P58" s="999"/>
      <c r="Q58" s="999"/>
      <c r="R58" s="999"/>
      <c r="S58" s="1000"/>
      <c r="T58" s="31"/>
    </row>
    <row r="59" spans="1:24" ht="13.5" thickBot="1" x14ac:dyDescent="0.25">
      <c r="B59" s="367">
        <v>10</v>
      </c>
      <c r="C59" s="383"/>
      <c r="D59" s="388"/>
      <c r="E59" s="135"/>
      <c r="F59" s="251"/>
      <c r="G59" s="1074"/>
      <c r="H59" s="1074"/>
      <c r="I59" s="1074"/>
      <c r="J59" s="1066"/>
      <c r="K59" s="1066"/>
      <c r="L59" s="1066"/>
      <c r="M59" s="1063" t="s">
        <v>33348</v>
      </c>
      <c r="N59" s="1064"/>
      <c r="O59" s="1070"/>
      <c r="P59" s="1071"/>
      <c r="Q59" s="1071"/>
      <c r="R59" s="1071"/>
      <c r="S59" s="1072"/>
      <c r="T59" s="31"/>
      <c r="U59" s="137"/>
      <c r="V59" s="137"/>
      <c r="W59" s="31"/>
    </row>
    <row r="60" spans="1:24" ht="10.5" customHeight="1" thickTop="1" x14ac:dyDescent="0.2">
      <c r="B60" s="671" t="s">
        <v>692</v>
      </c>
      <c r="C60" s="671"/>
      <c r="D60" s="671"/>
      <c r="E60" s="671"/>
      <c r="F60" s="671"/>
      <c r="G60" s="671"/>
      <c r="H60" s="671"/>
      <c r="I60" s="671"/>
      <c r="J60" s="671"/>
      <c r="K60" s="671"/>
      <c r="L60" s="671"/>
      <c r="M60" s="671"/>
      <c r="N60" s="671"/>
      <c r="O60" s="671"/>
      <c r="P60" s="671"/>
      <c r="Q60" s="671"/>
      <c r="R60" s="671"/>
      <c r="S60" s="125"/>
      <c r="T60" s="106"/>
    </row>
    <row r="61" spans="1:24" ht="12.75" customHeight="1" x14ac:dyDescent="0.2">
      <c r="B61" s="1087"/>
      <c r="C61" s="1087"/>
      <c r="D61" s="1087"/>
      <c r="E61" s="1087"/>
      <c r="F61" s="1087"/>
      <c r="G61" s="1087"/>
      <c r="H61" s="1087"/>
      <c r="I61" s="1087"/>
      <c r="J61" s="1087"/>
      <c r="K61" s="1087"/>
      <c r="L61" s="1087"/>
      <c r="M61" s="1087"/>
      <c r="N61" s="1087"/>
      <c r="O61" s="1087"/>
      <c r="P61" s="1087"/>
      <c r="Q61" s="1087"/>
      <c r="R61" s="1087"/>
      <c r="S61" s="116"/>
      <c r="T61" s="101"/>
    </row>
    <row r="62" spans="1:24" ht="2.25" customHeight="1" x14ac:dyDescent="0.2">
      <c r="B62" s="1087"/>
      <c r="C62" s="1087"/>
      <c r="D62" s="1087"/>
      <c r="E62" s="1087"/>
      <c r="F62" s="1087"/>
      <c r="G62" s="1087"/>
      <c r="H62" s="1087"/>
      <c r="I62" s="1087"/>
      <c r="J62" s="1087"/>
      <c r="K62" s="1087"/>
      <c r="L62" s="1087"/>
      <c r="M62" s="1087"/>
      <c r="N62" s="1087"/>
      <c r="O62" s="1087"/>
      <c r="P62" s="1087"/>
      <c r="Q62" s="1087"/>
      <c r="R62" s="1087"/>
      <c r="S62" s="116"/>
      <c r="T62" s="101"/>
    </row>
    <row r="63" spans="1:24" ht="3" hidden="1" customHeight="1" x14ac:dyDescent="0.2">
      <c r="B63" s="1087"/>
      <c r="C63" s="1087"/>
      <c r="D63" s="1087"/>
      <c r="E63" s="1087"/>
      <c r="F63" s="1087"/>
      <c r="G63" s="1087"/>
      <c r="H63" s="1087"/>
      <c r="I63" s="1087"/>
      <c r="J63" s="1087"/>
      <c r="K63" s="1087"/>
      <c r="L63" s="1087"/>
      <c r="M63" s="1087"/>
      <c r="N63" s="1087"/>
      <c r="O63" s="1087"/>
      <c r="P63" s="1087"/>
      <c r="Q63" s="1087"/>
      <c r="R63" s="1087"/>
      <c r="S63" s="116"/>
      <c r="T63" s="101"/>
    </row>
    <row r="64" spans="1:24" ht="1.5" customHeight="1" x14ac:dyDescent="0.2">
      <c r="A64" s="35"/>
      <c r="B64" s="102" t="s">
        <v>33823</v>
      </c>
      <c r="C64" s="102" t="s">
        <v>37202</v>
      </c>
      <c r="D64" s="102"/>
      <c r="E64" s="102"/>
      <c r="F64" s="102"/>
      <c r="G64" s="102"/>
      <c r="H64" s="102"/>
      <c r="I64" s="102"/>
      <c r="J64" s="102"/>
      <c r="K64" s="102"/>
      <c r="L64" s="102"/>
      <c r="M64" s="102"/>
      <c r="N64" s="102"/>
      <c r="O64" s="101"/>
      <c r="P64" s="101"/>
      <c r="Q64" s="101"/>
      <c r="R64" s="1"/>
      <c r="S64" s="1"/>
    </row>
    <row r="65" spans="1:24" x14ac:dyDescent="0.2">
      <c r="A65" s="35"/>
      <c r="B65" s="1"/>
      <c r="C65" s="1"/>
      <c r="D65" s="1"/>
      <c r="E65" s="1"/>
      <c r="F65" s="1"/>
      <c r="G65" s="1"/>
      <c r="H65" s="1"/>
      <c r="I65" s="1"/>
      <c r="J65" s="1"/>
      <c r="K65" s="1"/>
      <c r="L65" s="1"/>
      <c r="M65" s="1"/>
      <c r="N65" s="1"/>
      <c r="O65" s="1"/>
      <c r="P65" s="1"/>
      <c r="Q65" s="1"/>
      <c r="R65" s="1"/>
      <c r="S65" s="1"/>
    </row>
    <row r="66" spans="1:24" x14ac:dyDescent="0.2">
      <c r="A66" s="35"/>
      <c r="B66" s="102"/>
      <c r="C66" s="102"/>
      <c r="D66" s="102"/>
      <c r="E66" s="102"/>
      <c r="F66" s="102"/>
      <c r="G66" s="102"/>
      <c r="H66" s="102"/>
      <c r="I66" s="102"/>
      <c r="J66" s="102"/>
      <c r="K66" s="102"/>
      <c r="L66" s="102"/>
      <c r="M66" s="102"/>
      <c r="N66" s="102"/>
      <c r="O66" s="102"/>
      <c r="P66" s="102"/>
      <c r="Q66" s="102"/>
      <c r="R66" s="1"/>
      <c r="S66" s="1"/>
      <c r="U66" s="1"/>
      <c r="V66" s="1"/>
      <c r="W66" s="97"/>
      <c r="X66" s="97"/>
    </row>
    <row r="67" spans="1:24" x14ac:dyDescent="0.2">
      <c r="A67" s="35"/>
      <c r="B67" s="35"/>
      <c r="C67" s="35"/>
      <c r="D67" s="35"/>
      <c r="E67" s="35"/>
      <c r="F67" s="35"/>
      <c r="G67" s="35"/>
      <c r="H67" s="35"/>
      <c r="I67" s="35"/>
      <c r="J67" s="35"/>
      <c r="K67" s="35"/>
      <c r="L67" s="35"/>
      <c r="M67" s="1"/>
      <c r="N67" s="1"/>
      <c r="O67" s="1"/>
      <c r="P67" s="1"/>
      <c r="Q67" s="1"/>
      <c r="R67" s="1"/>
      <c r="S67" s="1"/>
      <c r="U67" s="1"/>
      <c r="V67" s="1"/>
      <c r="W67" s="97"/>
      <c r="X67" s="97"/>
    </row>
    <row r="68" spans="1:24" x14ac:dyDescent="0.2">
      <c r="A68" s="35"/>
      <c r="B68" s="1"/>
      <c r="C68" s="1"/>
      <c r="D68" s="1"/>
      <c r="E68" s="1"/>
      <c r="F68" s="1"/>
      <c r="G68" s="1"/>
      <c r="H68" s="1"/>
      <c r="I68" s="1"/>
      <c r="J68" s="1"/>
      <c r="K68" s="1"/>
      <c r="L68" s="1"/>
      <c r="M68" s="1"/>
      <c r="N68" s="1"/>
      <c r="O68" s="1"/>
      <c r="P68" s="1"/>
      <c r="Q68" s="1"/>
      <c r="R68" s="1"/>
      <c r="S68" s="1"/>
      <c r="U68" s="1"/>
      <c r="V68" s="1"/>
      <c r="W68" s="97"/>
      <c r="X68" s="97"/>
    </row>
    <row r="69" spans="1:24" x14ac:dyDescent="0.2">
      <c r="U69" s="1"/>
      <c r="V69" s="1"/>
      <c r="W69" s="97"/>
      <c r="X69" s="97"/>
    </row>
    <row r="70" spans="1:24" x14ac:dyDescent="0.2">
      <c r="U70" s="1"/>
      <c r="V70" s="1"/>
      <c r="W70" s="97"/>
      <c r="X70" s="97"/>
    </row>
    <row r="71" spans="1:24" x14ac:dyDescent="0.2">
      <c r="U71" s="1"/>
      <c r="V71" s="1"/>
      <c r="W71" s="1"/>
      <c r="X71" s="1"/>
    </row>
    <row r="73" spans="1:24" x14ac:dyDescent="0.2">
      <c r="B73"/>
      <c r="C73" s="35"/>
      <c r="D73" s="35"/>
      <c r="E73"/>
      <c r="F73" s="35"/>
      <c r="G73" s="35"/>
      <c r="H73" s="35"/>
    </row>
  </sheetData>
  <sheetProtection algorithmName="SHA-512" hashValue="g1E630ZiG5InpSOznbMNNx++ugrUrHXm3dq3+/3oT+5UIwqgDVYlPgD2JKyv58Uryg9OFirMDU9BpTnug0NpAQ==" saltValue="bf5cvRTuCTTpOjCiRfUfUA==" spinCount="100000" sheet="1" formatCells="0" formatColumns="0" formatRows="0" selectLockedCells="1"/>
  <dataConsolidate link="1"/>
  <mergeCells count="170">
    <mergeCell ref="U12:X12"/>
    <mergeCell ref="U13:X14"/>
    <mergeCell ref="U15:X15"/>
    <mergeCell ref="L13:N13"/>
    <mergeCell ref="L14:N14"/>
    <mergeCell ref="L15:N15"/>
    <mergeCell ref="B60:R63"/>
    <mergeCell ref="B20:E20"/>
    <mergeCell ref="E10:G10"/>
    <mergeCell ref="I29:N32"/>
    <mergeCell ref="P29:S32"/>
    <mergeCell ref="B13:D13"/>
    <mergeCell ref="B14:D14"/>
    <mergeCell ref="B15:D15"/>
    <mergeCell ref="B16:D16"/>
    <mergeCell ref="B17:D17"/>
    <mergeCell ref="B18:D18"/>
    <mergeCell ref="N40:P40"/>
    <mergeCell ref="N41:P41"/>
    <mergeCell ref="N36:P36"/>
    <mergeCell ref="I8:J10"/>
    <mergeCell ref="B24:D24"/>
    <mergeCell ref="E48:I48"/>
    <mergeCell ref="E8:G8"/>
    <mergeCell ref="O54:S54"/>
    <mergeCell ref="O55:S55"/>
    <mergeCell ref="O56:S56"/>
    <mergeCell ref="O57:S57"/>
    <mergeCell ref="Q40:S40"/>
    <mergeCell ref="B34:S34"/>
    <mergeCell ref="B26:G27"/>
    <mergeCell ref="E28:G28"/>
    <mergeCell ref="M57:N57"/>
    <mergeCell ref="J54:L54"/>
    <mergeCell ref="J53:L53"/>
    <mergeCell ref="M53:N53"/>
    <mergeCell ref="M54:N54"/>
    <mergeCell ref="M55:N55"/>
    <mergeCell ref="M56:N56"/>
    <mergeCell ref="C48:C49"/>
    <mergeCell ref="B47:S47"/>
    <mergeCell ref="Q36:S36"/>
    <mergeCell ref="Q37:S37"/>
    <mergeCell ref="B48:B49"/>
    <mergeCell ref="H43:K43"/>
    <mergeCell ref="D48:D49"/>
    <mergeCell ref="G49:I49"/>
    <mergeCell ref="M52:N52"/>
    <mergeCell ref="M58:N58"/>
    <mergeCell ref="G57:I57"/>
    <mergeCell ref="N38:P38"/>
    <mergeCell ref="N39:P39"/>
    <mergeCell ref="O51:S51"/>
    <mergeCell ref="M59:N59"/>
    <mergeCell ref="J58:L58"/>
    <mergeCell ref="J59:L59"/>
    <mergeCell ref="J57:L57"/>
    <mergeCell ref="O58:S58"/>
    <mergeCell ref="O50:S50"/>
    <mergeCell ref="O59:S59"/>
    <mergeCell ref="J50:L50"/>
    <mergeCell ref="G58:I58"/>
    <mergeCell ref="G59:I59"/>
    <mergeCell ref="J55:L55"/>
    <mergeCell ref="J56:L56"/>
    <mergeCell ref="G55:I55"/>
    <mergeCell ref="J51:L51"/>
    <mergeCell ref="M50:N50"/>
    <mergeCell ref="M51:N51"/>
    <mergeCell ref="J52:L52"/>
    <mergeCell ref="G56:I56"/>
    <mergeCell ref="G54:I54"/>
    <mergeCell ref="L2:M2"/>
    <mergeCell ref="H35:K35"/>
    <mergeCell ref="H36:K36"/>
    <mergeCell ref="H37:K37"/>
    <mergeCell ref="Q39:S39"/>
    <mergeCell ref="L23:N23"/>
    <mergeCell ref="L26:N26"/>
    <mergeCell ref="L27:N27"/>
    <mergeCell ref="L28:N28"/>
    <mergeCell ref="H38:K38"/>
    <mergeCell ref="H39:K39"/>
    <mergeCell ref="P5:S5"/>
    <mergeCell ref="P12:S12"/>
    <mergeCell ref="P20:S20"/>
    <mergeCell ref="P27:S28"/>
    <mergeCell ref="I20:N20"/>
    <mergeCell ref="L22:N22"/>
    <mergeCell ref="L6:N6"/>
    <mergeCell ref="P23:S25"/>
    <mergeCell ref="L19:N19"/>
    <mergeCell ref="I17:N18"/>
    <mergeCell ref="L24:N25"/>
    <mergeCell ref="I6:K6"/>
    <mergeCell ref="I7:K7"/>
    <mergeCell ref="E17:G17"/>
    <mergeCell ref="E21:G21"/>
    <mergeCell ref="I16:K16"/>
    <mergeCell ref="Q42:S42"/>
    <mergeCell ref="O48:S49"/>
    <mergeCell ref="Q41:S41"/>
    <mergeCell ref="Q43:S43"/>
    <mergeCell ref="Q44:S44"/>
    <mergeCell ref="Q45:S45"/>
    <mergeCell ref="M48:N49"/>
    <mergeCell ref="N43:P43"/>
    <mergeCell ref="N44:P44"/>
    <mergeCell ref="N45:P45"/>
    <mergeCell ref="E7:G7"/>
    <mergeCell ref="E9:G9"/>
    <mergeCell ref="E13:G13"/>
    <mergeCell ref="E14:G14"/>
    <mergeCell ref="E15:G15"/>
    <mergeCell ref="E16:G16"/>
    <mergeCell ref="B12:E12"/>
    <mergeCell ref="I13:K13"/>
    <mergeCell ref="I14:K14"/>
    <mergeCell ref="I15:K15"/>
    <mergeCell ref="U38:X43"/>
    <mergeCell ref="U50:X53"/>
    <mergeCell ref="H44:K44"/>
    <mergeCell ref="H45:K45"/>
    <mergeCell ref="H40:K40"/>
    <mergeCell ref="H41:K41"/>
    <mergeCell ref="J48:L49"/>
    <mergeCell ref="G53:I53"/>
    <mergeCell ref="G52:I52"/>
    <mergeCell ref="N42:P42"/>
    <mergeCell ref="Q38:S38"/>
    <mergeCell ref="H42:K42"/>
    <mergeCell ref="G50:I50"/>
    <mergeCell ref="O52:S52"/>
    <mergeCell ref="G51:I51"/>
    <mergeCell ref="O53:S53"/>
    <mergeCell ref="U30:X33"/>
    <mergeCell ref="B30:G32"/>
    <mergeCell ref="B28:D28"/>
    <mergeCell ref="U16:X27"/>
    <mergeCell ref="I24:K25"/>
    <mergeCell ref="I26:K26"/>
    <mergeCell ref="U5:X5"/>
    <mergeCell ref="U6:U7"/>
    <mergeCell ref="V8:X8"/>
    <mergeCell ref="V9:X9"/>
    <mergeCell ref="L16:N16"/>
    <mergeCell ref="I21:K21"/>
    <mergeCell ref="P15:S15"/>
    <mergeCell ref="B5:E5"/>
    <mergeCell ref="I12:N12"/>
    <mergeCell ref="I5:N5"/>
    <mergeCell ref="P16:S18"/>
    <mergeCell ref="L7:N7"/>
    <mergeCell ref="L8:N8"/>
    <mergeCell ref="L9:N9"/>
    <mergeCell ref="L10:N10"/>
    <mergeCell ref="E18:G18"/>
    <mergeCell ref="B6:B9"/>
    <mergeCell ref="E6:G6"/>
    <mergeCell ref="B22:D22"/>
    <mergeCell ref="B23:D23"/>
    <mergeCell ref="B21:D21"/>
    <mergeCell ref="B29:G29"/>
    <mergeCell ref="Q35:S35"/>
    <mergeCell ref="N35:P35"/>
    <mergeCell ref="N37:P37"/>
    <mergeCell ref="E22:G22"/>
    <mergeCell ref="E23:G23"/>
    <mergeCell ref="L21:N21"/>
    <mergeCell ref="E24:G24"/>
  </mergeCells>
  <conditionalFormatting sqref="P23">
    <cfRule type="expression" dxfId="24" priority="100">
      <formula>$S$21="Yes"</formula>
    </cfRule>
  </conditionalFormatting>
  <conditionalFormatting sqref="L13">
    <cfRule type="expression" dxfId="23" priority="88">
      <formula>AND(SEC_AGENT_NAME="",OR(SEC_AGENT_PHONE&lt;&gt;"",SEC_AGENT_FAX&lt;&gt;"",SEC_AGENT_EMAIL&lt;&gt;""))</formula>
    </cfRule>
    <cfRule type="expression" dxfId="22" priority="94">
      <formula>AND(OR(SEC_AGENT_PHONE&lt;&gt;"",SEC_AGENT_FAX&lt;&gt;"",SEC_AGENT_EMAIL&lt;&gt;""),SEC_AGENT_NAME="")</formula>
    </cfRule>
  </conditionalFormatting>
  <conditionalFormatting sqref="L14:L16">
    <cfRule type="expression" dxfId="21" priority="87">
      <formula>AND(SEC_AGENT_NAME&lt;&gt;"",SEC_AGENT_PHONE="",SEC_AGENT_FAX="",SEC_AGENT_EMAIL="")</formula>
    </cfRule>
  </conditionalFormatting>
  <conditionalFormatting sqref="I24">
    <cfRule type="expression" dxfId="20" priority="85">
      <formula>AND(SEC_ISSC_ISVALID="TRUE")</formula>
    </cfRule>
  </conditionalFormatting>
  <conditionalFormatting sqref="Q36:Q45">
    <cfRule type="expression" dxfId="19" priority="438">
      <formula>$N36="Yes"</formula>
    </cfRule>
  </conditionalFormatting>
  <conditionalFormatting sqref="I29:N32">
    <cfRule type="expression" dxfId="18" priority="33">
      <formula>$L$27="FALSE"</formula>
    </cfRule>
  </conditionalFormatting>
  <conditionalFormatting sqref="V11">
    <cfRule type="containsErrors" dxfId="17" priority="31">
      <formula>ISERROR(V11)</formula>
    </cfRule>
  </conditionalFormatting>
  <conditionalFormatting sqref="L2">
    <cfRule type="expression" dxfId="16" priority="18">
      <formula>SEC_STATUS="Invalid"</formula>
    </cfRule>
    <cfRule type="expression" dxfId="15" priority="19">
      <formula>SEC_STATUS="VALID"</formula>
    </cfRule>
  </conditionalFormatting>
  <conditionalFormatting sqref="V8">
    <cfRule type="containsErrors" dxfId="14" priority="14">
      <formula>ISERROR(V8)</formula>
    </cfRule>
  </conditionalFormatting>
  <conditionalFormatting sqref="V9">
    <cfRule type="containsErrors" dxfId="13" priority="13">
      <formula>ISERROR(V9)</formula>
    </cfRule>
  </conditionalFormatting>
  <conditionalFormatting sqref="I28:N28">
    <cfRule type="expression" dxfId="12" priority="16">
      <formula>AND(SEC_ISSC_ISVALID="FALSE",SEC_ISSC_REASON="")</formula>
    </cfRule>
  </conditionalFormatting>
  <conditionalFormatting sqref="I21:K21">
    <cfRule type="expression" dxfId="11" priority="12">
      <formula>AND(SEC_ISSC_ISVALID="TRUE")</formula>
    </cfRule>
  </conditionalFormatting>
  <conditionalFormatting sqref="Q35:S35">
    <cfRule type="expression" dxfId="10" priority="9">
      <formula>NOT(ISNA(VLOOKUP("Yes",SEC_LAST_MEASURESYORN,1,FALSE)))</formula>
    </cfRule>
  </conditionalFormatting>
  <conditionalFormatting sqref="I26:K26">
    <cfRule type="expression" dxfId="9" priority="8">
      <formula>AND(SEC_ISSC_ISVALID="TRUE")</formula>
    </cfRule>
  </conditionalFormatting>
  <conditionalFormatting sqref="C48:D49 E48:I48 J48:L49">
    <cfRule type="expression" dxfId="8" priority="6">
      <formula xml:space="preserve"> OR( NOT(SUMPRODUCT(--($C$50:$L$59&lt;&gt;""))=0), NOT(ISNA(VLOOKUP("Yes",SEC_SHIP_MEASURESYORN,1,FALSE))) )</formula>
    </cfRule>
  </conditionalFormatting>
  <conditionalFormatting sqref="O48:S49">
    <cfRule type="expression" dxfId="7" priority="5">
      <formula>NOT(ISNA(VLOOKUP("Yes",SEC_SHIP_MEASURESYORN,1,FALSE)))</formula>
    </cfRule>
  </conditionalFormatting>
  <conditionalFormatting sqref="L2:M2">
    <cfRule type="expression" dxfId="6" priority="2">
      <formula>SEC_STATUS="Empty"</formula>
    </cfRule>
  </conditionalFormatting>
  <conditionalFormatting sqref="F35:G35 C35:D35 L35:M35">
    <cfRule type="expression" dxfId="5" priority="635">
      <formula xml:space="preserve"> OR( NOT(SUMPRODUCT(--($C$36:$G$45&lt;&gt;""))=0), NOT(SUMPRODUCT(--(SEC_LAST_SECLEVEL&lt;&gt;""))=0), NOT(ISNA(VLOOKUP("Yes",SEC_LAST_MEASURESYORN,1,FALSE))) )</formula>
    </cfRule>
  </conditionalFormatting>
  <conditionalFormatting sqref="O50:S59">
    <cfRule type="expression" dxfId="4" priority="642">
      <formula>M50="Yes"</formula>
    </cfRule>
  </conditionalFormatting>
  <conditionalFormatting sqref="L26">
    <cfRule type="expression" dxfId="3" priority="666">
      <formula>AND(L26="",OR(K26&lt;&gt;"",M26&lt;&gt;"",#REF!&lt;&gt;"",O26&lt;&gt;"",Q26&lt;&gt;"",U29&lt;&gt;"",#REF!&lt;&gt;""))</formula>
    </cfRule>
  </conditionalFormatting>
  <conditionalFormatting sqref="U13">
    <cfRule type="containsErrors" dxfId="2" priority="1">
      <formula>ISERROR(U13)</formula>
    </cfRule>
  </conditionalFormatting>
  <dataValidations xWindow="804" yWindow="478" count="62">
    <dataValidation type="list" allowBlank="1" showInputMessage="1" showErrorMessage="1" promptTitle="FAL 5 " prompt="Select 'Yes' or 'No' from the dropdown menu." sqref="S14">
      <formula1>REF_YES_NO</formula1>
    </dataValidation>
    <dataValidation type="list" allowBlank="1" showInputMessage="1" showErrorMessage="1" error="Select from dropdown_x000a_" promptTitle="Approved security plan?" prompt="Does the ship has an approved security plan on board?_x000a__x000a_Choose 'Yes' or 'No' from dropdown menu" sqref="S9">
      <formula1>REF_YES_NO</formula1>
    </dataValidation>
    <dataValidation errorStyle="warning" operator="greaterThan" allowBlank="1" errorTitle="Warning" error="Invalid date format" promptTitle="Date format" prompt="dd/mm/yyyy" sqref="B36:B45 B50:B59"/>
    <dataValidation allowBlank="1" showInputMessage="1" showErrorMessage="1" prompt="X2/9.2.1.3_x000a_" sqref="B34"/>
    <dataValidation allowBlank="1" showInputMessage="1" showErrorMessage="1" prompt="(XI-2/9.2.1.5)_x000a__x000a_" sqref="B47"/>
    <dataValidation type="list" allowBlank="1" showInputMessage="1" showErrorMessage="1" errorTitle="Error" promptTitle="FAL 6" prompt="Select 'Yes' or 'No' from the dropdown menu." sqref="S13">
      <formula1>REF_YES_NO</formula1>
    </dataValidation>
    <dataValidation type="date" allowBlank="1" showInputMessage="1" showErrorMessage="1" error="Invalid date. Try inserting the date in the same format as your computer system's date format." promptTitle="Date to" prompt="The date the ship-to-ship activity ended_x000a__x000a_Should be in Excel date format_x000a_" sqref="D50:D59">
      <formula1>1</formula1>
      <formula2>73051</formula2>
    </dataValidation>
    <dataValidation type="date" allowBlank="1" showInputMessage="1" showErrorMessage="1" error="Invalid date. Try inserting the date in the same format as your computer system's date format." promptTitle="Date of arrival" prompt="The date of arrival at port_x000a__x000a_Should be in Excel date format" sqref="C36:C45">
      <formula1>1</formula1>
      <formula2>73051</formula2>
    </dataValidation>
    <dataValidation type="list" allowBlank="1" showInputMessage="1" showErrorMessage="1" errorTitle="Invalid Security Level" error="Please select from the drop-down list" promptTitle="Current Security Level" prompt="The vessels current security level  (XI-2/9.2.1.2)_x000a__x000a_Choose from dropdown menu" sqref="S8">
      <formula1>REF_SECURITYLEVELS_OPTIONS</formula1>
    </dataValidation>
    <dataValidation allowBlank="1" showInputMessage="1" sqref="E16:F16"/>
    <dataValidation type="textLength" allowBlank="1" showInputMessage="1" showErrorMessage="1" errorTitle="Data Provider" error="Must be between 3 and 32 characters" promptTitle="Data Provider" prompt="The person or entity completing or responsible for the data_x000a__x000a_Must be between 3 and 32 characters" sqref="S6">
      <formula1>3</formula1>
      <formula2>32</formula2>
    </dataValidation>
    <dataValidation allowBlank="1" prompt="Security related matter to report, if any. Max. 255 characters." sqref="P21:P22"/>
    <dataValidation type="list" allowBlank="1" showInputMessage="1" showErrorMessage="1" error="Select 'Yes' or 'No' from the dropdown" promptTitle="Related security matter?" prompt="Does the vessel have a related security matter to report?_x000a__x000a_Choose 'Yes' or 'No' from dropdown menu_x000a_" sqref="S21">
      <formula1>"No, Yes"</formula1>
    </dataValidation>
    <dataValidation type="date" allowBlank="1" showInputMessage="1" showErrorMessage="1" error="Invalid date. Try inserting the date in the same format as your computer system's date format." promptTitle="Date of departure" prompt="The date of departure from port_x000a__x000a_Should be in Excel date format" sqref="D36:D45">
      <formula1>1</formula1>
      <formula2>73051</formula2>
    </dataValidation>
    <dataValidation type="date" allowBlank="1" showInputMessage="1" showErrorMessage="1" error="Invalid date. Try inserting the date in the same format as your computer system's date format." promptTitle="Date from" prompt="The date the ship-to-ship activity started_x000a__x000a_Should be in Excel date format_x000a_" sqref="C50:C59">
      <formula1>1</formula1>
      <formula2>73051</formula2>
    </dataValidation>
    <dataValidation type="custom" allowBlank="1" showInputMessage="1" showErrorMessage="1" error="Must be between -54000000 and  54000000 or 54600000" promptTitle="Latitude" prompt="Latitude in 1/10000 min. (+/- 90 degrees; North = positive;_x000a_South = negative; 91 = not available)_x000a__x000a_At least one location element (Latitude/Longitude, Location name) must be provided_x000a__x000a_Must be between -54000000 and  54000000 or 54600000" sqref="E50:E59">
      <formula1>OR(AND((E50&gt;-54000001),(E50&lt;54000001)), (E50=54600000))</formula1>
    </dataValidation>
    <dataValidation type="textLength" allowBlank="1" showInputMessage="1" showErrorMessage="1" errorTitle="Invalid input" error="Must be 4 digits" promptTitle="IMO Port facility number" prompt="The port facility's code as in the IMO GISIS maritime security database._x000a__x000a_Generic code “0000” to be used in case port facility is:_x000a_- not ISPS-approved_x000a_- recently approved but still not included in the GISIS database_x000a__x000a__x000a_" sqref="G36:G45">
      <formula1>4</formula1>
      <formula2>4</formula2>
    </dataValidation>
    <dataValidation type="list" allowBlank="1" showInputMessage="1" showErrorMessage="1" promptTitle="Ship-to-ship activity" prompt="The primary ship-to-ship activity undertaken_x000a__x000a_Choose from dropdown menu_x000a__x000a_" sqref="J50:L59">
      <formula1>REF_ACTIVITY</formula1>
    </dataValidation>
    <dataValidation type="custom" operator="equal" allowBlank="1" showDropDown="1" showInputMessage="1" showErrorMessage="1" error="Invalid LOCODE: must be 5 characters of letters and numbers with no spaces." promptTitle="Port LOCODE" prompt="The LOCODE of the port at which the vessel called_x000a__x000a_Can be any valid LOCODE, not just function 1/7_x000a__x000a_Must be valid LOCODE" sqref="F36:F45">
      <formula1>IFERROR(AND(SUMPRODUCT(SEARCH(MID(F36,ROW(INDIRECT("1:"&amp;LEN(F36))),1),"abcdefghijklmnopqrstuvwxyz0123456789")),LEN(F36)=5),FALSE)</formula1>
    </dataValidation>
    <dataValidation type="textLength" allowBlank="1" showInputMessage="1" showErrorMessage="1" error="Max 50 characters." promptTitle="Country" prompt="The country in which the port call took place_x000a__x000a_Max 50 characters" sqref="E36:E45">
      <formula1>0</formula1>
      <formula2>50</formula2>
    </dataValidation>
    <dataValidation type="list" allowBlank="1" showInputMessage="1" showErrorMessage="1" error="Select from dropdown_x000a_" promptTitle="Security level" prompt="The security level of the Vessel during the port call according to the ISPS code_x000a__x000a_Choose from dropdown menu" sqref="M36:M45">
      <formula1>REF_SECURITYLEVELS_OPTIONS</formula1>
    </dataValidation>
    <dataValidation type="textLength" allowBlank="1" showInputMessage="1" showErrorMessage="1" error="Max. 255 characters. " prompt="Special or additional security measures taken by the ship  (XI-2/9.2.1.4)_x000a__x000a_Max. 255 characters" sqref="Q36:S45">
      <formula1>0</formula1>
      <formula2>255</formula2>
    </dataValidation>
    <dataValidation type="textLength" allowBlank="1" showInputMessage="1" showErrorMessage="1" error="Max 255 characters." promptTitle="Security measures applied" prompt="Details of the security measures applied in lieu of the SSP (XI-2/9.2.1.5)_x000a__x000a_Required if Security measures were applied in lieu of SSP_x000a__x000a_Max. 255 characters_x000a_" sqref="O50:O59 P51:S59">
      <formula1>1</formula1>
      <formula2>255</formula2>
    </dataValidation>
    <dataValidation type="textLength" allowBlank="1" showInputMessage="1" showErrorMessage="1" error="Max 255 characters." promptTitle="Purpose of call" prompt="The primary purpose of the port call_x000a__x000a_Max 255 characters" sqref="P29:S32">
      <formula1>0</formula1>
      <formula2>255</formula2>
    </dataValidation>
    <dataValidation type="textLength" operator="lessThanOrEqual" allowBlank="1" showInputMessage="1" showErrorMessage="1" error="Max 255 characters." promptTitle="Brief cargo description" prompt="Brief description of the vessel's cargo_x000a__x000a_Max 255 characters" sqref="P16:S18">
      <formula1>255</formula1>
    </dataValidation>
    <dataValidation type="textLength" allowBlank="1" showInputMessage="1" showErrorMessage="1" error="Max 255 characters." promptTitle="Related security matter desc" prompt="Description of the related security matter_x000a__x000a_If used 'Related security matter?' should be 'Yes'_x000a__x000a_Max 255 characters" sqref="P23:S25">
      <formula1>0</formula1>
      <formula2>255</formula2>
    </dataValidation>
    <dataValidation type="list" allowBlank="1" showInputMessage="1" showErrorMessage="1" promptTitle="Security measures" prompt="Were special or additional security measures taken during the port call?_x000a__x000a_Choose from dropdown menu_x000a__x000a_" sqref="N36:P45">
      <formula1>"Yes, None"</formula1>
    </dataValidation>
    <dataValidation type="custom" allowBlank="1" showInputMessage="1" showErrorMessage="1" errorTitle="Invalid input" error="Longitude must be between -108000000 and +108000000 or 108600000" promptTitle="Longitude" prompt="Longitude in 1/10000 min. (+/- 180 degrees; East = positive;_x000a_West = negative; 181 = not available)_x000a__x000a_At least one location element (Latitude/Longitude, Location name) must be provided_x000a__x000a_Longitude must be between -108000000 and +108000000 or 108600000" sqref="F50:F59">
      <formula1>OR(AND((F50&gt;-108000001),(F50&lt;108000001)), (F50=108600000))</formula1>
    </dataValidation>
    <dataValidation type="textLength" allowBlank="1" showInputMessage="1" showErrorMessage="1" sqref="P19">
      <formula1>0</formula1>
      <formula2>255</formula2>
    </dataValidation>
    <dataValidation type="textLength" allowBlank="1" showInputMessage="1" showErrorMessage="1" error="Max 50 characters." promptTitle="Port Facility" prompt="The name of the port facility the vessel used during the port call_x000a__x000a_Max 50 characters" sqref="L36:L45">
      <formula1>0</formula1>
      <formula2>50</formula2>
    </dataValidation>
    <dataValidation type="textLength" allowBlank="1" showInputMessage="1" showErrorMessage="1" errorTitle="Invalid Input" error="Max 50 characters." promptTitle="Last name" prompt="The last name of the CSO_x000a__x000a_Max 50 characters" sqref="L7:N7">
      <formula1>0</formula1>
      <formula2>50</formula2>
    </dataValidation>
    <dataValidation type="custom" allowBlank="1" showInputMessage="1" showErrorMessage="1" errorTitle="Invalid Input" error="Max 16 characters. Only numerals (0-9) and (&quot;+&quot;) are allowed." promptTitle="Phone" prompt="The Phone number of the CSO_x000a__x000a_Include country code_x000a__x000a_Max 16 characters. Only numerals (0-9) and (&quot;+&quot;) are allowed" sqref="L8:N8">
      <formula1>AND(ISNUMBER(SUMPRODUCT(SEARCH(MID(L8,ROW(INDIRECT("1:"&amp;LEN(L8))),1),"0123456789+"))),LEN(L8)&lt;=16)</formula1>
    </dataValidation>
    <dataValidation type="custom" allowBlank="1" showInputMessage="1" showErrorMessage="1" error="Must contain an &quot;@&quot;, can not contain spaces and must be less than 50 characters." promptTitle="Email" prompt="The email of the CSO_x000a__x000a_Must contain an &quot;@&quot;, can not contain spaces and must be less than 50 characters" sqref="L10:N10">
      <formula1>IF(OR(ISBLANK(INDEX(SEC_CSO_EMAIL,1,1)),AND(NOT(ISERROR(SEARCH("@",INDEX(SEC_CSO_EMAIL,1,1)))),ISERROR(SEARCH(" ",INDEX(SEC_CSO_EMAIL,1,1))),ISERROR(SEARCH(",",INDEX(SEC_CSO_EMAIL,1,1))),LEN(INDEX(SEC_CSO_EMAIL,1,1))&lt;=50)),TRUE(),FALSE())</formula1>
    </dataValidation>
    <dataValidation type="textLength" allowBlank="1" showInputMessage="1" showErrorMessage="1" errorTitle="Invalid Input" error="Max 50 characters." promptTitle="First name" prompt="The first name of the CSO_x000a__x000a_Max 50 characters" sqref="L6:N6">
      <formula1>0</formula1>
      <formula2>50</formula2>
    </dataValidation>
    <dataValidation type="custom" allowBlank="1" showInputMessage="1" showErrorMessage="1" error="Max 16 characters. Only numerals (0-9) and (&quot;+&quot;) are allowed." promptTitle="Fax" prompt="The fax number of the ship's agent_x000a__x000a_Include country code_x000a__x000a_Max 16 characters. Only numerals (0-9) and (&quot;+&quot;) are allowed" sqref="L15:N15">
      <formula1>AND(ISNUMBER(SUMPRODUCT(SEARCH(MID(L15,ROW(INDIRECT("1:"&amp;LEN(L15))),1),"0123456789+"))),LEN(L15)&lt;=16)</formula1>
    </dataValidation>
    <dataValidation type="custom" allowBlank="1" showInputMessage="1" showErrorMessage="1" error="Max 16 characters. Only numerals (0-9) and (&quot;+&quot;) are allowed." promptTitle="Phone" prompt="The Phone number of the ship's agent_x000a__x000a_Include country code_x000a__x000a_Max 16 characters. Only numerals (0-9) and (&quot;+&quot;) are allowed" sqref="L14:N14">
      <formula1>AND(ISNUMBER(SUMPRODUCT(SEARCH(MID(L14,ROW(INDIRECT("1:"&amp;LEN(L14))),1),"0123456789+"))),LEN(L14)&lt;=16)</formula1>
    </dataValidation>
    <dataValidation type="custom" allowBlank="1" showInputMessage="1" showErrorMessage="1" error="Must contain an &quot;@&quot;, can not contain spaces or commas and must be less than 50 characters." promptTitle="Email" prompt="The email of the ship's agent_x000a__x000a_Must contain an &quot;@&quot;, can not contain spaces or commas and must be less than 50 characters" sqref="L16:N16">
      <formula1>IF(OR(ISBLANK(INDEX(SEC_AGENT_EMAIL,1,1)),AND(NOT(ISERROR(SEARCH("@",INDEX(SEC_AGENT_EMAIL,1,1)))),ISERROR(SEARCH(" ",INDEX(SEC_AGENT_EMAIL,1,1))),ISERROR(SEARCH(",",INDEX(SEC_AGENT_EMAIL,1,1))),LEN(INDEX(SEC_AGENT_EMAIL,1,1))&lt;=50)),TRUE(),FALSE())</formula1>
    </dataValidation>
    <dataValidation type="textLength" allowBlank="1" showInputMessage="1" showErrorMessage="1" error="Max 50 characters." promptTitle="Name" prompt="The name of the ship's agent_x000a__x000a_Max 50 characters" sqref="L13:N13">
      <formula1>0</formula1>
      <formula2>50</formula2>
    </dataValidation>
    <dataValidation type="list" allowBlank="1" showInputMessage="1" showErrorMessage="1" error="Select from dropdown" promptTitle="ISSC type" prompt="Whether the vessel is using a full or interim ISSC_x000a__x000a_Choose from dropdown menu_x000a_" sqref="L21:N21">
      <formula1>ISSC_types</formula1>
    </dataValidation>
    <dataValidation type="textLength" allowBlank="1" showInputMessage="1" showErrorMessage="1" error="Max 50 characters." promptTitle="ISSC number" prompt="The vessels ISSC number_x000a__x000a_Max 50 characters" sqref="L22:N22">
      <formula1>0</formula1>
      <formula2>50</formula2>
    </dataValidation>
    <dataValidation type="list" allowBlank="1" showInputMessage="1" showErrorMessage="1" error="Select from dropdown" promptTitle="Issuer type" prompt="Indicate the type of ISSC issuing authority_x000a__x000a_'GVT' for contracting government or 'RSO' for recognized security organization_x000a__x000a_Choose from dropdown menu_x000a_" sqref="L23:N23">
      <formula1>REF_ISSUER_TYPE</formula1>
    </dataValidation>
    <dataValidation type="textLength" allowBlank="1" showInputMessage="1" showErrorMessage="1" error="Max. 255 characters." promptTitle="Issuer" prompt="Name of the ISSC issuing body_x000a__x000a_Max 255 characters" sqref="L24:N25">
      <formula1>0</formula1>
      <formula2>255</formula2>
    </dataValidation>
    <dataValidation type="list" allowBlank="1" showInputMessage="1" showErrorMessage="1" error="Select from dropdown" promptTitle="ISSC is valid?" prompt="Indicates if the ship has a valid International Ship Security Certificate (ISSC). (XI-2/9.2.1.1)_x000a__x000a_Choose from dropdown menu_x000a_" sqref="L27:N27">
      <formula1>"TRUE, FALSE"</formula1>
    </dataValidation>
    <dataValidation type="custom" allowBlank="1" showInputMessage="1" showErrorMessage="1" error="Only allowed if 'ISSC is valid?' is 'FALSE'_x000a__x000a_Max 255 characters." promptTitle="Invalid ISSC" prompt="Reason for invalid ISSC_x000a__x000a_Only to be used if 'ISSC is valid' is 'FALSE'_x000a__x000a_ Max 255 characters" sqref="I29:N32">
      <formula1>AND(LEN(INDEX(SEC_ISSC_REASON,1,1))&lt;256,INDEX(SEC_ISSC_ISVALID,1,1)&lt;&gt;"TRUE")</formula1>
    </dataValidation>
    <dataValidation type="custom" allowBlank="1" showInputMessage="1" showErrorMessage="1" error="Max 16 characters. Only numerals (0-9) and (&quot;+&quot;) are allowed." promptTitle="Fax" prompt="The fax number of the CSO_x000a__x000a_Include country code_x000a__x000a_Max 16 characters. Only numerals (0-9) and (&quot;+&quot;) are allowed" sqref="L9:N9">
      <formula1>AND(ISNUMBER(SUMPRODUCT(SEARCH(MID(L9,ROW(INDIRECT("1:"&amp;LEN(L9))),1),"0123456789+"))),LEN(L9)&lt;=16)</formula1>
    </dataValidation>
    <dataValidation type="date" allowBlank="1" showInputMessage="1" showErrorMessage="1" error="Invalid date. Try inserting the date in the same format as your computer system's date format." promptTitle="Expiry" prompt="Date of ISSC expiry_x000a__x000a_Should be in Excel date format" sqref="L26:N26">
      <formula1>1</formula1>
      <formula2>73051</formula2>
    </dataValidation>
    <dataValidation type="list" allowBlank="1" showInputMessage="1" showErrorMessage="1" promptTitle="Security measures applied" prompt="Were security measures applied in lieu of the SSP?_x000a__x000a_Choose from dropdown menu" sqref="M50:N59">
      <formula1>"Yes, None"</formula1>
    </dataValidation>
    <dataValidation type="whole" allowBlank="1" showInputMessage="1" showErrorMessage="1" error="Must be whole number, less than 1000000" promptTitle="Gross tonnage" prompt="The measure of the overall size of a ship_x000a__x000a_Must be whole number, less than 1000000" sqref="E13:G13">
      <formula1>0</formula1>
      <formula2>999999</formula2>
    </dataValidation>
    <dataValidation type="list" allowBlank="1" showInputMessage="1" showErrorMessage="1" error="Select from dropdown" promptTitle="Ship type" prompt="The ship type_x000a__x000a_Choose from dropdown menu_x000a_" sqref="E14:G14">
      <formula1>Ship_types</formula1>
    </dataValidation>
    <dataValidation type="textLength" allowBlank="1" showInputMessage="1" showErrorMessage="1" error="Max 35 characters." promptTitle="Certificate number" prompt="Number of the certification of registry_x000a__x000a_Max 35 characters" sqref="E22:G22">
      <formula1>1</formula1>
      <formula2>35</formula2>
    </dataValidation>
    <dataValidation type="textLength" allowBlank="1" showInputMessage="1" showErrorMessage="1" error="Max 70 characters." promptTitle="Company name" prompt="Name of ship's operating company, as defined in the ISM_x000a_code_x000a__x000a_Max 70 characters" sqref="E23:G23">
      <formula1>0</formula1>
      <formula2>70</formula2>
    </dataValidation>
    <dataValidation type="textLength" operator="equal" allowBlank="1" showInputMessage="1" showErrorMessage="1" error="Must be 7 characters" promptTitle="Company IMO number" prompt="The IMO number of the operating company _x000a__x000a_Must be 7 characters" sqref="E24:G24">
      <formula1>7</formula1>
    </dataValidation>
    <dataValidation type="textLength" allowBlank="1" showInputMessage="1" showErrorMessage="1" error="Max 255 characters" promptTitle="Location name" prompt="At least one location element (Latitude/Longitude, Location name) must be provided._x000a__x000a_Max 255 characters." sqref="G50:I59">
      <formula1>0</formula1>
      <formula2>255</formula2>
    </dataValidation>
    <dataValidation type="textLength" allowBlank="1" showInputMessage="1" showErrorMessage="1" error="Max 255 characters." promptTitle="Ship loc at time of reporting" prompt="The location of the ship at time of reporting _x000a__x000a_Max 255 characters" sqref="B30:G32">
      <formula1>0</formula1>
      <formula2>255</formula2>
    </dataValidation>
    <dataValidation type="custom" showInputMessage="1" errorTitle="Error" error="IMO must be a 7 digit number" promptTitle="IMO number" prompt="IMO number of the vessel_x000a__x000a_Valid 7 digit number in correct IMO format" sqref="E6:G6">
      <formula1>IF(ISBLANK(E6), TRUE(),IFERROR(IF(AND(LEN(TRIM(E6))=7,EXACT(MOD(RIGHT(LEFT(E6,1),1)*7+RIGHT(LEFT(E6,2),1)*6+RIGHT(LEFT(E6,3),1)*5+RIGHT(LEFT(E6,4),1)*4+RIGHT(LEFT(E6,5),1)*3+RIGHT(LEFT(E6,6),1)*2,10),RIGHT(LEFT(E6,7)))),TRUE(),FALSE()),FALSE()))</formula1>
    </dataValidation>
    <dataValidation type="textLength" allowBlank="1" showInputMessage="1" showErrorMessage="1" error="Max 35 characters." promptTitle="Ship name" prompt="Name of the vessel_x000a__x000a_Accepted characters are uppercase (A-Z) and lowercase letters (a-z), numerals (0-9) and the special characters dots (&quot;.&quot;), dashes (&quot;-&quot;) and single apostrophe (&quot;'&quot;)_x000a__x000a__x000a_Max 35 characters" sqref="E7:G7">
      <formula1>0</formula1>
      <formula2>35</formula2>
    </dataValidation>
    <dataValidation type="textLength" allowBlank="1" showInputMessage="1" showErrorMessage="1" error="Max 7 characters" promptTitle="Call sign" prompt="Call sign of the vessel_x000a__x000a_Max 7 characters" sqref="E8:G8">
      <formula1>0</formula1>
      <formula2>7</formula2>
    </dataValidation>
    <dataValidation type="whole" allowBlank="1" showInputMessage="1" showErrorMessage="1" error="Must be a 9 digit number between 100000000 and 999999999" promptTitle="MMSI number" prompt="MMSI number of the vessel_x000a__x000a_Must be a 9 digit number between 100000000 and 999999999" sqref="E9:G9">
      <formula1>100000000</formula1>
      <formula2>999999999</formula2>
    </dataValidation>
    <dataValidation type="list" allowBlank="1" showInputMessage="1" showErrorMessage="1" error="Choose from dropdown menu" promptTitle="Flag state" prompt="Flag state of the vessel_x000a__x000a_Choose from dropdown menu" sqref="E10:G10">
      <formula1>REF_COUNTRIES</formula1>
    </dataValidation>
    <dataValidation type="date" allowBlank="1" showInputMessage="1" showErrorMessage="1" error="Invalid date. Try inserting the date in the same format as your computer system's date format." promptTitle="Date format" prompt="Date indicating when the certificate was issued_x000a__x000a_Should be in Excel date format" sqref="E21:G21">
      <formula1>1</formula1>
      <formula2>73051</formula2>
    </dataValidation>
    <dataValidation type="date" allowBlank="1" showInputMessage="1" showErrorMessage="1" error="Invalid date. Try inserting the date in the same format as your computer system's date format." promptTitle="Date of ship's last vist to UK" prompt="Date indicating when this ship last visited the UK_x000a__x000a_Should be in Excel date format" sqref="E28:G28">
      <formula1>1</formula1>
      <formula2>73051</formula2>
    </dataValidation>
    <dataValidation type="textLength" operator="equal" allowBlank="1" showDropDown="1" showInputMessage="1" showErrorMessage="1" error="Invalid LOCODE, must be 5 characters." promptTitle="LOCODE" prompt="Must be 5 characters." sqref="E18:G18">
      <formula1>5</formula1>
    </dataValidation>
  </dataValidations>
  <pageMargins left="0.23622047244094488" right="0.23622047244094488" top="0.39370078740157483" bottom="0.39370078740157483" header="0.31496062992125984" footer="0.31496062992125984"/>
  <pageSetup paperSize="9" scale="60" fitToHeight="0" orientation="landscape" r:id="rId1"/>
  <drawing r:id="rId2"/>
  <legacyDrawing r:id="rId3"/>
  <controls>
    <mc:AlternateContent xmlns:mc="http://schemas.openxmlformats.org/markup-compatibility/2006">
      <mc:Choice Requires="x14">
        <control shapeId="7237" r:id="rId4" name="ComboBox1">
          <controlPr defaultSize="0" autoLine="0" autoPict="0" linkedCell="SEC_LOCODE_LOOKUP" listFillRange="REF_LOCODE_PORTNAME_COUNTRY" r:id="rId5">
            <anchor moveWithCells="1" sizeWithCells="1">
              <from>
                <xdr:col>21</xdr:col>
                <xdr:colOff>19050</xdr:colOff>
                <xdr:row>5</xdr:row>
                <xdr:rowOff>28575</xdr:rowOff>
              </from>
              <to>
                <xdr:col>23</xdr:col>
                <xdr:colOff>1200150</xdr:colOff>
                <xdr:row>6</xdr:row>
                <xdr:rowOff>133350</xdr:rowOff>
              </to>
            </anchor>
          </controlPr>
        </control>
      </mc:Choice>
      <mc:Fallback>
        <control shapeId="7237" r:id="rId4" name="ComboBox1"/>
      </mc:Fallback>
    </mc:AlternateContent>
    <mc:AlternateContent xmlns:mc="http://schemas.openxmlformats.org/markup-compatibility/2006">
      <mc:Choice Requires="x14">
        <control shapeId="7233" r:id="rId6" name="ComboBox2">
          <controlPr defaultSize="0" autoLine="0" autoPict="0" linkedCell="TMP_VDE_REGPORT" listFillRange="REF_LOCODE_PORTNAME_COUNTRY" r:id="rId7">
            <anchor moveWithCells="1" sizeWithCells="1">
              <from>
                <xdr:col>4</xdr:col>
                <xdr:colOff>19050</xdr:colOff>
                <xdr:row>15</xdr:row>
                <xdr:rowOff>0</xdr:rowOff>
              </from>
              <to>
                <xdr:col>6</xdr:col>
                <xdr:colOff>581025</xdr:colOff>
                <xdr:row>15</xdr:row>
                <xdr:rowOff>180975</xdr:rowOff>
              </to>
            </anchor>
          </controlPr>
        </control>
      </mc:Choice>
      <mc:Fallback>
        <control shapeId="7233" r:id="rId6" name="ComboBox2"/>
      </mc:Fallback>
    </mc:AlternateContent>
  </controls>
  <extLst>
    <ext xmlns:x14="http://schemas.microsoft.com/office/spreadsheetml/2009/9/main" uri="{78C0D931-6437-407d-A8EE-F0AAD7539E65}">
      <x14:conditionalFormattings>
        <x14:conditionalFormatting xmlns:xm="http://schemas.microsoft.com/office/excel/2006/main">
          <x14:cfRule type="expression" priority="4" id="{BC977FA7-BDEE-464D-A1DD-CC67726388C6}">
            <xm:f>Validator!A13&lt;&gt;TRUE</xm:f>
            <x14:dxf>
              <fill>
                <patternFill>
                  <bgColor rgb="FFFF0000"/>
                </patternFill>
              </fill>
            </x14:dxf>
          </x14:cfRule>
          <xm:sqref>B36:B45</xm:sqref>
        </x14:conditionalFormatting>
        <x14:conditionalFormatting xmlns:xm="http://schemas.microsoft.com/office/excel/2006/main">
          <x14:cfRule type="expression" priority="3" id="{0063D44E-908F-4C4D-A20C-88DC75DE386A}">
            <xm:f>Validator!A23&lt;&gt;TRUE</xm:f>
            <x14:dxf>
              <fill>
                <patternFill>
                  <bgColor rgb="FFFF0000"/>
                </patternFill>
              </fill>
            </x14:dxf>
          </x14:cfRule>
          <xm:sqref>B50:B59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342</vt:i4>
      </vt:variant>
    </vt:vector>
  </HeadingPairs>
  <TitlesOfParts>
    <vt:vector size="356" baseType="lpstr">
      <vt:lpstr>Summary</vt:lpstr>
      <vt:lpstr>Vessel</vt:lpstr>
      <vt:lpstr>Voyage</vt:lpstr>
      <vt:lpstr>Waste</vt:lpstr>
      <vt:lpstr>Incoming Bunkers</vt:lpstr>
      <vt:lpstr>Incoming Hazmat</vt:lpstr>
      <vt:lpstr>Outgoing Bunkers</vt:lpstr>
      <vt:lpstr>Outgoing Hazmat</vt:lpstr>
      <vt:lpstr>Security</vt:lpstr>
      <vt:lpstr>Notes</vt:lpstr>
      <vt:lpstr>FAQ and Help</vt:lpstr>
      <vt:lpstr>Validator</vt:lpstr>
      <vt:lpstr>Tmp data</vt:lpstr>
      <vt:lpstr>Reference data</vt:lpstr>
      <vt:lpstr>'Incoming Hazmat'!Activity</vt:lpstr>
      <vt:lpstr>'Outgoing Hazmat'!Activity</vt:lpstr>
      <vt:lpstr>'Incoming Hazmat'!BOOLEAN</vt:lpstr>
      <vt:lpstr>'Outgoing Hazmat'!BOOLEAN</vt:lpstr>
      <vt:lpstr>'Incoming Hazmat'!Cargo_associated_waste</vt:lpstr>
      <vt:lpstr>'Outgoing Hazmat'!Cargo_associated_waste</vt:lpstr>
      <vt:lpstr>Cargo_associated_waste</vt:lpstr>
      <vt:lpstr>'Incoming Hazmat'!Cargo_residues</vt:lpstr>
      <vt:lpstr>'Outgoing Hazmat'!Cargo_residues</vt:lpstr>
      <vt:lpstr>Cargo_residues</vt:lpstr>
      <vt:lpstr>Garbage</vt:lpstr>
      <vt:lpstr>Hazmat_types</vt:lpstr>
      <vt:lpstr>IBK_BNK_BNKONBOARD</vt:lpstr>
      <vt:lpstr>IBK_BNK_DESC</vt:lpstr>
      <vt:lpstr>IBK_BNK_QUANTITY</vt:lpstr>
      <vt:lpstr>IBK_BNK_TYPE</vt:lpstr>
      <vt:lpstr>IBK_BNK_UNIT</vt:lpstr>
      <vt:lpstr>IBK_DOC_KEY</vt:lpstr>
      <vt:lpstr>IBK_EMPTY_RES</vt:lpstr>
      <vt:lpstr>IBK_STATUS</vt:lpstr>
      <vt:lpstr>IBK_VALID</vt:lpstr>
      <vt:lpstr>IBK_VALID_RES</vt:lpstr>
      <vt:lpstr>IHZ_CON_EMAIL</vt:lpstr>
      <vt:lpstr>IHZ_CON_FAX</vt:lpstr>
      <vt:lpstr>IHZ_CON_FIRSTNAME</vt:lpstr>
      <vt:lpstr>IHZ_CON_LASTNAME</vt:lpstr>
      <vt:lpstr>IHZ_CON_LOCODE</vt:lpstr>
      <vt:lpstr>IHZ_CON_PHONE</vt:lpstr>
      <vt:lpstr>IHZ_DET_DOCTYPE</vt:lpstr>
      <vt:lpstr>IHZ_DET_HAZONBOARD</vt:lpstr>
      <vt:lpstr>IHZ_DET_INFSHIPCLA</vt:lpstr>
      <vt:lpstr>IHZ_DET_URL</vt:lpstr>
      <vt:lpstr>IHZ_DOC_KEY</vt:lpstr>
      <vt:lpstr>IHZ_EMPTY_RES</vt:lpstr>
      <vt:lpstr>IHZ_HAZ_ADDITIONAL</vt:lpstr>
      <vt:lpstr>IHZ_HAZ_AMOUNT</vt:lpstr>
      <vt:lpstr>IHZ_HAZ_CONSIGNMENT</vt:lpstr>
      <vt:lpstr>IHZ_HAZ_DGCLASSIFI</vt:lpstr>
      <vt:lpstr>IHZ_HAZ_DPGREF</vt:lpstr>
      <vt:lpstr>IHZ_HAZ_EMS</vt:lpstr>
      <vt:lpstr>IHZ_HAZ_FLASHPOINT</vt:lpstr>
      <vt:lpstr>IHZ_HAZ_IMOHAZARDC</vt:lpstr>
      <vt:lpstr>IHZ_HAZ_ITEMS</vt:lpstr>
      <vt:lpstr>IHZ_HAZ_LOCATION</vt:lpstr>
      <vt:lpstr>IHZ_HAZ_MARPOLCODE</vt:lpstr>
      <vt:lpstr>IHZ_HAZ_NETGROSS</vt:lpstr>
      <vt:lpstr>IHZ_HAZ_PACKAGECOD</vt:lpstr>
      <vt:lpstr>IHZ_HAZ_PACKAGES</vt:lpstr>
      <vt:lpstr>IHZ_HAZ_PACKINGGRO</vt:lpstr>
      <vt:lpstr>IHZ_HAZ_PACTYPE</vt:lpstr>
      <vt:lpstr>IHZ_HAZ_PORTOFDISCHARGE</vt:lpstr>
      <vt:lpstr>IHZ_HAZ_PORTOFLOADING</vt:lpstr>
      <vt:lpstr>IHZ_HAZ_SUBSIDIARY</vt:lpstr>
      <vt:lpstr>IHZ_HAZ_TEUID</vt:lpstr>
      <vt:lpstr>IHZ_HAZ_TEXTUALREF</vt:lpstr>
      <vt:lpstr>IHZ_HAZ_TOTALPACKA</vt:lpstr>
      <vt:lpstr>IHZ_HAZ_TOTAMOUNT</vt:lpstr>
      <vt:lpstr>IHZ_HAZ_TOTNETGROSS</vt:lpstr>
      <vt:lpstr>IHZ_HAZ_TOTUNIT</vt:lpstr>
      <vt:lpstr>IHZ_HAZ_TRANSDOCID</vt:lpstr>
      <vt:lpstr>IHZ_HAZ_UNIT</vt:lpstr>
      <vt:lpstr>IHZ_HAZ_UNITTYPE</vt:lpstr>
      <vt:lpstr>IHZ_HAZ_UNNUMBER</vt:lpstr>
      <vt:lpstr>'Incoming Hazmat'!IHZ_LOCODE_LOOKUP</vt:lpstr>
      <vt:lpstr>IHZ_STATUS</vt:lpstr>
      <vt:lpstr>IHZ_VALID</vt:lpstr>
      <vt:lpstr>IHZ_VALID_RES</vt:lpstr>
      <vt:lpstr>IMO_Hazard_Class</vt:lpstr>
      <vt:lpstr>INF_ship_classes</vt:lpstr>
      <vt:lpstr>ISSC_types</vt:lpstr>
      <vt:lpstr>LOCODE</vt:lpstr>
      <vt:lpstr>LOCODE_RANGE</vt:lpstr>
      <vt:lpstr>MARPOL_codes</vt:lpstr>
      <vt:lpstr>OBK_BNK_BNKONBOARD</vt:lpstr>
      <vt:lpstr>OBK_BNK_DESC</vt:lpstr>
      <vt:lpstr>OBK_BNK_QUANTITY</vt:lpstr>
      <vt:lpstr>OBK_BNK_TYPE</vt:lpstr>
      <vt:lpstr>OBK_BNK_UNIT</vt:lpstr>
      <vt:lpstr>OBK_DOC_KEY</vt:lpstr>
      <vt:lpstr>OBK_EMPTY_RES</vt:lpstr>
      <vt:lpstr>OBK_STATUS</vt:lpstr>
      <vt:lpstr>OBK_VALID</vt:lpstr>
      <vt:lpstr>OBK_VALID_RES</vt:lpstr>
      <vt:lpstr>OHZ_CON_EMAIL</vt:lpstr>
      <vt:lpstr>OHZ_CON_FAX</vt:lpstr>
      <vt:lpstr>OHZ_CON_FIRSTNAME</vt:lpstr>
      <vt:lpstr>OHZ_CON_LASTNAME</vt:lpstr>
      <vt:lpstr>OHZ_CON_LOCODE</vt:lpstr>
      <vt:lpstr>OHZ_CON_PHONE</vt:lpstr>
      <vt:lpstr>OHZ_DET_DOCTYPE</vt:lpstr>
      <vt:lpstr>OHZ_DET_HAZONBOARD</vt:lpstr>
      <vt:lpstr>OHZ_DET_INFSHIPCLA</vt:lpstr>
      <vt:lpstr>OHZ_DET_URL</vt:lpstr>
      <vt:lpstr>OHZ_DOC_KEY</vt:lpstr>
      <vt:lpstr>OHZ_EMPTY_RES</vt:lpstr>
      <vt:lpstr>OHZ_HAZ_ADDITIONAL</vt:lpstr>
      <vt:lpstr>OHZ_HAZ_AMOUNT</vt:lpstr>
      <vt:lpstr>OHZ_HAZ_CONSIGNMENT</vt:lpstr>
      <vt:lpstr>OHZ_HAZ_DGCLASSIFI</vt:lpstr>
      <vt:lpstr>OHZ_HAZ_DPGREF</vt:lpstr>
      <vt:lpstr>OHZ_HAZ_EMS</vt:lpstr>
      <vt:lpstr>OHZ_HAZ_FLASHPOINT</vt:lpstr>
      <vt:lpstr>OHZ_HAZ_IMOHAZARDC</vt:lpstr>
      <vt:lpstr>OHZ_HAZ_ITEMS</vt:lpstr>
      <vt:lpstr>OHZ_HAZ_LOCATION</vt:lpstr>
      <vt:lpstr>OHZ_HAZ_MARPOLCODE</vt:lpstr>
      <vt:lpstr>OHZ_HAZ_NETGROSS</vt:lpstr>
      <vt:lpstr>OHZ_HAZ_PACKAGECOD</vt:lpstr>
      <vt:lpstr>OHZ_HAZ_PACKAGES</vt:lpstr>
      <vt:lpstr>OHZ_HAZ_PACKINGGRO</vt:lpstr>
      <vt:lpstr>OHZ_HAZ_PACTYPE</vt:lpstr>
      <vt:lpstr>OHZ_HAZ_PORTOFDISCHARGE</vt:lpstr>
      <vt:lpstr>OHZ_HAZ_PORTOFLOADING</vt:lpstr>
      <vt:lpstr>OHZ_HAZ_SUBSIDIARY</vt:lpstr>
      <vt:lpstr>OHZ_HAZ_TEUID</vt:lpstr>
      <vt:lpstr>OHZ_HAZ_TEXTUALREF</vt:lpstr>
      <vt:lpstr>OHZ_HAZ_TOTALPACKA</vt:lpstr>
      <vt:lpstr>OHZ_HAZ_TOTAMOUNT</vt:lpstr>
      <vt:lpstr>OHZ_HAZ_TOTNETGROSS</vt:lpstr>
      <vt:lpstr>OHZ_HAZ_TOTUNIT</vt:lpstr>
      <vt:lpstr>OHZ_HAZ_TRANSDOCID</vt:lpstr>
      <vt:lpstr>OHZ_HAZ_UNIT</vt:lpstr>
      <vt:lpstr>OHZ_HAZ_UNITTYPE</vt:lpstr>
      <vt:lpstr>OHZ_HAZ_UNNUMBER</vt:lpstr>
      <vt:lpstr>'Incoming Hazmat'!OHZ_LOCODE_LOOKUP</vt:lpstr>
      <vt:lpstr>'Outgoing Hazmat'!OHZ_LOCODE_LOOKUP</vt:lpstr>
      <vt:lpstr>OHZ_STATUS</vt:lpstr>
      <vt:lpstr>OHZ_VALID</vt:lpstr>
      <vt:lpstr>OHZ_VALID_RES</vt:lpstr>
      <vt:lpstr>On_off</vt:lpstr>
      <vt:lpstr>Package_type_code</vt:lpstr>
      <vt:lpstr>Package_type_name</vt:lpstr>
      <vt:lpstr>PORTLOCODE</vt:lpstr>
      <vt:lpstr>PORTNAME</vt:lpstr>
      <vt:lpstr>'Incoming Hazmat'!Print_Area</vt:lpstr>
      <vt:lpstr>Notes!Print_Area</vt:lpstr>
      <vt:lpstr>'Outgoing Hazmat'!Print_Area</vt:lpstr>
      <vt:lpstr>Security!Print_Area</vt:lpstr>
      <vt:lpstr>Summary!Print_Area</vt:lpstr>
      <vt:lpstr>Vessel!Print_Area</vt:lpstr>
      <vt:lpstr>Voyage!Print_Area</vt:lpstr>
      <vt:lpstr>Waste!Print_Area</vt:lpstr>
      <vt:lpstr>REF_ACTIVITY</vt:lpstr>
      <vt:lpstr>REF_BUNKERTYPE</vt:lpstr>
      <vt:lpstr>REF_BUNKERUNIT</vt:lpstr>
      <vt:lpstr>'Outgoing Hazmat'!REF_COUNTRIES</vt:lpstr>
      <vt:lpstr>REF_COUNTRIES</vt:lpstr>
      <vt:lpstr>REF_DG_CLASSIFICATION</vt:lpstr>
      <vt:lpstr>REF_DOCTYPES</vt:lpstr>
      <vt:lpstr>REF_ISSUER_TYPE</vt:lpstr>
      <vt:lpstr>REF_LOCODE_PORTNAME_COUNTRY</vt:lpstr>
      <vt:lpstr>REF_LOCODES</vt:lpstr>
      <vt:lpstr>REF_PACKING_GROUP</vt:lpstr>
      <vt:lpstr>REF_PORT_AND_LOCODE</vt:lpstr>
      <vt:lpstr>REF_PURPOSES</vt:lpstr>
      <vt:lpstr>REF_SECURITYLEVELS_OPTIONS</vt:lpstr>
      <vt:lpstr>REF_UK_LOCODES</vt:lpstr>
      <vt:lpstr>REF_UK_LOCODES_PORTNAMES</vt:lpstr>
      <vt:lpstr>REF_UK_PORTNAMES</vt:lpstr>
      <vt:lpstr>REF_UNITS</vt:lpstr>
      <vt:lpstr>REF_YES_NO</vt:lpstr>
      <vt:lpstr>SEC_AGENT_EMAIL</vt:lpstr>
      <vt:lpstr>SEC_AGENT_FAX</vt:lpstr>
      <vt:lpstr>SEC_AGENT_NAME</vt:lpstr>
      <vt:lpstr>SEC_AGENT_PHONE</vt:lpstr>
      <vt:lpstr>SEC_AVD_LASTUKVISIT</vt:lpstr>
      <vt:lpstr>SEC_AVD_REPSHIPLOC</vt:lpstr>
      <vt:lpstr>SEC_CAR_BRIEFCARGO</vt:lpstr>
      <vt:lpstr>SEC_CSO_EMAIL</vt:lpstr>
      <vt:lpstr>SEC_CSO_FAX</vt:lpstr>
      <vt:lpstr>SEC_CSO_FIRSTNAME</vt:lpstr>
      <vt:lpstr>SEC_CSO_LASTNAME</vt:lpstr>
      <vt:lpstr>SEC_CSO_PHONE</vt:lpstr>
      <vt:lpstr>SEC_CURRENTSEC</vt:lpstr>
      <vt:lpstr>SEC_DOC_KEY</vt:lpstr>
      <vt:lpstr>SEC_EMPTY_RES</vt:lpstr>
      <vt:lpstr>SEC_ISSC_EXPIRY</vt:lpstr>
      <vt:lpstr>SEC_ISSC_ISSUER</vt:lpstr>
      <vt:lpstr>SEC_ISSC_ISSUERTYPE</vt:lpstr>
      <vt:lpstr>SEC_ISSC_ISVALID</vt:lpstr>
      <vt:lpstr>SEC_ISSC_NUMBER</vt:lpstr>
      <vt:lpstr>SEC_ISSC_REASON</vt:lpstr>
      <vt:lpstr>SEC_ISSC_TYPE</vt:lpstr>
      <vt:lpstr>SEC_LAST_COUNTRY</vt:lpstr>
      <vt:lpstr>SEC_LAST_DATEOFARRI</vt:lpstr>
      <vt:lpstr>SEC_LAST_DATEOFDEPT</vt:lpstr>
      <vt:lpstr>SEC_LAST_FACNAME</vt:lpstr>
      <vt:lpstr>SEC_LAST_MEASURESYORN</vt:lpstr>
      <vt:lpstr>SEC_LAST_PORT</vt:lpstr>
      <vt:lpstr>SEC_LAST_PORTCALLNO</vt:lpstr>
      <vt:lpstr>SEC_LAST_PORTFAC</vt:lpstr>
      <vt:lpstr>SEC_LAST_SECLEVEL</vt:lpstr>
      <vt:lpstr>SEC_LAST_SECMEASURE</vt:lpstr>
      <vt:lpstr>SEC_LOC_LOCATION</vt:lpstr>
      <vt:lpstr>SEC_LOCODE_LOOKUP</vt:lpstr>
      <vt:lpstr>SEC_PAS_CREWLIST</vt:lpstr>
      <vt:lpstr>SEC_PAS_PASSENGERS</vt:lpstr>
      <vt:lpstr>SEC_PASSCREWTA</vt:lpstr>
      <vt:lpstr>SEC_PASSENGERCREWLIST</vt:lpstr>
      <vt:lpstr>SEC_PURPOSE</vt:lpstr>
      <vt:lpstr>SEC_REG_REGCOMPIMO</vt:lpstr>
      <vt:lpstr>SEC_REG_REGCOMPNAM</vt:lpstr>
      <vt:lpstr>SEC_REG_REGDATE</vt:lpstr>
      <vt:lpstr>SEC_REG_REGNUMBER</vt:lpstr>
      <vt:lpstr>SEC_RELATEDMAT</vt:lpstr>
      <vt:lpstr>SEC_RSM_DESC</vt:lpstr>
      <vt:lpstr>SEC_RSM_RSM</vt:lpstr>
      <vt:lpstr>SEC_SECURITYPL</vt:lpstr>
      <vt:lpstr>SEC_SHIP_ACTIVITY</vt:lpstr>
      <vt:lpstr>SEC_SHIP_DATEFROM</vt:lpstr>
      <vt:lpstr>SEC_SHIP_DATETO</vt:lpstr>
      <vt:lpstr>SEC_SHIP_LATITUDE</vt:lpstr>
      <vt:lpstr>SEC_SHIP_LOCATION</vt:lpstr>
      <vt:lpstr>SEC_SHIP_LONGITUDE</vt:lpstr>
      <vt:lpstr>SEC_SHIP_MEASURESYORN</vt:lpstr>
      <vt:lpstr>SEC_SHIP_SECURITYME</vt:lpstr>
      <vt:lpstr>SEC_SHIP_SHIPNO</vt:lpstr>
      <vt:lpstr>SEC_SRC_SOURCE</vt:lpstr>
      <vt:lpstr>SEC_SRC_UPDATED</vt:lpstr>
      <vt:lpstr>SEC_STATUS</vt:lpstr>
      <vt:lpstr>SEC_VALID</vt:lpstr>
      <vt:lpstr>SEC_VALID_RES</vt:lpstr>
      <vt:lpstr>SEC_VDE_GROSSTONNA</vt:lpstr>
      <vt:lpstr>SEC_VDE_REGLOCODE</vt:lpstr>
      <vt:lpstr>SEC_VDE_REGPORT</vt:lpstr>
      <vt:lpstr>SEC_VDE_SHIPCODE</vt:lpstr>
      <vt:lpstr>SEC_VDE_SHIPTYPE</vt:lpstr>
      <vt:lpstr>SEC_VID_CALLSIGN</vt:lpstr>
      <vt:lpstr>SEC_VID_FLAG</vt:lpstr>
      <vt:lpstr>SEC_VID_IMO</vt:lpstr>
      <vt:lpstr>SEC_VID_MMSI</vt:lpstr>
      <vt:lpstr>SEC_VID_SHIPNAME</vt:lpstr>
      <vt:lpstr>Sewage</vt:lpstr>
      <vt:lpstr>Ship_configurations</vt:lpstr>
      <vt:lpstr>Ship_types</vt:lpstr>
      <vt:lpstr>SUM_DOC_KEY</vt:lpstr>
      <vt:lpstr>SUM_DOC_UPDATED</vt:lpstr>
      <vt:lpstr>SUM_DOC_UPDATEDNAME</vt:lpstr>
      <vt:lpstr>SUM_DOC_VERSION</vt:lpstr>
      <vt:lpstr>SUM_INCLUDE_IBK</vt:lpstr>
      <vt:lpstr>SUM_INCLUDE_IHZ</vt:lpstr>
      <vt:lpstr>SUM_INCLUDE_OBK</vt:lpstr>
      <vt:lpstr>SUM_INCLUDE_OHZ</vt:lpstr>
      <vt:lpstr>SUM_INCLUDE_SEC</vt:lpstr>
      <vt:lpstr>SUM_INCLUDE_VES</vt:lpstr>
      <vt:lpstr>SUM_INCLUDE_VOY</vt:lpstr>
      <vt:lpstr>SUM_INCLUDE_WAS</vt:lpstr>
      <vt:lpstr>SUM_OSVERSION</vt:lpstr>
      <vt:lpstr>SUM_OVE_VALID</vt:lpstr>
      <vt:lpstr>SUM_OVR_RES</vt:lpstr>
      <vt:lpstr>SUM_RELEASE</vt:lpstr>
      <vt:lpstr>SUM_SRC_EMAIL</vt:lpstr>
      <vt:lpstr>SUM_SRC_SOURCE</vt:lpstr>
      <vt:lpstr>SUM_SRC_UPDATED</vt:lpstr>
      <vt:lpstr>SUM_SYSTEM</vt:lpstr>
      <vt:lpstr>TMP_SUM_ALLOW</vt:lpstr>
      <vt:lpstr>TMP_SUM_WRITEVALID</vt:lpstr>
      <vt:lpstr>TMP_VDE_REGPORT</vt:lpstr>
      <vt:lpstr>TMP_VOY_LASTPORT</vt:lpstr>
      <vt:lpstr>TMP_VOY_NEXTPORT</vt:lpstr>
      <vt:lpstr>TMP_VOY_PORTOFCALL</vt:lpstr>
      <vt:lpstr>Units_description</vt:lpstr>
      <vt:lpstr>VES_DOC_KEY</vt:lpstr>
      <vt:lpstr>VES_EMPTY_RES</vt:lpstr>
      <vt:lpstr>VES_INMARSAT</vt:lpstr>
      <vt:lpstr>VES_REG_REGCOMPIMO</vt:lpstr>
      <vt:lpstr>VES_REG_REGCOMPNAM</vt:lpstr>
      <vt:lpstr>VES_REG_REGDATE</vt:lpstr>
      <vt:lpstr>VES_REG_REGNUMBER</vt:lpstr>
      <vt:lpstr>VES_STATUS</vt:lpstr>
      <vt:lpstr>VES_VALID</vt:lpstr>
      <vt:lpstr>VES_VALID_RES</vt:lpstr>
      <vt:lpstr>VES_VDE_GROSSTONNA</vt:lpstr>
      <vt:lpstr>VES_VDE_REGLOCODE</vt:lpstr>
      <vt:lpstr>VES_VDE_REGPORT</vt:lpstr>
      <vt:lpstr>VES_VDE_SHIPCODE</vt:lpstr>
      <vt:lpstr>VES_VDE_SHIPTYPE</vt:lpstr>
      <vt:lpstr>VES_VID_CALLSIGN</vt:lpstr>
      <vt:lpstr>VES_VID_FLAG</vt:lpstr>
      <vt:lpstr>VES_VID_IMO</vt:lpstr>
      <vt:lpstr>VES_VID_MMSI</vt:lpstr>
      <vt:lpstr>VES_VID_SHIPNAME</vt:lpstr>
      <vt:lpstr>VOY_ARR_ANCHORAGE</vt:lpstr>
      <vt:lpstr>VOY_ARR_ATA</vt:lpstr>
      <vt:lpstr>VOY_DEP_ATD</vt:lpstr>
      <vt:lpstr>VOY_DEP_POBNEXTPOC</vt:lpstr>
      <vt:lpstr>VOY_DOC_KEY</vt:lpstr>
      <vt:lpstr>VOY_EMPTY_RES</vt:lpstr>
      <vt:lpstr>VOY_POBPOC</vt:lpstr>
      <vt:lpstr>VOY_PURPOSES</vt:lpstr>
      <vt:lpstr>VOY_STATUS</vt:lpstr>
      <vt:lpstr>VOY_TOTALPURPO</vt:lpstr>
      <vt:lpstr>VOY_VALID</vt:lpstr>
      <vt:lpstr>VOY_VALID_RES</vt:lpstr>
      <vt:lpstr>VOY_VOY_BRIEFCARGO</vt:lpstr>
      <vt:lpstr>VOY_VOY_ETA</vt:lpstr>
      <vt:lpstr>VOY_VOY_ETATONEXTP</vt:lpstr>
      <vt:lpstr>VOY_VOY_ETD</vt:lpstr>
      <vt:lpstr>VOY_VOY_ETDFROMPOC</vt:lpstr>
      <vt:lpstr>VOY_VOY_LASTPORT</vt:lpstr>
      <vt:lpstr>VOY_VOY_NEXTPORT</vt:lpstr>
      <vt:lpstr>VOY_VOY_PORTFACILI</vt:lpstr>
      <vt:lpstr>VOY_VOY_PORTOFCALL</vt:lpstr>
      <vt:lpstr>VOY_VOY_POSIINPORT</vt:lpstr>
      <vt:lpstr>WAS_DOC_KEY</vt:lpstr>
      <vt:lpstr>WAS_EMPTY_RES</vt:lpstr>
      <vt:lpstr>WAS_ITE_CATEGORY</vt:lpstr>
      <vt:lpstr>WAS_ITE_DELIVERED</vt:lpstr>
      <vt:lpstr>WAS_ITE_DELIVEREDU</vt:lpstr>
      <vt:lpstr>WAS_ITE_GENERATED</vt:lpstr>
      <vt:lpstr>WAS_ITE_GENERATEDU</vt:lpstr>
      <vt:lpstr>WAS_ITE_LASTPORT</vt:lpstr>
      <vt:lpstr>WAS_ITE_LASTPORTU</vt:lpstr>
      <vt:lpstr>WAS_ITE_MAXSTORAG</vt:lpstr>
      <vt:lpstr>WAS_ITE_MAXSTORAGU</vt:lpstr>
      <vt:lpstr>WAS_ITE_REMAINING</vt:lpstr>
      <vt:lpstr>WAS_ITE_RETAINED</vt:lpstr>
      <vt:lpstr>WAS_ITE_RETAINEDU</vt:lpstr>
      <vt:lpstr>WAS_ITE_TYPE</vt:lpstr>
      <vt:lpstr>WAS_ITE_TYPECODE</vt:lpstr>
      <vt:lpstr>WAS_ITE_TYPEDESCRI</vt:lpstr>
      <vt:lpstr>WAS_LOC_LOCNAME</vt:lpstr>
      <vt:lpstr>WAS_LOC_LOCODE</vt:lpstr>
      <vt:lpstr>WAS_LOCODE_LOOKUP</vt:lpstr>
      <vt:lpstr>WAS_OVE_LASTDATE</vt:lpstr>
      <vt:lpstr>WAS_OVE_LASTPORT</vt:lpstr>
      <vt:lpstr>WAS_OVE_STATUS</vt:lpstr>
      <vt:lpstr>WAS_STATUS</vt:lpstr>
      <vt:lpstr>WAS_VALID</vt:lpstr>
      <vt:lpstr>WAS_VALID_RES</vt:lpstr>
      <vt:lpstr>WAS_VID_CALLSIGN</vt:lpstr>
      <vt:lpstr>WAS_VID_FLAG</vt:lpstr>
      <vt:lpstr>WAS_VID_IMO</vt:lpstr>
      <vt:lpstr>WAS_VID_MMSI</vt:lpstr>
      <vt:lpstr>WAS_VID_SHIPNAME</vt:lpstr>
      <vt:lpstr>WAS_VOY_ETATONEXTP</vt:lpstr>
      <vt:lpstr>WAS_VOY_ETDFROMPOC</vt:lpstr>
      <vt:lpstr>WAS_VOY_LASTPORT</vt:lpstr>
      <vt:lpstr>WAS_VOY_NEXTPORT</vt:lpstr>
      <vt:lpstr>Waste_Categories</vt:lpstr>
      <vt:lpstr>Waste_delivery_status</vt:lpstr>
      <vt:lpstr>Waste_oils</vt:lpstr>
    </vt:vector>
  </TitlesOfParts>
  <Company>IB Boost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CERS 3 PortPlus Excel Form</dc:title>
  <dc:creator>UK Maritime and Coastguard Agency;IB Boost Ltd</dc:creator>
  <cp:keywords>IB Boost Ltd;MCA;SSN;CERS 3</cp:keywords>
  <cp:lastModifiedBy>Skinner Simon@Marine and Air Operations</cp:lastModifiedBy>
  <cp:lastPrinted>2018-08-31T10:23:47Z</cp:lastPrinted>
  <dcterms:created xsi:type="dcterms:W3CDTF">2016-01-11T13:31:53Z</dcterms:created>
  <dcterms:modified xsi:type="dcterms:W3CDTF">2022-03-21T14:30:51Z</dcterms:modified>
</cp:coreProperties>
</file>